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updateLinks="always" codeName="ThisWorkbook" defaultThemeVersion="166925"/>
  <mc:AlternateContent xmlns:mc="http://schemas.openxmlformats.org/markup-compatibility/2006">
    <mc:Choice Requires="x15">
      <x15ac:absPath xmlns:x15ac="http://schemas.microsoft.com/office/spreadsheetml/2010/11/ac" url="C:\Users\juan.franco\miwebapp\excel_reader\"/>
    </mc:Choice>
  </mc:AlternateContent>
  <xr:revisionPtr revIDLastSave="0" documentId="13_ncr:1_{5E0A5F13-324C-4E81-88B2-13A3EB9564BF}" xr6:coauthVersionLast="47" xr6:coauthVersionMax="47" xr10:uidLastSave="{00000000-0000-0000-0000-000000000000}"/>
  <bookViews>
    <workbookView xWindow="11115" yWindow="1650" windowWidth="16620" windowHeight="13950" tabRatio="663" firstSheet="3" activeTab="13" xr2:uid="{00000000-000D-0000-FFFF-FFFF00000000}"/>
  </bookViews>
  <sheets>
    <sheet name="FUNDAMENTOS" sheetId="4" r:id="rId1"/>
    <sheet name="2018" sheetId="32" r:id="rId2"/>
    <sheet name="2019" sheetId="16" r:id="rId3"/>
    <sheet name="2020" sheetId="20" r:id="rId4"/>
    <sheet name="2021 " sheetId="22" r:id="rId5"/>
    <sheet name="2022" sheetId="24" r:id="rId6"/>
    <sheet name="2023" sheetId="28" r:id="rId7"/>
    <sheet name="2024" sheetId="36" r:id="rId8"/>
    <sheet name="2025" sheetId="35" r:id="rId9"/>
    <sheet name="PLURIANUALES" sheetId="30" r:id="rId10"/>
    <sheet name="idsec" sheetId="33" r:id="rId11"/>
    <sheet name="clasif obj gast" sheetId="10" r:id="rId12"/>
    <sheet name="RFC" sheetId="38" r:id="rId13"/>
    <sheet name="Destinatarios" sheetId="39" r:id="rId14"/>
  </sheets>
  <externalReferences>
    <externalReference r:id="rId15"/>
    <externalReference r:id="rId16"/>
    <externalReference r:id="rId17"/>
    <externalReference r:id="rId18"/>
  </externalReferences>
  <definedNames>
    <definedName name="_xlnm._FilterDatabase" localSheetId="1" hidden="1">'2018'!$V$55:$V$126</definedName>
    <definedName name="_xlnm._FilterDatabase" localSheetId="2" hidden="1">'2019'!$A$1:$CB$195</definedName>
    <definedName name="_xlnm._FilterDatabase" localSheetId="3" hidden="1">'2020'!$A$1:$CA$193</definedName>
    <definedName name="_xlnm._FilterDatabase" localSheetId="4" hidden="1">'2021 '!$A$1:$BS$157</definedName>
    <definedName name="_xlnm._FilterDatabase" localSheetId="5" hidden="1">'2022'!$A$1:$CA$166</definedName>
    <definedName name="_xlnm._FilterDatabase" localSheetId="6" hidden="1">'2023'!$A$1:$BW$242</definedName>
    <definedName name="_xlnm._FilterDatabase" localSheetId="7" hidden="1">'2024'!$A$1:$AX$282</definedName>
    <definedName name="_xlnm._FilterDatabase" localSheetId="8" hidden="1">'2025'!$A$1:$BF$280</definedName>
    <definedName name="_xlnm._FilterDatabase" localSheetId="10" hidden="1">idsec!$A$9:$R$11</definedName>
    <definedName name="_xlnm._FilterDatabase" localSheetId="9" hidden="1">PLURIANUALES!$A$9:$R$34</definedName>
    <definedName name="_xlnm.Print_Area" localSheetId="10">idsec!$A$1:$R$11</definedName>
    <definedName name="_xlnm.Print_Area" localSheetId="9">PLURIANUALES!$A$1:$K$34</definedName>
    <definedName name="_xlnm.Print_Titles" localSheetId="8">'2025'!$1:$1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4" i="35" l="1"/>
  <c r="Y5" i="35"/>
  <c r="Y6" i="35"/>
  <c r="Y7" i="35"/>
  <c r="Y8" i="35"/>
  <c r="Y9" i="35"/>
  <c r="Y10" i="35"/>
  <c r="Y11" i="35"/>
  <c r="Y12" i="35"/>
  <c r="Y13" i="35"/>
  <c r="Y14" i="35"/>
  <c r="Y15" i="35"/>
  <c r="Y16" i="35"/>
  <c r="Y17" i="35"/>
  <c r="Y18" i="35"/>
  <c r="Y19" i="35"/>
  <c r="Y20" i="35"/>
  <c r="Y21" i="35"/>
  <c r="Y22" i="35"/>
  <c r="Y23" i="35"/>
  <c r="Y24" i="35"/>
  <c r="Y25" i="35"/>
  <c r="Y26" i="35"/>
  <c r="Y27" i="35"/>
  <c r="Y28" i="35"/>
  <c r="Y29" i="35"/>
  <c r="Y30" i="35"/>
  <c r="Y31" i="35"/>
  <c r="Y32" i="35"/>
  <c r="Y33" i="35"/>
  <c r="Y34" i="35"/>
  <c r="Y35" i="35"/>
  <c r="Y36" i="35"/>
  <c r="Y37" i="35"/>
  <c r="Y38" i="35"/>
  <c r="Y39" i="35"/>
  <c r="Y40" i="35"/>
  <c r="Y41" i="35"/>
  <c r="Y42" i="35"/>
  <c r="Y43" i="35"/>
  <c r="Y44" i="35"/>
  <c r="Y45" i="35"/>
  <c r="Y46" i="35"/>
  <c r="Y47" i="35"/>
  <c r="Y48" i="35"/>
  <c r="Y49" i="35"/>
  <c r="Y50" i="35"/>
  <c r="Y51" i="35"/>
  <c r="Y52" i="35"/>
  <c r="Y53" i="35"/>
  <c r="Y54" i="35"/>
  <c r="Y55" i="35"/>
  <c r="Y56" i="35"/>
  <c r="Y57" i="35"/>
  <c r="Y58" i="35"/>
  <c r="Y59" i="35"/>
  <c r="Y60" i="35"/>
  <c r="Y61" i="35"/>
  <c r="Y62" i="35"/>
  <c r="Y63" i="35"/>
  <c r="Y64" i="35"/>
  <c r="Y65" i="35"/>
  <c r="Y66" i="35"/>
  <c r="Y67" i="35"/>
  <c r="Y68" i="35"/>
  <c r="Y69" i="35"/>
  <c r="Y70" i="35"/>
  <c r="Y71" i="35"/>
  <c r="Y72" i="35"/>
  <c r="Y73" i="35"/>
  <c r="Y74" i="35"/>
  <c r="Y75" i="35"/>
  <c r="Y76" i="35"/>
  <c r="Y77" i="35"/>
  <c r="Y78" i="35"/>
  <c r="Y79" i="35"/>
  <c r="Y80" i="35"/>
  <c r="Y81" i="35"/>
  <c r="Y82" i="35"/>
  <c r="Y83" i="35"/>
  <c r="Y84" i="35"/>
  <c r="Y85" i="35"/>
  <c r="Y86" i="35"/>
  <c r="Y87" i="35"/>
  <c r="Y88" i="35"/>
  <c r="Y89" i="35"/>
  <c r="Y90" i="35"/>
  <c r="Y91" i="35"/>
  <c r="Y92" i="35"/>
  <c r="Y93" i="35"/>
  <c r="Y94" i="35"/>
  <c r="Y95" i="35"/>
  <c r="Y96" i="35"/>
  <c r="Y97" i="35"/>
  <c r="Y98" i="35"/>
  <c r="Y99" i="35"/>
  <c r="Y100" i="35"/>
  <c r="Y101" i="35"/>
  <c r="Y102" i="35"/>
  <c r="Y103" i="35"/>
  <c r="Y104" i="35"/>
  <c r="Y105" i="35"/>
  <c r="Y106" i="35"/>
  <c r="Y107" i="35"/>
  <c r="Y108" i="35"/>
  <c r="Y109" i="35"/>
  <c r="Y110" i="35"/>
  <c r="Y111" i="35"/>
  <c r="Y112" i="35"/>
  <c r="Y113" i="35"/>
  <c r="Y114" i="35"/>
  <c r="Y115" i="35"/>
  <c r="Y116" i="35"/>
  <c r="Y117" i="35"/>
  <c r="Y118" i="35"/>
  <c r="Y119" i="35"/>
  <c r="Y120" i="35"/>
  <c r="Y121" i="35"/>
  <c r="Y122" i="35"/>
  <c r="Y123" i="35"/>
  <c r="Y124" i="35"/>
  <c r="Y125" i="35"/>
  <c r="Y126" i="35"/>
  <c r="Y127" i="35"/>
  <c r="Y128" i="35"/>
  <c r="Y129" i="35"/>
  <c r="Y130" i="35"/>
  <c r="Y131" i="35"/>
  <c r="Y132" i="35"/>
  <c r="Y133" i="35"/>
  <c r="Y134" i="35"/>
  <c r="Y135" i="35"/>
  <c r="Y136" i="35"/>
  <c r="Y137" i="35"/>
  <c r="Y138" i="35"/>
  <c r="Y139" i="35"/>
  <c r="Y140" i="35"/>
  <c r="Y141" i="35"/>
  <c r="Y142" i="35"/>
  <c r="Y143" i="35"/>
  <c r="Y144" i="35"/>
  <c r="Y145" i="35"/>
  <c r="Y146" i="35"/>
  <c r="Y147" i="35"/>
  <c r="Y148" i="35"/>
  <c r="Y149" i="35"/>
  <c r="Y150" i="35"/>
  <c r="Y151" i="35"/>
  <c r="Y152" i="35"/>
  <c r="Y153" i="35"/>
  <c r="Y154" i="35"/>
  <c r="Y155" i="35"/>
  <c r="Y156" i="35"/>
  <c r="Y157" i="35"/>
  <c r="Y158" i="35"/>
  <c r="Y159" i="35"/>
  <c r="Y160" i="35"/>
  <c r="Y161" i="35"/>
  <c r="Y162" i="35"/>
  <c r="Y163" i="35"/>
  <c r="Y164" i="35"/>
  <c r="Y165" i="35"/>
  <c r="Y166" i="35"/>
  <c r="Y167" i="35"/>
  <c r="Y168" i="35"/>
  <c r="Y169" i="35"/>
  <c r="Y170" i="35"/>
  <c r="Y171" i="35"/>
  <c r="Y172" i="35"/>
  <c r="Y173" i="35"/>
  <c r="Y174" i="35"/>
  <c r="Y175" i="35"/>
  <c r="Y176" i="35"/>
  <c r="Y177" i="35"/>
  <c r="Y178" i="35"/>
  <c r="Y179" i="35"/>
  <c r="Y180" i="35"/>
  <c r="Y181" i="35"/>
  <c r="Y182" i="35"/>
  <c r="Y183" i="35"/>
  <c r="Y184" i="35"/>
  <c r="Y185" i="35"/>
  <c r="Y186" i="35"/>
  <c r="Y187" i="35"/>
  <c r="Y188" i="35"/>
  <c r="Y189" i="35"/>
  <c r="Y190" i="35"/>
  <c r="Y191" i="35"/>
  <c r="Y192" i="35"/>
  <c r="Y193" i="35"/>
  <c r="Y194" i="35"/>
  <c r="Y195" i="35"/>
  <c r="Y196" i="35"/>
  <c r="Y197" i="35"/>
  <c r="Y198" i="35"/>
  <c r="Y199" i="35"/>
  <c r="Y200" i="35"/>
  <c r="Y201" i="35"/>
  <c r="Y202" i="35"/>
  <c r="Y203" i="35"/>
  <c r="Y204" i="35"/>
  <c r="Y205" i="35"/>
  <c r="Y206" i="35"/>
  <c r="Y207" i="35"/>
  <c r="Y208" i="35"/>
  <c r="Y209" i="35"/>
  <c r="Y210" i="35"/>
  <c r="Y211" i="35"/>
  <c r="Y212" i="35"/>
  <c r="Y213" i="35"/>
  <c r="Y214" i="35"/>
  <c r="Y215" i="35"/>
  <c r="Y216" i="35"/>
  <c r="Y217" i="35"/>
  <c r="Y218" i="35"/>
  <c r="Y219" i="35"/>
  <c r="Y220" i="35"/>
  <c r="Y221" i="35"/>
  <c r="Y222" i="35"/>
  <c r="Y223" i="35"/>
  <c r="Y224" i="35"/>
  <c r="Y225" i="35"/>
  <c r="Y226" i="35"/>
  <c r="Y227" i="35"/>
  <c r="Y228" i="35"/>
  <c r="Y229" i="35"/>
  <c r="Y230" i="35"/>
  <c r="Y231" i="35"/>
  <c r="Y232" i="35"/>
  <c r="Y233" i="35"/>
  <c r="Y234" i="35"/>
  <c r="Y235" i="35"/>
  <c r="Y236" i="35"/>
  <c r="Y237" i="35"/>
  <c r="Y238" i="35"/>
  <c r="Y239" i="35"/>
  <c r="Y240" i="35"/>
  <c r="Y241" i="35"/>
  <c r="Y242" i="35"/>
  <c r="Y243" i="35"/>
  <c r="Y244" i="35"/>
  <c r="Y245" i="35"/>
  <c r="Y246" i="35"/>
  <c r="Y247" i="35"/>
  <c r="Y248" i="35"/>
  <c r="Y249" i="35"/>
  <c r="Y250" i="35"/>
  <c r="Y251" i="35"/>
  <c r="Y252" i="35"/>
  <c r="Y253" i="35"/>
  <c r="Y254" i="35"/>
  <c r="Y255" i="35"/>
  <c r="Y256" i="35"/>
  <c r="Y257" i="35"/>
  <c r="Y258" i="35"/>
  <c r="Y259" i="35"/>
  <c r="Y260" i="35"/>
  <c r="Y261" i="35"/>
  <c r="Y262" i="35"/>
  <c r="Y263" i="35"/>
  <c r="Y264" i="35"/>
  <c r="Y265" i="35"/>
  <c r="Y266" i="35"/>
  <c r="Y267" i="35"/>
  <c r="Y268" i="35"/>
  <c r="Y269" i="35"/>
  <c r="Y270" i="35"/>
  <c r="Y271" i="35"/>
  <c r="Y272" i="35"/>
  <c r="Y273" i="35"/>
  <c r="Y274" i="35"/>
  <c r="Y275" i="35"/>
  <c r="Y276" i="35"/>
  <c r="Y277" i="35"/>
  <c r="Y278" i="35"/>
  <c r="Y279" i="35"/>
  <c r="Y280" i="35"/>
  <c r="Y3" i="35"/>
  <c r="BF14" i="35"/>
  <c r="BD14" i="35"/>
  <c r="BF13" i="35"/>
  <c r="BD13" i="35"/>
  <c r="BF12" i="35"/>
  <c r="BD12" i="35"/>
  <c r="BF11" i="35"/>
  <c r="BD11" i="35"/>
  <c r="BF10" i="35"/>
  <c r="BD10" i="35"/>
  <c r="BF9" i="35"/>
  <c r="BD9" i="35"/>
  <c r="BF8" i="35"/>
  <c r="BD8" i="35"/>
  <c r="BF7" i="35"/>
  <c r="BD7" i="35"/>
  <c r="BF6" i="35"/>
  <c r="BD6" i="35"/>
  <c r="BF5" i="35"/>
  <c r="BD5" i="35"/>
  <c r="BF4" i="35"/>
  <c r="BD4" i="35"/>
  <c r="BF3" i="35"/>
  <c r="BD3" i="35"/>
  <c r="AM4" i="35"/>
  <c r="AM14" i="35"/>
  <c r="AM13" i="35"/>
  <c r="AM12" i="35"/>
  <c r="AM11" i="35"/>
  <c r="AM10" i="35"/>
  <c r="AM9" i="35"/>
  <c r="AM8" i="35"/>
  <c r="AM7" i="35"/>
  <c r="AM6" i="35"/>
  <c r="AM5" i="35"/>
  <c r="AN14" i="35"/>
  <c r="AN13" i="35"/>
  <c r="AN12" i="35"/>
  <c r="AN11" i="35"/>
  <c r="AN10" i="35"/>
  <c r="AN9" i="35"/>
  <c r="AN8" i="35"/>
  <c r="AN7" i="35"/>
  <c r="AN6" i="35"/>
  <c r="AN5" i="35"/>
  <c r="AN4" i="35"/>
  <c r="AN3" i="35"/>
  <c r="AM3" i="35"/>
  <c r="W14" i="35" l="1"/>
  <c r="X14" i="35" s="1"/>
  <c r="W13" i="35"/>
  <c r="X13" i="35" s="1"/>
  <c r="W12" i="35"/>
  <c r="X12" i="35" s="1"/>
  <c r="W11" i="35"/>
  <c r="X11" i="35" s="1"/>
  <c r="W10" i="35"/>
  <c r="X10" i="35" s="1"/>
  <c r="W9" i="35"/>
  <c r="X9" i="35" s="1"/>
  <c r="W8" i="35"/>
  <c r="X8" i="35" s="1"/>
  <c r="W7" i="35"/>
  <c r="X7" i="35" s="1"/>
  <c r="W6" i="35"/>
  <c r="X6" i="35" s="1"/>
  <c r="W5" i="35"/>
  <c r="X5" i="35" s="1"/>
  <c r="W4" i="35"/>
  <c r="X4" i="35" s="1"/>
  <c r="W3" i="35"/>
  <c r="X3" i="35" s="1"/>
  <c r="T4" i="35"/>
  <c r="U4" i="35" s="1"/>
  <c r="T5" i="35"/>
  <c r="U5" i="35" s="1"/>
  <c r="T6" i="35"/>
  <c r="U6" i="35" s="1"/>
  <c r="T7" i="35"/>
  <c r="U7" i="35" s="1"/>
  <c r="T8" i="35"/>
  <c r="U8" i="35" s="1"/>
  <c r="T9" i="35"/>
  <c r="U9" i="35" s="1"/>
  <c r="T10" i="35"/>
  <c r="U10" i="35" s="1"/>
  <c r="T11" i="35"/>
  <c r="U11" i="35" s="1"/>
  <c r="T12" i="35"/>
  <c r="U12" i="35" s="1"/>
  <c r="T13" i="35"/>
  <c r="U13" i="35" s="1"/>
  <c r="T14" i="35"/>
  <c r="U14" i="35" s="1"/>
  <c r="T3" i="35"/>
  <c r="U3" i="35" s="1"/>
  <c r="M14" i="35"/>
  <c r="M13" i="35"/>
  <c r="M12" i="35"/>
  <c r="M11" i="35"/>
  <c r="M10" i="35"/>
  <c r="M9" i="35"/>
  <c r="M8" i="35"/>
  <c r="M7" i="35"/>
  <c r="M6" i="35"/>
  <c r="M5" i="35"/>
  <c r="M4" i="35"/>
  <c r="M3" i="35"/>
  <c r="F4" i="35"/>
  <c r="F5" i="35"/>
  <c r="F6" i="35"/>
  <c r="F7" i="35"/>
  <c r="F8" i="35"/>
  <c r="F9" i="35"/>
  <c r="F10" i="35"/>
  <c r="F11" i="35"/>
  <c r="F12" i="35"/>
  <c r="F13" i="35"/>
  <c r="F14" i="35"/>
  <c r="F3" i="35"/>
  <c r="AN61" i="35" l="1"/>
  <c r="AM61" i="35"/>
  <c r="AM60" i="35"/>
  <c r="AN59" i="35"/>
  <c r="AM59" i="35"/>
  <c r="AM47" i="35" l="1"/>
  <c r="W47" i="35"/>
  <c r="X47" i="35" s="1"/>
  <c r="T47" i="35"/>
  <c r="U47" i="35" s="1"/>
  <c r="F47" i="35"/>
  <c r="AH126" i="36"/>
  <c r="AT126" i="36"/>
  <c r="V126" i="36"/>
  <c r="S126" i="36"/>
  <c r="T126" i="36" s="1"/>
  <c r="W126" i="36" s="1"/>
  <c r="M126" i="36"/>
  <c r="F126" i="36"/>
  <c r="M60" i="36" l="1"/>
  <c r="AN36" i="35" l="1"/>
  <c r="AM36" i="35"/>
  <c r="AH82" i="36"/>
  <c r="AT82" i="36"/>
  <c r="S82" i="36"/>
  <c r="T82" i="36" s="1"/>
  <c r="M82" i="36"/>
  <c r="AH153" i="36" l="1"/>
  <c r="AT153" i="36"/>
  <c r="V153" i="36"/>
  <c r="S153" i="36"/>
  <c r="T153" i="36" s="1"/>
  <c r="W153" i="36" s="1"/>
  <c r="M153" i="36"/>
  <c r="AT151" i="36"/>
  <c r="V151" i="36"/>
  <c r="S151" i="36"/>
  <c r="T151" i="36" s="1"/>
  <c r="W151" i="36" s="1"/>
  <c r="M151" i="36"/>
  <c r="AN16" i="35"/>
  <c r="AN17" i="35"/>
  <c r="AN18" i="35"/>
  <c r="AN19" i="35"/>
  <c r="AN20" i="35"/>
  <c r="AN21" i="35"/>
  <c r="AN22" i="35"/>
  <c r="AN23" i="35"/>
  <c r="AN24" i="35"/>
  <c r="AN25" i="35"/>
  <c r="AN26" i="35"/>
  <c r="AN27" i="35"/>
  <c r="AN28" i="35"/>
  <c r="AN29" i="35"/>
  <c r="AN30" i="35"/>
  <c r="AN31" i="35"/>
  <c r="AN32" i="35"/>
  <c r="AN33" i="35"/>
  <c r="AN34" i="35"/>
  <c r="AN35" i="35"/>
  <c r="AN37" i="35"/>
  <c r="AN38" i="35"/>
  <c r="AN39" i="35"/>
  <c r="AN40" i="35"/>
  <c r="AN41" i="35"/>
  <c r="AN42" i="35"/>
  <c r="AN43" i="35"/>
  <c r="AN44" i="35"/>
  <c r="AN45" i="35"/>
  <c r="AN46" i="35"/>
  <c r="AN47" i="35"/>
  <c r="AN48" i="35"/>
  <c r="AN49" i="35"/>
  <c r="AN50" i="35"/>
  <c r="AN51" i="35"/>
  <c r="AN52" i="35"/>
  <c r="AN53" i="35"/>
  <c r="AN54" i="35"/>
  <c r="AN55" i="35"/>
  <c r="AN56" i="35"/>
  <c r="AN57" i="35"/>
  <c r="AN58" i="35"/>
  <c r="AN60" i="35"/>
  <c r="AN62" i="35"/>
  <c r="AN63" i="35"/>
  <c r="AN64" i="35"/>
  <c r="AN65" i="35"/>
  <c r="AN66" i="35"/>
  <c r="AN67" i="35"/>
  <c r="AN68" i="35"/>
  <c r="AN69" i="35"/>
  <c r="AN70" i="35"/>
  <c r="AN71" i="35"/>
  <c r="AN72" i="35"/>
  <c r="AN73" i="35"/>
  <c r="AN74" i="35"/>
  <c r="AN75" i="35"/>
  <c r="AN76" i="35"/>
  <c r="AN77" i="35"/>
  <c r="AN78" i="35"/>
  <c r="AN79" i="35"/>
  <c r="AN80" i="35"/>
  <c r="AN81" i="35"/>
  <c r="AN82" i="35"/>
  <c r="AN83" i="35"/>
  <c r="AN84" i="35"/>
  <c r="AN85" i="35"/>
  <c r="AN86" i="35"/>
  <c r="AN87" i="35"/>
  <c r="AN88" i="35"/>
  <c r="AN89" i="35"/>
  <c r="AN90" i="35"/>
  <c r="AN91" i="35"/>
  <c r="AN92" i="35"/>
  <c r="AN93" i="35"/>
  <c r="AN94" i="35"/>
  <c r="AN95" i="35"/>
  <c r="AN96" i="35"/>
  <c r="AN97" i="35"/>
  <c r="AN98" i="35"/>
  <c r="AN99" i="35"/>
  <c r="AN100" i="35"/>
  <c r="AN101" i="35"/>
  <c r="AN102" i="35"/>
  <c r="AN103" i="35"/>
  <c r="AN104" i="35"/>
  <c r="AN105" i="35"/>
  <c r="AN106" i="35"/>
  <c r="AN107" i="35"/>
  <c r="AN108" i="35"/>
  <c r="AN109" i="35"/>
  <c r="AN110" i="35"/>
  <c r="AN111" i="35"/>
  <c r="AN112" i="35"/>
  <c r="AN113" i="35"/>
  <c r="AN114" i="35"/>
  <c r="AN115" i="35"/>
  <c r="AN116" i="35"/>
  <c r="AN117" i="35"/>
  <c r="AN118" i="35"/>
  <c r="AN119" i="35"/>
  <c r="AN120" i="35"/>
  <c r="AN121" i="35"/>
  <c r="AN122" i="35"/>
  <c r="AN123" i="35"/>
  <c r="AN124" i="35"/>
  <c r="AN125" i="35"/>
  <c r="AN126" i="35"/>
  <c r="AN127" i="35"/>
  <c r="AN128" i="35"/>
  <c r="AN129" i="35"/>
  <c r="AN130" i="35"/>
  <c r="AN131" i="35"/>
  <c r="AN132" i="35"/>
  <c r="AN133" i="35"/>
  <c r="AN134" i="35"/>
  <c r="AN135" i="35"/>
  <c r="AN136" i="35"/>
  <c r="AN137" i="35"/>
  <c r="AN138" i="35"/>
  <c r="AN139" i="35"/>
  <c r="AN140" i="35"/>
  <c r="AN141" i="35"/>
  <c r="AN142" i="35"/>
  <c r="AN143" i="35"/>
  <c r="AN144" i="35"/>
  <c r="AN145" i="35"/>
  <c r="AN146" i="35"/>
  <c r="AN147" i="35"/>
  <c r="AN148" i="35"/>
  <c r="AN149" i="35"/>
  <c r="AN150" i="35"/>
  <c r="AN151" i="35"/>
  <c r="AN152" i="35"/>
  <c r="AN153" i="35"/>
  <c r="AN154" i="35"/>
  <c r="AN155" i="35"/>
  <c r="AN156" i="35"/>
  <c r="AN157" i="35"/>
  <c r="AN158" i="35"/>
  <c r="AN159" i="35"/>
  <c r="AN160" i="35"/>
  <c r="AN161" i="35"/>
  <c r="AN162" i="35"/>
  <c r="AN163" i="35"/>
  <c r="AN164" i="35"/>
  <c r="AN165" i="35"/>
  <c r="AN166" i="35"/>
  <c r="AN167" i="35"/>
  <c r="AN168" i="35"/>
  <c r="AN169" i="35"/>
  <c r="AN170" i="35"/>
  <c r="AN171" i="35"/>
  <c r="AN172" i="35"/>
  <c r="AN173" i="35"/>
  <c r="AN174" i="35"/>
  <c r="AN175" i="35"/>
  <c r="AN176" i="35"/>
  <c r="AN177" i="35"/>
  <c r="AN178" i="35"/>
  <c r="AN179" i="35"/>
  <c r="AN180" i="35"/>
  <c r="AN181" i="35"/>
  <c r="AN182" i="35"/>
  <c r="AN183" i="35"/>
  <c r="AN184" i="35"/>
  <c r="AN185" i="35"/>
  <c r="AN186" i="35"/>
  <c r="AN187" i="35"/>
  <c r="AN188" i="35"/>
  <c r="AN189" i="35"/>
  <c r="AN190" i="35"/>
  <c r="AN191" i="35"/>
  <c r="AN192" i="35"/>
  <c r="AN193" i="35"/>
  <c r="AN194" i="35"/>
  <c r="AN195" i="35"/>
  <c r="AN196" i="35"/>
  <c r="AN197" i="35"/>
  <c r="AN198" i="35"/>
  <c r="AN199" i="35"/>
  <c r="AN200" i="35"/>
  <c r="AN201" i="35"/>
  <c r="AN202" i="35"/>
  <c r="AN203" i="35"/>
  <c r="AN204" i="35"/>
  <c r="AN205" i="35"/>
  <c r="AN206" i="35"/>
  <c r="AN207" i="35"/>
  <c r="AN208" i="35"/>
  <c r="AN209" i="35"/>
  <c r="AN210" i="35"/>
  <c r="AN211" i="35"/>
  <c r="AN212" i="35"/>
  <c r="AN213" i="35"/>
  <c r="AN214" i="35"/>
  <c r="AN215" i="35"/>
  <c r="AN216" i="35"/>
  <c r="AN217" i="35"/>
  <c r="AN218" i="35"/>
  <c r="AN219" i="35"/>
  <c r="AN220" i="35"/>
  <c r="AN221" i="35"/>
  <c r="AN222" i="35"/>
  <c r="AN223" i="35"/>
  <c r="AN224" i="35"/>
  <c r="AN225" i="35"/>
  <c r="AN226" i="35"/>
  <c r="AN227" i="35"/>
  <c r="AN228" i="35"/>
  <c r="AN229" i="35"/>
  <c r="AN230" i="35"/>
  <c r="AN231" i="35"/>
  <c r="AN232" i="35"/>
  <c r="AN233" i="35"/>
  <c r="AN234" i="35"/>
  <c r="AN235" i="35"/>
  <c r="AN236" i="35"/>
  <c r="AN237" i="35"/>
  <c r="AN238" i="35"/>
  <c r="AN239" i="35"/>
  <c r="AN240" i="35"/>
  <c r="AN241" i="35"/>
  <c r="AN242" i="35"/>
  <c r="AN243" i="35"/>
  <c r="AN244" i="35"/>
  <c r="AN245" i="35"/>
  <c r="AN246" i="35"/>
  <c r="AN247" i="35"/>
  <c r="AN248" i="35"/>
  <c r="AN249" i="35"/>
  <c r="AN250" i="35"/>
  <c r="AN251" i="35"/>
  <c r="AN252" i="35"/>
  <c r="AN253" i="35"/>
  <c r="AN254" i="35"/>
  <c r="AN255" i="35"/>
  <c r="AN256" i="35"/>
  <c r="AN257" i="35"/>
  <c r="AN258" i="35"/>
  <c r="AN259" i="35"/>
  <c r="AN260" i="35"/>
  <c r="AN261" i="35"/>
  <c r="AN262" i="35"/>
  <c r="AN263" i="35"/>
  <c r="AN264" i="35"/>
  <c r="AN265" i="35"/>
  <c r="AN266" i="35"/>
  <c r="AN267" i="35"/>
  <c r="AN268" i="35"/>
  <c r="AN269" i="35"/>
  <c r="AN270" i="35"/>
  <c r="AN271" i="35"/>
  <c r="AN272" i="35"/>
  <c r="AN273" i="35"/>
  <c r="AN274" i="35"/>
  <c r="AN275" i="35"/>
  <c r="AN276" i="35"/>
  <c r="AN277" i="35"/>
  <c r="AN278" i="35"/>
  <c r="AN279" i="35"/>
  <c r="AN280" i="35"/>
  <c r="AN15" i="35"/>
  <c r="F299" i="36"/>
  <c r="F298" i="36"/>
  <c r="F290" i="36"/>
  <c r="I291" i="36" s="1"/>
  <c r="K291" i="36" s="1"/>
  <c r="M291" i="36" s="1"/>
  <c r="U284" i="36"/>
  <c r="AT282" i="36"/>
  <c r="AP282" i="36"/>
  <c r="AH282" i="36"/>
  <c r="AA282" i="36"/>
  <c r="V282" i="36"/>
  <c r="S282" i="36"/>
  <c r="T282" i="36" s="1"/>
  <c r="W282" i="36" s="1"/>
  <c r="M282" i="36"/>
  <c r="F282" i="36"/>
  <c r="AT281" i="36"/>
  <c r="AP281" i="36"/>
  <c r="AH281" i="36"/>
  <c r="AA281" i="36"/>
  <c r="V281" i="36"/>
  <c r="S281" i="36"/>
  <c r="T281" i="36" s="1"/>
  <c r="W281" i="36" s="1"/>
  <c r="M281" i="36"/>
  <c r="F281" i="36"/>
  <c r="AT280" i="36"/>
  <c r="AP280" i="36"/>
  <c r="AH280" i="36"/>
  <c r="AA280" i="36"/>
  <c r="V280" i="36"/>
  <c r="S280" i="36"/>
  <c r="T280" i="36" s="1"/>
  <c r="W280" i="36" s="1"/>
  <c r="M280" i="36"/>
  <c r="F280" i="36"/>
  <c r="AT279" i="36"/>
  <c r="AP279" i="36"/>
  <c r="AH279" i="36"/>
  <c r="AA279" i="36"/>
  <c r="V279" i="36"/>
  <c r="S279" i="36"/>
  <c r="T279" i="36" s="1"/>
  <c r="W279" i="36" s="1"/>
  <c r="M279" i="36"/>
  <c r="F279" i="36"/>
  <c r="AT278" i="36"/>
  <c r="AP278" i="36"/>
  <c r="AH278" i="36"/>
  <c r="AA278" i="36"/>
  <c r="V278" i="36"/>
  <c r="S278" i="36"/>
  <c r="T278" i="36" s="1"/>
  <c r="W278" i="36" s="1"/>
  <c r="M278" i="36"/>
  <c r="F278" i="36"/>
  <c r="AT277" i="36"/>
  <c r="AP277" i="36"/>
  <c r="AH277" i="36"/>
  <c r="AA277" i="36"/>
  <c r="V277" i="36"/>
  <c r="S277" i="36"/>
  <c r="T277" i="36" s="1"/>
  <c r="W277" i="36" s="1"/>
  <c r="M277" i="36"/>
  <c r="F277" i="36"/>
  <c r="AT276" i="36"/>
  <c r="AP276" i="36"/>
  <c r="AH276" i="36"/>
  <c r="AA276" i="36"/>
  <c r="V276" i="36"/>
  <c r="S276" i="36"/>
  <c r="T276" i="36" s="1"/>
  <c r="W276" i="36" s="1"/>
  <c r="M276" i="36"/>
  <c r="F276" i="36"/>
  <c r="AT275" i="36"/>
  <c r="AP275" i="36"/>
  <c r="AH275" i="36"/>
  <c r="AA275" i="36"/>
  <c r="V275" i="36"/>
  <c r="S275" i="36"/>
  <c r="T275" i="36" s="1"/>
  <c r="W275" i="36" s="1"/>
  <c r="M275" i="36"/>
  <c r="F275" i="36"/>
  <c r="AT274" i="36"/>
  <c r="AP274" i="36"/>
  <c r="AH274" i="36"/>
  <c r="AA274" i="36"/>
  <c r="V274" i="36"/>
  <c r="S274" i="36"/>
  <c r="T274" i="36" s="1"/>
  <c r="W274" i="36" s="1"/>
  <c r="M274" i="36"/>
  <c r="F274" i="36"/>
  <c r="AT273" i="36"/>
  <c r="AP273" i="36"/>
  <c r="AH273" i="36"/>
  <c r="AA273" i="36"/>
  <c r="V273" i="36"/>
  <c r="S273" i="36"/>
  <c r="T273" i="36" s="1"/>
  <c r="W273" i="36" s="1"/>
  <c r="M273" i="36"/>
  <c r="F273" i="36"/>
  <c r="AT272" i="36"/>
  <c r="AP272" i="36"/>
  <c r="AH272" i="36"/>
  <c r="AA272" i="36"/>
  <c r="V272" i="36"/>
  <c r="S272" i="36"/>
  <c r="T272" i="36" s="1"/>
  <c r="W272" i="36" s="1"/>
  <c r="M272" i="36"/>
  <c r="F272" i="36"/>
  <c r="AT271" i="36"/>
  <c r="AP271" i="36"/>
  <c r="AH271" i="36"/>
  <c r="AA271" i="36"/>
  <c r="V271" i="36"/>
  <c r="S271" i="36"/>
  <c r="T271" i="36" s="1"/>
  <c r="W271" i="36" s="1"/>
  <c r="M271" i="36"/>
  <c r="F271" i="36"/>
  <c r="AT270" i="36"/>
  <c r="AP270" i="36"/>
  <c r="AH270" i="36"/>
  <c r="AA270" i="36"/>
  <c r="V270" i="36"/>
  <c r="S270" i="36"/>
  <c r="T270" i="36" s="1"/>
  <c r="W270" i="36" s="1"/>
  <c r="M270" i="36"/>
  <c r="F270" i="36"/>
  <c r="AT269" i="36"/>
  <c r="AP269" i="36"/>
  <c r="AH269" i="36"/>
  <c r="AA269" i="36"/>
  <c r="V269" i="36"/>
  <c r="S269" i="36"/>
  <c r="T269" i="36" s="1"/>
  <c r="W269" i="36" s="1"/>
  <c r="M269" i="36"/>
  <c r="F269" i="36"/>
  <c r="AT268" i="36"/>
  <c r="AP268" i="36"/>
  <c r="AH268" i="36"/>
  <c r="AA268" i="36"/>
  <c r="V268" i="36"/>
  <c r="S268" i="36"/>
  <c r="T268" i="36" s="1"/>
  <c r="W268" i="36" s="1"/>
  <c r="M268" i="36"/>
  <c r="F268" i="36"/>
  <c r="AT267" i="36"/>
  <c r="AP267" i="36"/>
  <c r="AH267" i="36"/>
  <c r="AA267" i="36"/>
  <c r="V267" i="36"/>
  <c r="S267" i="36"/>
  <c r="T267" i="36" s="1"/>
  <c r="W267" i="36" s="1"/>
  <c r="M267" i="36"/>
  <c r="F267" i="36"/>
  <c r="AT266" i="36"/>
  <c r="AP266" i="36"/>
  <c r="AH266" i="36"/>
  <c r="AA266" i="36"/>
  <c r="V266" i="36"/>
  <c r="S266" i="36"/>
  <c r="T266" i="36" s="1"/>
  <c r="W266" i="36" s="1"/>
  <c r="M266" i="36"/>
  <c r="F266" i="36"/>
  <c r="AT265" i="36"/>
  <c r="AP265" i="36"/>
  <c r="AH265" i="36"/>
  <c r="AA265" i="36"/>
  <c r="V265" i="36"/>
  <c r="S265" i="36"/>
  <c r="T265" i="36" s="1"/>
  <c r="W265" i="36" s="1"/>
  <c r="M265" i="36"/>
  <c r="F265" i="36"/>
  <c r="AT264" i="36"/>
  <c r="AP264" i="36"/>
  <c r="AH264" i="36"/>
  <c r="AA264" i="36"/>
  <c r="V264" i="36"/>
  <c r="S264" i="36"/>
  <c r="T264" i="36" s="1"/>
  <c r="W264" i="36" s="1"/>
  <c r="M264" i="36"/>
  <c r="F264" i="36"/>
  <c r="AT263" i="36"/>
  <c r="AP263" i="36"/>
  <c r="AH263" i="36"/>
  <c r="AA263" i="36"/>
  <c r="V263" i="36"/>
  <c r="S263" i="36"/>
  <c r="T263" i="36" s="1"/>
  <c r="W263" i="36" s="1"/>
  <c r="M263" i="36"/>
  <c r="F263" i="36"/>
  <c r="AT262" i="36"/>
  <c r="AP262" i="36"/>
  <c r="AH262" i="36"/>
  <c r="AA262" i="36"/>
  <c r="V262" i="36"/>
  <c r="S262" i="36"/>
  <c r="T262" i="36" s="1"/>
  <c r="W262" i="36" s="1"/>
  <c r="M262" i="36"/>
  <c r="F262" i="36"/>
  <c r="AT261" i="36"/>
  <c r="AP261" i="36"/>
  <c r="AH261" i="36"/>
  <c r="AA261" i="36"/>
  <c r="V261" i="36"/>
  <c r="S261" i="36"/>
  <c r="T261" i="36" s="1"/>
  <c r="W261" i="36" s="1"/>
  <c r="M261" i="36"/>
  <c r="F261" i="36"/>
  <c r="AT260" i="36"/>
  <c r="AP260" i="36"/>
  <c r="AH260" i="36"/>
  <c r="AA260" i="36"/>
  <c r="V260" i="36"/>
  <c r="S260" i="36"/>
  <c r="T260" i="36" s="1"/>
  <c r="W260" i="36" s="1"/>
  <c r="M260" i="36"/>
  <c r="F260" i="36"/>
  <c r="AT259" i="36"/>
  <c r="AP259" i="36"/>
  <c r="AH259" i="36"/>
  <c r="AA259" i="36"/>
  <c r="V259" i="36"/>
  <c r="S259" i="36"/>
  <c r="T259" i="36" s="1"/>
  <c r="W259" i="36" s="1"/>
  <c r="M259" i="36"/>
  <c r="F259" i="36"/>
  <c r="AT258" i="36"/>
  <c r="AP258" i="36"/>
  <c r="AH258" i="36"/>
  <c r="AA258" i="36"/>
  <c r="V258" i="36"/>
  <c r="S258" i="36"/>
  <c r="T258" i="36" s="1"/>
  <c r="W258" i="36" s="1"/>
  <c r="M258" i="36"/>
  <c r="F258" i="36"/>
  <c r="AT257" i="36"/>
  <c r="AP257" i="36"/>
  <c r="AH257" i="36"/>
  <c r="AA257" i="36"/>
  <c r="V257" i="36"/>
  <c r="S257" i="36"/>
  <c r="T257" i="36" s="1"/>
  <c r="W257" i="36" s="1"/>
  <c r="M257" i="36"/>
  <c r="F257" i="36"/>
  <c r="AT256" i="36"/>
  <c r="AP256" i="36"/>
  <c r="AH256" i="36"/>
  <c r="AA256" i="36"/>
  <c r="V256" i="36"/>
  <c r="S256" i="36"/>
  <c r="T256" i="36" s="1"/>
  <c r="W256" i="36" s="1"/>
  <c r="M256" i="36"/>
  <c r="F256" i="36"/>
  <c r="AT255" i="36"/>
  <c r="AP255" i="36"/>
  <c r="AH255" i="36"/>
  <c r="AA255" i="36"/>
  <c r="V255" i="36"/>
  <c r="S255" i="36"/>
  <c r="T255" i="36" s="1"/>
  <c r="W255" i="36" s="1"/>
  <c r="M255" i="36"/>
  <c r="F255" i="36"/>
  <c r="AT254" i="36"/>
  <c r="AP254" i="36"/>
  <c r="AH254" i="36"/>
  <c r="AA254" i="36"/>
  <c r="V254" i="36"/>
  <c r="S254" i="36"/>
  <c r="T254" i="36" s="1"/>
  <c r="W254" i="36" s="1"/>
  <c r="M254" i="36"/>
  <c r="F254" i="36"/>
  <c r="AT253" i="36"/>
  <c r="AP253" i="36"/>
  <c r="AH253" i="36"/>
  <c r="AA253" i="36"/>
  <c r="V253" i="36"/>
  <c r="S253" i="36"/>
  <c r="T253" i="36" s="1"/>
  <c r="W253" i="36" s="1"/>
  <c r="M253" i="36"/>
  <c r="F253" i="36"/>
  <c r="AT252" i="36"/>
  <c r="AP252" i="36"/>
  <c r="AH252" i="36"/>
  <c r="AA252" i="36"/>
  <c r="V252" i="36"/>
  <c r="S252" i="36"/>
  <c r="T252" i="36" s="1"/>
  <c r="W252" i="36" s="1"/>
  <c r="M252" i="36"/>
  <c r="F252" i="36"/>
  <c r="AT251" i="36"/>
  <c r="AP251" i="36"/>
  <c r="AH251" i="36"/>
  <c r="AA251" i="36"/>
  <c r="V251" i="36"/>
  <c r="S251" i="36"/>
  <c r="T251" i="36" s="1"/>
  <c r="W251" i="36" s="1"/>
  <c r="M251" i="36"/>
  <c r="F251" i="36"/>
  <c r="AT250" i="36"/>
  <c r="AP250" i="36"/>
  <c r="AH250" i="36"/>
  <c r="AA250" i="36"/>
  <c r="V250" i="36"/>
  <c r="S250" i="36"/>
  <c r="T250" i="36" s="1"/>
  <c r="W250" i="36" s="1"/>
  <c r="M250" i="36"/>
  <c r="F250" i="36"/>
  <c r="AT249" i="36"/>
  <c r="AP249" i="36"/>
  <c r="AH249" i="36"/>
  <c r="AA249" i="36"/>
  <c r="V249" i="36"/>
  <c r="S249" i="36"/>
  <c r="T249" i="36" s="1"/>
  <c r="W249" i="36" s="1"/>
  <c r="M249" i="36"/>
  <c r="F249" i="36"/>
  <c r="AT248" i="36"/>
  <c r="AP248" i="36"/>
  <c r="AH248" i="36"/>
  <c r="AA248" i="36"/>
  <c r="V248" i="36"/>
  <c r="S248" i="36"/>
  <c r="T248" i="36" s="1"/>
  <c r="W248" i="36" s="1"/>
  <c r="M248" i="36"/>
  <c r="F248" i="36"/>
  <c r="AT247" i="36"/>
  <c r="AP247" i="36"/>
  <c r="AH247" i="36"/>
  <c r="AA247" i="36"/>
  <c r="V247" i="36"/>
  <c r="S247" i="36"/>
  <c r="T247" i="36" s="1"/>
  <c r="W247" i="36" s="1"/>
  <c r="M247" i="36"/>
  <c r="F247" i="36"/>
  <c r="AT246" i="36"/>
  <c r="AP246" i="36"/>
  <c r="AH246" i="36"/>
  <c r="AA246" i="36"/>
  <c r="V246" i="36"/>
  <c r="S246" i="36"/>
  <c r="T246" i="36" s="1"/>
  <c r="W246" i="36" s="1"/>
  <c r="M246" i="36"/>
  <c r="F246" i="36"/>
  <c r="AT245" i="36"/>
  <c r="AP245" i="36"/>
  <c r="AH245" i="36"/>
  <c r="AA245" i="36"/>
  <c r="V245" i="36"/>
  <c r="S245" i="36"/>
  <c r="T245" i="36" s="1"/>
  <c r="W245" i="36" s="1"/>
  <c r="M245" i="36"/>
  <c r="F245" i="36"/>
  <c r="AT244" i="36"/>
  <c r="AP244" i="36"/>
  <c r="AH244" i="36"/>
  <c r="AA244" i="36"/>
  <c r="V244" i="36"/>
  <c r="S244" i="36"/>
  <c r="T244" i="36" s="1"/>
  <c r="W244" i="36" s="1"/>
  <c r="M244" i="36"/>
  <c r="F244" i="36"/>
  <c r="AT243" i="36"/>
  <c r="AP243" i="36"/>
  <c r="AH243" i="36"/>
  <c r="AA243" i="36"/>
  <c r="V243" i="36"/>
  <c r="S243" i="36"/>
  <c r="T243" i="36" s="1"/>
  <c r="W243" i="36" s="1"/>
  <c r="M243" i="36"/>
  <c r="F243" i="36"/>
  <c r="AT242" i="36"/>
  <c r="AP242" i="36"/>
  <c r="AH242" i="36"/>
  <c r="AA242" i="36"/>
  <c r="V242" i="36"/>
  <c r="S242" i="36"/>
  <c r="T242" i="36" s="1"/>
  <c r="W242" i="36" s="1"/>
  <c r="M242" i="36"/>
  <c r="F242" i="36"/>
  <c r="AT241" i="36"/>
  <c r="AP241" i="36"/>
  <c r="AH241" i="36"/>
  <c r="AA241" i="36"/>
  <c r="V241" i="36"/>
  <c r="S241" i="36"/>
  <c r="T241" i="36" s="1"/>
  <c r="W241" i="36" s="1"/>
  <c r="M241" i="36"/>
  <c r="F241" i="36"/>
  <c r="AT240" i="36"/>
  <c r="AP240" i="36"/>
  <c r="AH240" i="36"/>
  <c r="AA240" i="36"/>
  <c r="V240" i="36"/>
  <c r="S240" i="36"/>
  <c r="T240" i="36" s="1"/>
  <c r="W240" i="36" s="1"/>
  <c r="M240" i="36"/>
  <c r="F240" i="36"/>
  <c r="AT239" i="36"/>
  <c r="AP239" i="36"/>
  <c r="AH239" i="36"/>
  <c r="AA239" i="36"/>
  <c r="V239" i="36"/>
  <c r="S239" i="36"/>
  <c r="T239" i="36" s="1"/>
  <c r="W239" i="36" s="1"/>
  <c r="M239" i="36"/>
  <c r="F239" i="36"/>
  <c r="AT238" i="36"/>
  <c r="AP238" i="36"/>
  <c r="AH238" i="36"/>
  <c r="AA238" i="36"/>
  <c r="V238" i="36"/>
  <c r="S238" i="36"/>
  <c r="T238" i="36" s="1"/>
  <c r="W238" i="36" s="1"/>
  <c r="M238" i="36"/>
  <c r="F238" i="36"/>
  <c r="AT237" i="36"/>
  <c r="AP237" i="36"/>
  <c r="AH237" i="36"/>
  <c r="AA237" i="36"/>
  <c r="V237" i="36"/>
  <c r="S237" i="36"/>
  <c r="T237" i="36" s="1"/>
  <c r="W237" i="36" s="1"/>
  <c r="M237" i="36"/>
  <c r="F237" i="36"/>
  <c r="AT236" i="36"/>
  <c r="AP236" i="36"/>
  <c r="AH236" i="36"/>
  <c r="AA236" i="36"/>
  <c r="V236" i="36"/>
  <c r="S236" i="36"/>
  <c r="T236" i="36" s="1"/>
  <c r="W236" i="36" s="1"/>
  <c r="M236" i="36"/>
  <c r="F236" i="36"/>
  <c r="AT235" i="36"/>
  <c r="AP235" i="36"/>
  <c r="AH235" i="36"/>
  <c r="AA235" i="36"/>
  <c r="V235" i="36"/>
  <c r="S235" i="36"/>
  <c r="T235" i="36" s="1"/>
  <c r="W235" i="36" s="1"/>
  <c r="M235" i="36"/>
  <c r="F235" i="36"/>
  <c r="AT234" i="36"/>
  <c r="AP234" i="36"/>
  <c r="AH234" i="36"/>
  <c r="AA234" i="36"/>
  <c r="V234" i="36"/>
  <c r="S234" i="36"/>
  <c r="T234" i="36" s="1"/>
  <c r="W234" i="36" s="1"/>
  <c r="M234" i="36"/>
  <c r="F234" i="36"/>
  <c r="AT233" i="36"/>
  <c r="AP233" i="36"/>
  <c r="AH233" i="36"/>
  <c r="AA233" i="36"/>
  <c r="V233" i="36"/>
  <c r="S233" i="36"/>
  <c r="T233" i="36" s="1"/>
  <c r="W233" i="36" s="1"/>
  <c r="M233" i="36"/>
  <c r="F233" i="36"/>
  <c r="AT232" i="36"/>
  <c r="AP232" i="36"/>
  <c r="AH232" i="36"/>
  <c r="AA232" i="36"/>
  <c r="V232" i="36"/>
  <c r="S232" i="36"/>
  <c r="T232" i="36" s="1"/>
  <c r="W232" i="36" s="1"/>
  <c r="M232" i="36"/>
  <c r="F232" i="36"/>
  <c r="AT231" i="36"/>
  <c r="AP231" i="36"/>
  <c r="AH231" i="36"/>
  <c r="AA231" i="36"/>
  <c r="V231" i="36"/>
  <c r="S231" i="36"/>
  <c r="T231" i="36" s="1"/>
  <c r="W231" i="36" s="1"/>
  <c r="M231" i="36"/>
  <c r="F231" i="36"/>
  <c r="AT230" i="36"/>
  <c r="AP230" i="36"/>
  <c r="AH230" i="36"/>
  <c r="AA230" i="36"/>
  <c r="V230" i="36"/>
  <c r="S230" i="36"/>
  <c r="T230" i="36" s="1"/>
  <c r="W230" i="36" s="1"/>
  <c r="M230" i="36"/>
  <c r="F230" i="36"/>
  <c r="AT229" i="36"/>
  <c r="AP229" i="36"/>
  <c r="AH229" i="36"/>
  <c r="AA229" i="36"/>
  <c r="V229" i="36"/>
  <c r="S229" i="36"/>
  <c r="T229" i="36" s="1"/>
  <c r="W229" i="36" s="1"/>
  <c r="M229" i="36"/>
  <c r="F229" i="36"/>
  <c r="AT228" i="36"/>
  <c r="AP228" i="36"/>
  <c r="AH228" i="36"/>
  <c r="AA228" i="36"/>
  <c r="V228" i="36"/>
  <c r="S228" i="36"/>
  <c r="T228" i="36" s="1"/>
  <c r="W228" i="36" s="1"/>
  <c r="M228" i="36"/>
  <c r="F228" i="36"/>
  <c r="AT227" i="36"/>
  <c r="AP227" i="36"/>
  <c r="AH227" i="36"/>
  <c r="AA227" i="36"/>
  <c r="V227" i="36"/>
  <c r="S227" i="36"/>
  <c r="T227" i="36" s="1"/>
  <c r="W227" i="36" s="1"/>
  <c r="M227" i="36"/>
  <c r="F227" i="36"/>
  <c r="AT226" i="36"/>
  <c r="AP226" i="36"/>
  <c r="AH226" i="36"/>
  <c r="AA226" i="36"/>
  <c r="V226" i="36"/>
  <c r="S226" i="36"/>
  <c r="T226" i="36" s="1"/>
  <c r="W226" i="36" s="1"/>
  <c r="M226" i="36"/>
  <c r="F226" i="36"/>
  <c r="AT225" i="36"/>
  <c r="AP225" i="36"/>
  <c r="AH225" i="36"/>
  <c r="AA225" i="36"/>
  <c r="V225" i="36"/>
  <c r="S225" i="36"/>
  <c r="T225" i="36" s="1"/>
  <c r="W225" i="36" s="1"/>
  <c r="M225" i="36"/>
  <c r="F225" i="36"/>
  <c r="AT224" i="36"/>
  <c r="AP224" i="36"/>
  <c r="AH224" i="36"/>
  <c r="AA224" i="36"/>
  <c r="V224" i="36"/>
  <c r="S224" i="36"/>
  <c r="T224" i="36" s="1"/>
  <c r="W224" i="36" s="1"/>
  <c r="M224" i="36"/>
  <c r="F224" i="36"/>
  <c r="AT223" i="36"/>
  <c r="AP223" i="36"/>
  <c r="AH223" i="36"/>
  <c r="AA223" i="36"/>
  <c r="V223" i="36"/>
  <c r="S223" i="36"/>
  <c r="T223" i="36" s="1"/>
  <c r="W223" i="36" s="1"/>
  <c r="M223" i="36"/>
  <c r="F223" i="36"/>
  <c r="AT222" i="36"/>
  <c r="AP222" i="36"/>
  <c r="AH222" i="36"/>
  <c r="AA222" i="36"/>
  <c r="V222" i="36"/>
  <c r="S222" i="36"/>
  <c r="T222" i="36" s="1"/>
  <c r="W222" i="36" s="1"/>
  <c r="M222" i="36"/>
  <c r="F222" i="36"/>
  <c r="AT221" i="36"/>
  <c r="AP221" i="36"/>
  <c r="AH221" i="36"/>
  <c r="AA221" i="36"/>
  <c r="V221" i="36"/>
  <c r="S221" i="36"/>
  <c r="T221" i="36" s="1"/>
  <c r="W221" i="36" s="1"/>
  <c r="M221" i="36"/>
  <c r="F221" i="36"/>
  <c r="AT220" i="36"/>
  <c r="AP220" i="36"/>
  <c r="AH220" i="36"/>
  <c r="AA220" i="36"/>
  <c r="V220" i="36"/>
  <c r="S220" i="36"/>
  <c r="T220" i="36" s="1"/>
  <c r="W220" i="36" s="1"/>
  <c r="M220" i="36"/>
  <c r="F220" i="36"/>
  <c r="AT219" i="36"/>
  <c r="AP219" i="36"/>
  <c r="AH219" i="36"/>
  <c r="AA219" i="36"/>
  <c r="V219" i="36"/>
  <c r="S219" i="36"/>
  <c r="T219" i="36" s="1"/>
  <c r="W219" i="36" s="1"/>
  <c r="M219" i="36"/>
  <c r="F219" i="36"/>
  <c r="AT218" i="36"/>
  <c r="AP218" i="36"/>
  <c r="AH218" i="36"/>
  <c r="AA218" i="36"/>
  <c r="V218" i="36"/>
  <c r="S218" i="36"/>
  <c r="T218" i="36" s="1"/>
  <c r="W218" i="36" s="1"/>
  <c r="M218" i="36"/>
  <c r="F218" i="36"/>
  <c r="AT217" i="36"/>
  <c r="AP217" i="36"/>
  <c r="AH217" i="36"/>
  <c r="AA217" i="36"/>
  <c r="V217" i="36"/>
  <c r="S217" i="36"/>
  <c r="T217" i="36" s="1"/>
  <c r="W217" i="36" s="1"/>
  <c r="M217" i="36"/>
  <c r="F217" i="36"/>
  <c r="AT216" i="36"/>
  <c r="AP216" i="36"/>
  <c r="AH216" i="36"/>
  <c r="AA216" i="36"/>
  <c r="V216" i="36"/>
  <c r="S216" i="36"/>
  <c r="T216" i="36" s="1"/>
  <c r="W216" i="36" s="1"/>
  <c r="M216" i="36"/>
  <c r="F216" i="36"/>
  <c r="AT215" i="36"/>
  <c r="AP215" i="36"/>
  <c r="AH215" i="36"/>
  <c r="AA215" i="36"/>
  <c r="V215" i="36"/>
  <c r="S215" i="36"/>
  <c r="T215" i="36" s="1"/>
  <c r="W215" i="36" s="1"/>
  <c r="M215" i="36"/>
  <c r="F215" i="36"/>
  <c r="AT214" i="36"/>
  <c r="AP214" i="36"/>
  <c r="AH214" i="36"/>
  <c r="AA214" i="36"/>
  <c r="V214" i="36"/>
  <c r="S214" i="36"/>
  <c r="T214" i="36" s="1"/>
  <c r="W214" i="36" s="1"/>
  <c r="M214" i="36"/>
  <c r="F214" i="36"/>
  <c r="AT213" i="36"/>
  <c r="AP213" i="36"/>
  <c r="AH213" i="36"/>
  <c r="AA213" i="36"/>
  <c r="V213" i="36"/>
  <c r="S213" i="36"/>
  <c r="T213" i="36" s="1"/>
  <c r="W213" i="36" s="1"/>
  <c r="M213" i="36"/>
  <c r="F213" i="36"/>
  <c r="AT212" i="36"/>
  <c r="AP212" i="36"/>
  <c r="AH212" i="36"/>
  <c r="AA212" i="36"/>
  <c r="V212" i="36"/>
  <c r="S212" i="36"/>
  <c r="T212" i="36" s="1"/>
  <c r="W212" i="36" s="1"/>
  <c r="M212" i="36"/>
  <c r="F212" i="36"/>
  <c r="AT211" i="36"/>
  <c r="AP211" i="36"/>
  <c r="AH211" i="36"/>
  <c r="AA211" i="36"/>
  <c r="V211" i="36"/>
  <c r="S211" i="36"/>
  <c r="T211" i="36" s="1"/>
  <c r="W211" i="36" s="1"/>
  <c r="M211" i="36"/>
  <c r="F211" i="36"/>
  <c r="AT210" i="36"/>
  <c r="AP210" i="36"/>
  <c r="AH210" i="36"/>
  <c r="AA210" i="36"/>
  <c r="V210" i="36"/>
  <c r="S210" i="36"/>
  <c r="T210" i="36" s="1"/>
  <c r="W210" i="36" s="1"/>
  <c r="M210" i="36"/>
  <c r="F210" i="36"/>
  <c r="AT209" i="36"/>
  <c r="AP209" i="36"/>
  <c r="AH209" i="36"/>
  <c r="AA209" i="36"/>
  <c r="V209" i="36"/>
  <c r="S209" i="36"/>
  <c r="T209" i="36" s="1"/>
  <c r="W209" i="36" s="1"/>
  <c r="M209" i="36"/>
  <c r="F209" i="36"/>
  <c r="AT208" i="36"/>
  <c r="AP208" i="36"/>
  <c r="AH208" i="36"/>
  <c r="AA208" i="36"/>
  <c r="V208" i="36"/>
  <c r="S208" i="36"/>
  <c r="T208" i="36" s="1"/>
  <c r="W208" i="36" s="1"/>
  <c r="M208" i="36"/>
  <c r="F208" i="36"/>
  <c r="AT207" i="36"/>
  <c r="AP207" i="36"/>
  <c r="AH207" i="36"/>
  <c r="AA207" i="36"/>
  <c r="V207" i="36"/>
  <c r="S207" i="36"/>
  <c r="T207" i="36" s="1"/>
  <c r="W207" i="36" s="1"/>
  <c r="M207" i="36"/>
  <c r="F207" i="36"/>
  <c r="AT206" i="36"/>
  <c r="AP206" i="36"/>
  <c r="AH206" i="36"/>
  <c r="AA206" i="36"/>
  <c r="V206" i="36"/>
  <c r="S206" i="36"/>
  <c r="T206" i="36" s="1"/>
  <c r="W206" i="36" s="1"/>
  <c r="M206" i="36"/>
  <c r="F206" i="36"/>
  <c r="AT205" i="36"/>
  <c r="AP205" i="36"/>
  <c r="AH205" i="36"/>
  <c r="AA205" i="36"/>
  <c r="V205" i="36"/>
  <c r="S205" i="36"/>
  <c r="T205" i="36" s="1"/>
  <c r="W205" i="36" s="1"/>
  <c r="M205" i="36"/>
  <c r="F205" i="36"/>
  <c r="AT204" i="36"/>
  <c r="AP204" i="36"/>
  <c r="AH204" i="36"/>
  <c r="AA204" i="36"/>
  <c r="V204" i="36"/>
  <c r="S204" i="36"/>
  <c r="T204" i="36" s="1"/>
  <c r="W204" i="36" s="1"/>
  <c r="M204" i="36"/>
  <c r="F204" i="36"/>
  <c r="AT203" i="36"/>
  <c r="AP203" i="36"/>
  <c r="AH203" i="36"/>
  <c r="AA203" i="36"/>
  <c r="V203" i="36"/>
  <c r="S203" i="36"/>
  <c r="T203" i="36" s="1"/>
  <c r="W203" i="36" s="1"/>
  <c r="M203" i="36"/>
  <c r="F203" i="36"/>
  <c r="AT202" i="36"/>
  <c r="AP202" i="36"/>
  <c r="AH202" i="36"/>
  <c r="AA202" i="36"/>
  <c r="V202" i="36"/>
  <c r="S202" i="36"/>
  <c r="T202" i="36" s="1"/>
  <c r="W202" i="36" s="1"/>
  <c r="M202" i="36"/>
  <c r="F202" i="36"/>
  <c r="AT201" i="36"/>
  <c r="AP201" i="36"/>
  <c r="AH201" i="36"/>
  <c r="AA201" i="36"/>
  <c r="V201" i="36"/>
  <c r="S201" i="36"/>
  <c r="T201" i="36" s="1"/>
  <c r="W201" i="36" s="1"/>
  <c r="M201" i="36"/>
  <c r="F201" i="36"/>
  <c r="AT200" i="36"/>
  <c r="AP200" i="36"/>
  <c r="AH200" i="36"/>
  <c r="AA200" i="36"/>
  <c r="V200" i="36"/>
  <c r="S200" i="36"/>
  <c r="T200" i="36" s="1"/>
  <c r="W200" i="36" s="1"/>
  <c r="M200" i="36"/>
  <c r="F200" i="36"/>
  <c r="AT199" i="36"/>
  <c r="AP199" i="36"/>
  <c r="AH199" i="36"/>
  <c r="AA199" i="36"/>
  <c r="V199" i="36"/>
  <c r="S199" i="36"/>
  <c r="T199" i="36" s="1"/>
  <c r="W199" i="36" s="1"/>
  <c r="M199" i="36"/>
  <c r="F199" i="36"/>
  <c r="AT198" i="36"/>
  <c r="AP198" i="36"/>
  <c r="AH198" i="36"/>
  <c r="AA198" i="36"/>
  <c r="V198" i="36"/>
  <c r="S198" i="36"/>
  <c r="T198" i="36" s="1"/>
  <c r="W198" i="36" s="1"/>
  <c r="M198" i="36"/>
  <c r="F198" i="36"/>
  <c r="AT197" i="36"/>
  <c r="AP197" i="36"/>
  <c r="AH197" i="36"/>
  <c r="AA197" i="36"/>
  <c r="V197" i="36"/>
  <c r="S197" i="36"/>
  <c r="T197" i="36" s="1"/>
  <c r="W197" i="36" s="1"/>
  <c r="M197" i="36"/>
  <c r="F197" i="36"/>
  <c r="AT196" i="36"/>
  <c r="AP196" i="36"/>
  <c r="AH196" i="36"/>
  <c r="AA196" i="36"/>
  <c r="V196" i="36"/>
  <c r="S196" i="36"/>
  <c r="T196" i="36" s="1"/>
  <c r="W196" i="36" s="1"/>
  <c r="M196" i="36"/>
  <c r="F196" i="36"/>
  <c r="AT195" i="36"/>
  <c r="AP195" i="36"/>
  <c r="AH195" i="36"/>
  <c r="AA195" i="36"/>
  <c r="V195" i="36"/>
  <c r="S195" i="36"/>
  <c r="T195" i="36" s="1"/>
  <c r="W195" i="36" s="1"/>
  <c r="M195" i="36"/>
  <c r="F195" i="36"/>
  <c r="AT194" i="36"/>
  <c r="AP194" i="36"/>
  <c r="AH194" i="36"/>
  <c r="AA194" i="36"/>
  <c r="V194" i="36"/>
  <c r="S194" i="36"/>
  <c r="T194" i="36" s="1"/>
  <c r="W194" i="36" s="1"/>
  <c r="M194" i="36"/>
  <c r="F194" i="36"/>
  <c r="AT193" i="36"/>
  <c r="AP193" i="36"/>
  <c r="AH193" i="36"/>
  <c r="AA193" i="36"/>
  <c r="V193" i="36"/>
  <c r="S193" i="36"/>
  <c r="T193" i="36" s="1"/>
  <c r="W193" i="36" s="1"/>
  <c r="M193" i="36"/>
  <c r="F193" i="36"/>
  <c r="AT192" i="36"/>
  <c r="AP192" i="36"/>
  <c r="AH192" i="36"/>
  <c r="AA192" i="36"/>
  <c r="V192" i="36"/>
  <c r="S192" i="36"/>
  <c r="T192" i="36" s="1"/>
  <c r="W192" i="36" s="1"/>
  <c r="O192" i="36"/>
  <c r="M192" i="36"/>
  <c r="F192" i="36"/>
  <c r="AT191" i="36"/>
  <c r="AP191" i="36"/>
  <c r="AH191" i="36"/>
  <c r="AA191" i="36"/>
  <c r="V191" i="36"/>
  <c r="S191" i="36"/>
  <c r="T191" i="36" s="1"/>
  <c r="W191" i="36" s="1"/>
  <c r="M191" i="36"/>
  <c r="F191" i="36"/>
  <c r="AT190" i="36"/>
  <c r="AP190" i="36"/>
  <c r="AH190" i="36"/>
  <c r="AA190" i="36"/>
  <c r="V190" i="36"/>
  <c r="S190" i="36"/>
  <c r="T190" i="36" s="1"/>
  <c r="W190" i="36" s="1"/>
  <c r="M190" i="36"/>
  <c r="F190" i="36"/>
  <c r="AT189" i="36"/>
  <c r="AP189" i="36"/>
  <c r="AH189" i="36"/>
  <c r="AA189" i="36"/>
  <c r="V189" i="36"/>
  <c r="T189" i="36"/>
  <c r="W189" i="36" s="1"/>
  <c r="S189" i="36"/>
  <c r="M189" i="36"/>
  <c r="F189" i="36"/>
  <c r="AT188" i="36"/>
  <c r="AP188" i="36"/>
  <c r="AH188" i="36"/>
  <c r="V188" i="36"/>
  <c r="S188" i="36"/>
  <c r="T188" i="36" s="1"/>
  <c r="W188" i="36" s="1"/>
  <c r="M188" i="36"/>
  <c r="F188" i="36"/>
  <c r="AT187" i="36"/>
  <c r="AP187" i="36"/>
  <c r="AH187" i="36"/>
  <c r="AA187" i="36"/>
  <c r="V187" i="36"/>
  <c r="S187" i="36"/>
  <c r="T187" i="36" s="1"/>
  <c r="W187" i="36" s="1"/>
  <c r="M187" i="36"/>
  <c r="F187" i="36"/>
  <c r="AT186" i="36"/>
  <c r="AP186" i="36"/>
  <c r="AH186" i="36"/>
  <c r="V186" i="36"/>
  <c r="T186" i="36"/>
  <c r="W186" i="36" s="1"/>
  <c r="S186" i="36"/>
  <c r="M186" i="36"/>
  <c r="F186" i="36"/>
  <c r="AT185" i="36"/>
  <c r="AP185" i="36"/>
  <c r="AH185" i="36"/>
  <c r="V185" i="36"/>
  <c r="S185" i="36"/>
  <c r="T185" i="36" s="1"/>
  <c r="W185" i="36" s="1"/>
  <c r="M185" i="36"/>
  <c r="F185" i="36"/>
  <c r="AT184" i="36"/>
  <c r="AP184" i="36"/>
  <c r="AH184" i="36"/>
  <c r="V184" i="36"/>
  <c r="S184" i="36"/>
  <c r="T184" i="36" s="1"/>
  <c r="W184" i="36" s="1"/>
  <c r="M184" i="36"/>
  <c r="F184" i="36"/>
  <c r="AT183" i="36"/>
  <c r="AP183" i="36"/>
  <c r="AH183" i="36"/>
  <c r="V183" i="36"/>
  <c r="S183" i="36"/>
  <c r="T183" i="36" s="1"/>
  <c r="W183" i="36" s="1"/>
  <c r="M183" i="36"/>
  <c r="F183" i="36"/>
  <c r="AT182" i="36"/>
  <c r="AP182" i="36"/>
  <c r="AH182" i="36"/>
  <c r="V182" i="36"/>
  <c r="S182" i="36"/>
  <c r="T182" i="36" s="1"/>
  <c r="W182" i="36" s="1"/>
  <c r="M182" i="36"/>
  <c r="F182" i="36"/>
  <c r="AT181" i="36"/>
  <c r="AP181" i="36"/>
  <c r="AH181" i="36"/>
  <c r="V181" i="36"/>
  <c r="S181" i="36"/>
  <c r="T181" i="36" s="1"/>
  <c r="W181" i="36" s="1"/>
  <c r="M181" i="36"/>
  <c r="F181" i="36"/>
  <c r="AT180" i="36"/>
  <c r="AP180" i="36"/>
  <c r="AH180" i="36"/>
  <c r="V180" i="36"/>
  <c r="S180" i="36"/>
  <c r="T180" i="36" s="1"/>
  <c r="W180" i="36" s="1"/>
  <c r="M180" i="36"/>
  <c r="F180" i="36"/>
  <c r="AT179" i="36"/>
  <c r="AP179" i="36"/>
  <c r="AH179" i="36"/>
  <c r="V179" i="36"/>
  <c r="S179" i="36"/>
  <c r="T179" i="36" s="1"/>
  <c r="W179" i="36" s="1"/>
  <c r="M179" i="36"/>
  <c r="F179" i="36"/>
  <c r="AT178" i="36"/>
  <c r="V178" i="36"/>
  <c r="S178" i="36"/>
  <c r="T178" i="36" s="1"/>
  <c r="W178" i="36" s="1"/>
  <c r="M178" i="36"/>
  <c r="F178" i="36"/>
  <c r="AT177" i="36"/>
  <c r="AP177" i="36"/>
  <c r="AH177" i="36"/>
  <c r="V177" i="36"/>
  <c r="S177" i="36"/>
  <c r="T177" i="36" s="1"/>
  <c r="W177" i="36" s="1"/>
  <c r="M177" i="36"/>
  <c r="F177" i="36"/>
  <c r="AT176" i="36"/>
  <c r="AP176" i="36"/>
  <c r="AH176" i="36"/>
  <c r="V176" i="36"/>
  <c r="T176" i="36"/>
  <c r="W176" i="36" s="1"/>
  <c r="S176" i="36"/>
  <c r="M176" i="36"/>
  <c r="AT175" i="36"/>
  <c r="AP175" i="36"/>
  <c r="AH175" i="36"/>
  <c r="V175" i="36"/>
  <c r="S175" i="36"/>
  <c r="T175" i="36" s="1"/>
  <c r="W175" i="36" s="1"/>
  <c r="M175" i="36"/>
  <c r="AT174" i="36"/>
  <c r="AP174" i="36"/>
  <c r="AH174" i="36"/>
  <c r="V174" i="36"/>
  <c r="S174" i="36"/>
  <c r="T174" i="36" s="1"/>
  <c r="W174" i="36" s="1"/>
  <c r="M174" i="36"/>
  <c r="AT173" i="36"/>
  <c r="AP173" i="36"/>
  <c r="AH173" i="36"/>
  <c r="V173" i="36"/>
  <c r="S173" i="36"/>
  <c r="T173" i="36" s="1"/>
  <c r="W173" i="36" s="1"/>
  <c r="M173" i="36"/>
  <c r="AT172" i="36"/>
  <c r="AP172" i="36"/>
  <c r="AH172" i="36"/>
  <c r="V172" i="36"/>
  <c r="S172" i="36"/>
  <c r="T172" i="36" s="1"/>
  <c r="W172" i="36" s="1"/>
  <c r="M172" i="36"/>
  <c r="F172" i="36"/>
  <c r="AT171" i="36"/>
  <c r="AP171" i="36"/>
  <c r="AH171" i="36"/>
  <c r="V171" i="36"/>
  <c r="S171" i="36"/>
  <c r="T171" i="36" s="1"/>
  <c r="W171" i="36" s="1"/>
  <c r="M171" i="36"/>
  <c r="AT170" i="36"/>
  <c r="AP170" i="36"/>
  <c r="AH170" i="36"/>
  <c r="V170" i="36"/>
  <c r="S170" i="36"/>
  <c r="T170" i="36" s="1"/>
  <c r="W170" i="36" s="1"/>
  <c r="M170" i="36"/>
  <c r="F170" i="36"/>
  <c r="AT169" i="36"/>
  <c r="AP169" i="36"/>
  <c r="AH169" i="36"/>
  <c r="V169" i="36"/>
  <c r="S169" i="36"/>
  <c r="T169" i="36" s="1"/>
  <c r="W169" i="36" s="1"/>
  <c r="M169" i="36"/>
  <c r="AT168" i="36"/>
  <c r="AP168" i="36"/>
  <c r="AH168" i="36"/>
  <c r="V168" i="36"/>
  <c r="S168" i="36"/>
  <c r="T168" i="36" s="1"/>
  <c r="W168" i="36" s="1"/>
  <c r="M168" i="36"/>
  <c r="AT167" i="36"/>
  <c r="AP167" i="36"/>
  <c r="AH167" i="36"/>
  <c r="V167" i="36"/>
  <c r="S167" i="36"/>
  <c r="T167" i="36" s="1"/>
  <c r="W167" i="36" s="1"/>
  <c r="M167" i="36"/>
  <c r="F167" i="36"/>
  <c r="AT166" i="36"/>
  <c r="AP166" i="36"/>
  <c r="AH166" i="36"/>
  <c r="V166" i="36"/>
  <c r="S166" i="36"/>
  <c r="T166" i="36" s="1"/>
  <c r="W166" i="36" s="1"/>
  <c r="M166" i="36"/>
  <c r="F166" i="36"/>
  <c r="AT165" i="36"/>
  <c r="AP165" i="36"/>
  <c r="AH165" i="36"/>
  <c r="V165" i="36"/>
  <c r="T165" i="36"/>
  <c r="W165" i="36" s="1"/>
  <c r="M165" i="36"/>
  <c r="AT164" i="36"/>
  <c r="AP164" i="36"/>
  <c r="AH164" i="36"/>
  <c r="S164" i="36"/>
  <c r="T164" i="36" s="1"/>
  <c r="W164" i="36" s="1"/>
  <c r="AT163" i="36"/>
  <c r="AP163" i="36"/>
  <c r="V163" i="36"/>
  <c r="S163" i="36"/>
  <c r="T163" i="36" s="1"/>
  <c r="W163" i="36" s="1"/>
  <c r="M163" i="36"/>
  <c r="AT162" i="36"/>
  <c r="AP162" i="36"/>
  <c r="AH162" i="36"/>
  <c r="V162" i="36"/>
  <c r="S162" i="36"/>
  <c r="T162" i="36" s="1"/>
  <c r="W162" i="36" s="1"/>
  <c r="M162" i="36"/>
  <c r="AT161" i="36"/>
  <c r="AP161" i="36"/>
  <c r="AH161" i="36"/>
  <c r="S161" i="36"/>
  <c r="T161" i="36" s="1"/>
  <c r="W161" i="36" s="1"/>
  <c r="M161" i="36"/>
  <c r="F161" i="36"/>
  <c r="AT160" i="36"/>
  <c r="AP160" i="36"/>
  <c r="AH160" i="36"/>
  <c r="V160" i="36"/>
  <c r="S160" i="36"/>
  <c r="T160" i="36" s="1"/>
  <c r="W160" i="36" s="1"/>
  <c r="M160" i="36"/>
  <c r="AT159" i="36"/>
  <c r="AH159" i="36"/>
  <c r="V159" i="36"/>
  <c r="S159" i="36"/>
  <c r="T159" i="36" s="1"/>
  <c r="W159" i="36" s="1"/>
  <c r="AT158" i="36"/>
  <c r="AP158" i="36"/>
  <c r="AH158" i="36"/>
  <c r="V158" i="36"/>
  <c r="S158" i="36"/>
  <c r="T158" i="36" s="1"/>
  <c r="W158" i="36" s="1"/>
  <c r="AT157" i="36"/>
  <c r="AP157" i="36"/>
  <c r="AH157" i="36"/>
  <c r="V157" i="36"/>
  <c r="S157" i="36"/>
  <c r="T157" i="36" s="1"/>
  <c r="W157" i="36" s="1"/>
  <c r="M157" i="36"/>
  <c r="AT156" i="36"/>
  <c r="AP156" i="36"/>
  <c r="AH156" i="36"/>
  <c r="V156" i="36"/>
  <c r="S156" i="36"/>
  <c r="T156" i="36" s="1"/>
  <c r="W156" i="36" s="1"/>
  <c r="M156" i="36"/>
  <c r="AT155" i="36"/>
  <c r="AP155" i="36"/>
  <c r="AH155" i="36"/>
  <c r="V155" i="36"/>
  <c r="S155" i="36"/>
  <c r="T155" i="36" s="1"/>
  <c r="W155" i="36" s="1"/>
  <c r="M155" i="36"/>
  <c r="AT154" i="36"/>
  <c r="AP154" i="36"/>
  <c r="AH154" i="36"/>
  <c r="V154" i="36"/>
  <c r="S154" i="36"/>
  <c r="T154" i="36" s="1"/>
  <c r="W154" i="36" s="1"/>
  <c r="M154" i="36"/>
  <c r="AT152" i="36"/>
  <c r="AP152" i="36"/>
  <c r="AH152" i="36"/>
  <c r="V152" i="36"/>
  <c r="S152" i="36"/>
  <c r="T152" i="36" s="1"/>
  <c r="W152" i="36" s="1"/>
  <c r="M152" i="36"/>
  <c r="AT150" i="36"/>
  <c r="AP150" i="36"/>
  <c r="AH150" i="36"/>
  <c r="V150" i="36"/>
  <c r="S150" i="36"/>
  <c r="T150" i="36" s="1"/>
  <c r="W150" i="36" s="1"/>
  <c r="M150" i="36"/>
  <c r="AT149" i="36"/>
  <c r="AP149" i="36"/>
  <c r="AH149" i="36"/>
  <c r="V149" i="36"/>
  <c r="S149" i="36"/>
  <c r="T149" i="36" s="1"/>
  <c r="W149" i="36" s="1"/>
  <c r="M149" i="36"/>
  <c r="F149" i="36"/>
  <c r="AT148" i="36"/>
  <c r="AP148" i="36"/>
  <c r="AH148" i="36"/>
  <c r="V148" i="36"/>
  <c r="S148" i="36"/>
  <c r="T148" i="36" s="1"/>
  <c r="W148" i="36" s="1"/>
  <c r="M148" i="36"/>
  <c r="AT147" i="36"/>
  <c r="AP147" i="36"/>
  <c r="AH147" i="36"/>
  <c r="V147" i="36"/>
  <c r="S147" i="36"/>
  <c r="T147" i="36" s="1"/>
  <c r="W147" i="36" s="1"/>
  <c r="M147" i="36"/>
  <c r="F147" i="36"/>
  <c r="AT146" i="36"/>
  <c r="V146" i="36"/>
  <c r="S146" i="36"/>
  <c r="T146" i="36" s="1"/>
  <c r="W146" i="36" s="1"/>
  <c r="M146" i="36"/>
  <c r="AT145" i="36"/>
  <c r="AP145" i="36"/>
  <c r="AH145" i="36"/>
  <c r="V145" i="36"/>
  <c r="S145" i="36"/>
  <c r="T145" i="36" s="1"/>
  <c r="W145" i="36" s="1"/>
  <c r="M145" i="36"/>
  <c r="F145" i="36"/>
  <c r="AT144" i="36"/>
  <c r="AP144" i="36"/>
  <c r="W144" i="36"/>
  <c r="V144" i="36"/>
  <c r="O144" i="36"/>
  <c r="M144" i="36"/>
  <c r="AT143" i="36"/>
  <c r="AP143" i="36"/>
  <c r="V143" i="36"/>
  <c r="S143" i="36"/>
  <c r="T143" i="36" s="1"/>
  <c r="W143" i="36" s="1"/>
  <c r="O143" i="36"/>
  <c r="M143" i="36"/>
  <c r="F143" i="36"/>
  <c r="AT142" i="36"/>
  <c r="AP142" i="36"/>
  <c r="AH142" i="36"/>
  <c r="V142" i="36"/>
  <c r="S142" i="36"/>
  <c r="T142" i="36" s="1"/>
  <c r="W142" i="36" s="1"/>
  <c r="M142" i="36"/>
  <c r="F142" i="36"/>
  <c r="AT141" i="36"/>
  <c r="AP141" i="36"/>
  <c r="AH141" i="36"/>
  <c r="W141" i="36"/>
  <c r="V141" i="36"/>
  <c r="M141" i="36"/>
  <c r="F141" i="36"/>
  <c r="AT140" i="36"/>
  <c r="AP140" i="36"/>
  <c r="AH140" i="36"/>
  <c r="W140" i="36"/>
  <c r="V140" i="36"/>
  <c r="M140" i="36"/>
  <c r="F140" i="36"/>
  <c r="AT139" i="36"/>
  <c r="AP139" i="36"/>
  <c r="AH139" i="36"/>
  <c r="W139" i="36"/>
  <c r="V139" i="36"/>
  <c r="M139" i="36"/>
  <c r="F139" i="36"/>
  <c r="AT138" i="36"/>
  <c r="AP138" i="36"/>
  <c r="AH138" i="36"/>
  <c r="V138" i="36"/>
  <c r="S138" i="36"/>
  <c r="T138" i="36" s="1"/>
  <c r="W138" i="36" s="1"/>
  <c r="M138" i="36"/>
  <c r="F138" i="36"/>
  <c r="AT137" i="36"/>
  <c r="AP137" i="36"/>
  <c r="AH137" i="36"/>
  <c r="V137" i="36"/>
  <c r="S137" i="36"/>
  <c r="T137" i="36" s="1"/>
  <c r="W137" i="36" s="1"/>
  <c r="M137" i="36"/>
  <c r="F137" i="36"/>
  <c r="AT136" i="36"/>
  <c r="AP136" i="36"/>
  <c r="S136" i="36"/>
  <c r="T136" i="36" s="1"/>
  <c r="W136" i="36" s="1"/>
  <c r="M136" i="36"/>
  <c r="AT135" i="36"/>
  <c r="AP135" i="36"/>
  <c r="AH135" i="36"/>
  <c r="V135" i="36"/>
  <c r="S135" i="36"/>
  <c r="T135" i="36" s="1"/>
  <c r="W135" i="36" s="1"/>
  <c r="M135" i="36"/>
  <c r="AP134" i="36"/>
  <c r="V134" i="36"/>
  <c r="S134" i="36"/>
  <c r="T134" i="36" s="1"/>
  <c r="W134" i="36" s="1"/>
  <c r="M134" i="36"/>
  <c r="AP133" i="36"/>
  <c r="V133" i="36"/>
  <c r="S133" i="36"/>
  <c r="T133" i="36" s="1"/>
  <c r="W133" i="36" s="1"/>
  <c r="M133" i="36"/>
  <c r="AT132" i="36"/>
  <c r="AP132" i="36"/>
  <c r="AH132" i="36"/>
  <c r="V132" i="36"/>
  <c r="S132" i="36"/>
  <c r="T132" i="36" s="1"/>
  <c r="W132" i="36" s="1"/>
  <c r="M132" i="36"/>
  <c r="AT131" i="36"/>
  <c r="AP131" i="36"/>
  <c r="AH131" i="36"/>
  <c r="V131" i="36"/>
  <c r="S131" i="36"/>
  <c r="T131" i="36" s="1"/>
  <c r="W131" i="36" s="1"/>
  <c r="M131" i="36"/>
  <c r="AT130" i="36"/>
  <c r="AP130" i="36"/>
  <c r="AH130" i="36"/>
  <c r="V130" i="36"/>
  <c r="S130" i="36"/>
  <c r="T130" i="36" s="1"/>
  <c r="W130" i="36" s="1"/>
  <c r="M130" i="36"/>
  <c r="F130" i="36"/>
  <c r="AT129" i="36"/>
  <c r="AP129" i="36"/>
  <c r="AH129" i="36"/>
  <c r="V129" i="36"/>
  <c r="S129" i="36"/>
  <c r="T129" i="36" s="1"/>
  <c r="W129" i="36" s="1"/>
  <c r="M129" i="36"/>
  <c r="F129" i="36"/>
  <c r="AT128" i="36"/>
  <c r="AP128" i="36"/>
  <c r="AH128" i="36"/>
  <c r="V128" i="36"/>
  <c r="S128" i="36"/>
  <c r="T128" i="36" s="1"/>
  <c r="W128" i="36" s="1"/>
  <c r="M128" i="36"/>
  <c r="F128" i="36"/>
  <c r="AT127" i="36"/>
  <c r="AP127" i="36"/>
  <c r="AH127" i="36"/>
  <c r="V127" i="36"/>
  <c r="S127" i="36"/>
  <c r="T127" i="36" s="1"/>
  <c r="W127" i="36" s="1"/>
  <c r="M127" i="36"/>
  <c r="F127" i="36"/>
  <c r="AT125" i="36"/>
  <c r="AP125" i="36"/>
  <c r="AH125" i="36"/>
  <c r="V125" i="36"/>
  <c r="S125" i="36"/>
  <c r="T125" i="36" s="1"/>
  <c r="W125" i="36" s="1"/>
  <c r="M125" i="36"/>
  <c r="F125" i="36"/>
  <c r="AT124" i="36"/>
  <c r="AP124" i="36"/>
  <c r="AH124" i="36"/>
  <c r="V124" i="36"/>
  <c r="S124" i="36"/>
  <c r="T124" i="36" s="1"/>
  <c r="W124" i="36" s="1"/>
  <c r="M124" i="36"/>
  <c r="F124" i="36"/>
  <c r="AT123" i="36"/>
  <c r="AP123" i="36"/>
  <c r="S123" i="36"/>
  <c r="T123" i="36" s="1"/>
  <c r="W123" i="36" s="1"/>
  <c r="F123" i="36"/>
  <c r="AT122" i="36"/>
  <c r="AP122" i="36"/>
  <c r="AH122" i="36"/>
  <c r="V122" i="36"/>
  <c r="S122" i="36"/>
  <c r="T122" i="36" s="1"/>
  <c r="W122" i="36" s="1"/>
  <c r="M122" i="36"/>
  <c r="F122" i="36"/>
  <c r="AT121" i="36"/>
  <c r="AP121" i="36"/>
  <c r="AH121" i="36"/>
  <c r="V121" i="36"/>
  <c r="S121" i="36"/>
  <c r="T121" i="36" s="1"/>
  <c r="W121" i="36" s="1"/>
  <c r="M121" i="36"/>
  <c r="F121" i="36"/>
  <c r="AT120" i="36"/>
  <c r="AP120" i="36"/>
  <c r="AH120" i="36"/>
  <c r="V120" i="36"/>
  <c r="S120" i="36"/>
  <c r="T120" i="36" s="1"/>
  <c r="W120" i="36" s="1"/>
  <c r="M120" i="36"/>
  <c r="AT119" i="36"/>
  <c r="AP119" i="36"/>
  <c r="AH119" i="36"/>
  <c r="V119" i="36"/>
  <c r="S119" i="36"/>
  <c r="T119" i="36" s="1"/>
  <c r="W119" i="36" s="1"/>
  <c r="M119" i="36"/>
  <c r="AT118" i="36"/>
  <c r="AP118" i="36"/>
  <c r="AH118" i="36"/>
  <c r="S118" i="36"/>
  <c r="T118" i="36" s="1"/>
  <c r="W118" i="36" s="1"/>
  <c r="M118" i="36"/>
  <c r="F118" i="36"/>
  <c r="AT117" i="36"/>
  <c r="AP117" i="36"/>
  <c r="AH117" i="36"/>
  <c r="V117" i="36"/>
  <c r="S117" i="36"/>
  <c r="T117" i="36" s="1"/>
  <c r="W117" i="36" s="1"/>
  <c r="M117" i="36"/>
  <c r="F117" i="36"/>
  <c r="AT116" i="36"/>
  <c r="AP116" i="36"/>
  <c r="AH116" i="36"/>
  <c r="V116" i="36"/>
  <c r="S116" i="36"/>
  <c r="T116" i="36" s="1"/>
  <c r="W116" i="36" s="1"/>
  <c r="M116" i="36"/>
  <c r="F116" i="36"/>
  <c r="AT115" i="36"/>
  <c r="S115" i="36"/>
  <c r="T115" i="36" s="1"/>
  <c r="W115" i="36" s="1"/>
  <c r="M115" i="36"/>
  <c r="AT114" i="36"/>
  <c r="R114" i="36"/>
  <c r="S114" i="36" s="1"/>
  <c r="M114" i="36"/>
  <c r="AT113" i="36"/>
  <c r="AP113" i="36"/>
  <c r="AH113" i="36"/>
  <c r="V113" i="36"/>
  <c r="S113" i="36"/>
  <c r="T113" i="36" s="1"/>
  <c r="W113" i="36" s="1"/>
  <c r="M113" i="36"/>
  <c r="AT112" i="36"/>
  <c r="AP112" i="36"/>
  <c r="AH112" i="36"/>
  <c r="V112" i="36"/>
  <c r="R112" i="36"/>
  <c r="T112" i="36" s="1"/>
  <c r="W112" i="36" s="1"/>
  <c r="M112" i="36"/>
  <c r="F112" i="36"/>
  <c r="AP111" i="36"/>
  <c r="S111" i="36"/>
  <c r="T111" i="36" s="1"/>
  <c r="AT110" i="36"/>
  <c r="AP110" i="36"/>
  <c r="AH110" i="36"/>
  <c r="S110" i="36"/>
  <c r="T110" i="36" s="1"/>
  <c r="AT109" i="36"/>
  <c r="AP109" i="36"/>
  <c r="AH109" i="36"/>
  <c r="S109" i="36"/>
  <c r="T109" i="36" s="1"/>
  <c r="F109" i="36"/>
  <c r="AT108" i="36"/>
  <c r="AP108" i="36"/>
  <c r="AH108" i="36"/>
  <c r="V108" i="36"/>
  <c r="S108" i="36"/>
  <c r="T108" i="36" s="1"/>
  <c r="W108" i="36" s="1"/>
  <c r="M108" i="36"/>
  <c r="F108" i="36"/>
  <c r="AT107" i="36"/>
  <c r="AP107" i="36"/>
  <c r="AH107" i="36"/>
  <c r="S107" i="36"/>
  <c r="T107" i="36" s="1"/>
  <c r="W107" i="36" s="1"/>
  <c r="M107" i="36"/>
  <c r="AT106" i="36"/>
  <c r="AP106" i="36"/>
  <c r="AH106" i="36"/>
  <c r="S106" i="36"/>
  <c r="T106" i="36" s="1"/>
  <c r="W106" i="36" s="1"/>
  <c r="M106" i="36"/>
  <c r="F106" i="36"/>
  <c r="V105" i="36"/>
  <c r="S105" i="36"/>
  <c r="T105" i="36" s="1"/>
  <c r="W105" i="36" s="1"/>
  <c r="M105" i="36"/>
  <c r="F105" i="36"/>
  <c r="AT104" i="36"/>
  <c r="AP104" i="36"/>
  <c r="AH104" i="36"/>
  <c r="V104" i="36"/>
  <c r="S104" i="36"/>
  <c r="T104" i="36" s="1"/>
  <c r="W104" i="36" s="1"/>
  <c r="M104" i="36"/>
  <c r="F104" i="36"/>
  <c r="AT103" i="36"/>
  <c r="AP103" i="36"/>
  <c r="AH103" i="36"/>
  <c r="S103" i="36"/>
  <c r="T103" i="36" s="1"/>
  <c r="W103" i="36" s="1"/>
  <c r="M103" i="36"/>
  <c r="F103" i="36"/>
  <c r="AT102" i="36"/>
  <c r="AP102" i="36"/>
  <c r="AH102" i="36"/>
  <c r="V102" i="36"/>
  <c r="S102" i="36"/>
  <c r="T102" i="36" s="1"/>
  <c r="W102" i="36" s="1"/>
  <c r="M102" i="36"/>
  <c r="F102" i="36"/>
  <c r="AP101" i="36"/>
  <c r="V101" i="36"/>
  <c r="S101" i="36"/>
  <c r="T101" i="36" s="1"/>
  <c r="W101" i="36" s="1"/>
  <c r="M101" i="36"/>
  <c r="AT100" i="36"/>
  <c r="AP100" i="36"/>
  <c r="AH100" i="36"/>
  <c r="V100" i="36"/>
  <c r="S100" i="36"/>
  <c r="T100" i="36" s="1"/>
  <c r="W100" i="36" s="1"/>
  <c r="M100" i="36"/>
  <c r="F100" i="36"/>
  <c r="AT99" i="36"/>
  <c r="AP99" i="36"/>
  <c r="AH99" i="36"/>
  <c r="V99" i="36"/>
  <c r="S99" i="36"/>
  <c r="T99" i="36" s="1"/>
  <c r="W99" i="36" s="1"/>
  <c r="M99" i="36"/>
  <c r="AT98" i="36"/>
  <c r="AP98" i="36"/>
  <c r="AH98" i="36"/>
  <c r="V98" i="36"/>
  <c r="S98" i="36"/>
  <c r="T98" i="36" s="1"/>
  <c r="W98" i="36" s="1"/>
  <c r="M98" i="36"/>
  <c r="AT97" i="36"/>
  <c r="AH97" i="36"/>
  <c r="S97" i="36"/>
  <c r="T97" i="36" s="1"/>
  <c r="M97" i="36"/>
  <c r="AT96" i="36"/>
  <c r="AP96" i="36"/>
  <c r="AH96" i="36"/>
  <c r="S96" i="36"/>
  <c r="T96" i="36" s="1"/>
  <c r="W96" i="36" s="1"/>
  <c r="M96" i="36"/>
  <c r="F96" i="36"/>
  <c r="AT95" i="36"/>
  <c r="AP95" i="36"/>
  <c r="AH95" i="36"/>
  <c r="V95" i="36"/>
  <c r="S95" i="36"/>
  <c r="T95" i="36" s="1"/>
  <c r="W95" i="36" s="1"/>
  <c r="M95" i="36"/>
  <c r="F95" i="36"/>
  <c r="AT94" i="36"/>
  <c r="AP94" i="36"/>
  <c r="AH94" i="36"/>
  <c r="V94" i="36"/>
  <c r="S94" i="36"/>
  <c r="T94" i="36" s="1"/>
  <c r="W94" i="36" s="1"/>
  <c r="M94" i="36"/>
  <c r="F94" i="36"/>
  <c r="AT93" i="36"/>
  <c r="AP93" i="36"/>
  <c r="AH93" i="36"/>
  <c r="S93" i="36"/>
  <c r="T93" i="36" s="1"/>
  <c r="W93" i="36" s="1"/>
  <c r="M93" i="36"/>
  <c r="F93" i="36"/>
  <c r="AT92" i="36"/>
  <c r="AP92" i="36"/>
  <c r="AH92" i="36"/>
  <c r="S92" i="36"/>
  <c r="T92" i="36" s="1"/>
  <c r="W92" i="36" s="1"/>
  <c r="M92" i="36"/>
  <c r="F92" i="36"/>
  <c r="AT91" i="36"/>
  <c r="AP91" i="36"/>
  <c r="AH91" i="36"/>
  <c r="V91" i="36"/>
  <c r="S91" i="36"/>
  <c r="T91" i="36" s="1"/>
  <c r="W91" i="36" s="1"/>
  <c r="M91" i="36"/>
  <c r="F91" i="36"/>
  <c r="AT90" i="36"/>
  <c r="S90" i="36"/>
  <c r="T90" i="36" s="1"/>
  <c r="W90" i="36" s="1"/>
  <c r="M90" i="36"/>
  <c r="AT89" i="36"/>
  <c r="AP89" i="36"/>
  <c r="AH89" i="36"/>
  <c r="S89" i="36"/>
  <c r="T89" i="36" s="1"/>
  <c r="W89" i="36" s="1"/>
  <c r="M89" i="36"/>
  <c r="F89" i="36"/>
  <c r="AT88" i="36"/>
  <c r="AH88" i="36"/>
  <c r="W88" i="36"/>
  <c r="M88" i="36"/>
  <c r="AT87" i="36"/>
  <c r="AP87" i="36"/>
  <c r="AH87" i="36"/>
  <c r="V87" i="36"/>
  <c r="S87" i="36"/>
  <c r="T87" i="36" s="1"/>
  <c r="W87" i="36" s="1"/>
  <c r="M87" i="36"/>
  <c r="F87" i="36"/>
  <c r="AT86" i="36"/>
  <c r="AP86" i="36"/>
  <c r="V86" i="36"/>
  <c r="S86" i="36"/>
  <c r="T86" i="36" s="1"/>
  <c r="W86" i="36" s="1"/>
  <c r="M86" i="36"/>
  <c r="F86" i="36"/>
  <c r="AT85" i="36"/>
  <c r="AP85" i="36"/>
  <c r="AH85" i="36"/>
  <c r="V85" i="36"/>
  <c r="S85" i="36"/>
  <c r="T85" i="36" s="1"/>
  <c r="W85" i="36" s="1"/>
  <c r="M85" i="36"/>
  <c r="F85" i="36"/>
  <c r="AT84" i="36"/>
  <c r="AP84" i="36"/>
  <c r="AH84" i="36"/>
  <c r="S84" i="36"/>
  <c r="T84" i="36" s="1"/>
  <c r="W84" i="36" s="1"/>
  <c r="M84" i="36"/>
  <c r="F84" i="36"/>
  <c r="AT83" i="36"/>
  <c r="AP83" i="36"/>
  <c r="AH83" i="36"/>
  <c r="S83" i="36"/>
  <c r="T83" i="36" s="1"/>
  <c r="W83" i="36" s="1"/>
  <c r="M83" i="36"/>
  <c r="F83" i="36"/>
  <c r="AT81" i="36"/>
  <c r="AP81" i="36"/>
  <c r="AH81" i="36"/>
  <c r="S81" i="36"/>
  <c r="T81" i="36" s="1"/>
  <c r="W81" i="36" s="1"/>
  <c r="M81" i="36"/>
  <c r="AP80" i="36"/>
  <c r="AH80" i="36"/>
  <c r="V80" i="36"/>
  <c r="S80" i="36"/>
  <c r="T80" i="36" s="1"/>
  <c r="W80" i="36" s="1"/>
  <c r="M80" i="36"/>
  <c r="F80" i="36"/>
  <c r="AT79" i="36"/>
  <c r="AP79" i="36"/>
  <c r="AH79" i="36"/>
  <c r="V79" i="36"/>
  <c r="S79" i="36"/>
  <c r="T79" i="36" s="1"/>
  <c r="W79" i="36" s="1"/>
  <c r="M79" i="36"/>
  <c r="F79" i="36"/>
  <c r="AT78" i="36"/>
  <c r="AP78" i="36"/>
  <c r="AH78" i="36"/>
  <c r="V78" i="36"/>
  <c r="S78" i="36"/>
  <c r="T78" i="36" s="1"/>
  <c r="W78" i="36" s="1"/>
  <c r="M78" i="36"/>
  <c r="F78" i="36"/>
  <c r="AT77" i="36"/>
  <c r="AP77" i="36"/>
  <c r="AH77" i="36"/>
  <c r="V77" i="36"/>
  <c r="S77" i="36"/>
  <c r="T77" i="36" s="1"/>
  <c r="W77" i="36" s="1"/>
  <c r="M77" i="36"/>
  <c r="F77" i="36"/>
  <c r="AT76" i="36"/>
  <c r="AP76" i="36"/>
  <c r="AH76" i="36"/>
  <c r="V76" i="36"/>
  <c r="T76" i="36"/>
  <c r="W76" i="36" s="1"/>
  <c r="M76" i="36"/>
  <c r="F76" i="36"/>
  <c r="AT75" i="36"/>
  <c r="AP75" i="36"/>
  <c r="AH75" i="36"/>
  <c r="S75" i="36"/>
  <c r="T75" i="36" s="1"/>
  <c r="W75" i="36" s="1"/>
  <c r="M75" i="36"/>
  <c r="F75" i="36"/>
  <c r="AT74" i="36"/>
  <c r="AP74" i="36"/>
  <c r="AH74" i="36"/>
  <c r="V74" i="36"/>
  <c r="S74" i="36"/>
  <c r="T74" i="36" s="1"/>
  <c r="W74" i="36" s="1"/>
  <c r="M74" i="36"/>
  <c r="AT73" i="36"/>
  <c r="AP73" i="36"/>
  <c r="AH73" i="36"/>
  <c r="V73" i="36"/>
  <c r="S73" i="36"/>
  <c r="T73" i="36" s="1"/>
  <c r="W73" i="36" s="1"/>
  <c r="M73" i="36"/>
  <c r="F73" i="36"/>
  <c r="AT72" i="36"/>
  <c r="AP72" i="36"/>
  <c r="AH72" i="36"/>
  <c r="V72" i="36"/>
  <c r="S72" i="36"/>
  <c r="T72" i="36" s="1"/>
  <c r="W72" i="36" s="1"/>
  <c r="M72" i="36"/>
  <c r="F72" i="36"/>
  <c r="AT71" i="36"/>
  <c r="AP71" i="36"/>
  <c r="AH71" i="36"/>
  <c r="V71" i="36"/>
  <c r="S71" i="36"/>
  <c r="T71" i="36" s="1"/>
  <c r="W71" i="36" s="1"/>
  <c r="M71" i="36"/>
  <c r="F71" i="36"/>
  <c r="AP70" i="36"/>
  <c r="AH70" i="36"/>
  <c r="V70" i="36"/>
  <c r="S70" i="36"/>
  <c r="T70" i="36" s="1"/>
  <c r="W70" i="36" s="1"/>
  <c r="M70" i="36"/>
  <c r="F70" i="36"/>
  <c r="AT69" i="36"/>
  <c r="AP69" i="36"/>
  <c r="AH69" i="36"/>
  <c r="V69" i="36"/>
  <c r="S69" i="36"/>
  <c r="T69" i="36" s="1"/>
  <c r="W69" i="36" s="1"/>
  <c r="M69" i="36"/>
  <c r="F69" i="36"/>
  <c r="V68" i="36"/>
  <c r="S68" i="36"/>
  <c r="T68" i="36" s="1"/>
  <c r="W68" i="36" s="1"/>
  <c r="M68" i="36"/>
  <c r="AP67" i="36"/>
  <c r="V67" i="36"/>
  <c r="S67" i="36"/>
  <c r="T67" i="36" s="1"/>
  <c r="W67" i="36" s="1"/>
  <c r="M67" i="36"/>
  <c r="F67" i="36"/>
  <c r="AT66" i="36"/>
  <c r="AP66" i="36"/>
  <c r="AH66" i="36"/>
  <c r="V66" i="36"/>
  <c r="S66" i="36"/>
  <c r="T66" i="36" s="1"/>
  <c r="W66" i="36" s="1"/>
  <c r="M66" i="36"/>
  <c r="F66" i="36"/>
  <c r="AT65" i="36"/>
  <c r="AH65" i="36"/>
  <c r="S65" i="36"/>
  <c r="M65" i="36"/>
  <c r="AT64" i="36"/>
  <c r="AP64" i="36"/>
  <c r="AH64" i="36"/>
  <c r="V64" i="36"/>
  <c r="S64" i="36"/>
  <c r="T64" i="36" s="1"/>
  <c r="W64" i="36" s="1"/>
  <c r="M64" i="36"/>
  <c r="F64" i="36"/>
  <c r="AT63" i="36"/>
  <c r="AP63" i="36"/>
  <c r="AH63" i="36"/>
  <c r="T63" i="36"/>
  <c r="M63" i="36"/>
  <c r="AT62" i="36"/>
  <c r="AP62" i="36"/>
  <c r="AH62" i="36"/>
  <c r="S62" i="36"/>
  <c r="T62" i="36" s="1"/>
  <c r="W62" i="36" s="1"/>
  <c r="M62" i="36"/>
  <c r="F62" i="36"/>
  <c r="AT61" i="36"/>
  <c r="AP61" i="36"/>
  <c r="AH61" i="36"/>
  <c r="V61" i="36"/>
  <c r="S61" i="36"/>
  <c r="T61" i="36" s="1"/>
  <c r="W61" i="36" s="1"/>
  <c r="M61" i="36"/>
  <c r="F61" i="36"/>
  <c r="AT60" i="36"/>
  <c r="AP60" i="36"/>
  <c r="AH60" i="36"/>
  <c r="V60" i="36"/>
  <c r="S60" i="36"/>
  <c r="T60" i="36" s="1"/>
  <c r="W60" i="36" s="1"/>
  <c r="F60" i="36"/>
  <c r="AP59" i="36"/>
  <c r="V59" i="36"/>
  <c r="S59" i="36"/>
  <c r="T59" i="36" s="1"/>
  <c r="W59" i="36" s="1"/>
  <c r="M59" i="36"/>
  <c r="F59" i="36"/>
  <c r="AT58" i="36"/>
  <c r="AP58" i="36"/>
  <c r="AH58" i="36"/>
  <c r="V58" i="36"/>
  <c r="S58" i="36"/>
  <c r="T58" i="36" s="1"/>
  <c r="W58" i="36" s="1"/>
  <c r="M58" i="36"/>
  <c r="F58" i="36"/>
  <c r="AT57" i="36"/>
  <c r="AP57" i="36"/>
  <c r="AH57" i="36"/>
  <c r="V57" i="36"/>
  <c r="S57" i="36"/>
  <c r="T57" i="36" s="1"/>
  <c r="W57" i="36" s="1"/>
  <c r="M57" i="36"/>
  <c r="F57" i="36"/>
  <c r="AT56" i="36"/>
  <c r="AP56" i="36"/>
  <c r="AH56" i="36"/>
  <c r="V56" i="36"/>
  <c r="S56" i="36"/>
  <c r="T56" i="36" s="1"/>
  <c r="W56" i="36" s="1"/>
  <c r="M56" i="36"/>
  <c r="F56" i="36"/>
  <c r="AT55" i="36"/>
  <c r="AH55" i="36"/>
  <c r="T55" i="36"/>
  <c r="W55" i="36" s="1"/>
  <c r="M55" i="36"/>
  <c r="F55" i="36"/>
  <c r="AT54" i="36"/>
  <c r="AH54" i="36"/>
  <c r="T54" i="36"/>
  <c r="W54" i="36" s="1"/>
  <c r="M54" i="36"/>
  <c r="F54" i="36"/>
  <c r="AT53" i="36"/>
  <c r="AP53" i="36"/>
  <c r="AH53" i="36"/>
  <c r="T53" i="36"/>
  <c r="W53" i="36" s="1"/>
  <c r="M53" i="36"/>
  <c r="F53" i="36"/>
  <c r="AT52" i="36"/>
  <c r="AH52" i="36"/>
  <c r="V52" i="36"/>
  <c r="S52" i="36"/>
  <c r="T52" i="36" s="1"/>
  <c r="W52" i="36" s="1"/>
  <c r="M52" i="36"/>
  <c r="F52" i="36"/>
  <c r="AT51" i="36"/>
  <c r="AP51" i="36"/>
  <c r="AH51" i="36"/>
  <c r="V51" i="36"/>
  <c r="S51" i="36"/>
  <c r="T51" i="36" s="1"/>
  <c r="W51" i="36" s="1"/>
  <c r="M51" i="36"/>
  <c r="F51" i="36"/>
  <c r="AT50" i="36"/>
  <c r="AH50" i="36"/>
  <c r="V50" i="36"/>
  <c r="S50" i="36"/>
  <c r="T50" i="36" s="1"/>
  <c r="W50" i="36" s="1"/>
  <c r="M50" i="36"/>
  <c r="F50" i="36"/>
  <c r="AT49" i="36"/>
  <c r="AP49" i="36"/>
  <c r="AH49" i="36"/>
  <c r="V49" i="36"/>
  <c r="S49" i="36"/>
  <c r="T49" i="36" s="1"/>
  <c r="W49" i="36" s="1"/>
  <c r="M49" i="36"/>
  <c r="F49" i="36"/>
  <c r="AT48" i="36"/>
  <c r="AH48" i="36"/>
  <c r="V48" i="36"/>
  <c r="S48" i="36"/>
  <c r="T48" i="36" s="1"/>
  <c r="W48" i="36" s="1"/>
  <c r="M48" i="36"/>
  <c r="F48" i="36"/>
  <c r="AT47" i="36"/>
  <c r="AP47" i="36"/>
  <c r="AH47" i="36"/>
  <c r="V47" i="36"/>
  <c r="S47" i="36"/>
  <c r="T47" i="36" s="1"/>
  <c r="W47" i="36" s="1"/>
  <c r="M47" i="36"/>
  <c r="F47" i="36"/>
  <c r="AT46" i="36"/>
  <c r="AP46" i="36"/>
  <c r="AH46" i="36"/>
  <c r="V46" i="36"/>
  <c r="S46" i="36"/>
  <c r="T46" i="36" s="1"/>
  <c r="W46" i="36" s="1"/>
  <c r="M46" i="36"/>
  <c r="F46" i="36"/>
  <c r="AT45" i="36"/>
  <c r="AP45" i="36"/>
  <c r="AH45" i="36"/>
  <c r="V45" i="36"/>
  <c r="S45" i="36"/>
  <c r="T45" i="36" s="1"/>
  <c r="W45" i="36" s="1"/>
  <c r="M45" i="36"/>
  <c r="F45" i="36"/>
  <c r="AT44" i="36"/>
  <c r="AP44" i="36"/>
  <c r="AH44" i="36"/>
  <c r="V44" i="36"/>
  <c r="S44" i="36"/>
  <c r="T44" i="36" s="1"/>
  <c r="W44" i="36" s="1"/>
  <c r="M44" i="36"/>
  <c r="F44" i="36"/>
  <c r="AP43" i="36"/>
  <c r="V43" i="36"/>
  <c r="S43" i="36"/>
  <c r="T43" i="36" s="1"/>
  <c r="W43" i="36" s="1"/>
  <c r="O43" i="36"/>
  <c r="M43" i="36"/>
  <c r="AT42" i="36"/>
  <c r="AP42" i="36"/>
  <c r="AH42" i="36"/>
  <c r="V42" i="36"/>
  <c r="S42" i="36"/>
  <c r="T42" i="36" s="1"/>
  <c r="W42" i="36" s="1"/>
  <c r="O42" i="36"/>
  <c r="M42" i="36"/>
  <c r="F42" i="36"/>
  <c r="AP41" i="36"/>
  <c r="S41" i="36"/>
  <c r="T41" i="36" s="1"/>
  <c r="W41" i="36" s="1"/>
  <c r="M41" i="36"/>
  <c r="F41" i="36"/>
  <c r="AT40" i="36"/>
  <c r="AP40" i="36"/>
  <c r="AH40" i="36"/>
  <c r="S40" i="36"/>
  <c r="T40" i="36" s="1"/>
  <c r="W40" i="36" s="1"/>
  <c r="M40" i="36"/>
  <c r="F40" i="36"/>
  <c r="AT39" i="36"/>
  <c r="AP39" i="36"/>
  <c r="V39" i="36"/>
  <c r="S39" i="36"/>
  <c r="T39" i="36" s="1"/>
  <c r="W39" i="36" s="1"/>
  <c r="M39" i="36"/>
  <c r="AT38" i="36"/>
  <c r="AP38" i="36"/>
  <c r="AH38" i="36"/>
  <c r="V38" i="36"/>
  <c r="S38" i="36"/>
  <c r="T38" i="36" s="1"/>
  <c r="W38" i="36" s="1"/>
  <c r="M38" i="36"/>
  <c r="F38" i="36"/>
  <c r="AP37" i="36"/>
  <c r="AH37" i="36"/>
  <c r="V37" i="36"/>
  <c r="S37" i="36"/>
  <c r="T37" i="36" s="1"/>
  <c r="W37" i="36" s="1"/>
  <c r="M37" i="36"/>
  <c r="AT36" i="36"/>
  <c r="AP36" i="36"/>
  <c r="AH36" i="36"/>
  <c r="V36" i="36"/>
  <c r="S36" i="36"/>
  <c r="T36" i="36" s="1"/>
  <c r="W36" i="36" s="1"/>
  <c r="M36" i="36"/>
  <c r="F36" i="36"/>
  <c r="AT35" i="36"/>
  <c r="AP35" i="36"/>
  <c r="AH35" i="36"/>
  <c r="V35" i="36"/>
  <c r="T35" i="36"/>
  <c r="W35" i="36" s="1"/>
  <c r="M35" i="36"/>
  <c r="AP34" i="36"/>
  <c r="T34" i="36"/>
  <c r="W34" i="36" s="1"/>
  <c r="M34" i="36"/>
  <c r="AT33" i="36"/>
  <c r="AP33" i="36"/>
  <c r="AH33" i="36"/>
  <c r="T33" i="36"/>
  <c r="W33" i="36" s="1"/>
  <c r="M33" i="36"/>
  <c r="F33" i="36"/>
  <c r="AP32" i="36"/>
  <c r="AP31" i="36"/>
  <c r="AP30" i="36"/>
  <c r="AH30" i="36"/>
  <c r="AT29" i="36"/>
  <c r="AP29" i="36"/>
  <c r="AH29" i="36"/>
  <c r="AT28" i="36"/>
  <c r="AP28" i="36"/>
  <c r="AH28" i="36"/>
  <c r="AT27" i="36"/>
  <c r="AP27" i="36"/>
  <c r="AH27" i="36"/>
  <c r="AT26" i="36"/>
  <c r="AP26" i="36"/>
  <c r="AH26" i="36"/>
  <c r="AT25" i="36"/>
  <c r="AP25" i="36"/>
  <c r="AH25" i="36"/>
  <c r="S25" i="36"/>
  <c r="T25" i="36" s="1"/>
  <c r="AT24" i="36"/>
  <c r="AP24" i="36"/>
  <c r="AH24" i="36"/>
  <c r="AT23" i="36"/>
  <c r="AP23" i="36"/>
  <c r="AH23" i="36"/>
  <c r="AG23" i="36"/>
  <c r="W23" i="36" s="1"/>
  <c r="AT22" i="36"/>
  <c r="AP22" i="36"/>
  <c r="AH22" i="36"/>
  <c r="AT21" i="36"/>
  <c r="AP21" i="36"/>
  <c r="AH21" i="36"/>
  <c r="AT20" i="36"/>
  <c r="AP20" i="36"/>
  <c r="AH20" i="36"/>
  <c r="T20" i="36"/>
  <c r="W20" i="36" s="1"/>
  <c r="M20" i="36"/>
  <c r="AT19" i="36"/>
  <c r="V19" i="36"/>
  <c r="S19" i="36"/>
  <c r="T19" i="36" s="1"/>
  <c r="W19" i="36" s="1"/>
  <c r="M19" i="36"/>
  <c r="AT18" i="36"/>
  <c r="AH18" i="36"/>
  <c r="V18" i="36"/>
  <c r="S18" i="36"/>
  <c r="T18" i="36" s="1"/>
  <c r="W18" i="36" s="1"/>
  <c r="M18" i="36"/>
  <c r="AT17" i="36"/>
  <c r="AP17" i="36"/>
  <c r="AH17" i="36"/>
  <c r="S17" i="36"/>
  <c r="T17" i="36" s="1"/>
  <c r="AT16" i="36"/>
  <c r="AP16" i="36"/>
  <c r="AH16" i="36"/>
  <c r="M16" i="36"/>
  <c r="AT15" i="36"/>
  <c r="AP15" i="36"/>
  <c r="AH15" i="36"/>
  <c r="S15" i="36"/>
  <c r="T15" i="36" s="1"/>
  <c r="W15" i="36" s="1"/>
  <c r="AP14" i="36"/>
  <c r="S14" i="36"/>
  <c r="T14" i="36" s="1"/>
  <c r="W14" i="36" s="1"/>
  <c r="AT13" i="36"/>
  <c r="AP13" i="36"/>
  <c r="AH13" i="36"/>
  <c r="V13" i="36"/>
  <c r="S13" i="36"/>
  <c r="T13" i="36" s="1"/>
  <c r="W13" i="36" s="1"/>
  <c r="AT12" i="36"/>
  <c r="AP12" i="36"/>
  <c r="AH12" i="36"/>
  <c r="V12" i="36"/>
  <c r="S12" i="36"/>
  <c r="T12" i="36" s="1"/>
  <c r="W12" i="36" s="1"/>
  <c r="M12" i="36"/>
  <c r="AT11" i="36"/>
  <c r="AH11" i="36"/>
  <c r="T11" i="36"/>
  <c r="M11" i="36"/>
  <c r="AT10" i="36"/>
  <c r="AP10" i="36"/>
  <c r="AH10" i="36"/>
  <c r="T10" i="36"/>
  <c r="W10" i="36" s="1"/>
  <c r="AT9" i="36"/>
  <c r="AP9" i="36"/>
  <c r="AH9" i="36"/>
  <c r="T9" i="36"/>
  <c r="W9" i="36" s="1"/>
  <c r="AT8" i="36"/>
  <c r="AP8" i="36"/>
  <c r="AH8" i="36"/>
  <c r="S8" i="36"/>
  <c r="T8" i="36" s="1"/>
  <c r="W8" i="36" s="1"/>
  <c r="AP7" i="36"/>
  <c r="AH7" i="36"/>
  <c r="W7" i="36"/>
  <c r="AT6" i="36"/>
  <c r="AP6" i="36"/>
  <c r="AH6" i="36"/>
  <c r="W6" i="36"/>
  <c r="AT5" i="36"/>
  <c r="AP5" i="36"/>
  <c r="AH5" i="36"/>
  <c r="W5" i="36"/>
  <c r="AP4" i="36"/>
  <c r="AH4" i="36"/>
  <c r="S4" i="36"/>
  <c r="T4" i="36" s="1"/>
  <c r="W4" i="36" s="1"/>
  <c r="AP3" i="36"/>
  <c r="AH3" i="36"/>
  <c r="S3" i="36"/>
  <c r="T3" i="36" s="1"/>
  <c r="W3" i="36" s="1"/>
  <c r="F27" i="35"/>
  <c r="F300" i="36" l="1"/>
  <c r="R284" i="36"/>
  <c r="W109" i="36"/>
  <c r="T114" i="36"/>
  <c r="W114" i="36" s="1"/>
  <c r="V284" i="36"/>
  <c r="S284" i="36"/>
  <c r="E299" i="36"/>
  <c r="E298" i="36"/>
  <c r="E292" i="36"/>
  <c r="E291" i="36"/>
  <c r="AG25" i="36"/>
  <c r="W25" i="36" s="1"/>
  <c r="E290" i="36"/>
  <c r="P18" i="35"/>
  <c r="W284" i="36" l="1"/>
  <c r="T284" i="36"/>
  <c r="E294" i="36" s="1"/>
  <c r="E300" i="36"/>
  <c r="E301" i="36" s="1"/>
  <c r="H291" i="36"/>
  <c r="J291" i="36" s="1"/>
  <c r="L291" i="36" s="1"/>
  <c r="N291" i="36" s="1"/>
  <c r="E293" i="36"/>
  <c r="P15" i="35"/>
  <c r="BF16" i="35"/>
  <c r="BF17" i="35"/>
  <c r="BF18" i="35"/>
  <c r="BF19" i="35"/>
  <c r="BF20" i="35"/>
  <c r="BF21" i="35"/>
  <c r="BF22" i="35"/>
  <c r="BF23" i="35"/>
  <c r="BF24" i="35"/>
  <c r="BF25" i="35"/>
  <c r="BF26" i="35"/>
  <c r="BF27" i="35"/>
  <c r="BF28" i="35"/>
  <c r="BF29" i="35"/>
  <c r="BF30" i="35"/>
  <c r="BF31" i="35"/>
  <c r="BF32" i="35"/>
  <c r="BF33" i="35"/>
  <c r="BF34" i="35"/>
  <c r="BF35" i="35"/>
  <c r="BF36" i="35"/>
  <c r="BF37" i="35"/>
  <c r="BF38" i="35"/>
  <c r="BF39" i="35"/>
  <c r="BF40" i="35"/>
  <c r="BF41" i="35"/>
  <c r="BF42" i="35"/>
  <c r="BF43" i="35"/>
  <c r="BF44" i="35"/>
  <c r="BF45" i="35"/>
  <c r="BF46" i="35"/>
  <c r="BF47" i="35"/>
  <c r="BF48" i="35"/>
  <c r="BF49" i="35"/>
  <c r="BF50" i="35"/>
  <c r="BF51" i="35"/>
  <c r="BF52" i="35"/>
  <c r="BF53" i="35"/>
  <c r="BF54" i="35"/>
  <c r="BF55" i="35"/>
  <c r="BF56" i="35"/>
  <c r="BF57" i="35"/>
  <c r="BF58" i="35"/>
  <c r="BF59" i="35"/>
  <c r="BF60" i="35"/>
  <c r="BF61" i="35"/>
  <c r="BF62" i="35"/>
  <c r="BF63" i="35"/>
  <c r="BF64" i="35"/>
  <c r="BF65" i="35"/>
  <c r="BF66" i="35"/>
  <c r="BF67" i="35"/>
  <c r="BF68" i="35"/>
  <c r="BF69" i="35"/>
  <c r="BF70" i="35"/>
  <c r="BF71" i="35"/>
  <c r="BF72" i="35"/>
  <c r="BF73" i="35"/>
  <c r="BF74" i="35"/>
  <c r="BF75" i="35"/>
  <c r="BF76" i="35"/>
  <c r="BF77" i="35"/>
  <c r="BF78" i="35"/>
  <c r="BF79" i="35"/>
  <c r="BF80" i="35"/>
  <c r="BF81" i="35"/>
  <c r="BF82" i="35"/>
  <c r="BF83" i="35"/>
  <c r="BF84" i="35"/>
  <c r="BF85" i="35"/>
  <c r="BF86" i="35"/>
  <c r="BF87" i="35"/>
  <c r="BF88" i="35"/>
  <c r="BF89" i="35"/>
  <c r="BF90" i="35"/>
  <c r="BF91" i="35"/>
  <c r="BF92" i="35"/>
  <c r="BF93" i="35"/>
  <c r="BF94" i="35"/>
  <c r="BF95" i="35"/>
  <c r="BF96" i="35"/>
  <c r="BF97" i="35"/>
  <c r="BF98" i="35"/>
  <c r="BF99" i="35"/>
  <c r="BF100" i="35"/>
  <c r="BF101" i="35"/>
  <c r="BF102" i="35"/>
  <c r="BF103" i="35"/>
  <c r="BF104" i="35"/>
  <c r="BF105" i="35"/>
  <c r="BF106" i="35"/>
  <c r="BF107" i="35"/>
  <c r="BF108" i="35"/>
  <c r="BF109" i="35"/>
  <c r="BF110" i="35"/>
  <c r="BF111" i="35"/>
  <c r="BF112" i="35"/>
  <c r="BF113" i="35"/>
  <c r="BF114" i="35"/>
  <c r="BF115" i="35"/>
  <c r="BF116" i="35"/>
  <c r="BF117" i="35"/>
  <c r="BF118" i="35"/>
  <c r="BF119" i="35"/>
  <c r="BF120" i="35"/>
  <c r="BF121" i="35"/>
  <c r="BF122" i="35"/>
  <c r="BF123" i="35"/>
  <c r="BF124" i="35"/>
  <c r="BF125" i="35"/>
  <c r="BF126" i="35"/>
  <c r="BF127" i="35"/>
  <c r="BF128" i="35"/>
  <c r="BF129" i="35"/>
  <c r="BF130" i="35"/>
  <c r="BF131" i="35"/>
  <c r="BF132" i="35"/>
  <c r="BF133" i="35"/>
  <c r="BF134" i="35"/>
  <c r="BF135" i="35"/>
  <c r="BF136" i="35"/>
  <c r="BF137" i="35"/>
  <c r="BF138" i="35"/>
  <c r="BF139" i="35"/>
  <c r="BF140" i="35"/>
  <c r="BF141" i="35"/>
  <c r="BF142" i="35"/>
  <c r="BF143" i="35"/>
  <c r="BF144" i="35"/>
  <c r="BF145" i="35"/>
  <c r="BF146" i="35"/>
  <c r="BF147" i="35"/>
  <c r="BF148" i="35"/>
  <c r="BF149" i="35"/>
  <c r="BF150" i="35"/>
  <c r="BF151" i="35"/>
  <c r="BF152" i="35"/>
  <c r="BF153" i="35"/>
  <c r="BF154" i="35"/>
  <c r="BF155" i="35"/>
  <c r="BF156" i="35"/>
  <c r="BF157" i="35"/>
  <c r="BF158" i="35"/>
  <c r="BF159" i="35"/>
  <c r="BF160" i="35"/>
  <c r="BF161" i="35"/>
  <c r="BF162" i="35"/>
  <c r="BF163" i="35"/>
  <c r="BF164" i="35"/>
  <c r="BF165" i="35"/>
  <c r="BF166" i="35"/>
  <c r="BF167" i="35"/>
  <c r="BF168" i="35"/>
  <c r="BF169" i="35"/>
  <c r="BF170" i="35"/>
  <c r="BF171" i="35"/>
  <c r="BF172" i="35"/>
  <c r="BF173" i="35"/>
  <c r="BF174" i="35"/>
  <c r="BF175" i="35"/>
  <c r="BF176" i="35"/>
  <c r="BF177" i="35"/>
  <c r="BF178" i="35"/>
  <c r="BF179" i="35"/>
  <c r="BF180" i="35"/>
  <c r="BF181" i="35"/>
  <c r="BF182" i="35"/>
  <c r="BF183" i="35"/>
  <c r="BF184" i="35"/>
  <c r="BF185" i="35"/>
  <c r="BF186" i="35"/>
  <c r="BF187" i="35"/>
  <c r="BF188" i="35"/>
  <c r="BF189" i="35"/>
  <c r="BF190" i="35"/>
  <c r="BF191" i="35"/>
  <c r="BF192" i="35"/>
  <c r="BF193" i="35"/>
  <c r="BF194" i="35"/>
  <c r="BF195" i="35"/>
  <c r="BF196" i="35"/>
  <c r="BF197" i="35"/>
  <c r="BF198" i="35"/>
  <c r="BF199" i="35"/>
  <c r="BF200" i="35"/>
  <c r="BF201" i="35"/>
  <c r="BF202" i="35"/>
  <c r="BF203" i="35"/>
  <c r="BF204" i="35"/>
  <c r="BF205" i="35"/>
  <c r="BF206" i="35"/>
  <c r="BF207" i="35"/>
  <c r="BF208" i="35"/>
  <c r="BF209" i="35"/>
  <c r="BF210" i="35"/>
  <c r="BF211" i="35"/>
  <c r="BF212" i="35"/>
  <c r="BF213" i="35"/>
  <c r="BF214" i="35"/>
  <c r="BF215" i="35"/>
  <c r="BF216" i="35"/>
  <c r="BF217" i="35"/>
  <c r="BF218" i="35"/>
  <c r="BF219" i="35"/>
  <c r="BF220" i="35"/>
  <c r="BF221" i="35"/>
  <c r="BF222" i="35"/>
  <c r="BF223" i="35"/>
  <c r="BF224" i="35"/>
  <c r="BF225" i="35"/>
  <c r="BF226" i="35"/>
  <c r="BF227" i="35"/>
  <c r="BF228" i="35"/>
  <c r="BF229" i="35"/>
  <c r="BF230" i="35"/>
  <c r="BF231" i="35"/>
  <c r="BF232" i="35"/>
  <c r="BF233" i="35"/>
  <c r="BF234" i="35"/>
  <c r="BF235" i="35"/>
  <c r="BF236" i="35"/>
  <c r="BF237" i="35"/>
  <c r="BF238" i="35"/>
  <c r="BF239" i="35"/>
  <c r="BF240" i="35"/>
  <c r="BF241" i="35"/>
  <c r="BF242" i="35"/>
  <c r="BF243" i="35"/>
  <c r="BF244" i="35"/>
  <c r="BF245" i="35"/>
  <c r="BF246" i="35"/>
  <c r="BF247" i="35"/>
  <c r="BF248" i="35"/>
  <c r="BF249" i="35"/>
  <c r="BF250" i="35"/>
  <c r="BF251" i="35"/>
  <c r="BF252" i="35"/>
  <c r="BF253" i="35"/>
  <c r="BF254" i="35"/>
  <c r="BF255" i="35"/>
  <c r="BF256" i="35"/>
  <c r="BF257" i="35"/>
  <c r="BF258" i="35"/>
  <c r="BF259" i="35"/>
  <c r="BF260" i="35"/>
  <c r="BF261" i="35"/>
  <c r="BF262" i="35"/>
  <c r="BF263" i="35"/>
  <c r="BF264" i="35"/>
  <c r="BF265" i="35"/>
  <c r="BF266" i="35"/>
  <c r="BF267" i="35"/>
  <c r="BF268" i="35"/>
  <c r="BF269" i="35"/>
  <c r="BF270" i="35"/>
  <c r="BF271" i="35"/>
  <c r="BF272" i="35"/>
  <c r="BF273" i="35"/>
  <c r="BF274" i="35"/>
  <c r="BF275" i="35"/>
  <c r="BF276" i="35"/>
  <c r="BF277" i="35"/>
  <c r="BF278" i="35"/>
  <c r="BF279" i="35"/>
  <c r="BF280" i="35"/>
  <c r="BF15" i="35"/>
  <c r="BD16" i="35"/>
  <c r="BD17" i="35"/>
  <c r="BD18" i="35"/>
  <c r="BD19" i="35"/>
  <c r="BD20" i="35"/>
  <c r="BD21" i="35"/>
  <c r="BD22" i="35"/>
  <c r="BD23" i="35"/>
  <c r="BD24" i="35"/>
  <c r="BD25" i="35"/>
  <c r="BD26" i="35"/>
  <c r="BD27" i="35"/>
  <c r="BD28" i="35"/>
  <c r="BD29" i="35"/>
  <c r="BD30" i="35"/>
  <c r="BD31" i="35"/>
  <c r="BD32" i="35"/>
  <c r="BD33" i="35"/>
  <c r="BD34" i="35"/>
  <c r="BD35" i="35"/>
  <c r="BD36" i="35"/>
  <c r="BD37" i="35"/>
  <c r="BD38" i="35"/>
  <c r="BD39" i="35"/>
  <c r="BD40" i="35"/>
  <c r="BD41" i="35"/>
  <c r="BD42" i="35"/>
  <c r="BD43" i="35"/>
  <c r="BD44" i="35"/>
  <c r="BD45" i="35"/>
  <c r="BD46" i="35"/>
  <c r="BD47" i="35"/>
  <c r="BD48" i="35"/>
  <c r="BD49" i="35"/>
  <c r="BD50" i="35"/>
  <c r="BD51" i="35"/>
  <c r="BD52" i="35"/>
  <c r="BD53" i="35"/>
  <c r="BD54" i="35"/>
  <c r="BD55" i="35"/>
  <c r="BD56" i="35"/>
  <c r="BD57" i="35"/>
  <c r="BD58" i="35"/>
  <c r="BD59" i="35"/>
  <c r="BD60" i="35"/>
  <c r="BD61" i="35"/>
  <c r="BD62" i="35"/>
  <c r="BD63" i="35"/>
  <c r="BD64" i="35"/>
  <c r="BD65" i="35"/>
  <c r="BD66" i="35"/>
  <c r="BD67" i="35"/>
  <c r="BD68" i="35"/>
  <c r="BD69" i="35"/>
  <c r="BD70" i="35"/>
  <c r="BD71" i="35"/>
  <c r="BD72" i="35"/>
  <c r="BD73" i="35"/>
  <c r="BD74" i="35"/>
  <c r="BD75" i="35"/>
  <c r="BD76" i="35"/>
  <c r="BD77" i="35"/>
  <c r="BD78" i="35"/>
  <c r="BD79" i="35"/>
  <c r="BD80" i="35"/>
  <c r="BD81" i="35"/>
  <c r="BD82" i="35"/>
  <c r="BD83" i="35"/>
  <c r="BD84" i="35"/>
  <c r="BD85" i="35"/>
  <c r="BD86" i="35"/>
  <c r="BD87" i="35"/>
  <c r="BD88" i="35"/>
  <c r="BD89" i="35"/>
  <c r="BD90" i="35"/>
  <c r="BD91" i="35"/>
  <c r="BD92" i="35"/>
  <c r="BD93" i="35"/>
  <c r="BD94" i="35"/>
  <c r="BD95" i="35"/>
  <c r="BD96" i="35"/>
  <c r="BD97" i="35"/>
  <c r="BD98" i="35"/>
  <c r="BD99" i="35"/>
  <c r="BD100" i="35"/>
  <c r="BD101" i="35"/>
  <c r="BD102" i="35"/>
  <c r="BD103" i="35"/>
  <c r="BD104" i="35"/>
  <c r="BD105" i="35"/>
  <c r="BD106" i="35"/>
  <c r="BD107" i="35"/>
  <c r="BD108" i="35"/>
  <c r="BD109" i="35"/>
  <c r="BD110" i="35"/>
  <c r="BD111" i="35"/>
  <c r="BD112" i="35"/>
  <c r="BD113" i="35"/>
  <c r="BD114" i="35"/>
  <c r="BD115" i="35"/>
  <c r="BD116" i="35"/>
  <c r="BD117" i="35"/>
  <c r="BD118" i="35"/>
  <c r="BD119" i="35"/>
  <c r="BD120" i="35"/>
  <c r="BD121" i="35"/>
  <c r="BD122" i="35"/>
  <c r="BD123" i="35"/>
  <c r="BD124" i="35"/>
  <c r="BD125" i="35"/>
  <c r="BD126" i="35"/>
  <c r="BD127" i="35"/>
  <c r="BD128" i="35"/>
  <c r="BD129" i="35"/>
  <c r="BD130" i="35"/>
  <c r="BD131" i="35"/>
  <c r="BD132" i="35"/>
  <c r="BD133" i="35"/>
  <c r="BD134" i="35"/>
  <c r="BD135" i="35"/>
  <c r="BD136" i="35"/>
  <c r="BD137" i="35"/>
  <c r="BD138" i="35"/>
  <c r="BD139" i="35"/>
  <c r="BD140" i="35"/>
  <c r="BD141" i="35"/>
  <c r="BD142" i="35"/>
  <c r="BD143" i="35"/>
  <c r="BD144" i="35"/>
  <c r="BD145" i="35"/>
  <c r="BD146" i="35"/>
  <c r="BD147" i="35"/>
  <c r="BD148" i="35"/>
  <c r="BD149" i="35"/>
  <c r="BD150" i="35"/>
  <c r="BD151" i="35"/>
  <c r="BD152" i="35"/>
  <c r="BD153" i="35"/>
  <c r="BD154" i="35"/>
  <c r="BD155" i="35"/>
  <c r="BD156" i="35"/>
  <c r="BD157" i="35"/>
  <c r="BD158" i="35"/>
  <c r="BD159" i="35"/>
  <c r="BD160" i="35"/>
  <c r="BD161" i="35"/>
  <c r="BD162" i="35"/>
  <c r="BD163" i="35"/>
  <c r="BD164" i="35"/>
  <c r="BD165" i="35"/>
  <c r="BD166" i="35"/>
  <c r="BD167" i="35"/>
  <c r="BD168" i="35"/>
  <c r="BD169" i="35"/>
  <c r="BD170" i="35"/>
  <c r="BD171" i="35"/>
  <c r="BD172" i="35"/>
  <c r="BD173" i="35"/>
  <c r="BD174" i="35"/>
  <c r="BD175" i="35"/>
  <c r="BD176" i="35"/>
  <c r="BD177" i="35"/>
  <c r="BD178" i="35"/>
  <c r="BD179" i="35"/>
  <c r="BD180" i="35"/>
  <c r="BD181" i="35"/>
  <c r="BD182" i="35"/>
  <c r="BD183" i="35"/>
  <c r="BD184" i="35"/>
  <c r="BD185" i="35"/>
  <c r="BD186" i="35"/>
  <c r="BD187" i="35"/>
  <c r="BD188" i="35"/>
  <c r="BD15" i="35"/>
  <c r="AM94" i="35"/>
  <c r="AM20" i="35"/>
  <c r="AM21" i="35"/>
  <c r="AM22" i="35"/>
  <c r="AM23" i="35"/>
  <c r="AM24" i="35"/>
  <c r="AM25" i="35"/>
  <c r="AM26" i="35"/>
  <c r="AM27" i="35"/>
  <c r="AM28" i="35"/>
  <c r="AM29" i="35"/>
  <c r="AM30" i="35"/>
  <c r="AM31" i="35"/>
  <c r="AM32" i="35"/>
  <c r="AM33" i="35"/>
  <c r="AM34" i="35"/>
  <c r="AM35" i="35"/>
  <c r="AM37" i="35"/>
  <c r="AM38" i="35"/>
  <c r="AM39" i="35"/>
  <c r="AM40" i="35"/>
  <c r="AM41" i="35"/>
  <c r="AM42" i="35"/>
  <c r="AM43" i="35"/>
  <c r="AM44" i="35"/>
  <c r="AM45" i="35"/>
  <c r="AM46" i="35"/>
  <c r="AM48" i="35"/>
  <c r="AM49" i="35"/>
  <c r="AM50" i="35"/>
  <c r="AM51" i="35"/>
  <c r="AM52" i="35"/>
  <c r="AM53" i="35"/>
  <c r="AM54" i="35"/>
  <c r="AM55" i="35"/>
  <c r="AM56" i="35"/>
  <c r="AM57" i="35"/>
  <c r="AM58" i="35"/>
  <c r="AM62" i="35"/>
  <c r="AM63" i="35"/>
  <c r="AM64" i="35"/>
  <c r="AM65" i="35"/>
  <c r="AM66" i="35"/>
  <c r="AM67" i="35"/>
  <c r="AM68" i="35"/>
  <c r="AM69" i="35"/>
  <c r="AM70" i="35"/>
  <c r="AM71" i="35"/>
  <c r="AM72" i="35"/>
  <c r="AM73" i="35"/>
  <c r="AM74" i="35"/>
  <c r="AM75" i="35"/>
  <c r="AM76" i="35"/>
  <c r="AM77" i="35"/>
  <c r="AM78" i="35"/>
  <c r="AM79" i="35"/>
  <c r="AM80" i="35"/>
  <c r="AM81" i="35"/>
  <c r="AM82" i="35"/>
  <c r="AM83" i="35"/>
  <c r="AM84" i="35"/>
  <c r="AM85" i="35"/>
  <c r="AM86" i="35"/>
  <c r="AM87" i="35"/>
  <c r="AM88" i="35"/>
  <c r="AM89" i="35"/>
  <c r="AM90" i="35"/>
  <c r="AM91" i="35"/>
  <c r="AM92" i="35"/>
  <c r="AM93" i="35"/>
  <c r="AM95" i="35"/>
  <c r="AM96" i="35"/>
  <c r="AM97" i="35"/>
  <c r="AM98" i="35"/>
  <c r="AM99" i="35"/>
  <c r="AM100" i="35"/>
  <c r="AM101" i="35"/>
  <c r="AM102" i="35"/>
  <c r="AM103" i="35"/>
  <c r="AM104" i="35"/>
  <c r="AM105" i="35"/>
  <c r="AM106" i="35"/>
  <c r="AM107" i="35"/>
  <c r="AM108" i="35"/>
  <c r="AM109" i="35"/>
  <c r="AM110" i="35"/>
  <c r="AM111" i="35"/>
  <c r="AM112" i="35"/>
  <c r="AM113" i="35"/>
  <c r="AM114" i="35"/>
  <c r="AM115" i="35"/>
  <c r="AM116" i="35"/>
  <c r="AM117" i="35"/>
  <c r="AM118" i="35"/>
  <c r="AM119" i="35"/>
  <c r="AM120" i="35"/>
  <c r="AM121" i="35"/>
  <c r="AM122" i="35"/>
  <c r="AM123" i="35"/>
  <c r="AM124" i="35"/>
  <c r="AM125" i="35"/>
  <c r="AM126" i="35"/>
  <c r="AM127" i="35"/>
  <c r="AM128" i="35"/>
  <c r="AM129" i="35"/>
  <c r="AM130" i="35"/>
  <c r="AM131" i="35"/>
  <c r="AM132" i="35"/>
  <c r="AM133" i="35"/>
  <c r="AM134" i="35"/>
  <c r="AM135" i="35"/>
  <c r="AM136" i="35"/>
  <c r="AM137" i="35"/>
  <c r="AM138" i="35"/>
  <c r="AM139" i="35"/>
  <c r="AM140" i="35"/>
  <c r="AM141" i="35"/>
  <c r="AM142" i="35"/>
  <c r="AM143" i="35"/>
  <c r="AM144" i="35"/>
  <c r="AM145" i="35"/>
  <c r="AM146" i="35"/>
  <c r="AM147" i="35"/>
  <c r="AM148" i="35"/>
  <c r="AM149" i="35"/>
  <c r="AM150" i="35"/>
  <c r="AM151" i="35"/>
  <c r="AM152" i="35"/>
  <c r="AM153" i="35"/>
  <c r="AM154" i="35"/>
  <c r="AM155" i="35"/>
  <c r="AM156" i="35"/>
  <c r="AM157" i="35"/>
  <c r="AM158" i="35"/>
  <c r="AM159" i="35"/>
  <c r="AM160" i="35"/>
  <c r="AM161" i="35"/>
  <c r="AM162" i="35"/>
  <c r="AM163" i="35"/>
  <c r="AM164" i="35"/>
  <c r="AM165" i="35"/>
  <c r="AM166" i="35"/>
  <c r="AM167" i="35"/>
  <c r="AM168" i="35"/>
  <c r="AM169" i="35"/>
  <c r="AM170" i="35"/>
  <c r="AM171" i="35"/>
  <c r="AM172" i="35"/>
  <c r="AM173" i="35"/>
  <c r="AM174" i="35"/>
  <c r="AM175" i="35"/>
  <c r="AM176" i="35"/>
  <c r="AM177" i="35"/>
  <c r="AM178" i="35"/>
  <c r="AM179" i="35"/>
  <c r="AM180" i="35"/>
  <c r="AM181" i="35"/>
  <c r="AM182" i="35"/>
  <c r="AM183" i="35"/>
  <c r="AM184" i="35"/>
  <c r="AM185" i="35"/>
  <c r="AM186" i="35"/>
  <c r="AM187" i="35"/>
  <c r="AM188" i="35"/>
  <c r="AM189" i="35"/>
  <c r="AM190" i="35"/>
  <c r="AM191" i="35"/>
  <c r="AM192" i="35"/>
  <c r="AM193" i="35"/>
  <c r="AM194" i="35"/>
  <c r="AM195" i="35"/>
  <c r="AM196" i="35"/>
  <c r="AM197" i="35"/>
  <c r="AM198" i="35"/>
  <c r="AM199" i="35"/>
  <c r="AM200" i="35"/>
  <c r="AM201" i="35"/>
  <c r="AM202" i="35"/>
  <c r="AM203" i="35"/>
  <c r="AM204" i="35"/>
  <c r="AM205" i="35"/>
  <c r="AM206" i="35"/>
  <c r="AM207" i="35"/>
  <c r="AM208" i="35"/>
  <c r="AM209" i="35"/>
  <c r="AM210" i="35"/>
  <c r="AM211" i="35"/>
  <c r="AM212" i="35"/>
  <c r="AM213" i="35"/>
  <c r="AM214" i="35"/>
  <c r="AM215" i="35"/>
  <c r="AM216" i="35"/>
  <c r="AM217" i="35"/>
  <c r="AM218" i="35"/>
  <c r="AM219" i="35"/>
  <c r="AM220" i="35"/>
  <c r="AM221" i="35"/>
  <c r="AM222" i="35"/>
  <c r="AM223" i="35"/>
  <c r="AM224" i="35"/>
  <c r="AM225" i="35"/>
  <c r="AM226" i="35"/>
  <c r="AM227" i="35"/>
  <c r="AM228" i="35"/>
  <c r="AM229" i="35"/>
  <c r="AM230" i="35"/>
  <c r="AM231" i="35"/>
  <c r="AM232" i="35"/>
  <c r="AM233" i="35"/>
  <c r="AM234" i="35"/>
  <c r="AM235" i="35"/>
  <c r="AM236" i="35"/>
  <c r="AM237" i="35"/>
  <c r="AM238" i="35"/>
  <c r="AM239" i="35"/>
  <c r="AM240" i="35"/>
  <c r="AM241" i="35"/>
  <c r="AM242" i="35"/>
  <c r="AM243" i="35"/>
  <c r="AM244" i="35"/>
  <c r="AM245" i="35"/>
  <c r="AM246" i="35"/>
  <c r="AM247" i="35"/>
  <c r="AM248" i="35"/>
  <c r="AM249" i="35"/>
  <c r="AM250" i="35"/>
  <c r="AM251" i="35"/>
  <c r="AM252" i="35"/>
  <c r="AM253" i="35"/>
  <c r="AM254" i="35"/>
  <c r="AM255" i="35"/>
  <c r="AM256" i="35"/>
  <c r="AM257" i="35"/>
  <c r="AM258" i="35"/>
  <c r="AM259" i="35"/>
  <c r="AM260" i="35"/>
  <c r="AM261" i="35"/>
  <c r="AM262" i="35"/>
  <c r="AM263" i="35"/>
  <c r="AM264" i="35"/>
  <c r="AM265" i="35"/>
  <c r="AM266" i="35"/>
  <c r="AM267" i="35"/>
  <c r="AM268" i="35"/>
  <c r="AM269" i="35"/>
  <c r="AM270" i="35"/>
  <c r="AM271" i="35"/>
  <c r="AM272" i="35"/>
  <c r="AM273" i="35"/>
  <c r="AM274" i="35"/>
  <c r="AM275" i="35"/>
  <c r="AM276" i="35"/>
  <c r="AM277" i="35"/>
  <c r="AM278" i="35"/>
  <c r="AM279" i="35"/>
  <c r="AM280" i="35"/>
  <c r="AM16" i="35"/>
  <c r="AM17" i="35"/>
  <c r="AM18" i="35"/>
  <c r="AM19" i="35"/>
  <c r="AM15"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89" i="35"/>
  <c r="AC90" i="35"/>
  <c r="AC91" i="35"/>
  <c r="AC92" i="35"/>
  <c r="AC93" i="35"/>
  <c r="AC94" i="35"/>
  <c r="AC95"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6" i="35"/>
  <c r="AC197" i="35"/>
  <c r="AC198" i="35"/>
  <c r="AC199" i="35"/>
  <c r="AC200" i="35"/>
  <c r="AC201" i="35"/>
  <c r="AC202" i="35"/>
  <c r="AC203" i="35"/>
  <c r="AC204" i="35"/>
  <c r="AC205" i="35"/>
  <c r="AC206" i="35"/>
  <c r="AC207" i="35"/>
  <c r="AC208" i="35"/>
  <c r="AC209" i="35"/>
  <c r="AC210" i="35"/>
  <c r="AC211" i="35"/>
  <c r="AC212" i="35"/>
  <c r="AC213" i="35"/>
  <c r="AC214"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5" i="35"/>
  <c r="AC256" i="35"/>
  <c r="AC257" i="35"/>
  <c r="AC258"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W280" i="35"/>
  <c r="X280" i="35" s="1"/>
  <c r="W279" i="35"/>
  <c r="X279" i="35" s="1"/>
  <c r="W278" i="35"/>
  <c r="X278" i="35" s="1"/>
  <c r="W277" i="35"/>
  <c r="X277" i="35" s="1"/>
  <c r="W276" i="35"/>
  <c r="X276" i="35" s="1"/>
  <c r="W275" i="35"/>
  <c r="X275" i="35" s="1"/>
  <c r="W274" i="35"/>
  <c r="X274" i="35" s="1"/>
  <c r="W273" i="35"/>
  <c r="X273" i="35" s="1"/>
  <c r="W272" i="35"/>
  <c r="X272" i="35" s="1"/>
  <c r="W271" i="35"/>
  <c r="X271" i="35" s="1"/>
  <c r="W270" i="35"/>
  <c r="X270" i="35" s="1"/>
  <c r="W269" i="35"/>
  <c r="X269" i="35" s="1"/>
  <c r="W268" i="35"/>
  <c r="X268" i="35" s="1"/>
  <c r="W267" i="35"/>
  <c r="X267" i="35" s="1"/>
  <c r="W266" i="35"/>
  <c r="X266" i="35" s="1"/>
  <c r="W265" i="35"/>
  <c r="X265" i="35" s="1"/>
  <c r="W264" i="35"/>
  <c r="X264" i="35" s="1"/>
  <c r="W263" i="35"/>
  <c r="X263" i="35" s="1"/>
  <c r="W262" i="35"/>
  <c r="X262" i="35" s="1"/>
  <c r="W261" i="35"/>
  <c r="X261" i="35" s="1"/>
  <c r="W260" i="35"/>
  <c r="X260" i="35" s="1"/>
  <c r="W259" i="35"/>
  <c r="X259" i="35" s="1"/>
  <c r="W258" i="35"/>
  <c r="X258" i="35" s="1"/>
  <c r="W257" i="35"/>
  <c r="X257" i="35" s="1"/>
  <c r="W256" i="35"/>
  <c r="X256" i="35" s="1"/>
  <c r="W255" i="35"/>
  <c r="X255" i="35" s="1"/>
  <c r="W254" i="35"/>
  <c r="X254" i="35" s="1"/>
  <c r="W253" i="35"/>
  <c r="X253" i="35" s="1"/>
  <c r="W252" i="35"/>
  <c r="X252" i="35" s="1"/>
  <c r="W251" i="35"/>
  <c r="X251" i="35" s="1"/>
  <c r="W250" i="35"/>
  <c r="X250" i="35" s="1"/>
  <c r="W249" i="35"/>
  <c r="X249" i="35" s="1"/>
  <c r="W248" i="35"/>
  <c r="X248" i="35" s="1"/>
  <c r="W247" i="35"/>
  <c r="X247" i="35" s="1"/>
  <c r="W246" i="35"/>
  <c r="X246" i="35" s="1"/>
  <c r="W245" i="35"/>
  <c r="X245" i="35" s="1"/>
  <c r="W244" i="35"/>
  <c r="X244" i="35" s="1"/>
  <c r="W243" i="35"/>
  <c r="X243" i="35" s="1"/>
  <c r="W242" i="35"/>
  <c r="X242" i="35" s="1"/>
  <c r="W241" i="35"/>
  <c r="X241" i="35" s="1"/>
  <c r="W240" i="35"/>
  <c r="X240" i="35" s="1"/>
  <c r="W239" i="35"/>
  <c r="X239" i="35" s="1"/>
  <c r="W238" i="35"/>
  <c r="X238" i="35" s="1"/>
  <c r="W237" i="35"/>
  <c r="X237" i="35" s="1"/>
  <c r="W236" i="35"/>
  <c r="X236" i="35" s="1"/>
  <c r="W235" i="35"/>
  <c r="X235" i="35" s="1"/>
  <c r="W234" i="35"/>
  <c r="X234" i="35" s="1"/>
  <c r="W233" i="35"/>
  <c r="X233" i="35" s="1"/>
  <c r="W232" i="35"/>
  <c r="X232" i="35" s="1"/>
  <c r="W231" i="35"/>
  <c r="X231" i="35" s="1"/>
  <c r="W230" i="35"/>
  <c r="X230" i="35" s="1"/>
  <c r="W229" i="35"/>
  <c r="X229" i="35" s="1"/>
  <c r="W228" i="35"/>
  <c r="X228" i="35" s="1"/>
  <c r="W227" i="35"/>
  <c r="X227" i="35" s="1"/>
  <c r="W226" i="35"/>
  <c r="X226" i="35" s="1"/>
  <c r="W225" i="35"/>
  <c r="X225" i="35" s="1"/>
  <c r="W224" i="35"/>
  <c r="X224" i="35" s="1"/>
  <c r="W223" i="35"/>
  <c r="X223" i="35" s="1"/>
  <c r="W222" i="35"/>
  <c r="X222" i="35" s="1"/>
  <c r="W221" i="35"/>
  <c r="X221" i="35" s="1"/>
  <c r="W220" i="35"/>
  <c r="X220" i="35" s="1"/>
  <c r="W219" i="35"/>
  <c r="X219" i="35" s="1"/>
  <c r="W218" i="35"/>
  <c r="X218" i="35" s="1"/>
  <c r="W217" i="35"/>
  <c r="X217" i="35" s="1"/>
  <c r="W216" i="35"/>
  <c r="X216" i="35" s="1"/>
  <c r="W215" i="35"/>
  <c r="X215" i="35" s="1"/>
  <c r="W214" i="35"/>
  <c r="X214" i="35" s="1"/>
  <c r="W213" i="35"/>
  <c r="X213" i="35" s="1"/>
  <c r="W212" i="35"/>
  <c r="X212" i="35" s="1"/>
  <c r="W211" i="35"/>
  <c r="X211" i="35" s="1"/>
  <c r="W210" i="35"/>
  <c r="X210" i="35" s="1"/>
  <c r="W209" i="35"/>
  <c r="X209" i="35" s="1"/>
  <c r="W208" i="35"/>
  <c r="X208" i="35" s="1"/>
  <c r="W207" i="35"/>
  <c r="X207" i="35" s="1"/>
  <c r="W206" i="35"/>
  <c r="X206" i="35" s="1"/>
  <c r="W205" i="35"/>
  <c r="X205" i="35" s="1"/>
  <c r="W204" i="35"/>
  <c r="X204" i="35" s="1"/>
  <c r="W203" i="35"/>
  <c r="X203" i="35" s="1"/>
  <c r="W202" i="35"/>
  <c r="X202" i="35" s="1"/>
  <c r="W201" i="35"/>
  <c r="X201" i="35" s="1"/>
  <c r="W200" i="35"/>
  <c r="X200" i="35" s="1"/>
  <c r="W199" i="35"/>
  <c r="X199" i="35" s="1"/>
  <c r="W198" i="35"/>
  <c r="X198" i="35" s="1"/>
  <c r="W197" i="35"/>
  <c r="X197" i="35" s="1"/>
  <c r="W196" i="35"/>
  <c r="X196" i="35" s="1"/>
  <c r="W195" i="35"/>
  <c r="X195" i="35" s="1"/>
  <c r="W194" i="35"/>
  <c r="X194" i="35" s="1"/>
  <c r="W193" i="35"/>
  <c r="X193" i="35" s="1"/>
  <c r="W192" i="35"/>
  <c r="X192" i="35" s="1"/>
  <c r="W191" i="35"/>
  <c r="X191" i="35" s="1"/>
  <c r="W190" i="35"/>
  <c r="X190" i="35" s="1"/>
  <c r="W189" i="35"/>
  <c r="X189" i="35" s="1"/>
  <c r="W188" i="35"/>
  <c r="X188" i="35" s="1"/>
  <c r="W187" i="35"/>
  <c r="X187" i="35" s="1"/>
  <c r="W186" i="35"/>
  <c r="X186" i="35" s="1"/>
  <c r="W185" i="35"/>
  <c r="X185" i="35" s="1"/>
  <c r="W184" i="35"/>
  <c r="X184" i="35" s="1"/>
  <c r="W183" i="35"/>
  <c r="X183" i="35" s="1"/>
  <c r="W182" i="35"/>
  <c r="X182" i="35" s="1"/>
  <c r="W181" i="35"/>
  <c r="X181" i="35" s="1"/>
  <c r="W180" i="35"/>
  <c r="X180" i="35" s="1"/>
  <c r="W179" i="35"/>
  <c r="X179" i="35" s="1"/>
  <c r="W178" i="35"/>
  <c r="X178" i="35" s="1"/>
  <c r="W177" i="35"/>
  <c r="X177" i="35" s="1"/>
  <c r="W176" i="35"/>
  <c r="X176" i="35" s="1"/>
  <c r="W175" i="35"/>
  <c r="X175" i="35" s="1"/>
  <c r="W174" i="35"/>
  <c r="X174" i="35" s="1"/>
  <c r="W173" i="35"/>
  <c r="X173" i="35" s="1"/>
  <c r="W172" i="35"/>
  <c r="X172" i="35" s="1"/>
  <c r="W171" i="35"/>
  <c r="X171" i="35" s="1"/>
  <c r="W170" i="35"/>
  <c r="X170" i="35" s="1"/>
  <c r="W169" i="35"/>
  <c r="X169" i="35" s="1"/>
  <c r="W168" i="35"/>
  <c r="X168" i="35" s="1"/>
  <c r="W167" i="35"/>
  <c r="X167" i="35" s="1"/>
  <c r="W166" i="35"/>
  <c r="X166" i="35" s="1"/>
  <c r="W165" i="35"/>
  <c r="X165" i="35" s="1"/>
  <c r="W164" i="35"/>
  <c r="X164" i="35" s="1"/>
  <c r="W163" i="35"/>
  <c r="X163" i="35" s="1"/>
  <c r="W162" i="35"/>
  <c r="X162" i="35" s="1"/>
  <c r="W161" i="35"/>
  <c r="X161" i="35" s="1"/>
  <c r="W160" i="35"/>
  <c r="X160" i="35" s="1"/>
  <c r="W159" i="35"/>
  <c r="X159" i="35" s="1"/>
  <c r="W158" i="35"/>
  <c r="X158" i="35" s="1"/>
  <c r="W157" i="35"/>
  <c r="X157" i="35" s="1"/>
  <c r="W156" i="35"/>
  <c r="X156" i="35" s="1"/>
  <c r="W155" i="35"/>
  <c r="X155" i="35" s="1"/>
  <c r="W154" i="35"/>
  <c r="X154" i="35" s="1"/>
  <c r="W153" i="35"/>
  <c r="X153" i="35" s="1"/>
  <c r="W152" i="35"/>
  <c r="X152" i="35" s="1"/>
  <c r="W151" i="35"/>
  <c r="X151" i="35" s="1"/>
  <c r="W150" i="35"/>
  <c r="X150" i="35" s="1"/>
  <c r="W149" i="35"/>
  <c r="X149" i="35" s="1"/>
  <c r="W148" i="35"/>
  <c r="X148" i="35" s="1"/>
  <c r="W147" i="35"/>
  <c r="X147" i="35" s="1"/>
  <c r="W146" i="35"/>
  <c r="X146" i="35" s="1"/>
  <c r="W145" i="35"/>
  <c r="X145" i="35" s="1"/>
  <c r="W144" i="35"/>
  <c r="X144" i="35" s="1"/>
  <c r="W143" i="35"/>
  <c r="X143" i="35" s="1"/>
  <c r="W142" i="35"/>
  <c r="X142" i="35" s="1"/>
  <c r="W141" i="35"/>
  <c r="X141" i="35" s="1"/>
  <c r="W140" i="35"/>
  <c r="X140" i="35" s="1"/>
  <c r="W139" i="35"/>
  <c r="X139" i="35" s="1"/>
  <c r="W138" i="35"/>
  <c r="X138" i="35" s="1"/>
  <c r="W137" i="35"/>
  <c r="X137" i="35" s="1"/>
  <c r="W136" i="35"/>
  <c r="X136" i="35" s="1"/>
  <c r="W135" i="35"/>
  <c r="X135" i="35" s="1"/>
  <c r="W134" i="35"/>
  <c r="X134" i="35" s="1"/>
  <c r="W133" i="35"/>
  <c r="X133" i="35" s="1"/>
  <c r="W132" i="35"/>
  <c r="X132" i="35" s="1"/>
  <c r="W131" i="35"/>
  <c r="X131" i="35" s="1"/>
  <c r="W130" i="35"/>
  <c r="X130" i="35" s="1"/>
  <c r="W129" i="35"/>
  <c r="X129" i="35" s="1"/>
  <c r="W128" i="35"/>
  <c r="X128" i="35" s="1"/>
  <c r="W127" i="35"/>
  <c r="X127" i="35" s="1"/>
  <c r="W126" i="35"/>
  <c r="X126" i="35" s="1"/>
  <c r="W125" i="35"/>
  <c r="X125" i="35" s="1"/>
  <c r="W124" i="35"/>
  <c r="X124" i="35" s="1"/>
  <c r="W123" i="35"/>
  <c r="X123" i="35" s="1"/>
  <c r="W122" i="35"/>
  <c r="X122" i="35" s="1"/>
  <c r="W121" i="35"/>
  <c r="X121" i="35" s="1"/>
  <c r="W120" i="35"/>
  <c r="X120" i="35" s="1"/>
  <c r="W119" i="35"/>
  <c r="X119" i="35" s="1"/>
  <c r="W118" i="35"/>
  <c r="X118" i="35" s="1"/>
  <c r="W117" i="35"/>
  <c r="X117" i="35" s="1"/>
  <c r="W116" i="35"/>
  <c r="X116" i="35" s="1"/>
  <c r="W115" i="35"/>
  <c r="X115" i="35" s="1"/>
  <c r="W114" i="35"/>
  <c r="X114" i="35" s="1"/>
  <c r="W113" i="35"/>
  <c r="X113" i="35" s="1"/>
  <c r="W112" i="35"/>
  <c r="X112" i="35" s="1"/>
  <c r="W111" i="35"/>
  <c r="X111" i="35" s="1"/>
  <c r="W110" i="35"/>
  <c r="X110" i="35" s="1"/>
  <c r="W109" i="35"/>
  <c r="X109" i="35" s="1"/>
  <c r="W108" i="35"/>
  <c r="X108" i="35" s="1"/>
  <c r="W107" i="35"/>
  <c r="X107" i="35" s="1"/>
  <c r="W106" i="35"/>
  <c r="X106" i="35" s="1"/>
  <c r="W105" i="35"/>
  <c r="X105" i="35" s="1"/>
  <c r="W104" i="35"/>
  <c r="X104" i="35" s="1"/>
  <c r="W103" i="35"/>
  <c r="X103" i="35" s="1"/>
  <c r="W102" i="35"/>
  <c r="X102" i="35" s="1"/>
  <c r="W101" i="35"/>
  <c r="X101" i="35" s="1"/>
  <c r="W100" i="35"/>
  <c r="X100" i="35" s="1"/>
  <c r="W99" i="35"/>
  <c r="X99" i="35" s="1"/>
  <c r="W98" i="35"/>
  <c r="X98" i="35" s="1"/>
  <c r="W97" i="35"/>
  <c r="X97" i="35" s="1"/>
  <c r="W96" i="35"/>
  <c r="X96" i="35" s="1"/>
  <c r="W95" i="35"/>
  <c r="X95" i="35" s="1"/>
  <c r="W94" i="35"/>
  <c r="X94" i="35" s="1"/>
  <c r="W93" i="35"/>
  <c r="X93" i="35" s="1"/>
  <c r="W92" i="35"/>
  <c r="X92" i="35" s="1"/>
  <c r="W91" i="35"/>
  <c r="X91" i="35" s="1"/>
  <c r="W90" i="35"/>
  <c r="X90" i="35" s="1"/>
  <c r="W89" i="35"/>
  <c r="X89" i="35" s="1"/>
  <c r="W88" i="35"/>
  <c r="X88" i="35" s="1"/>
  <c r="W87" i="35"/>
  <c r="X87" i="35" s="1"/>
  <c r="W86" i="35"/>
  <c r="X86" i="35" s="1"/>
  <c r="W85" i="35"/>
  <c r="X85" i="35" s="1"/>
  <c r="W84" i="35"/>
  <c r="X84" i="35" s="1"/>
  <c r="W83" i="35"/>
  <c r="X83" i="35" s="1"/>
  <c r="W82" i="35"/>
  <c r="X82" i="35" s="1"/>
  <c r="W81" i="35"/>
  <c r="X81" i="35" s="1"/>
  <c r="W80" i="35"/>
  <c r="X80" i="35" s="1"/>
  <c r="W79" i="35"/>
  <c r="X79" i="35" s="1"/>
  <c r="W78" i="35"/>
  <c r="X78" i="35" s="1"/>
  <c r="W77" i="35"/>
  <c r="X77" i="35" s="1"/>
  <c r="W76" i="35"/>
  <c r="X76" i="35" s="1"/>
  <c r="W75" i="35"/>
  <c r="X75" i="35" s="1"/>
  <c r="W74" i="35"/>
  <c r="X74" i="35" s="1"/>
  <c r="W73" i="35"/>
  <c r="X73" i="35" s="1"/>
  <c r="W72" i="35"/>
  <c r="X72" i="35" s="1"/>
  <c r="W71" i="35"/>
  <c r="X71" i="35" s="1"/>
  <c r="W70" i="35"/>
  <c r="X70" i="35" s="1"/>
  <c r="W69" i="35"/>
  <c r="X69" i="35" s="1"/>
  <c r="W68" i="35"/>
  <c r="X68" i="35" s="1"/>
  <c r="W67" i="35"/>
  <c r="X67" i="35" s="1"/>
  <c r="W66" i="35"/>
  <c r="X66" i="35" s="1"/>
  <c r="W65" i="35"/>
  <c r="X65" i="35" s="1"/>
  <c r="W64" i="35"/>
  <c r="X64" i="35" s="1"/>
  <c r="W63" i="35"/>
  <c r="X63" i="35" s="1"/>
  <c r="W62" i="35"/>
  <c r="X62" i="35" s="1"/>
  <c r="W61" i="35"/>
  <c r="X61" i="35" s="1"/>
  <c r="W60" i="35"/>
  <c r="X60" i="35" s="1"/>
  <c r="W59" i="35"/>
  <c r="X59" i="35" s="1"/>
  <c r="W58" i="35"/>
  <c r="X58" i="35" s="1"/>
  <c r="W57" i="35"/>
  <c r="X57" i="35" s="1"/>
  <c r="W56" i="35"/>
  <c r="X56" i="35" s="1"/>
  <c r="W55" i="35"/>
  <c r="X55" i="35" s="1"/>
  <c r="W54" i="35"/>
  <c r="X54" i="35" s="1"/>
  <c r="W53" i="35"/>
  <c r="X53" i="35" s="1"/>
  <c r="W52" i="35"/>
  <c r="X52" i="35" s="1"/>
  <c r="W51" i="35"/>
  <c r="X51" i="35" s="1"/>
  <c r="W50" i="35"/>
  <c r="X50" i="35" s="1"/>
  <c r="W49" i="35"/>
  <c r="X49" i="35" s="1"/>
  <c r="W48" i="35"/>
  <c r="X48" i="35" s="1"/>
  <c r="W46" i="35"/>
  <c r="X46" i="35" s="1"/>
  <c r="W45" i="35"/>
  <c r="X45" i="35" s="1"/>
  <c r="W44" i="35"/>
  <c r="X44" i="35" s="1"/>
  <c r="W43" i="35"/>
  <c r="X43" i="35" s="1"/>
  <c r="W42" i="35"/>
  <c r="X42" i="35" s="1"/>
  <c r="W41" i="35"/>
  <c r="X41" i="35" s="1"/>
  <c r="W40" i="35"/>
  <c r="X40" i="35" s="1"/>
  <c r="W39" i="35"/>
  <c r="X39" i="35" s="1"/>
  <c r="W38" i="35"/>
  <c r="X38" i="35" s="1"/>
  <c r="W37" i="35"/>
  <c r="X37" i="35" s="1"/>
  <c r="W36" i="35"/>
  <c r="X36" i="35" s="1"/>
  <c r="W35" i="35"/>
  <c r="X35" i="35" s="1"/>
  <c r="W34" i="35"/>
  <c r="X34" i="35" s="1"/>
  <c r="W33" i="35"/>
  <c r="X33" i="35" s="1"/>
  <c r="W32" i="35"/>
  <c r="X32" i="35" s="1"/>
  <c r="W31" i="35"/>
  <c r="X31" i="35" s="1"/>
  <c r="W30" i="35"/>
  <c r="X30" i="35" s="1"/>
  <c r="W29" i="35"/>
  <c r="X29" i="35" s="1"/>
  <c r="W28" i="35"/>
  <c r="X28" i="35" s="1"/>
  <c r="X27" i="35"/>
  <c r="W26" i="35"/>
  <c r="X26" i="35" s="1"/>
  <c r="W25" i="35"/>
  <c r="X25" i="35" s="1"/>
  <c r="W24" i="35"/>
  <c r="X24" i="35" s="1"/>
  <c r="W23" i="35"/>
  <c r="X23" i="35" s="1"/>
  <c r="W22" i="35"/>
  <c r="X22" i="35" s="1"/>
  <c r="W21" i="35"/>
  <c r="X21" i="35" s="1"/>
  <c r="W20" i="35"/>
  <c r="X20" i="35" s="1"/>
  <c r="W19" i="35"/>
  <c r="X19" i="35" s="1"/>
  <c r="W18" i="35"/>
  <c r="X18" i="35" s="1"/>
  <c r="W17" i="35"/>
  <c r="X17" i="35" s="1"/>
  <c r="W16" i="35"/>
  <c r="X16" i="35" s="1"/>
  <c r="W15" i="35"/>
  <c r="X15" i="35" s="1"/>
  <c r="T15" i="35"/>
  <c r="T280" i="35"/>
  <c r="U280" i="35" s="1"/>
  <c r="T279" i="35"/>
  <c r="U279" i="35" s="1"/>
  <c r="T278" i="35"/>
  <c r="T277" i="35"/>
  <c r="U277" i="35" s="1"/>
  <c r="T276" i="35"/>
  <c r="U276" i="35" s="1"/>
  <c r="T275" i="35"/>
  <c r="U275" i="35" s="1"/>
  <c r="T274" i="35"/>
  <c r="U274" i="35" s="1"/>
  <c r="T273" i="35"/>
  <c r="U273" i="35" s="1"/>
  <c r="T272" i="35"/>
  <c r="U272" i="35" s="1"/>
  <c r="T271" i="35"/>
  <c r="U271" i="35" s="1"/>
  <c r="T270" i="35"/>
  <c r="U270" i="35" s="1"/>
  <c r="T269" i="35"/>
  <c r="U269" i="35" s="1"/>
  <c r="T268" i="35"/>
  <c r="U268" i="35" s="1"/>
  <c r="T267" i="35"/>
  <c r="U267" i="35" s="1"/>
  <c r="T266" i="35"/>
  <c r="U266" i="35" s="1"/>
  <c r="T265" i="35"/>
  <c r="U265" i="35" s="1"/>
  <c r="T264" i="35"/>
  <c r="U264" i="35" s="1"/>
  <c r="T263" i="35"/>
  <c r="U263" i="35" s="1"/>
  <c r="T262" i="35"/>
  <c r="U262" i="35" s="1"/>
  <c r="T261" i="35"/>
  <c r="U261" i="35" s="1"/>
  <c r="T260" i="35"/>
  <c r="U260" i="35" s="1"/>
  <c r="T259" i="35"/>
  <c r="U259" i="35" s="1"/>
  <c r="T258" i="35"/>
  <c r="U258" i="35" s="1"/>
  <c r="T257" i="35"/>
  <c r="U257" i="35" s="1"/>
  <c r="T256" i="35"/>
  <c r="U256" i="35" s="1"/>
  <c r="T255" i="35"/>
  <c r="U255" i="35" s="1"/>
  <c r="T254" i="35"/>
  <c r="U254" i="35" s="1"/>
  <c r="T253" i="35"/>
  <c r="U253" i="35" s="1"/>
  <c r="T252" i="35"/>
  <c r="U252" i="35" s="1"/>
  <c r="T251" i="35"/>
  <c r="U251" i="35" s="1"/>
  <c r="T250" i="35"/>
  <c r="U250" i="35" s="1"/>
  <c r="T249" i="35"/>
  <c r="U249" i="35" s="1"/>
  <c r="T248" i="35"/>
  <c r="U248" i="35" s="1"/>
  <c r="T247" i="35"/>
  <c r="U247" i="35" s="1"/>
  <c r="T246" i="35"/>
  <c r="U246" i="35" s="1"/>
  <c r="T245" i="35"/>
  <c r="U245" i="35" s="1"/>
  <c r="T244" i="35"/>
  <c r="U244" i="35" s="1"/>
  <c r="T243" i="35"/>
  <c r="U243" i="35" s="1"/>
  <c r="T242" i="35"/>
  <c r="U242" i="35" s="1"/>
  <c r="T241" i="35"/>
  <c r="U241" i="35" s="1"/>
  <c r="T240" i="35"/>
  <c r="U240" i="35" s="1"/>
  <c r="T239" i="35"/>
  <c r="U239" i="35" s="1"/>
  <c r="T238" i="35"/>
  <c r="U238" i="35" s="1"/>
  <c r="T237" i="35"/>
  <c r="U237" i="35" s="1"/>
  <c r="T236" i="35"/>
  <c r="U236" i="35" s="1"/>
  <c r="T235" i="35"/>
  <c r="U235" i="35" s="1"/>
  <c r="T234" i="35"/>
  <c r="U234" i="35" s="1"/>
  <c r="T233" i="35"/>
  <c r="U233" i="35" s="1"/>
  <c r="T232" i="35"/>
  <c r="U232" i="35" s="1"/>
  <c r="T231" i="35"/>
  <c r="U231" i="35" s="1"/>
  <c r="T230" i="35"/>
  <c r="U230" i="35" s="1"/>
  <c r="T229" i="35"/>
  <c r="U229" i="35" s="1"/>
  <c r="T228" i="35"/>
  <c r="U228" i="35" s="1"/>
  <c r="T227" i="35"/>
  <c r="U227" i="35" s="1"/>
  <c r="T226" i="35"/>
  <c r="U226" i="35" s="1"/>
  <c r="T225" i="35"/>
  <c r="U225" i="35" s="1"/>
  <c r="T224" i="35"/>
  <c r="U224" i="35" s="1"/>
  <c r="T223" i="35"/>
  <c r="U223" i="35" s="1"/>
  <c r="T222" i="35"/>
  <c r="U222" i="35" s="1"/>
  <c r="T221" i="35"/>
  <c r="U221" i="35" s="1"/>
  <c r="T220" i="35"/>
  <c r="U220" i="35" s="1"/>
  <c r="T219" i="35"/>
  <c r="U219" i="35" s="1"/>
  <c r="T218" i="35"/>
  <c r="U218" i="35" s="1"/>
  <c r="T217" i="35"/>
  <c r="U217" i="35" s="1"/>
  <c r="T216" i="35"/>
  <c r="U216" i="35" s="1"/>
  <c r="T215" i="35"/>
  <c r="U215" i="35" s="1"/>
  <c r="T214" i="35"/>
  <c r="U214" i="35" s="1"/>
  <c r="T213" i="35"/>
  <c r="U213" i="35" s="1"/>
  <c r="T212" i="35"/>
  <c r="U212" i="35" s="1"/>
  <c r="T211" i="35"/>
  <c r="U211" i="35" s="1"/>
  <c r="T210" i="35"/>
  <c r="U210" i="35" s="1"/>
  <c r="T209" i="35"/>
  <c r="U209" i="35" s="1"/>
  <c r="T208" i="35"/>
  <c r="U208" i="35" s="1"/>
  <c r="T207" i="35"/>
  <c r="U207" i="35" s="1"/>
  <c r="T206" i="35"/>
  <c r="U206" i="35" s="1"/>
  <c r="T205" i="35"/>
  <c r="U205" i="35" s="1"/>
  <c r="T204" i="35"/>
  <c r="U204" i="35" s="1"/>
  <c r="T203" i="35"/>
  <c r="U203" i="35" s="1"/>
  <c r="T202" i="35"/>
  <c r="U202" i="35" s="1"/>
  <c r="T201" i="35"/>
  <c r="U201" i="35" s="1"/>
  <c r="T200" i="35"/>
  <c r="U200" i="35" s="1"/>
  <c r="T199" i="35"/>
  <c r="U199" i="35" s="1"/>
  <c r="T198" i="35"/>
  <c r="U198" i="35" s="1"/>
  <c r="T197" i="35"/>
  <c r="U197" i="35" s="1"/>
  <c r="T196" i="35"/>
  <c r="U196" i="35" s="1"/>
  <c r="T195" i="35"/>
  <c r="U195" i="35" s="1"/>
  <c r="T194" i="35"/>
  <c r="U194" i="35" s="1"/>
  <c r="T193" i="35"/>
  <c r="U193" i="35" s="1"/>
  <c r="T192" i="35"/>
  <c r="U192" i="35" s="1"/>
  <c r="T191" i="35"/>
  <c r="U191" i="35" s="1"/>
  <c r="T190" i="35"/>
  <c r="U190" i="35" s="1"/>
  <c r="T189" i="35"/>
  <c r="U189" i="35" s="1"/>
  <c r="T188" i="35"/>
  <c r="U188" i="35" s="1"/>
  <c r="T187" i="35"/>
  <c r="U187" i="35" s="1"/>
  <c r="T186" i="35"/>
  <c r="U186" i="35" s="1"/>
  <c r="T185" i="35"/>
  <c r="U185" i="35" s="1"/>
  <c r="T184" i="35"/>
  <c r="U184" i="35" s="1"/>
  <c r="T183" i="35"/>
  <c r="U183" i="35" s="1"/>
  <c r="T182" i="35"/>
  <c r="U182" i="35" s="1"/>
  <c r="T181" i="35"/>
  <c r="U181" i="35" s="1"/>
  <c r="T180" i="35"/>
  <c r="U180" i="35" s="1"/>
  <c r="T179" i="35"/>
  <c r="U179" i="35" s="1"/>
  <c r="T178" i="35"/>
  <c r="U178" i="35" s="1"/>
  <c r="T177" i="35"/>
  <c r="U177" i="35" s="1"/>
  <c r="T176" i="35"/>
  <c r="U176" i="35" s="1"/>
  <c r="T175" i="35"/>
  <c r="U175" i="35" s="1"/>
  <c r="T174" i="35"/>
  <c r="U174" i="35" s="1"/>
  <c r="T173" i="35"/>
  <c r="U173" i="35" s="1"/>
  <c r="T172" i="35"/>
  <c r="U172" i="35" s="1"/>
  <c r="T171" i="35"/>
  <c r="U171" i="35" s="1"/>
  <c r="T170" i="35"/>
  <c r="U170" i="35" s="1"/>
  <c r="T169" i="35"/>
  <c r="U169" i="35" s="1"/>
  <c r="T168" i="35"/>
  <c r="U168" i="35" s="1"/>
  <c r="T167" i="35"/>
  <c r="U167" i="35" s="1"/>
  <c r="T166" i="35"/>
  <c r="U166" i="35" s="1"/>
  <c r="T165" i="35"/>
  <c r="U165" i="35" s="1"/>
  <c r="T164" i="35"/>
  <c r="U164" i="35" s="1"/>
  <c r="T163" i="35"/>
  <c r="U163" i="35" s="1"/>
  <c r="T162" i="35"/>
  <c r="U162" i="35" s="1"/>
  <c r="T161" i="35"/>
  <c r="U161" i="35" s="1"/>
  <c r="T160" i="35"/>
  <c r="U160" i="35" s="1"/>
  <c r="T159" i="35"/>
  <c r="U159" i="35" s="1"/>
  <c r="T158" i="35"/>
  <c r="U158" i="35" s="1"/>
  <c r="T157" i="35"/>
  <c r="U157" i="35" s="1"/>
  <c r="T156" i="35"/>
  <c r="U156" i="35" s="1"/>
  <c r="T155" i="35"/>
  <c r="U155" i="35" s="1"/>
  <c r="T154" i="35"/>
  <c r="U154" i="35" s="1"/>
  <c r="T153" i="35"/>
  <c r="U153" i="35" s="1"/>
  <c r="T152" i="35"/>
  <c r="U152" i="35" s="1"/>
  <c r="T151" i="35"/>
  <c r="U151" i="35" s="1"/>
  <c r="T150" i="35"/>
  <c r="U150" i="35" s="1"/>
  <c r="T149" i="35"/>
  <c r="U149" i="35" s="1"/>
  <c r="T148" i="35"/>
  <c r="U148" i="35" s="1"/>
  <c r="T147" i="35"/>
  <c r="U147" i="35" s="1"/>
  <c r="T146" i="35"/>
  <c r="U146" i="35" s="1"/>
  <c r="T145" i="35"/>
  <c r="U145" i="35" s="1"/>
  <c r="T144" i="35"/>
  <c r="U144" i="35" s="1"/>
  <c r="T143" i="35"/>
  <c r="U143" i="35" s="1"/>
  <c r="T142" i="35"/>
  <c r="U142" i="35" s="1"/>
  <c r="T141" i="35"/>
  <c r="U141" i="35" s="1"/>
  <c r="T140" i="35"/>
  <c r="U140" i="35" s="1"/>
  <c r="T139" i="35"/>
  <c r="U139" i="35" s="1"/>
  <c r="T138" i="35"/>
  <c r="U138" i="35" s="1"/>
  <c r="T137" i="35"/>
  <c r="U137" i="35" s="1"/>
  <c r="T136" i="35"/>
  <c r="U136" i="35" s="1"/>
  <c r="T135" i="35"/>
  <c r="U135" i="35" s="1"/>
  <c r="T134" i="35"/>
  <c r="U134" i="35" s="1"/>
  <c r="T133" i="35"/>
  <c r="U133" i="35" s="1"/>
  <c r="T132" i="35"/>
  <c r="U132" i="35" s="1"/>
  <c r="T131" i="35"/>
  <c r="U131" i="35" s="1"/>
  <c r="T130" i="35"/>
  <c r="U130" i="35" s="1"/>
  <c r="T129" i="35"/>
  <c r="U129" i="35" s="1"/>
  <c r="T128" i="35"/>
  <c r="U128" i="35" s="1"/>
  <c r="T127" i="35"/>
  <c r="U127" i="35" s="1"/>
  <c r="T126" i="35"/>
  <c r="U126" i="35" s="1"/>
  <c r="T125" i="35"/>
  <c r="U125" i="35" s="1"/>
  <c r="T124" i="35"/>
  <c r="U124" i="35" s="1"/>
  <c r="T123" i="35"/>
  <c r="U123" i="35" s="1"/>
  <c r="T122" i="35"/>
  <c r="U122" i="35" s="1"/>
  <c r="T121" i="35"/>
  <c r="U121" i="35" s="1"/>
  <c r="T120" i="35"/>
  <c r="U120" i="35" s="1"/>
  <c r="T119" i="35"/>
  <c r="U119" i="35" s="1"/>
  <c r="T118" i="35"/>
  <c r="U118" i="35" s="1"/>
  <c r="T117" i="35"/>
  <c r="U117" i="35" s="1"/>
  <c r="T116" i="35"/>
  <c r="U116" i="35" s="1"/>
  <c r="T115" i="35"/>
  <c r="U115" i="35" s="1"/>
  <c r="T114" i="35"/>
  <c r="U114" i="35" s="1"/>
  <c r="T113" i="35"/>
  <c r="U113" i="35" s="1"/>
  <c r="T112" i="35"/>
  <c r="U112" i="35" s="1"/>
  <c r="T111" i="35"/>
  <c r="U111" i="35" s="1"/>
  <c r="T110" i="35"/>
  <c r="U110" i="35" s="1"/>
  <c r="T109" i="35"/>
  <c r="U109" i="35" s="1"/>
  <c r="T108" i="35"/>
  <c r="U108" i="35" s="1"/>
  <c r="T107" i="35"/>
  <c r="U107" i="35" s="1"/>
  <c r="E297" i="35" s="1"/>
  <c r="T106" i="35"/>
  <c r="U106" i="35" s="1"/>
  <c r="T105" i="35"/>
  <c r="U105" i="35" s="1"/>
  <c r="T104" i="35"/>
  <c r="U104" i="35" s="1"/>
  <c r="T103" i="35"/>
  <c r="U103" i="35" s="1"/>
  <c r="T102" i="35"/>
  <c r="U102" i="35" s="1"/>
  <c r="T101" i="35"/>
  <c r="U101" i="35" s="1"/>
  <c r="T100" i="35"/>
  <c r="U100" i="35" s="1"/>
  <c r="T99" i="35"/>
  <c r="U99" i="35" s="1"/>
  <c r="T98" i="35"/>
  <c r="U98" i="35" s="1"/>
  <c r="T97" i="35"/>
  <c r="U97" i="35" s="1"/>
  <c r="T96" i="35"/>
  <c r="U96" i="35" s="1"/>
  <c r="T95" i="35"/>
  <c r="U95" i="35" s="1"/>
  <c r="T94" i="35"/>
  <c r="U94" i="35" s="1"/>
  <c r="T93" i="35"/>
  <c r="U93" i="35" s="1"/>
  <c r="T92" i="35"/>
  <c r="U92" i="35" s="1"/>
  <c r="T91" i="35"/>
  <c r="U91" i="35" s="1"/>
  <c r="T90" i="35"/>
  <c r="U90" i="35" s="1"/>
  <c r="E296" i="35" s="1"/>
  <c r="T89" i="35"/>
  <c r="U89" i="35" s="1"/>
  <c r="T88" i="35"/>
  <c r="U88" i="35" s="1"/>
  <c r="T87" i="35"/>
  <c r="U87" i="35" s="1"/>
  <c r="T86" i="35"/>
  <c r="U86" i="35" s="1"/>
  <c r="T85" i="35"/>
  <c r="U85" i="35" s="1"/>
  <c r="T84" i="35"/>
  <c r="U84" i="35" s="1"/>
  <c r="T83" i="35"/>
  <c r="U83" i="35" s="1"/>
  <c r="T82" i="35"/>
  <c r="U82" i="35" s="1"/>
  <c r="T81" i="35"/>
  <c r="U81" i="35" s="1"/>
  <c r="T80" i="35"/>
  <c r="U80" i="35" s="1"/>
  <c r="T79" i="35"/>
  <c r="U79" i="35" s="1"/>
  <c r="T78" i="35"/>
  <c r="U78" i="35" s="1"/>
  <c r="T77" i="35"/>
  <c r="U77" i="35" s="1"/>
  <c r="T76" i="35"/>
  <c r="U76" i="35" s="1"/>
  <c r="T75" i="35"/>
  <c r="U75" i="35" s="1"/>
  <c r="T74" i="35"/>
  <c r="U74" i="35" s="1"/>
  <c r="T73" i="35"/>
  <c r="U73" i="35" s="1"/>
  <c r="T72" i="35"/>
  <c r="U72" i="35" s="1"/>
  <c r="T71" i="35"/>
  <c r="U71" i="35" s="1"/>
  <c r="T70" i="35"/>
  <c r="U70" i="35" s="1"/>
  <c r="T69" i="35"/>
  <c r="U69" i="35" s="1"/>
  <c r="T68" i="35"/>
  <c r="U68" i="35" s="1"/>
  <c r="T67" i="35"/>
  <c r="U67" i="35" s="1"/>
  <c r="T66" i="35"/>
  <c r="U66" i="35" s="1"/>
  <c r="T65" i="35"/>
  <c r="U65" i="35" s="1"/>
  <c r="T64" i="35"/>
  <c r="U64" i="35" s="1"/>
  <c r="T63" i="35"/>
  <c r="U63" i="35" s="1"/>
  <c r="T62" i="35"/>
  <c r="U62" i="35" s="1"/>
  <c r="T61" i="35"/>
  <c r="U61" i="35" s="1"/>
  <c r="T60" i="35"/>
  <c r="U60" i="35" s="1"/>
  <c r="T59" i="35"/>
  <c r="U59" i="35" s="1"/>
  <c r="T58" i="35"/>
  <c r="U58" i="35" s="1"/>
  <c r="T57" i="35"/>
  <c r="U57" i="35" s="1"/>
  <c r="T56" i="35"/>
  <c r="U56" i="35" s="1"/>
  <c r="T55" i="35"/>
  <c r="U55" i="35" s="1"/>
  <c r="T54" i="35"/>
  <c r="U54" i="35" s="1"/>
  <c r="T53" i="35"/>
  <c r="U53" i="35" s="1"/>
  <c r="T52" i="35"/>
  <c r="U52" i="35" s="1"/>
  <c r="T51" i="35"/>
  <c r="U51" i="35" s="1"/>
  <c r="U50" i="35"/>
  <c r="T49" i="35"/>
  <c r="U49" i="35" s="1"/>
  <c r="T48" i="35"/>
  <c r="U48" i="35" s="1"/>
  <c r="T46" i="35"/>
  <c r="U46" i="35" s="1"/>
  <c r="T45" i="35"/>
  <c r="U45" i="35" s="1"/>
  <c r="T44" i="35"/>
  <c r="U44" i="35" s="1"/>
  <c r="U43" i="35"/>
  <c r="T42" i="35"/>
  <c r="U42" i="35" s="1"/>
  <c r="T41" i="35"/>
  <c r="U41" i="35" s="1"/>
  <c r="T40" i="35"/>
  <c r="U40" i="35" s="1"/>
  <c r="T39" i="35"/>
  <c r="U39" i="35" s="1"/>
  <c r="T38" i="35"/>
  <c r="U38" i="35" s="1"/>
  <c r="T37" i="35"/>
  <c r="U37" i="35" s="1"/>
  <c r="T36" i="35"/>
  <c r="U36" i="35" s="1"/>
  <c r="T35" i="35"/>
  <c r="T34" i="35"/>
  <c r="T33" i="35"/>
  <c r="T32" i="35"/>
  <c r="T31" i="35"/>
  <c r="T30" i="35"/>
  <c r="T29" i="35"/>
  <c r="T28" i="35"/>
  <c r="T26" i="35"/>
  <c r="T25" i="35"/>
  <c r="T24" i="35"/>
  <c r="T23" i="35"/>
  <c r="U23" i="35" s="1"/>
  <c r="T22" i="35"/>
  <c r="T21" i="35"/>
  <c r="T20" i="35"/>
  <c r="T19" i="35"/>
  <c r="T18" i="35"/>
  <c r="T17" i="35"/>
  <c r="T16" i="35"/>
  <c r="M280" i="35"/>
  <c r="M279" i="35"/>
  <c r="M278" i="35"/>
  <c r="M277" i="35"/>
  <c r="M276" i="35"/>
  <c r="M275" i="35"/>
  <c r="M274" i="35"/>
  <c r="M273" i="35"/>
  <c r="M272" i="35"/>
  <c r="M271" i="35"/>
  <c r="M270" i="35"/>
  <c r="M269" i="35"/>
  <c r="M268" i="35"/>
  <c r="M267" i="35"/>
  <c r="M266" i="35"/>
  <c r="M265" i="35"/>
  <c r="M264" i="35"/>
  <c r="M263" i="35"/>
  <c r="M262" i="35"/>
  <c r="M261" i="35"/>
  <c r="M260" i="35"/>
  <c r="M259" i="35"/>
  <c r="M258" i="35"/>
  <c r="M257" i="35"/>
  <c r="M256" i="35"/>
  <c r="M255" i="35"/>
  <c r="M254" i="35"/>
  <c r="M253" i="35"/>
  <c r="M252" i="35"/>
  <c r="M251" i="35"/>
  <c r="M250" i="35"/>
  <c r="M249" i="35"/>
  <c r="M248" i="35"/>
  <c r="M247" i="35"/>
  <c r="M246" i="35"/>
  <c r="M245" i="35"/>
  <c r="M244" i="35"/>
  <c r="M243" i="35"/>
  <c r="M242" i="35"/>
  <c r="M241" i="35"/>
  <c r="M240" i="35"/>
  <c r="M239" i="35"/>
  <c r="M238" i="35"/>
  <c r="M237" i="35"/>
  <c r="M236" i="35"/>
  <c r="M235" i="35"/>
  <c r="M234" i="35"/>
  <c r="M233" i="35"/>
  <c r="M232" i="35"/>
  <c r="M231" i="35"/>
  <c r="M230" i="35"/>
  <c r="M229" i="35"/>
  <c r="M228" i="35"/>
  <c r="M227" i="35"/>
  <c r="M226" i="35"/>
  <c r="M225" i="35"/>
  <c r="M224" i="35"/>
  <c r="M223" i="35"/>
  <c r="M222" i="35"/>
  <c r="M221" i="35"/>
  <c r="M220" i="35"/>
  <c r="M219" i="35"/>
  <c r="M218" i="35"/>
  <c r="M217" i="35"/>
  <c r="M216" i="35"/>
  <c r="M215" i="35"/>
  <c r="M214" i="35"/>
  <c r="M213" i="35"/>
  <c r="M212" i="35"/>
  <c r="M211" i="35"/>
  <c r="M210" i="35"/>
  <c r="M209" i="35"/>
  <c r="M208" i="35"/>
  <c r="M207" i="35"/>
  <c r="M206" i="35"/>
  <c r="M205" i="35"/>
  <c r="M204" i="35"/>
  <c r="M203" i="35"/>
  <c r="M202" i="35"/>
  <c r="M201" i="35"/>
  <c r="M200" i="35"/>
  <c r="M199" i="35"/>
  <c r="M198" i="35"/>
  <c r="M197" i="35"/>
  <c r="M196" i="35"/>
  <c r="M195" i="35"/>
  <c r="M194" i="35"/>
  <c r="M193" i="35"/>
  <c r="M192" i="35"/>
  <c r="M191" i="35"/>
  <c r="M190" i="35"/>
  <c r="M189" i="35"/>
  <c r="M188" i="35"/>
  <c r="M187" i="35"/>
  <c r="M186" i="35"/>
  <c r="M185" i="35"/>
  <c r="M184" i="35"/>
  <c r="M183" i="35"/>
  <c r="M182" i="35"/>
  <c r="M181" i="35"/>
  <c r="M180" i="35"/>
  <c r="M179" i="35"/>
  <c r="M178" i="35"/>
  <c r="M177" i="35"/>
  <c r="M176" i="35"/>
  <c r="M175" i="35"/>
  <c r="M174" i="35"/>
  <c r="M173" i="35"/>
  <c r="M172" i="35"/>
  <c r="M171" i="35"/>
  <c r="M170" i="35"/>
  <c r="M169" i="35"/>
  <c r="M168" i="35"/>
  <c r="M167" i="35"/>
  <c r="M166" i="35"/>
  <c r="M165" i="35"/>
  <c r="M164" i="35"/>
  <c r="M163" i="35"/>
  <c r="M162" i="35"/>
  <c r="M161" i="35"/>
  <c r="M160" i="35"/>
  <c r="M159" i="35"/>
  <c r="M158" i="35"/>
  <c r="M157" i="35"/>
  <c r="M156" i="35"/>
  <c r="M155" i="35"/>
  <c r="M154" i="35"/>
  <c r="M153" i="35"/>
  <c r="M152" i="35"/>
  <c r="M151" i="35"/>
  <c r="M150" i="35"/>
  <c r="M149" i="35"/>
  <c r="M148" i="35"/>
  <c r="M147" i="35"/>
  <c r="M146" i="35"/>
  <c r="M145" i="35"/>
  <c r="M144" i="35"/>
  <c r="M143" i="35"/>
  <c r="M142" i="35"/>
  <c r="M141" i="35"/>
  <c r="M140" i="35"/>
  <c r="M139" i="35"/>
  <c r="M138" i="35"/>
  <c r="M137" i="35"/>
  <c r="M136" i="35"/>
  <c r="M135" i="35"/>
  <c r="M134" i="35"/>
  <c r="M133" i="35"/>
  <c r="M132" i="35"/>
  <c r="M131" i="35"/>
  <c r="M130" i="35"/>
  <c r="M129" i="35"/>
  <c r="M128" i="35"/>
  <c r="M127" i="35"/>
  <c r="M126" i="35"/>
  <c r="M125" i="35"/>
  <c r="M124" i="35"/>
  <c r="M123" i="35"/>
  <c r="M122" i="35"/>
  <c r="M121" i="35"/>
  <c r="M120" i="35"/>
  <c r="M119" i="35"/>
  <c r="M118" i="35"/>
  <c r="M117" i="35"/>
  <c r="M116" i="35"/>
  <c r="M115" i="35"/>
  <c r="M114" i="35"/>
  <c r="M113" i="35"/>
  <c r="M112" i="35"/>
  <c r="M111" i="35"/>
  <c r="M110" i="35"/>
  <c r="M109" i="35"/>
  <c r="M108" i="35"/>
  <c r="M107" i="35"/>
  <c r="M106" i="35"/>
  <c r="M105" i="35"/>
  <c r="M104" i="35"/>
  <c r="M103" i="35"/>
  <c r="M102" i="35"/>
  <c r="M101" i="35"/>
  <c r="M100" i="35"/>
  <c r="M99" i="35"/>
  <c r="M98" i="35"/>
  <c r="M97" i="35"/>
  <c r="M96" i="35"/>
  <c r="M95" i="35"/>
  <c r="M94" i="35"/>
  <c r="M93" i="35"/>
  <c r="M92" i="35"/>
  <c r="M91" i="35"/>
  <c r="M90" i="35"/>
  <c r="M89" i="35"/>
  <c r="M88" i="35"/>
  <c r="M87" i="35"/>
  <c r="M86" i="35"/>
  <c r="M85" i="35"/>
  <c r="M84" i="35"/>
  <c r="M83" i="35"/>
  <c r="M82" i="35"/>
  <c r="M81" i="35"/>
  <c r="M80" i="35"/>
  <c r="M79" i="35"/>
  <c r="M78" i="35"/>
  <c r="M77" i="35"/>
  <c r="M76" i="35"/>
  <c r="M75" i="35"/>
  <c r="M74" i="35"/>
  <c r="M73" i="35"/>
  <c r="M72" i="35"/>
  <c r="M71" i="35"/>
  <c r="M70" i="35"/>
  <c r="M69" i="35"/>
  <c r="M68" i="35"/>
  <c r="M67" i="35"/>
  <c r="M66" i="35"/>
  <c r="M65" i="35"/>
  <c r="M64" i="35"/>
  <c r="M63" i="35"/>
  <c r="M62" i="35"/>
  <c r="M61" i="35"/>
  <c r="M60" i="35"/>
  <c r="M59" i="35"/>
  <c r="M58" i="35"/>
  <c r="M57" i="35"/>
  <c r="M56" i="35"/>
  <c r="M55" i="35"/>
  <c r="M54" i="35"/>
  <c r="M53" i="35"/>
  <c r="M52" i="35"/>
  <c r="M51" i="35"/>
  <c r="M50" i="35"/>
  <c r="M49" i="35"/>
  <c r="M48" i="35"/>
  <c r="M47" i="35"/>
  <c r="M46" i="35"/>
  <c r="M45" i="35"/>
  <c r="M44" i="35"/>
  <c r="M43" i="35"/>
  <c r="M42" i="35"/>
  <c r="M41" i="35"/>
  <c r="M40" i="35"/>
  <c r="M39" i="35"/>
  <c r="M38" i="35"/>
  <c r="M37" i="35"/>
  <c r="M36" i="35"/>
  <c r="M35" i="35"/>
  <c r="M34" i="35"/>
  <c r="M33" i="35"/>
  <c r="M32" i="35"/>
  <c r="M31" i="35"/>
  <c r="M30" i="35"/>
  <c r="M29" i="35"/>
  <c r="M28" i="35"/>
  <c r="M27" i="35"/>
  <c r="M26" i="35"/>
  <c r="M25" i="35"/>
  <c r="M24" i="35"/>
  <c r="M23" i="35"/>
  <c r="M22" i="35"/>
  <c r="M21" i="35"/>
  <c r="M20" i="35"/>
  <c r="M19" i="35"/>
  <c r="M18" i="35"/>
  <c r="M17" i="35"/>
  <c r="M16" i="35"/>
  <c r="M15" i="35"/>
  <c r="F16" i="35"/>
  <c r="F17" i="35"/>
  <c r="F18" i="35"/>
  <c r="F19" i="35"/>
  <c r="F20" i="35"/>
  <c r="F21" i="35"/>
  <c r="F22" i="35"/>
  <c r="F23" i="35"/>
  <c r="F24" i="35"/>
  <c r="F25" i="35"/>
  <c r="F26" i="35"/>
  <c r="F28" i="35"/>
  <c r="F29" i="35"/>
  <c r="F30" i="35"/>
  <c r="F31" i="35"/>
  <c r="F32" i="35"/>
  <c r="F33" i="35"/>
  <c r="F34" i="35"/>
  <c r="F35" i="35"/>
  <c r="F36" i="35"/>
  <c r="F37" i="35"/>
  <c r="F38" i="35"/>
  <c r="F39" i="35"/>
  <c r="F40" i="35"/>
  <c r="F41" i="35"/>
  <c r="F42" i="35"/>
  <c r="F43" i="35"/>
  <c r="F44" i="35"/>
  <c r="F45" i="35"/>
  <c r="F46" i="35"/>
  <c r="F48" i="35"/>
  <c r="F49" i="35"/>
  <c r="F50" i="35"/>
  <c r="F51" i="35"/>
  <c r="F52" i="35"/>
  <c r="F53" i="35"/>
  <c r="F54" i="35"/>
  <c r="F55" i="35"/>
  <c r="F56" i="35"/>
  <c r="F57" i="35"/>
  <c r="F58" i="35"/>
  <c r="F59" i="35"/>
  <c r="F60" i="35"/>
  <c r="F61" i="35"/>
  <c r="F62" i="35"/>
  <c r="F63" i="35"/>
  <c r="F64" i="35"/>
  <c r="F65" i="35"/>
  <c r="F66" i="35"/>
  <c r="F67" i="35"/>
  <c r="F68" i="35"/>
  <c r="F69" i="35"/>
  <c r="F70" i="35"/>
  <c r="F71" i="35"/>
  <c r="F72" i="35"/>
  <c r="F73" i="35"/>
  <c r="F74" i="35"/>
  <c r="F75" i="35"/>
  <c r="F76" i="35"/>
  <c r="F77" i="35"/>
  <c r="F78" i="35"/>
  <c r="F79" i="35"/>
  <c r="F80" i="35"/>
  <c r="F81" i="35"/>
  <c r="F82" i="35"/>
  <c r="F83" i="35"/>
  <c r="F84" i="35"/>
  <c r="F85" i="35"/>
  <c r="F86" i="35"/>
  <c r="F87" i="35"/>
  <c r="F88" i="35"/>
  <c r="F89" i="35"/>
  <c r="F90" i="35"/>
  <c r="F91" i="35"/>
  <c r="F92" i="35"/>
  <c r="F93" i="35"/>
  <c r="F94" i="35"/>
  <c r="F95" i="35"/>
  <c r="F96" i="35"/>
  <c r="F97" i="35"/>
  <c r="F98" i="35"/>
  <c r="F99" i="35"/>
  <c r="F100" i="35"/>
  <c r="F101" i="35"/>
  <c r="F102" i="35"/>
  <c r="F103" i="35"/>
  <c r="F104" i="35"/>
  <c r="F105" i="35"/>
  <c r="F106" i="35"/>
  <c r="F107" i="35"/>
  <c r="F108" i="35"/>
  <c r="F109" i="35"/>
  <c r="F110" i="35"/>
  <c r="F111" i="35"/>
  <c r="F112" i="35"/>
  <c r="F113" i="35"/>
  <c r="F114" i="35"/>
  <c r="F115" i="35"/>
  <c r="F116" i="35"/>
  <c r="F117" i="35"/>
  <c r="F118" i="35"/>
  <c r="F119" i="35"/>
  <c r="F120" i="35"/>
  <c r="F121" i="35"/>
  <c r="F122" i="35"/>
  <c r="F123" i="35"/>
  <c r="F124" i="35"/>
  <c r="F125" i="35"/>
  <c r="F126" i="35"/>
  <c r="F127" i="35"/>
  <c r="F128" i="35"/>
  <c r="F129" i="35"/>
  <c r="F130" i="35"/>
  <c r="F131" i="35"/>
  <c r="F132" i="35"/>
  <c r="F133" i="35"/>
  <c r="F134" i="35"/>
  <c r="F135" i="35"/>
  <c r="F136" i="35"/>
  <c r="F137" i="35"/>
  <c r="F138" i="35"/>
  <c r="F139" i="35"/>
  <c r="F140" i="35"/>
  <c r="F141" i="35"/>
  <c r="F142" i="35"/>
  <c r="F143" i="35"/>
  <c r="F144" i="35"/>
  <c r="F145" i="35"/>
  <c r="F146" i="35"/>
  <c r="F147" i="35"/>
  <c r="F148" i="35"/>
  <c r="F149" i="35"/>
  <c r="F150" i="35"/>
  <c r="F151" i="35"/>
  <c r="F152" i="35"/>
  <c r="F153" i="35"/>
  <c r="F154" i="35"/>
  <c r="F155" i="35"/>
  <c r="F156" i="35"/>
  <c r="F157" i="35"/>
  <c r="F158" i="35"/>
  <c r="F159" i="35"/>
  <c r="F160" i="35"/>
  <c r="F161" i="35"/>
  <c r="F162" i="35"/>
  <c r="F163" i="35"/>
  <c r="F164" i="35"/>
  <c r="F165" i="35"/>
  <c r="F166" i="35"/>
  <c r="F167" i="35"/>
  <c r="F168" i="35"/>
  <c r="F169" i="35"/>
  <c r="F170" i="35"/>
  <c r="F171" i="35"/>
  <c r="F172" i="35"/>
  <c r="F173" i="35"/>
  <c r="F174" i="35"/>
  <c r="F175" i="35"/>
  <c r="F176" i="35"/>
  <c r="F177" i="35"/>
  <c r="F178" i="35"/>
  <c r="F179" i="35"/>
  <c r="F180" i="35"/>
  <c r="F181" i="35"/>
  <c r="F182" i="35"/>
  <c r="F183" i="35"/>
  <c r="F184" i="35"/>
  <c r="F185" i="35"/>
  <c r="F186" i="35"/>
  <c r="F187" i="35"/>
  <c r="F188" i="35"/>
  <c r="F189" i="35"/>
  <c r="F190" i="35"/>
  <c r="F191" i="35"/>
  <c r="F192" i="35"/>
  <c r="F193" i="35"/>
  <c r="F194" i="35"/>
  <c r="F195" i="35"/>
  <c r="F196" i="35"/>
  <c r="F197" i="35"/>
  <c r="F198" i="35"/>
  <c r="F199" i="35"/>
  <c r="F200" i="35"/>
  <c r="F201" i="35"/>
  <c r="F202" i="35"/>
  <c r="F203" i="35"/>
  <c r="F204" i="35"/>
  <c r="F205" i="35"/>
  <c r="F206" i="35"/>
  <c r="F207" i="35"/>
  <c r="F208" i="35"/>
  <c r="F209" i="35"/>
  <c r="F210" i="35"/>
  <c r="F211" i="35"/>
  <c r="F212" i="35"/>
  <c r="F15" i="35"/>
  <c r="F297" i="35"/>
  <c r="F296" i="35"/>
  <c r="F288" i="35"/>
  <c r="I289" i="35" s="1"/>
  <c r="K289" i="35" s="1"/>
  <c r="M289" i="35" s="1"/>
  <c r="P289" i="35" s="1"/>
  <c r="V282" i="35"/>
  <c r="BD280" i="35"/>
  <c r="F280" i="35"/>
  <c r="BD279" i="35"/>
  <c r="F279" i="35"/>
  <c r="BD278" i="35"/>
  <c r="F278" i="35"/>
  <c r="BD277" i="35"/>
  <c r="F277" i="35"/>
  <c r="BD276" i="35"/>
  <c r="F276" i="35"/>
  <c r="BD275" i="35"/>
  <c r="F275" i="35"/>
  <c r="BD274" i="35"/>
  <c r="F274" i="35"/>
  <c r="BD273" i="35"/>
  <c r="F273" i="35"/>
  <c r="BD272" i="35"/>
  <c r="F272" i="35"/>
  <c r="BD271" i="35"/>
  <c r="F271" i="35"/>
  <c r="BD270" i="35"/>
  <c r="F270" i="35"/>
  <c r="BD269" i="35"/>
  <c r="F269" i="35"/>
  <c r="BD268" i="35"/>
  <c r="F268" i="35"/>
  <c r="BD267" i="35"/>
  <c r="F267" i="35"/>
  <c r="BD266" i="35"/>
  <c r="F266" i="35"/>
  <c r="BD265" i="35"/>
  <c r="F265" i="35"/>
  <c r="BD264" i="35"/>
  <c r="F264" i="35"/>
  <c r="BD263" i="35"/>
  <c r="F263" i="35"/>
  <c r="BD262" i="35"/>
  <c r="F262" i="35"/>
  <c r="BD261" i="35"/>
  <c r="F261" i="35"/>
  <c r="BD260" i="35"/>
  <c r="F260" i="35"/>
  <c r="BD259" i="35"/>
  <c r="F259" i="35"/>
  <c r="BD258" i="35"/>
  <c r="F258" i="35"/>
  <c r="BD257" i="35"/>
  <c r="F257" i="35"/>
  <c r="BD256" i="35"/>
  <c r="F256" i="35"/>
  <c r="BD255" i="35"/>
  <c r="F255" i="35"/>
  <c r="BD254" i="35"/>
  <c r="F254" i="35"/>
  <c r="BD253" i="35"/>
  <c r="F253" i="35"/>
  <c r="BD252" i="35"/>
  <c r="F252" i="35"/>
  <c r="BD251" i="35"/>
  <c r="F251" i="35"/>
  <c r="BD250" i="35"/>
  <c r="F250" i="35"/>
  <c r="BD249" i="35"/>
  <c r="F249" i="35"/>
  <c r="BD248" i="35"/>
  <c r="F248" i="35"/>
  <c r="BD247" i="35"/>
  <c r="F247" i="35"/>
  <c r="BD246" i="35"/>
  <c r="F246" i="35"/>
  <c r="BD245" i="35"/>
  <c r="F245" i="35"/>
  <c r="BD244" i="35"/>
  <c r="F244" i="35"/>
  <c r="BD243" i="35"/>
  <c r="F243" i="35"/>
  <c r="BD242" i="35"/>
  <c r="F242" i="35"/>
  <c r="BD241" i="35"/>
  <c r="F241" i="35"/>
  <c r="BD240" i="35"/>
  <c r="F240" i="35"/>
  <c r="BD239" i="35"/>
  <c r="F239" i="35"/>
  <c r="BD238" i="35"/>
  <c r="F238" i="35"/>
  <c r="BD237" i="35"/>
  <c r="F237" i="35"/>
  <c r="BD236" i="35"/>
  <c r="F236" i="35"/>
  <c r="BD235" i="35"/>
  <c r="F235" i="35"/>
  <c r="BD234" i="35"/>
  <c r="F234" i="35"/>
  <c r="BD233" i="35"/>
  <c r="F233" i="35"/>
  <c r="BD232" i="35"/>
  <c r="F232" i="35"/>
  <c r="BD231" i="35"/>
  <c r="F231" i="35"/>
  <c r="BD230" i="35"/>
  <c r="F230" i="35"/>
  <c r="BD229" i="35"/>
  <c r="F229" i="35"/>
  <c r="BD228" i="35"/>
  <c r="F228" i="35"/>
  <c r="BD227" i="35"/>
  <c r="F227" i="35"/>
  <c r="BD226" i="35"/>
  <c r="F226" i="35"/>
  <c r="BD225" i="35"/>
  <c r="F225" i="35"/>
  <c r="BD224" i="35"/>
  <c r="F224" i="35"/>
  <c r="BD223" i="35"/>
  <c r="F223" i="35"/>
  <c r="BD222" i="35"/>
  <c r="F222" i="35"/>
  <c r="BD221" i="35"/>
  <c r="F221" i="35"/>
  <c r="BD220" i="35"/>
  <c r="F220" i="35"/>
  <c r="BD219" i="35"/>
  <c r="F219" i="35"/>
  <c r="BD218" i="35"/>
  <c r="F218" i="35"/>
  <c r="BD217" i="35"/>
  <c r="F217" i="35"/>
  <c r="BD216" i="35"/>
  <c r="F216" i="35"/>
  <c r="BD215" i="35"/>
  <c r="F215" i="35"/>
  <c r="BD214" i="35"/>
  <c r="F214" i="35"/>
  <c r="BD213" i="35"/>
  <c r="F213" i="35"/>
  <c r="BD212" i="35"/>
  <c r="BD211" i="35"/>
  <c r="BD210" i="35"/>
  <c r="BD209" i="35"/>
  <c r="BD208" i="35"/>
  <c r="BD207" i="35"/>
  <c r="BD206" i="35"/>
  <c r="BD205" i="35"/>
  <c r="BD204" i="35"/>
  <c r="BD203" i="35"/>
  <c r="BD202" i="35"/>
  <c r="BD201" i="35"/>
  <c r="BD200" i="35"/>
  <c r="BD199" i="35"/>
  <c r="BD198" i="35"/>
  <c r="BD197" i="35"/>
  <c r="BD196" i="35"/>
  <c r="BD195" i="35"/>
  <c r="BD194" i="35"/>
  <c r="BD193" i="35"/>
  <c r="BD192" i="35"/>
  <c r="BD191" i="35"/>
  <c r="BD190" i="35"/>
  <c r="BD189" i="35"/>
  <c r="S282" i="35"/>
  <c r="U18" i="35" l="1"/>
  <c r="U32" i="35"/>
  <c r="U21" i="35"/>
  <c r="U33" i="35"/>
  <c r="U30" i="35"/>
  <c r="U31" i="35"/>
  <c r="U22" i="35"/>
  <c r="U34" i="35"/>
  <c r="U19" i="35"/>
  <c r="U35" i="35"/>
  <c r="U20" i="35"/>
  <c r="U24" i="35"/>
  <c r="U25" i="35"/>
  <c r="U26" i="35"/>
  <c r="U16" i="35"/>
  <c r="U28" i="35"/>
  <c r="U15" i="35"/>
  <c r="U27" i="35"/>
  <c r="U17" i="35"/>
  <c r="U29" i="35"/>
  <c r="W282" i="35"/>
  <c r="X282" i="35"/>
  <c r="U278" i="35"/>
  <c r="E290" i="35"/>
  <c r="E288" i="35"/>
  <c r="T282" i="35"/>
  <c r="U282" i="35" l="1"/>
  <c r="E292" i="35" s="1"/>
  <c r="Y282" i="35"/>
  <c r="E289" i="35"/>
  <c r="E291" i="35" s="1"/>
  <c r="H289" i="35"/>
  <c r="J289" i="35" s="1"/>
  <c r="L289" i="35" s="1"/>
  <c r="N289" i="35" s="1"/>
  <c r="C10" i="33" l="1"/>
  <c r="M140" i="28" l="1"/>
  <c r="C25" i="30" l="1"/>
  <c r="C20" i="30"/>
  <c r="C19" i="30" l="1"/>
  <c r="F58" i="28" l="1"/>
  <c r="M58" i="28"/>
  <c r="S58" i="28"/>
  <c r="T58" i="28" s="1"/>
  <c r="W58" i="28" s="1"/>
  <c r="AH58" i="28"/>
  <c r="AZ58" i="28"/>
  <c r="BA58" i="28"/>
  <c r="T130" i="32" l="1"/>
  <c r="Q130" i="32"/>
  <c r="C18" i="30" l="1"/>
  <c r="G174" i="28" l="1"/>
  <c r="G173" i="28"/>
  <c r="F181" i="24"/>
  <c r="F180" i="24"/>
  <c r="J173" i="22"/>
  <c r="J172" i="22"/>
  <c r="G210" i="20"/>
  <c r="G209" i="20"/>
  <c r="F212" i="16"/>
  <c r="F211" i="16"/>
  <c r="E143" i="32"/>
  <c r="F172" i="24"/>
  <c r="J164" i="22"/>
  <c r="G201" i="20"/>
  <c r="F203" i="16"/>
  <c r="M3" i="20"/>
  <c r="M4" i="20"/>
  <c r="M5" i="20"/>
  <c r="M6" i="20"/>
  <c r="M7" i="20"/>
  <c r="M8" i="20"/>
  <c r="M9" i="20"/>
  <c r="M11" i="20"/>
  <c r="M12" i="20"/>
  <c r="M13" i="20"/>
  <c r="M14" i="20"/>
  <c r="M15" i="20"/>
  <c r="M16" i="20"/>
  <c r="M17" i="20"/>
  <c r="M18" i="20"/>
  <c r="M19" i="20"/>
  <c r="M20" i="20"/>
  <c r="M21" i="20"/>
  <c r="M22" i="20"/>
  <c r="M23" i="20"/>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E135" i="32"/>
  <c r="G175" i="28" l="1"/>
  <c r="F182" i="24"/>
  <c r="J174" i="22"/>
  <c r="G211" i="20"/>
  <c r="F213" i="16"/>
  <c r="H10" i="24" l="1"/>
  <c r="H9" i="24"/>
  <c r="H8" i="24"/>
  <c r="T165" i="24"/>
  <c r="Q165" i="24"/>
  <c r="R158" i="28"/>
  <c r="G165" i="28"/>
  <c r="U158" i="28"/>
  <c r="J165" i="28"/>
  <c r="J166" i="28"/>
  <c r="J167" i="28"/>
  <c r="J168" i="28"/>
  <c r="J169" i="28"/>
  <c r="L170" i="28"/>
  <c r="V80" i="28" l="1"/>
  <c r="AX130" i="32" l="1"/>
  <c r="BH126" i="32"/>
  <c r="BA126" i="32"/>
  <c r="AO126" i="32"/>
  <c r="V126" i="32"/>
  <c r="U126" i="32"/>
  <c r="M126" i="32"/>
  <c r="BH125" i="32"/>
  <c r="BA125" i="32"/>
  <c r="AO125" i="32"/>
  <c r="AN125" i="32"/>
  <c r="U125" i="32"/>
  <c r="R125" i="32"/>
  <c r="S125" i="32" s="1"/>
  <c r="M125" i="32"/>
  <c r="BH124" i="32"/>
  <c r="BA124" i="32"/>
  <c r="AO124" i="32"/>
  <c r="U124" i="32"/>
  <c r="R124" i="32"/>
  <c r="S124" i="32" s="1"/>
  <c r="V124" i="32" s="1"/>
  <c r="M124" i="32"/>
  <c r="BH123" i="32"/>
  <c r="BA123" i="32"/>
  <c r="AO123" i="32"/>
  <c r="U123" i="32"/>
  <c r="R123" i="32"/>
  <c r="S123" i="32" s="1"/>
  <c r="V123" i="32" s="1"/>
  <c r="M123" i="32"/>
  <c r="BH122" i="32"/>
  <c r="BA122" i="32"/>
  <c r="AO122" i="32"/>
  <c r="AN122" i="32"/>
  <c r="U122" i="32"/>
  <c r="R122" i="32"/>
  <c r="S122" i="32" s="1"/>
  <c r="M122" i="32"/>
  <c r="BH121" i="32"/>
  <c r="BA121" i="32"/>
  <c r="AO121" i="32"/>
  <c r="U121" i="32"/>
  <c r="R121" i="32"/>
  <c r="S121" i="32" s="1"/>
  <c r="V121" i="32" s="1"/>
  <c r="M121" i="32"/>
  <c r="BH120" i="32"/>
  <c r="BA120" i="32"/>
  <c r="AO120" i="32"/>
  <c r="U120" i="32"/>
  <c r="R120" i="32"/>
  <c r="S120" i="32" s="1"/>
  <c r="V120" i="32" s="1"/>
  <c r="M120" i="32"/>
  <c r="BH119" i="32"/>
  <c r="BA119" i="32"/>
  <c r="AO119" i="32"/>
  <c r="AN119" i="32"/>
  <c r="U119" i="32"/>
  <c r="R119" i="32"/>
  <c r="S119" i="32" s="1"/>
  <c r="M119" i="32"/>
  <c r="BH118" i="32"/>
  <c r="BA118" i="32"/>
  <c r="AO118" i="32"/>
  <c r="U118" i="32"/>
  <c r="R118" i="32"/>
  <c r="S118" i="32" s="1"/>
  <c r="V118" i="32" s="1"/>
  <c r="M118" i="32"/>
  <c r="BH117" i="32"/>
  <c r="BA117" i="32"/>
  <c r="AO117" i="32"/>
  <c r="AN117" i="32"/>
  <c r="U117" i="32"/>
  <c r="R117" i="32"/>
  <c r="S117" i="32" s="1"/>
  <c r="V117" i="32" s="1"/>
  <c r="M117" i="32"/>
  <c r="BH116" i="32"/>
  <c r="BA116" i="32"/>
  <c r="AO116" i="32"/>
  <c r="U116" i="32"/>
  <c r="R116" i="32"/>
  <c r="S116" i="32" s="1"/>
  <c r="V116" i="32" s="1"/>
  <c r="M116" i="32"/>
  <c r="BH115" i="32"/>
  <c r="BA115" i="32"/>
  <c r="AO115" i="32"/>
  <c r="U115" i="32"/>
  <c r="R115" i="32"/>
  <c r="S115" i="32" s="1"/>
  <c r="V115" i="32" s="1"/>
  <c r="M115" i="32"/>
  <c r="BH114" i="32"/>
  <c r="BA114" i="32"/>
  <c r="AO114" i="32"/>
  <c r="U114" i="32"/>
  <c r="R114" i="32"/>
  <c r="S114" i="32" s="1"/>
  <c r="V114" i="32" s="1"/>
  <c r="M114" i="32"/>
  <c r="BH113" i="32"/>
  <c r="BA113" i="32"/>
  <c r="AO113" i="32"/>
  <c r="U113" i="32"/>
  <c r="R113" i="32"/>
  <c r="S113" i="32" s="1"/>
  <c r="V113" i="32" s="1"/>
  <c r="M113" i="32"/>
  <c r="BH112" i="32"/>
  <c r="BA112" i="32"/>
  <c r="AO112" i="32"/>
  <c r="U112" i="32"/>
  <c r="R112" i="32"/>
  <c r="S112" i="32" s="1"/>
  <c r="V112" i="32" s="1"/>
  <c r="M112" i="32"/>
  <c r="BH111" i="32"/>
  <c r="BA111" i="32"/>
  <c r="AO111" i="32"/>
  <c r="U111" i="32"/>
  <c r="R111" i="32"/>
  <c r="S111" i="32" s="1"/>
  <c r="V111" i="32" s="1"/>
  <c r="M111" i="32"/>
  <c r="BH110" i="32"/>
  <c r="BA110" i="32"/>
  <c r="AO110" i="32"/>
  <c r="U110" i="32"/>
  <c r="R110" i="32"/>
  <c r="S110" i="32" s="1"/>
  <c r="V110" i="32" s="1"/>
  <c r="M110" i="32"/>
  <c r="BH109" i="32"/>
  <c r="BA109" i="32"/>
  <c r="AO109" i="32"/>
  <c r="U109" i="32"/>
  <c r="R109" i="32"/>
  <c r="S109" i="32" s="1"/>
  <c r="V109" i="32" s="1"/>
  <c r="M109" i="32"/>
  <c r="BH108" i="32"/>
  <c r="BA108" i="32"/>
  <c r="AO108" i="32"/>
  <c r="U108" i="32"/>
  <c r="R108" i="32"/>
  <c r="S108" i="32" s="1"/>
  <c r="V108" i="32" s="1"/>
  <c r="M108" i="32"/>
  <c r="BH107" i="32"/>
  <c r="BA107" i="32"/>
  <c r="AO107" i="32"/>
  <c r="U107" i="32"/>
  <c r="R107" i="32"/>
  <c r="S107" i="32" s="1"/>
  <c r="V107" i="32" s="1"/>
  <c r="M107" i="32"/>
  <c r="BH106" i="32"/>
  <c r="BA106" i="32"/>
  <c r="AO106" i="32"/>
  <c r="U106" i="32"/>
  <c r="R106" i="32"/>
  <c r="S106" i="32" s="1"/>
  <c r="V106" i="32" s="1"/>
  <c r="M106" i="32"/>
  <c r="BH105" i="32"/>
  <c r="BA105" i="32"/>
  <c r="AO105" i="32"/>
  <c r="U105" i="32"/>
  <c r="R105" i="32"/>
  <c r="S105" i="32" s="1"/>
  <c r="V105" i="32" s="1"/>
  <c r="M105" i="32"/>
  <c r="BH104" i="32"/>
  <c r="BA104" i="32"/>
  <c r="AO104" i="32"/>
  <c r="U104" i="32"/>
  <c r="R104" i="32"/>
  <c r="S104" i="32" s="1"/>
  <c r="V104" i="32" s="1"/>
  <c r="M104" i="32"/>
  <c r="BH103" i="32"/>
  <c r="BA103" i="32"/>
  <c r="AO103" i="32"/>
  <c r="U103" i="32"/>
  <c r="R103" i="32"/>
  <c r="S103" i="32" s="1"/>
  <c r="V103" i="32" s="1"/>
  <c r="M103" i="32"/>
  <c r="BH102" i="32"/>
  <c r="BA102" i="32"/>
  <c r="AO102" i="32"/>
  <c r="S102" i="32"/>
  <c r="V102" i="32" s="1"/>
  <c r="M102" i="32"/>
  <c r="BH101" i="32"/>
  <c r="BA101" i="32"/>
  <c r="AO101" i="32"/>
  <c r="U101" i="32"/>
  <c r="R101" i="32"/>
  <c r="S101" i="32" s="1"/>
  <c r="V101" i="32" s="1"/>
  <c r="M101" i="32"/>
  <c r="BH100" i="32"/>
  <c r="BA100" i="32"/>
  <c r="AO100" i="32"/>
  <c r="U100" i="32"/>
  <c r="R100" i="32"/>
  <c r="S100" i="32" s="1"/>
  <c r="V100" i="32" s="1"/>
  <c r="M100" i="32"/>
  <c r="BH99" i="32"/>
  <c r="BA99" i="32"/>
  <c r="AO99" i="32"/>
  <c r="U99" i="32"/>
  <c r="R99" i="32"/>
  <c r="S99" i="32" s="1"/>
  <c r="V99" i="32" s="1"/>
  <c r="M99" i="32"/>
  <c r="BH98" i="32"/>
  <c r="BA98" i="32"/>
  <c r="AO98" i="32"/>
  <c r="U98" i="32"/>
  <c r="R98" i="32"/>
  <c r="S98" i="32" s="1"/>
  <c r="V98" i="32" s="1"/>
  <c r="M98" i="32"/>
  <c r="BH97" i="32"/>
  <c r="BA97" i="32"/>
  <c r="AO97" i="32"/>
  <c r="U97" i="32"/>
  <c r="R97" i="32"/>
  <c r="S97" i="32" s="1"/>
  <c r="V97" i="32" s="1"/>
  <c r="M97" i="32"/>
  <c r="BH96" i="32"/>
  <c r="BA96" i="32"/>
  <c r="AO96" i="32"/>
  <c r="U96" i="32"/>
  <c r="R96" i="32"/>
  <c r="S96" i="32" s="1"/>
  <c r="V96" i="32" s="1"/>
  <c r="M96" i="32"/>
  <c r="BH95" i="32"/>
  <c r="BA95" i="32"/>
  <c r="AO95" i="32"/>
  <c r="U95" i="32"/>
  <c r="R95" i="32"/>
  <c r="S95" i="32" s="1"/>
  <c r="V95" i="32" s="1"/>
  <c r="M95" i="32"/>
  <c r="BH94" i="32"/>
  <c r="BA94" i="32"/>
  <c r="AO94" i="32"/>
  <c r="U94" i="32"/>
  <c r="R94" i="32"/>
  <c r="S94" i="32" s="1"/>
  <c r="V94" i="32" s="1"/>
  <c r="M94" i="32"/>
  <c r="BH93" i="32"/>
  <c r="BA93" i="32"/>
  <c r="AO93" i="32"/>
  <c r="U93" i="32"/>
  <c r="R93" i="32"/>
  <c r="S93" i="32" s="1"/>
  <c r="V93" i="32" s="1"/>
  <c r="M93" i="32"/>
  <c r="BH92" i="32"/>
  <c r="BA92" i="32"/>
  <c r="AO92" i="32"/>
  <c r="U92" i="32"/>
  <c r="R92" i="32"/>
  <c r="S92" i="32" s="1"/>
  <c r="V92" i="32" s="1"/>
  <c r="M92" i="32"/>
  <c r="BH91" i="32"/>
  <c r="BA91" i="32"/>
  <c r="AO91" i="32"/>
  <c r="U91" i="32"/>
  <c r="R91" i="32"/>
  <c r="S91" i="32" s="1"/>
  <c r="V91" i="32" s="1"/>
  <c r="M91" i="32"/>
  <c r="BH90" i="32"/>
  <c r="BA90" i="32"/>
  <c r="AO90" i="32"/>
  <c r="U90" i="32"/>
  <c r="R90" i="32"/>
  <c r="S90" i="32" s="1"/>
  <c r="V90" i="32" s="1"/>
  <c r="M90" i="32"/>
  <c r="BH89" i="32"/>
  <c r="BA89" i="32"/>
  <c r="AO89" i="32"/>
  <c r="U89" i="32"/>
  <c r="R89" i="32"/>
  <c r="S89" i="32" s="1"/>
  <c r="V89" i="32" s="1"/>
  <c r="M89" i="32"/>
  <c r="BH88" i="32"/>
  <c r="BA88" i="32"/>
  <c r="AO88" i="32"/>
  <c r="U88" i="32"/>
  <c r="R88" i="32"/>
  <c r="S88" i="32" s="1"/>
  <c r="V88" i="32" s="1"/>
  <c r="M88" i="32"/>
  <c r="BH87" i="32"/>
  <c r="BA87" i="32"/>
  <c r="AO87" i="32"/>
  <c r="U87" i="32"/>
  <c r="R87" i="32"/>
  <c r="S87" i="32" s="1"/>
  <c r="V87" i="32" s="1"/>
  <c r="BH86" i="32"/>
  <c r="BA86" i="32"/>
  <c r="AO86" i="32"/>
  <c r="U86" i="32"/>
  <c r="R86" i="32"/>
  <c r="S86" i="32" s="1"/>
  <c r="V86" i="32" s="1"/>
  <c r="M86" i="32"/>
  <c r="BH85" i="32"/>
  <c r="BA85" i="32"/>
  <c r="AO85" i="32"/>
  <c r="U85" i="32"/>
  <c r="S85" i="32"/>
  <c r="V85" i="32" s="1"/>
  <c r="M85" i="32"/>
  <c r="BH84" i="32"/>
  <c r="BA84" i="32"/>
  <c r="AO84" i="32"/>
  <c r="U84" i="32"/>
  <c r="R84" i="32"/>
  <c r="S84" i="32" s="1"/>
  <c r="V84" i="32" s="1"/>
  <c r="M84" i="32"/>
  <c r="BH83" i="32"/>
  <c r="BA83" i="32"/>
  <c r="AO83" i="32"/>
  <c r="U83" i="32"/>
  <c r="R83" i="32"/>
  <c r="S83" i="32" s="1"/>
  <c r="V83" i="32" s="1"/>
  <c r="M83" i="32"/>
  <c r="BH82" i="32"/>
  <c r="BA82" i="32"/>
  <c r="AO82" i="32"/>
  <c r="U82" i="32"/>
  <c r="R82" i="32"/>
  <c r="S82" i="32" s="1"/>
  <c r="V82" i="32" s="1"/>
  <c r="M82" i="32"/>
  <c r="BH81" i="32"/>
  <c r="BA81" i="32"/>
  <c r="AO81" i="32"/>
  <c r="U81" i="32"/>
  <c r="R81" i="32"/>
  <c r="S81" i="32" s="1"/>
  <c r="V81" i="32" s="1"/>
  <c r="M81" i="32"/>
  <c r="BH80" i="32"/>
  <c r="BA80" i="32"/>
  <c r="AO80" i="32"/>
  <c r="U80" i="32"/>
  <c r="R80" i="32"/>
  <c r="S80" i="32" s="1"/>
  <c r="V80" i="32" s="1"/>
  <c r="M80" i="32"/>
  <c r="BH79" i="32"/>
  <c r="BA79" i="32"/>
  <c r="AO79" i="32"/>
  <c r="U79" i="32"/>
  <c r="R79" i="32"/>
  <c r="S79" i="32" s="1"/>
  <c r="V79" i="32" s="1"/>
  <c r="M79" i="32"/>
  <c r="BH78" i="32"/>
  <c r="BA78" i="32"/>
  <c r="AO78" i="32"/>
  <c r="U78" i="32"/>
  <c r="S78" i="32"/>
  <c r="V78" i="32" s="1"/>
  <c r="M78" i="32"/>
  <c r="BH77" i="32"/>
  <c r="BA77" i="32"/>
  <c r="AO77" i="32"/>
  <c r="U77" i="32"/>
  <c r="R77" i="32"/>
  <c r="S77" i="32" s="1"/>
  <c r="V77" i="32" s="1"/>
  <c r="M77" i="32"/>
  <c r="BH76" i="32"/>
  <c r="BA76" i="32"/>
  <c r="AO76" i="32"/>
  <c r="U76" i="32"/>
  <c r="R76" i="32"/>
  <c r="S76" i="32" s="1"/>
  <c r="V76" i="32" s="1"/>
  <c r="M76" i="32"/>
  <c r="BH75" i="32"/>
  <c r="BA75" i="32"/>
  <c r="AO75" i="32"/>
  <c r="U75" i="32"/>
  <c r="R75" i="32"/>
  <c r="S75" i="32" s="1"/>
  <c r="V75" i="32" s="1"/>
  <c r="M75" i="32"/>
  <c r="BH74" i="32"/>
  <c r="BA74" i="32"/>
  <c r="AO74" i="32"/>
  <c r="U74" i="32"/>
  <c r="R74" i="32"/>
  <c r="S74" i="32" s="1"/>
  <c r="V74" i="32" s="1"/>
  <c r="M74" i="32"/>
  <c r="BH73" i="32"/>
  <c r="BA73" i="32"/>
  <c r="AO73" i="32"/>
  <c r="U73" i="32"/>
  <c r="R73" i="32"/>
  <c r="S73" i="32" s="1"/>
  <c r="V73" i="32" s="1"/>
  <c r="M73" i="32"/>
  <c r="BH72" i="32"/>
  <c r="BA72" i="32"/>
  <c r="AO72" i="32"/>
  <c r="U72" i="32"/>
  <c r="R72" i="32"/>
  <c r="S72" i="32" s="1"/>
  <c r="V72" i="32" s="1"/>
  <c r="M72" i="32"/>
  <c r="BH71" i="32"/>
  <c r="BA71" i="32"/>
  <c r="AO71" i="32"/>
  <c r="U71" i="32"/>
  <c r="R71" i="32"/>
  <c r="S71" i="32" s="1"/>
  <c r="V71" i="32" s="1"/>
  <c r="M71" i="32"/>
  <c r="BH70" i="32"/>
  <c r="BA70" i="32"/>
  <c r="AO70" i="32"/>
  <c r="U70" i="32"/>
  <c r="R70" i="32"/>
  <c r="S70" i="32" s="1"/>
  <c r="V70" i="32" s="1"/>
  <c r="M70" i="32"/>
  <c r="BH69" i="32"/>
  <c r="BA69" i="32"/>
  <c r="AO69" i="32"/>
  <c r="U69" i="32"/>
  <c r="R69" i="32"/>
  <c r="S69" i="32" s="1"/>
  <c r="V69" i="32" s="1"/>
  <c r="M69" i="32"/>
  <c r="BH68" i="32"/>
  <c r="BA68" i="32"/>
  <c r="AO68" i="32"/>
  <c r="U68" i="32"/>
  <c r="R68" i="32"/>
  <c r="M68" i="32"/>
  <c r="BH67" i="32"/>
  <c r="BA67" i="32"/>
  <c r="AO67" i="32"/>
  <c r="U67" i="32"/>
  <c r="R67" i="32"/>
  <c r="S67" i="32" s="1"/>
  <c r="V67" i="32" s="1"/>
  <c r="M67" i="32"/>
  <c r="BH66" i="32"/>
  <c r="BA66" i="32"/>
  <c r="AO66" i="32"/>
  <c r="U66" i="32"/>
  <c r="R66" i="32"/>
  <c r="S66" i="32" s="1"/>
  <c r="V66" i="32" s="1"/>
  <c r="M66" i="32"/>
  <c r="BH65" i="32"/>
  <c r="BA65" i="32"/>
  <c r="AO65" i="32"/>
  <c r="U65" i="32"/>
  <c r="R65" i="32"/>
  <c r="S65" i="32" s="1"/>
  <c r="V65" i="32" s="1"/>
  <c r="M65" i="32"/>
  <c r="BH64" i="32"/>
  <c r="BA64" i="32"/>
  <c r="AO64" i="32"/>
  <c r="U64" i="32"/>
  <c r="R64" i="32"/>
  <c r="S64" i="32" s="1"/>
  <c r="V64" i="32" s="1"/>
  <c r="M64" i="32"/>
  <c r="BH63" i="32"/>
  <c r="BA63" i="32"/>
  <c r="AO63" i="32"/>
  <c r="U63" i="32"/>
  <c r="R63" i="32"/>
  <c r="S63" i="32" s="1"/>
  <c r="V63" i="32" s="1"/>
  <c r="M63" i="32"/>
  <c r="BH62" i="32"/>
  <c r="BA62" i="32"/>
  <c r="AO62" i="32"/>
  <c r="U62" i="32"/>
  <c r="R62" i="32"/>
  <c r="S62" i="32" s="1"/>
  <c r="V62" i="32" s="1"/>
  <c r="M62" i="32"/>
  <c r="BH61" i="32"/>
  <c r="BA61" i="32"/>
  <c r="AO61" i="32"/>
  <c r="U61" i="32"/>
  <c r="R61" i="32"/>
  <c r="S61" i="32" s="1"/>
  <c r="V61" i="32" s="1"/>
  <c r="M61" i="32"/>
  <c r="BH60" i="32"/>
  <c r="BA60" i="32"/>
  <c r="AO60" i="32"/>
  <c r="U60" i="32"/>
  <c r="R60" i="32"/>
  <c r="S60" i="32" s="1"/>
  <c r="V60" i="32" s="1"/>
  <c r="M60" i="32"/>
  <c r="BH59" i="32"/>
  <c r="BA59" i="32"/>
  <c r="AO59" i="32"/>
  <c r="U59" i="32"/>
  <c r="R59" i="32"/>
  <c r="S59" i="32" s="1"/>
  <c r="V59" i="32" s="1"/>
  <c r="M59" i="32"/>
  <c r="BH58" i="32"/>
  <c r="BA58" i="32"/>
  <c r="AO58" i="32"/>
  <c r="U58" i="32"/>
  <c r="R58" i="32"/>
  <c r="S58" i="32" s="1"/>
  <c r="V58" i="32" s="1"/>
  <c r="M58" i="32"/>
  <c r="BH57" i="32"/>
  <c r="BA57" i="32"/>
  <c r="AO57" i="32"/>
  <c r="U57" i="32"/>
  <c r="R57" i="32"/>
  <c r="S57" i="32" s="1"/>
  <c r="V57" i="32" s="1"/>
  <c r="M57" i="32"/>
  <c r="BH56" i="32"/>
  <c r="BA56" i="32"/>
  <c r="AO56" i="32"/>
  <c r="U56" i="32"/>
  <c r="R56" i="32"/>
  <c r="S56" i="32" s="1"/>
  <c r="V56" i="32" s="1"/>
  <c r="M56" i="32"/>
  <c r="BH55" i="32"/>
  <c r="BA55" i="32"/>
  <c r="AO55" i="32"/>
  <c r="U55" i="32"/>
  <c r="R55" i="32"/>
  <c r="S55" i="32" s="1"/>
  <c r="V55" i="32" s="1"/>
  <c r="M55" i="32"/>
  <c r="BH54" i="32"/>
  <c r="BA54" i="32"/>
  <c r="AO54" i="32"/>
  <c r="U54" i="32"/>
  <c r="R54" i="32"/>
  <c r="S54" i="32" s="1"/>
  <c r="V54" i="32" s="1"/>
  <c r="M54" i="32"/>
  <c r="BH53" i="32"/>
  <c r="BA53" i="32"/>
  <c r="AO53" i="32"/>
  <c r="V53" i="32"/>
  <c r="M53" i="32"/>
  <c r="BH52" i="32"/>
  <c r="BA52" i="32"/>
  <c r="AO52" i="32"/>
  <c r="U52" i="32"/>
  <c r="R52" i="32"/>
  <c r="S52" i="32" s="1"/>
  <c r="V52" i="32" s="1"/>
  <c r="M52" i="32"/>
  <c r="BH51" i="32"/>
  <c r="BA51" i="32"/>
  <c r="AO51" i="32"/>
  <c r="U51" i="32"/>
  <c r="R51" i="32"/>
  <c r="S51" i="32" s="1"/>
  <c r="V51" i="32" s="1"/>
  <c r="M51" i="32"/>
  <c r="BH50" i="32"/>
  <c r="BA50" i="32"/>
  <c r="AO50" i="32"/>
  <c r="U50" i="32"/>
  <c r="R50" i="32"/>
  <c r="S50" i="32" s="1"/>
  <c r="V50" i="32" s="1"/>
  <c r="M50" i="32"/>
  <c r="BH49" i="32"/>
  <c r="BA49" i="32"/>
  <c r="AO49" i="32"/>
  <c r="U49" i="32"/>
  <c r="R49" i="32"/>
  <c r="S49" i="32" s="1"/>
  <c r="V49" i="32" s="1"/>
  <c r="M49" i="32"/>
  <c r="BH48" i="32"/>
  <c r="BA48" i="32"/>
  <c r="AO48" i="32"/>
  <c r="S48" i="32"/>
  <c r="V48" i="32" s="1"/>
  <c r="M48" i="32"/>
  <c r="BH47" i="32"/>
  <c r="BA47" i="32"/>
  <c r="AO47" i="32"/>
  <c r="U47" i="32"/>
  <c r="R47" i="32"/>
  <c r="S47" i="32" s="1"/>
  <c r="V47" i="32" s="1"/>
  <c r="M47" i="32"/>
  <c r="BH46" i="32"/>
  <c r="BA46" i="32"/>
  <c r="AO46" i="32"/>
  <c r="U46" i="32"/>
  <c r="R46" i="32"/>
  <c r="S46" i="32" s="1"/>
  <c r="V46" i="32" s="1"/>
  <c r="M46" i="32"/>
  <c r="BH45" i="32"/>
  <c r="BA45" i="32"/>
  <c r="AO45" i="32"/>
  <c r="U45" i="32"/>
  <c r="R45" i="32"/>
  <c r="S45" i="32" s="1"/>
  <c r="V45" i="32" s="1"/>
  <c r="M45" i="32"/>
  <c r="BH44" i="32"/>
  <c r="BA44" i="32"/>
  <c r="AO44" i="32"/>
  <c r="U44" i="32"/>
  <c r="R44" i="32"/>
  <c r="S44" i="32" s="1"/>
  <c r="V44" i="32" s="1"/>
  <c r="M44" i="32"/>
  <c r="BH43" i="32"/>
  <c r="BA43" i="32"/>
  <c r="AO43" i="32"/>
  <c r="U43" i="32"/>
  <c r="R43" i="32"/>
  <c r="S43" i="32" s="1"/>
  <c r="V43" i="32" s="1"/>
  <c r="M43" i="32"/>
  <c r="BH42" i="32"/>
  <c r="BA42" i="32"/>
  <c r="AO42" i="32"/>
  <c r="U42" i="32"/>
  <c r="R42" i="32"/>
  <c r="S42" i="32" s="1"/>
  <c r="V42" i="32" s="1"/>
  <c r="M42" i="32"/>
  <c r="BH41" i="32"/>
  <c r="BA41" i="32"/>
  <c r="AO41" i="32"/>
  <c r="U41" i="32"/>
  <c r="R41" i="32"/>
  <c r="S41" i="32" s="1"/>
  <c r="V41" i="32" s="1"/>
  <c r="M41" i="32"/>
  <c r="BH40" i="32"/>
  <c r="BA40" i="32"/>
  <c r="AO40" i="32"/>
  <c r="U40" i="32"/>
  <c r="R40" i="32"/>
  <c r="S40" i="32" s="1"/>
  <c r="V40" i="32" s="1"/>
  <c r="M40" i="32"/>
  <c r="BH39" i="32"/>
  <c r="BA39" i="32"/>
  <c r="AO39" i="32"/>
  <c r="U39" i="32"/>
  <c r="R39" i="32"/>
  <c r="S39" i="32" s="1"/>
  <c r="V39" i="32" s="1"/>
  <c r="M39" i="32"/>
  <c r="BH38" i="32"/>
  <c r="BA38" i="32"/>
  <c r="AO38" i="32"/>
  <c r="U38" i="32"/>
  <c r="R38" i="32"/>
  <c r="S38" i="32" s="1"/>
  <c r="V38" i="32" s="1"/>
  <c r="M38" i="32"/>
  <c r="BH37" i="32"/>
  <c r="BA37" i="32"/>
  <c r="AO37" i="32"/>
  <c r="U37" i="32"/>
  <c r="R37" i="32"/>
  <c r="S37" i="32" s="1"/>
  <c r="V37" i="32" s="1"/>
  <c r="M37" i="32"/>
  <c r="BH36" i="32"/>
  <c r="BA36" i="32"/>
  <c r="AO36" i="32"/>
  <c r="U36" i="32"/>
  <c r="R36" i="32"/>
  <c r="S36" i="32" s="1"/>
  <c r="V36" i="32" s="1"/>
  <c r="M36" i="32"/>
  <c r="BH35" i="32"/>
  <c r="BA35" i="32"/>
  <c r="AO35" i="32"/>
  <c r="U35" i="32"/>
  <c r="R35" i="32"/>
  <c r="S35" i="32" s="1"/>
  <c r="V35" i="32" s="1"/>
  <c r="M35" i="32"/>
  <c r="BH34" i="32"/>
  <c r="BA34" i="32"/>
  <c r="AO34" i="32"/>
  <c r="U34" i="32"/>
  <c r="R34" i="32"/>
  <c r="S34" i="32" s="1"/>
  <c r="V34" i="32" s="1"/>
  <c r="M34" i="32"/>
  <c r="BH33" i="32"/>
  <c r="BA33" i="32"/>
  <c r="AO33" i="32"/>
  <c r="U33" i="32"/>
  <c r="R33" i="32"/>
  <c r="S33" i="32" s="1"/>
  <c r="V33" i="32" s="1"/>
  <c r="M33" i="32"/>
  <c r="BH32" i="32"/>
  <c r="BA32" i="32"/>
  <c r="AO32" i="32"/>
  <c r="U32" i="32"/>
  <c r="R32" i="32"/>
  <c r="S32" i="32" s="1"/>
  <c r="V32" i="32" s="1"/>
  <c r="M32" i="32"/>
  <c r="BH31" i="32"/>
  <c r="BA31" i="32"/>
  <c r="AO31" i="32"/>
  <c r="U31" i="32"/>
  <c r="R31" i="32"/>
  <c r="S31" i="32" s="1"/>
  <c r="V31" i="32" s="1"/>
  <c r="M31" i="32"/>
  <c r="BH30" i="32"/>
  <c r="BA30" i="32"/>
  <c r="AO30" i="32"/>
  <c r="U30" i="32"/>
  <c r="R30" i="32"/>
  <c r="S30" i="32" s="1"/>
  <c r="V30" i="32" s="1"/>
  <c r="M30" i="32"/>
  <c r="BH29" i="32"/>
  <c r="BA29" i="32"/>
  <c r="AO29" i="32"/>
  <c r="U29" i="32"/>
  <c r="R29" i="32"/>
  <c r="S29" i="32" s="1"/>
  <c r="V29" i="32" s="1"/>
  <c r="M29" i="32"/>
  <c r="BH28" i="32"/>
  <c r="BA28" i="32"/>
  <c r="AO28" i="32"/>
  <c r="U28" i="32"/>
  <c r="R28" i="32"/>
  <c r="S28" i="32" s="1"/>
  <c r="V28" i="32" s="1"/>
  <c r="M28" i="32"/>
  <c r="BH27" i="32"/>
  <c r="BA27" i="32"/>
  <c r="AO27" i="32"/>
  <c r="U27" i="32"/>
  <c r="R27" i="32"/>
  <c r="S27" i="32" s="1"/>
  <c r="V27" i="32" s="1"/>
  <c r="M27" i="32"/>
  <c r="BH26" i="32"/>
  <c r="BA26" i="32"/>
  <c r="AO26" i="32"/>
  <c r="U26" i="32"/>
  <c r="R26" i="32"/>
  <c r="S26" i="32" s="1"/>
  <c r="V26" i="32" s="1"/>
  <c r="M26" i="32"/>
  <c r="BH25" i="32"/>
  <c r="BA25" i="32"/>
  <c r="AO25" i="32"/>
  <c r="U25" i="32"/>
  <c r="R25" i="32"/>
  <c r="S25" i="32" s="1"/>
  <c r="V25" i="32" s="1"/>
  <c r="M25" i="32"/>
  <c r="BH24" i="32"/>
  <c r="BA24" i="32"/>
  <c r="AO24" i="32"/>
  <c r="U24" i="32"/>
  <c r="S24" i="32"/>
  <c r="V24" i="32" s="1"/>
  <c r="M24" i="32"/>
  <c r="BH23" i="32"/>
  <c r="BA23" i="32"/>
  <c r="AO23" i="32"/>
  <c r="U23" i="32"/>
  <c r="R23" i="32"/>
  <c r="S23" i="32" s="1"/>
  <c r="V23" i="32" s="1"/>
  <c r="M23" i="32"/>
  <c r="BH22" i="32"/>
  <c r="BA22" i="32"/>
  <c r="AO22" i="32"/>
  <c r="U22" i="32"/>
  <c r="R22" i="32"/>
  <c r="S22" i="32" s="1"/>
  <c r="V22" i="32" s="1"/>
  <c r="M22" i="32"/>
  <c r="BH21" i="32"/>
  <c r="BA21" i="32"/>
  <c r="AO21" i="32"/>
  <c r="U21" i="32"/>
  <c r="R21" i="32"/>
  <c r="S21" i="32" s="1"/>
  <c r="V21" i="32" s="1"/>
  <c r="M21" i="32"/>
  <c r="BH20" i="32"/>
  <c r="BA20" i="32"/>
  <c r="AO20" i="32"/>
  <c r="U20" i="32"/>
  <c r="R20" i="32"/>
  <c r="S20" i="32" s="1"/>
  <c r="V20" i="32" s="1"/>
  <c r="M20" i="32"/>
  <c r="BH19" i="32"/>
  <c r="BA19" i="32"/>
  <c r="AO19" i="32"/>
  <c r="U19" i="32"/>
  <c r="R19" i="32"/>
  <c r="S19" i="32" s="1"/>
  <c r="V19" i="32" s="1"/>
  <c r="M19" i="32"/>
  <c r="BH18" i="32"/>
  <c r="BA18" i="32"/>
  <c r="AO18" i="32"/>
  <c r="U18" i="32"/>
  <c r="R18" i="32"/>
  <c r="S18" i="32" s="1"/>
  <c r="V18" i="32" s="1"/>
  <c r="M18" i="32"/>
  <c r="BH17" i="32"/>
  <c r="BA17" i="32"/>
  <c r="AO17" i="32"/>
  <c r="U17" i="32"/>
  <c r="R17" i="32"/>
  <c r="S17" i="32" s="1"/>
  <c r="V17" i="32" s="1"/>
  <c r="M17" i="32"/>
  <c r="BH16" i="32"/>
  <c r="BA16" i="32"/>
  <c r="AO16" i="32"/>
  <c r="U16" i="32"/>
  <c r="R16" i="32"/>
  <c r="S16" i="32" s="1"/>
  <c r="V16" i="32" s="1"/>
  <c r="M16" i="32"/>
  <c r="BH15" i="32"/>
  <c r="BA15" i="32"/>
  <c r="AO15" i="32"/>
  <c r="U15" i="32"/>
  <c r="R15" i="32"/>
  <c r="S15" i="32" s="1"/>
  <c r="V15" i="32" s="1"/>
  <c r="M15" i="32"/>
  <c r="BH14" i="32"/>
  <c r="BA14" i="32"/>
  <c r="AO14" i="32"/>
  <c r="S14" i="32"/>
  <c r="V14" i="32" s="1"/>
  <c r="M14" i="32"/>
  <c r="BH13" i="32"/>
  <c r="BA13" i="32"/>
  <c r="AO13" i="32"/>
  <c r="U13" i="32"/>
  <c r="R13" i="32"/>
  <c r="S13" i="32" s="1"/>
  <c r="V13" i="32" s="1"/>
  <c r="M13" i="32"/>
  <c r="BH12" i="32"/>
  <c r="BA12" i="32"/>
  <c r="AO12" i="32"/>
  <c r="U12" i="32"/>
  <c r="R12" i="32"/>
  <c r="S12" i="32" s="1"/>
  <c r="V12" i="32" s="1"/>
  <c r="M12" i="32"/>
  <c r="BH11" i="32"/>
  <c r="BA11" i="32"/>
  <c r="AO11" i="32"/>
  <c r="U11" i="32"/>
  <c r="R11" i="32"/>
  <c r="S11" i="32" s="1"/>
  <c r="V11" i="32" s="1"/>
  <c r="M11" i="32"/>
  <c r="BH10" i="32"/>
  <c r="BA10" i="32"/>
  <c r="AO10" i="32"/>
  <c r="S10" i="32"/>
  <c r="V10" i="32" s="1"/>
  <c r="M10" i="32"/>
  <c r="BH9" i="32"/>
  <c r="BA9" i="32"/>
  <c r="AO9" i="32"/>
  <c r="U9" i="32"/>
  <c r="R9" i="32"/>
  <c r="S9" i="32" s="1"/>
  <c r="V9" i="32" s="1"/>
  <c r="M9" i="32"/>
  <c r="BH8" i="32"/>
  <c r="BA8" i="32"/>
  <c r="AO8" i="32"/>
  <c r="U8" i="32"/>
  <c r="R8" i="32"/>
  <c r="S8" i="32" s="1"/>
  <c r="V8" i="32" s="1"/>
  <c r="M8" i="32"/>
  <c r="BH7" i="32"/>
  <c r="BA7" i="32"/>
  <c r="AO7" i="32"/>
  <c r="U7" i="32"/>
  <c r="R7" i="32"/>
  <c r="S7" i="32" s="1"/>
  <c r="V7" i="32" s="1"/>
  <c r="M7" i="32"/>
  <c r="BH6" i="32"/>
  <c r="BA6" i="32"/>
  <c r="AO6" i="32"/>
  <c r="U6" i="32"/>
  <c r="R6" i="32"/>
  <c r="S6" i="32" s="1"/>
  <c r="V6" i="32" s="1"/>
  <c r="M6" i="32"/>
  <c r="BH5" i="32"/>
  <c r="BA5" i="32"/>
  <c r="AO5" i="32"/>
  <c r="V5" i="32"/>
  <c r="M5" i="32"/>
  <c r="BH4" i="32"/>
  <c r="BA4" i="32"/>
  <c r="AO4" i="32"/>
  <c r="U4" i="32"/>
  <c r="R4" i="32"/>
  <c r="S4" i="32" s="1"/>
  <c r="V4" i="32" s="1"/>
  <c r="M4" i="32"/>
  <c r="BH3" i="32"/>
  <c r="BA3" i="32"/>
  <c r="AO3" i="32"/>
  <c r="U3" i="32"/>
  <c r="R3" i="32"/>
  <c r="M3" i="32"/>
  <c r="S68" i="32" l="1"/>
  <c r="R130" i="32"/>
  <c r="U130" i="32"/>
  <c r="D134" i="32"/>
  <c r="V119" i="32"/>
  <c r="AN130" i="32"/>
  <c r="V122" i="32"/>
  <c r="V125" i="32"/>
  <c r="S3" i="32"/>
  <c r="V3" i="32" s="1"/>
  <c r="D135" i="32" s="1"/>
  <c r="D142" i="32" l="1"/>
  <c r="V68" i="32"/>
  <c r="S130" i="32"/>
  <c r="V130" i="32" l="1"/>
  <c r="D137" i="32" s="1"/>
  <c r="D133" i="32"/>
  <c r="D136" i="32" s="1"/>
  <c r="D141" i="32"/>
  <c r="D143" i="32" s="1"/>
  <c r="C24" i="30" l="1"/>
  <c r="C17" i="30" l="1"/>
  <c r="BD7" i="28"/>
  <c r="BA7" i="28"/>
  <c r="AZ7" i="28"/>
  <c r="AH7" i="28"/>
  <c r="V7" i="28"/>
  <c r="S7" i="28"/>
  <c r="T7" i="28" s="1"/>
  <c r="W7" i="28" s="1"/>
  <c r="M7" i="28"/>
  <c r="BK6" i="24"/>
  <c r="BH6" i="24"/>
  <c r="BG6" i="24"/>
  <c r="BB6" i="24"/>
  <c r="AM6" i="24"/>
  <c r="U6" i="24"/>
  <c r="R6" i="24"/>
  <c r="M6" i="24"/>
  <c r="S6" i="24" l="1"/>
  <c r="V6" i="24" s="1"/>
  <c r="C26" i="30"/>
  <c r="R129" i="22"/>
  <c r="S129" i="22" s="1"/>
  <c r="C31" i="30" l="1"/>
  <c r="C30" i="30"/>
  <c r="BF120" i="28"/>
  <c r="BE120" i="28"/>
  <c r="BD120" i="28"/>
  <c r="BA120" i="28"/>
  <c r="AZ120" i="28"/>
  <c r="AV120" i="28"/>
  <c r="AH120" i="28"/>
  <c r="S120" i="28"/>
  <c r="T120" i="28" s="1"/>
  <c r="W120" i="28" s="1"/>
  <c r="M120" i="28"/>
  <c r="C28" i="30"/>
  <c r="BV6" i="28"/>
  <c r="BU6" i="28"/>
  <c r="BT6" i="28"/>
  <c r="BS6" i="28"/>
  <c r="BQ6" i="28"/>
  <c r="BE6" i="28"/>
  <c r="AV6" i="28"/>
  <c r="AH6" i="28"/>
  <c r="V6" i="28"/>
  <c r="S6" i="28"/>
  <c r="T6" i="28" s="1"/>
  <c r="W6" i="28" s="1"/>
  <c r="M6" i="28"/>
  <c r="C23" i="30"/>
  <c r="BW6" i="28" l="1"/>
  <c r="C22" i="30" l="1"/>
  <c r="C21" i="30"/>
  <c r="BZ5" i="24"/>
  <c r="BY5" i="24"/>
  <c r="BX5" i="24"/>
  <c r="BW5" i="24"/>
  <c r="BU5" i="24"/>
  <c r="BI5" i="24"/>
  <c r="BA5" i="24"/>
  <c r="AL5" i="24"/>
  <c r="U5" i="24"/>
  <c r="R5" i="24"/>
  <c r="M5" i="24"/>
  <c r="S5" i="24" l="1"/>
  <c r="V5" i="24" s="1"/>
  <c r="CA5" i="24"/>
  <c r="BI4" i="22" l="1"/>
  <c r="BA4" i="22"/>
  <c r="AL4" i="22"/>
  <c r="U4" i="22"/>
  <c r="R4" i="22"/>
  <c r="S4" i="22" s="1"/>
  <c r="V4" i="22" s="1"/>
  <c r="M4" i="22"/>
  <c r="BZ5" i="20"/>
  <c r="BY5" i="20"/>
  <c r="BX5" i="20"/>
  <c r="BW5" i="20"/>
  <c r="BU5" i="20"/>
  <c r="BI5" i="20"/>
  <c r="BA5" i="20"/>
  <c r="AL5" i="20"/>
  <c r="U5" i="20"/>
  <c r="R5" i="20"/>
  <c r="S5" i="20" s="1"/>
  <c r="V5" i="20" s="1"/>
  <c r="CA5" i="20" l="1"/>
  <c r="U4" i="20"/>
  <c r="R4" i="20"/>
  <c r="S4" i="20" s="1"/>
  <c r="V4" i="20" s="1"/>
  <c r="BV5" i="28" l="1"/>
  <c r="BU5" i="28"/>
  <c r="BT5" i="28"/>
  <c r="BN5" i="28"/>
  <c r="BE5" i="28"/>
  <c r="AW5" i="28"/>
  <c r="AH5" i="28"/>
  <c r="V5" i="28"/>
  <c r="S5" i="28"/>
  <c r="T5" i="28" s="1"/>
  <c r="W5" i="28" s="1"/>
  <c r="M5" i="28"/>
  <c r="C16" i="30"/>
  <c r="BZ4" i="24"/>
  <c r="BY4" i="24"/>
  <c r="BX4" i="24"/>
  <c r="BR4" i="24"/>
  <c r="BI4" i="24"/>
  <c r="BA4" i="24"/>
  <c r="AL4" i="24"/>
  <c r="U4" i="24"/>
  <c r="R4" i="24"/>
  <c r="S4" i="24" s="1"/>
  <c r="V4" i="24" s="1"/>
  <c r="M4" i="24"/>
  <c r="C15" i="30"/>
  <c r="BR3" i="22"/>
  <c r="BI3" i="22"/>
  <c r="BA3" i="22"/>
  <c r="AL3" i="22"/>
  <c r="U3" i="22"/>
  <c r="R3" i="22"/>
  <c r="S3" i="22" s="1"/>
  <c r="V3" i="22" s="1"/>
  <c r="M3" i="22"/>
  <c r="C14" i="30"/>
  <c r="BZ4" i="20"/>
  <c r="BY4" i="20"/>
  <c r="BX4" i="20"/>
  <c r="BR4" i="20"/>
  <c r="BI4" i="20"/>
  <c r="BA4" i="20"/>
  <c r="AL4" i="20"/>
  <c r="CA4" i="20" l="1"/>
  <c r="BW5" i="28"/>
  <c r="CA4" i="24"/>
  <c r="C12" i="30" l="1"/>
  <c r="C10" i="30"/>
  <c r="R142" i="16"/>
  <c r="BU4" i="28"/>
  <c r="BT4" i="28"/>
  <c r="BS4" i="28"/>
  <c r="BR4" i="28"/>
  <c r="BQ4" i="28"/>
  <c r="BP4" i="28"/>
  <c r="BN4" i="28"/>
  <c r="BM4" i="28"/>
  <c r="BD4" i="28"/>
  <c r="AV4" i="28"/>
  <c r="AH4" i="28"/>
  <c r="V4" i="28"/>
  <c r="S4" i="28"/>
  <c r="T4" i="28" s="1"/>
  <c r="W4" i="28" s="1"/>
  <c r="M4" i="28"/>
  <c r="BU3" i="28"/>
  <c r="BT3" i="28"/>
  <c r="BS3" i="28"/>
  <c r="BR3" i="28"/>
  <c r="BQ3" i="28"/>
  <c r="BP3" i="28"/>
  <c r="BN3" i="28"/>
  <c r="BM3" i="28"/>
  <c r="BD3" i="28"/>
  <c r="AV3" i="28"/>
  <c r="AH3" i="28"/>
  <c r="V3" i="28"/>
  <c r="S3" i="28"/>
  <c r="T3" i="28" s="1"/>
  <c r="W3" i="28" s="1"/>
  <c r="M3" i="28"/>
  <c r="BZ3" i="24"/>
  <c r="BY3" i="24"/>
  <c r="BX3" i="24"/>
  <c r="BW3" i="24"/>
  <c r="BV3" i="24"/>
  <c r="BU3" i="24"/>
  <c r="BS3" i="24"/>
  <c r="BR3" i="24"/>
  <c r="BI3" i="24"/>
  <c r="BA3" i="24"/>
  <c r="AL3" i="24"/>
  <c r="U3" i="24"/>
  <c r="R3" i="24"/>
  <c r="S3" i="24" s="1"/>
  <c r="V3" i="24" s="1"/>
  <c r="M3" i="24"/>
  <c r="BS2" i="22"/>
  <c r="BR2" i="22"/>
  <c r="BI2" i="22"/>
  <c r="BA2" i="22"/>
  <c r="AL2" i="22"/>
  <c r="U2" i="22"/>
  <c r="R2" i="22"/>
  <c r="S2" i="22" s="1"/>
  <c r="V2" i="22" s="1"/>
  <c r="M2" i="22"/>
  <c r="BZ3" i="20"/>
  <c r="BY3" i="20"/>
  <c r="BX3" i="20"/>
  <c r="BW3" i="20"/>
  <c r="BV3" i="20"/>
  <c r="BU3" i="20"/>
  <c r="BS3" i="20"/>
  <c r="BR3" i="20"/>
  <c r="BI3" i="20"/>
  <c r="BA3" i="20"/>
  <c r="AL3" i="20"/>
  <c r="U3" i="20"/>
  <c r="R3" i="20"/>
  <c r="S3" i="20" s="1"/>
  <c r="V3" i="20" s="1"/>
  <c r="I34" i="30"/>
  <c r="H34" i="30"/>
  <c r="CA3" i="20" l="1"/>
  <c r="BV4" i="28"/>
  <c r="CA3" i="24"/>
  <c r="BV3" i="28"/>
  <c r="M42" i="28" l="1"/>
  <c r="AH140" i="28" l="1"/>
  <c r="F55" i="28" l="1"/>
  <c r="BA108" i="28" l="1"/>
  <c r="AG65" i="28"/>
  <c r="AL158" i="24" l="1"/>
  <c r="AM134" i="24"/>
  <c r="AG60" i="28"/>
  <c r="BH138" i="24"/>
  <c r="BA143" i="28" l="1"/>
  <c r="M98" i="28" l="1"/>
  <c r="M113" i="28"/>
  <c r="BK138" i="24" l="1"/>
  <c r="AG59" i="28" l="1"/>
  <c r="AZ157" i="28" l="1"/>
  <c r="AV157" i="28"/>
  <c r="AH157" i="28"/>
  <c r="S157" i="28"/>
  <c r="T157" i="28" s="1"/>
  <c r="W157" i="28" s="1"/>
  <c r="M157" i="28"/>
  <c r="F157" i="28"/>
  <c r="AZ155" i="28" l="1"/>
  <c r="AV155" i="28"/>
  <c r="AH155" i="28"/>
  <c r="S155" i="28"/>
  <c r="T155" i="28" s="1"/>
  <c r="W155" i="28" s="1"/>
  <c r="M155" i="28"/>
  <c r="V65" i="28"/>
  <c r="BA76" i="28"/>
  <c r="BA75" i="28"/>
  <c r="AZ67" i="28"/>
  <c r="BA67" i="28"/>
  <c r="BA71" i="28"/>
  <c r="M60" i="28"/>
  <c r="M130" i="28"/>
  <c r="AV55" i="28"/>
  <c r="AV54" i="28"/>
  <c r="AV156" i="28"/>
  <c r="AV53" i="28"/>
  <c r="AV154" i="28"/>
  <c r="AV52" i="28"/>
  <c r="AV152" i="28"/>
  <c r="AV151" i="28"/>
  <c r="AV51" i="28"/>
  <c r="AV150" i="28"/>
  <c r="AV50" i="28"/>
  <c r="AV49" i="28"/>
  <c r="AV149" i="28"/>
  <c r="AV148" i="28"/>
  <c r="AV48" i="28"/>
  <c r="AV47" i="28"/>
  <c r="AV60" i="28"/>
  <c r="AV46" i="28"/>
  <c r="AV45" i="28"/>
  <c r="AV147" i="28"/>
  <c r="AV145" i="28"/>
  <c r="AV144" i="28"/>
  <c r="AV143" i="28"/>
  <c r="AV141" i="28"/>
  <c r="AV140" i="28"/>
  <c r="AV138" i="28"/>
  <c r="AV137" i="28"/>
  <c r="AV136" i="28"/>
  <c r="AV135" i="28"/>
  <c r="AV134" i="28"/>
  <c r="AV133" i="28"/>
  <c r="AV132" i="28"/>
  <c r="AV131" i="28"/>
  <c r="AV130" i="28"/>
  <c r="AV129" i="28"/>
  <c r="AV57" i="28"/>
  <c r="AV42" i="28"/>
  <c r="AV41" i="28"/>
  <c r="AV40" i="28"/>
  <c r="AV128" i="28"/>
  <c r="AV127" i="28"/>
  <c r="AV126" i="28"/>
  <c r="AV125" i="28"/>
  <c r="AV124" i="28"/>
  <c r="AV122" i="28"/>
  <c r="AV121" i="28"/>
  <c r="AV119" i="28"/>
  <c r="AV118" i="28"/>
  <c r="AV117" i="28"/>
  <c r="AV116" i="28"/>
  <c r="AV115" i="28"/>
  <c r="AV114" i="28"/>
  <c r="AV113" i="28"/>
  <c r="AV111" i="28"/>
  <c r="AV110" i="28"/>
  <c r="AV109" i="28"/>
  <c r="AV108" i="28"/>
  <c r="AV107" i="28"/>
  <c r="AV106" i="28"/>
  <c r="AV105" i="28"/>
  <c r="AV104" i="28"/>
  <c r="AV103" i="28"/>
  <c r="AV102" i="28"/>
  <c r="AV101" i="28"/>
  <c r="AV100" i="28"/>
  <c r="AV99" i="28"/>
  <c r="AV98" i="28"/>
  <c r="AV97" i="28"/>
  <c r="AV96" i="28"/>
  <c r="AV95" i="28"/>
  <c r="AV94" i="28"/>
  <c r="AV93" i="28"/>
  <c r="AV92" i="28"/>
  <c r="AV91" i="28"/>
  <c r="AV90" i="28"/>
  <c r="AV89" i="28"/>
  <c r="AV88" i="28"/>
  <c r="AV87" i="28"/>
  <c r="AV86" i="28"/>
  <c r="AV84" i="28"/>
  <c r="AV83" i="28"/>
  <c r="AV82" i="28"/>
  <c r="AV81" i="28"/>
  <c r="AV80" i="28"/>
  <c r="AV79" i="28"/>
  <c r="AV78" i="28"/>
  <c r="AV77" i="28"/>
  <c r="AV76" i="28"/>
  <c r="AV75" i="28"/>
  <c r="AV74" i="28"/>
  <c r="AV73" i="28"/>
  <c r="AV72" i="28"/>
  <c r="AV71" i="28"/>
  <c r="AV70" i="28"/>
  <c r="AV66" i="28"/>
  <c r="AV65" i="28"/>
  <c r="AV62" i="28"/>
  <c r="AV56" i="28"/>
  <c r="AV39" i="28"/>
  <c r="AV38" i="28"/>
  <c r="AV36" i="28"/>
  <c r="AV35" i="28"/>
  <c r="AV34" i="28"/>
  <c r="AV33" i="28"/>
  <c r="AV32" i="28"/>
  <c r="AV31" i="28"/>
  <c r="AV30" i="28"/>
  <c r="AV29" i="28"/>
  <c r="AV28" i="28"/>
  <c r="AV27" i="28"/>
  <c r="AV25" i="28"/>
  <c r="AV24" i="28"/>
  <c r="AV23" i="28"/>
  <c r="AV22" i="28"/>
  <c r="AV21" i="28"/>
  <c r="AV20" i="28"/>
  <c r="AV19" i="28"/>
  <c r="AV18" i="28"/>
  <c r="AV17" i="28"/>
  <c r="AV16" i="28"/>
  <c r="AV15" i="28"/>
  <c r="AV14" i="28"/>
  <c r="AV13" i="28"/>
  <c r="AV12" i="28"/>
  <c r="AV11" i="28"/>
  <c r="AV10" i="28"/>
  <c r="AV9" i="28"/>
  <c r="BA146" i="24"/>
  <c r="BA145" i="24"/>
  <c r="BA144" i="24"/>
  <c r="BA102" i="24"/>
  <c r="BA95" i="24"/>
  <c r="BA87" i="24"/>
  <c r="BA81" i="24"/>
  <c r="BA80" i="24"/>
  <c r="BA77" i="24"/>
  <c r="BA75" i="24"/>
  <c r="BA74" i="24"/>
  <c r="BA71" i="24"/>
  <c r="BA69" i="24"/>
  <c r="BA66" i="24"/>
  <c r="BA65" i="24"/>
  <c r="BA61" i="24"/>
  <c r="BA49" i="24"/>
  <c r="BA47" i="24"/>
  <c r="BA44" i="24"/>
  <c r="BA41" i="24"/>
  <c r="BA38" i="24"/>
  <c r="BA37" i="24"/>
  <c r="BA34" i="24"/>
  <c r="BA30" i="24"/>
  <c r="BA16" i="24"/>
  <c r="BA15" i="24"/>
  <c r="M154" i="28"/>
  <c r="S154" i="28"/>
  <c r="BA156" i="28"/>
  <c r="AZ156" i="28"/>
  <c r="AH156" i="28"/>
  <c r="S156" i="28"/>
  <c r="T156" i="28" s="1"/>
  <c r="W156" i="28" s="1"/>
  <c r="M156" i="28"/>
  <c r="F156" i="28"/>
  <c r="M38" i="28" l="1"/>
  <c r="T53" i="28" l="1"/>
  <c r="AG75" i="28"/>
  <c r="BA146" i="28" l="1"/>
  <c r="BA7" i="24"/>
  <c r="F153" i="28"/>
  <c r="BZ142" i="16" l="1"/>
  <c r="BY142" i="16"/>
  <c r="BE148" i="28" l="1"/>
  <c r="BD148" i="28"/>
  <c r="BI148" i="28" l="1"/>
  <c r="BZ170" i="16"/>
  <c r="BY170" i="16"/>
  <c r="BX170" i="16"/>
  <c r="BA44" i="28" l="1"/>
  <c r="BA59" i="28" l="1"/>
  <c r="BA139" i="28"/>
  <c r="AA143" i="28" l="1"/>
  <c r="AA142" i="28"/>
  <c r="AA146" i="28"/>
  <c r="AA144" i="28"/>
  <c r="AA145" i="28"/>
  <c r="AA147" i="28"/>
  <c r="AA45" i="28"/>
  <c r="AA46" i="28"/>
  <c r="AA60" i="28"/>
  <c r="AA47" i="28"/>
  <c r="AA48" i="28"/>
  <c r="AA149" i="28"/>
  <c r="AA148" i="28"/>
  <c r="AA49" i="28"/>
  <c r="AA50" i="28"/>
  <c r="AA150" i="28"/>
  <c r="AA51" i="28"/>
  <c r="AA151" i="28"/>
  <c r="AA152" i="28"/>
  <c r="AA153" i="28"/>
  <c r="AA154" i="28"/>
  <c r="AA53" i="28"/>
  <c r="AA141" i="28"/>
  <c r="AZ44" i="28" l="1"/>
  <c r="AH44" i="28"/>
  <c r="S44" i="28"/>
  <c r="T44" i="28" s="1"/>
  <c r="W44" i="28" s="1"/>
  <c r="M44" i="28"/>
  <c r="F44" i="28"/>
  <c r="AZ59" i="28"/>
  <c r="AZ139" i="28"/>
  <c r="AH59" i="28" l="1"/>
  <c r="S59" i="28"/>
  <c r="T59" i="28" s="1"/>
  <c r="W59" i="28" s="1"/>
  <c r="M59" i="28"/>
  <c r="F59" i="28"/>
  <c r="AH139" i="28" l="1"/>
  <c r="S139" i="28"/>
  <c r="T139" i="28" s="1"/>
  <c r="W139" i="28" s="1"/>
  <c r="M139" i="28"/>
  <c r="F139" i="28"/>
  <c r="BF140" i="28"/>
  <c r="BE140" i="28"/>
  <c r="BD140" i="28"/>
  <c r="AZ43" i="28"/>
  <c r="AH43" i="28"/>
  <c r="S43" i="28"/>
  <c r="T43" i="28" s="1"/>
  <c r="W43" i="28" s="1"/>
  <c r="M43" i="28"/>
  <c r="M133" i="28" l="1"/>
  <c r="F40" i="28" l="1"/>
  <c r="F42" i="28"/>
  <c r="AH37" i="28" l="1"/>
  <c r="V37" i="28"/>
  <c r="S37" i="28"/>
  <c r="T37" i="28" s="1"/>
  <c r="W37" i="28" s="1"/>
  <c r="M37" i="28" l="1"/>
  <c r="F37" i="28"/>
  <c r="BA35" i="28"/>
  <c r="AZ35" i="28"/>
  <c r="AH35" i="28"/>
  <c r="V35" i="28"/>
  <c r="S35" i="28"/>
  <c r="T35" i="28" s="1"/>
  <c r="W35" i="28" s="1"/>
  <c r="M35" i="28"/>
  <c r="F35" i="28"/>
  <c r="BA31" i="28"/>
  <c r="AZ31" i="28"/>
  <c r="AH31" i="28"/>
  <c r="V31" i="28"/>
  <c r="S31" i="28"/>
  <c r="M31" i="28"/>
  <c r="F31" i="28"/>
  <c r="BA32" i="28"/>
  <c r="AZ32" i="28"/>
  <c r="AH32" i="28"/>
  <c r="V32" i="28"/>
  <c r="S32" i="28"/>
  <c r="T32" i="28" s="1"/>
  <c r="W32" i="28" s="1"/>
  <c r="M32" i="28"/>
  <c r="F32" i="28"/>
  <c r="BA56" i="28"/>
  <c r="AZ56" i="28"/>
  <c r="AH56" i="28"/>
  <c r="S56" i="28"/>
  <c r="T56" i="28" s="1"/>
  <c r="W56" i="28" s="1"/>
  <c r="M56" i="28"/>
  <c r="F56" i="28"/>
  <c r="BA123" i="28"/>
  <c r="AZ123" i="28"/>
  <c r="AH123" i="28"/>
  <c r="S123" i="28"/>
  <c r="T123" i="28" s="1"/>
  <c r="W123" i="28" s="1"/>
  <c r="M123" i="28"/>
  <c r="BA122" i="28"/>
  <c r="AZ122" i="28"/>
  <c r="AH122" i="28"/>
  <c r="V122" i="28"/>
  <c r="S122" i="28"/>
  <c r="T122" i="28" s="1"/>
  <c r="W122" i="28" s="1"/>
  <c r="M122" i="28"/>
  <c r="BA34" i="28"/>
  <c r="AZ34" i="28"/>
  <c r="AH34" i="28"/>
  <c r="V34" i="28"/>
  <c r="S34" i="28"/>
  <c r="T34" i="28" s="1"/>
  <c r="W34" i="28" s="1"/>
  <c r="M34" i="28"/>
  <c r="F34" i="28"/>
  <c r="BA33" i="28"/>
  <c r="AZ33" i="28"/>
  <c r="AH33" i="28"/>
  <c r="V33" i="28"/>
  <c r="S33" i="28"/>
  <c r="T33" i="28" s="1"/>
  <c r="W33" i="28" s="1"/>
  <c r="M33" i="28"/>
  <c r="F33" i="28"/>
  <c r="BA30" i="28"/>
  <c r="AZ30" i="28"/>
  <c r="AH30" i="28"/>
  <c r="S30" i="28"/>
  <c r="T30" i="28" s="1"/>
  <c r="W30" i="28" s="1"/>
  <c r="M30" i="28"/>
  <c r="F30" i="28"/>
  <c r="BA36" i="28"/>
  <c r="AZ36" i="28"/>
  <c r="AH36" i="28"/>
  <c r="S36" i="28"/>
  <c r="T36" i="28" s="1"/>
  <c r="W36" i="28" s="1"/>
  <c r="M36" i="28"/>
  <c r="F36" i="28"/>
  <c r="BA121" i="28"/>
  <c r="AZ121" i="28"/>
  <c r="AH121" i="28"/>
  <c r="V121" i="28"/>
  <c r="S121" i="28"/>
  <c r="T121" i="28" s="1"/>
  <c r="W121" i="28" s="1"/>
  <c r="M121" i="28"/>
  <c r="F121" i="28"/>
  <c r="BA28" i="28"/>
  <c r="AZ28" i="28"/>
  <c r="AH28" i="28"/>
  <c r="T28" i="28"/>
  <c r="W28" i="28" s="1"/>
  <c r="M28" i="28"/>
  <c r="F28" i="28"/>
  <c r="T31" i="28" l="1"/>
  <c r="BA29" i="28"/>
  <c r="AZ29" i="28"/>
  <c r="AH29" i="28"/>
  <c r="V29" i="28"/>
  <c r="S29" i="28"/>
  <c r="T29" i="28" s="1"/>
  <c r="W29" i="28" s="1"/>
  <c r="M29" i="28"/>
  <c r="F29" i="28"/>
  <c r="BA118" i="28"/>
  <c r="AZ118" i="28"/>
  <c r="AH118" i="28"/>
  <c r="V118" i="28"/>
  <c r="S118" i="28"/>
  <c r="T118" i="28" s="1"/>
  <c r="W118" i="28" s="1"/>
  <c r="M118" i="28"/>
  <c r="F118" i="28"/>
  <c r="W31" i="28" l="1"/>
  <c r="BD112" i="28"/>
  <c r="BE112" i="28"/>
  <c r="BA116" i="28"/>
  <c r="AZ116" i="28"/>
  <c r="AH116" i="28"/>
  <c r="V116" i="28"/>
  <c r="S116" i="28"/>
  <c r="T116" i="28" s="1"/>
  <c r="W116" i="28" s="1"/>
  <c r="M116" i="28"/>
  <c r="F116" i="28"/>
  <c r="BA117" i="28"/>
  <c r="AZ117" i="28"/>
  <c r="AH117" i="28"/>
  <c r="V117" i="28"/>
  <c r="S117" i="28"/>
  <c r="T117" i="28" s="1"/>
  <c r="W117" i="28" s="1"/>
  <c r="M117" i="28"/>
  <c r="F117" i="28"/>
  <c r="BA115" i="28"/>
  <c r="AZ115" i="28"/>
  <c r="AH115" i="28"/>
  <c r="V115" i="28"/>
  <c r="S115" i="28"/>
  <c r="T115" i="28" s="1"/>
  <c r="W115" i="28" s="1"/>
  <c r="M115" i="28"/>
  <c r="F115" i="28"/>
  <c r="BA114" i="28"/>
  <c r="AZ114" i="28"/>
  <c r="AH114" i="28"/>
  <c r="V114" i="28"/>
  <c r="S114" i="28"/>
  <c r="T114" i="28" s="1"/>
  <c r="W114" i="28" s="1"/>
  <c r="M114" i="28"/>
  <c r="F114" i="28"/>
  <c r="BA27" i="28"/>
  <c r="AZ27" i="28"/>
  <c r="AH27" i="28"/>
  <c r="V27" i="28"/>
  <c r="S27" i="28"/>
  <c r="M27" i="28"/>
  <c r="F27" i="28"/>
  <c r="BA26" i="28"/>
  <c r="AZ26" i="28"/>
  <c r="AH26" i="28"/>
  <c r="V26" i="28"/>
  <c r="S26" i="28"/>
  <c r="M26" i="28"/>
  <c r="F26" i="28"/>
  <c r="T26" i="28" l="1"/>
  <c r="T27" i="28"/>
  <c r="BF119" i="28"/>
  <c r="BE119" i="28"/>
  <c r="BD119" i="28"/>
  <c r="BA111" i="28"/>
  <c r="AZ111" i="28"/>
  <c r="AH111" i="28"/>
  <c r="S111" i="28"/>
  <c r="T111" i="28" s="1"/>
  <c r="W111" i="28" s="1"/>
  <c r="M111" i="28"/>
  <c r="F111" i="28"/>
  <c r="BA106" i="28"/>
  <c r="AZ106" i="28"/>
  <c r="AH106" i="28"/>
  <c r="S106" i="28"/>
  <c r="T106" i="28" s="1"/>
  <c r="W106" i="28" s="1"/>
  <c r="M106" i="28"/>
  <c r="BA105" i="28"/>
  <c r="AZ105" i="28"/>
  <c r="AH105" i="28"/>
  <c r="S105" i="28"/>
  <c r="T105" i="28" s="1"/>
  <c r="W105" i="28" s="1"/>
  <c r="M105" i="28"/>
  <c r="F105" i="28"/>
  <c r="BA104" i="28"/>
  <c r="AZ104" i="28"/>
  <c r="AH104" i="28"/>
  <c r="S104" i="28"/>
  <c r="T104" i="28" s="1"/>
  <c r="W104" i="28" s="1"/>
  <c r="M104" i="28"/>
  <c r="F104" i="28"/>
  <c r="W27" i="28" l="1"/>
  <c r="W26" i="28"/>
  <c r="BA110" i="28"/>
  <c r="AZ110" i="28"/>
  <c r="AH110" i="28"/>
  <c r="S110" i="28"/>
  <c r="T110" i="28" s="1"/>
  <c r="W110" i="28" s="1"/>
  <c r="M110" i="28"/>
  <c r="F110" i="28"/>
  <c r="AZ108" i="28"/>
  <c r="AH108" i="28"/>
  <c r="S108" i="28"/>
  <c r="T108" i="28" s="1"/>
  <c r="W108" i="28" s="1"/>
  <c r="M108" i="28"/>
  <c r="F108" i="28"/>
  <c r="BA24" i="28"/>
  <c r="AZ24" i="28"/>
  <c r="AH24" i="28"/>
  <c r="S24" i="28"/>
  <c r="T24" i="28" s="1"/>
  <c r="W24" i="28" s="1"/>
  <c r="M24" i="28"/>
  <c r="F24" i="28"/>
  <c r="BA23" i="28"/>
  <c r="AZ23" i="28"/>
  <c r="AH23" i="28"/>
  <c r="V23" i="28"/>
  <c r="S23" i="28"/>
  <c r="T23" i="28" s="1"/>
  <c r="W23" i="28" s="1"/>
  <c r="M23" i="28"/>
  <c r="F23" i="28"/>
  <c r="BA103" i="28"/>
  <c r="AZ103" i="28"/>
  <c r="AH103" i="28"/>
  <c r="V103" i="28"/>
  <c r="S103" i="28"/>
  <c r="T103" i="28" s="1"/>
  <c r="W103" i="28" s="1"/>
  <c r="M103" i="28"/>
  <c r="F103" i="28"/>
  <c r="BA25" i="28" l="1"/>
  <c r="AZ25" i="28"/>
  <c r="AH25" i="28"/>
  <c r="T25" i="28"/>
  <c r="W25" i="28" s="1"/>
  <c r="M25" i="28"/>
  <c r="F107" i="28" l="1"/>
  <c r="M107" i="28"/>
  <c r="S107" i="28"/>
  <c r="T107" i="28" s="1"/>
  <c r="W107" i="28" s="1"/>
  <c r="V107" i="28"/>
  <c r="AH107" i="28"/>
  <c r="AZ107" i="28"/>
  <c r="BA107" i="28"/>
  <c r="BA85" i="28"/>
  <c r="AZ85" i="28" l="1"/>
  <c r="AH85" i="28"/>
  <c r="S85" i="28"/>
  <c r="T85" i="28" s="1"/>
  <c r="W85" i="28" s="1"/>
  <c r="M85" i="28"/>
  <c r="F13" i="28"/>
  <c r="F12" i="28"/>
  <c r="F14" i="28"/>
  <c r="F15" i="28"/>
  <c r="F18" i="28"/>
  <c r="F17" i="28"/>
  <c r="F16" i="28"/>
  <c r="F96" i="28"/>
  <c r="F98" i="28"/>
  <c r="F95" i="28"/>
  <c r="F97" i="28"/>
  <c r="F99" i="28"/>
  <c r="F102" i="28"/>
  <c r="F22" i="28"/>
  <c r="F21" i="28"/>
  <c r="F20" i="28"/>
  <c r="F124" i="28"/>
  <c r="F38" i="28"/>
  <c r="F125" i="28"/>
  <c r="F126" i="28"/>
  <c r="F39" i="28"/>
  <c r="F128" i="28"/>
  <c r="F41" i="28"/>
  <c r="F57" i="28"/>
  <c r="F129" i="28"/>
  <c r="F131" i="28"/>
  <c r="F141" i="28"/>
  <c r="F142" i="28"/>
  <c r="F146" i="28"/>
  <c r="F45" i="28"/>
  <c r="F46" i="28"/>
  <c r="F60" i="28"/>
  <c r="F47" i="28"/>
  <c r="F48" i="28"/>
  <c r="F149" i="28"/>
  <c r="F148" i="28"/>
  <c r="F50" i="28"/>
  <c r="F150" i="28"/>
  <c r="F151" i="28"/>
  <c r="F152" i="28"/>
  <c r="F53" i="28"/>
  <c r="F54" i="28"/>
  <c r="F11" i="28"/>
  <c r="BA8" i="28" l="1"/>
  <c r="BA84" i="28"/>
  <c r="AZ84" i="28"/>
  <c r="AH84" i="28"/>
  <c r="V84" i="28"/>
  <c r="S84" i="28"/>
  <c r="T84" i="28" s="1"/>
  <c r="W84" i="28" s="1"/>
  <c r="M84" i="28"/>
  <c r="BK129" i="24" l="1"/>
  <c r="BH129" i="24"/>
  <c r="V83" i="28"/>
  <c r="S83" i="28"/>
  <c r="T83" i="28" s="1"/>
  <c r="W83" i="28" s="1"/>
  <c r="M83" i="28"/>
  <c r="S86" i="28"/>
  <c r="T86" i="28" s="1"/>
  <c r="W86" i="28" s="1"/>
  <c r="M86" i="28"/>
  <c r="BH159" i="24" l="1"/>
  <c r="BK159" i="24"/>
  <c r="BA78" i="28"/>
  <c r="AZ78" i="28"/>
  <c r="AH78" i="28"/>
  <c r="S78" i="28"/>
  <c r="M78" i="28"/>
  <c r="AZ8" i="28" l="1"/>
  <c r="S8" i="28"/>
  <c r="T8" i="28" s="1"/>
  <c r="W8" i="28" s="1"/>
  <c r="M8" i="28"/>
  <c r="S65" i="28"/>
  <c r="T65" i="28" s="1"/>
  <c r="W65" i="28" s="1"/>
  <c r="M65" i="28"/>
  <c r="S68" i="28"/>
  <c r="T68" i="28" s="1"/>
  <c r="M68" i="28"/>
  <c r="BA68" i="28"/>
  <c r="AZ68" i="28"/>
  <c r="AH68" i="28"/>
  <c r="AZ69" i="28"/>
  <c r="BA69" i="28"/>
  <c r="AH69" i="28"/>
  <c r="AH67" i="28"/>
  <c r="V69" i="28"/>
  <c r="S69" i="28"/>
  <c r="T69" i="28" s="1"/>
  <c r="W69" i="28" s="1"/>
  <c r="M69" i="28"/>
  <c r="V67" i="28"/>
  <c r="S67" i="28"/>
  <c r="T67" i="28" s="1"/>
  <c r="W67" i="28" s="1"/>
  <c r="M67" i="28"/>
  <c r="AG68" i="28" l="1"/>
  <c r="W68" i="28" s="1"/>
  <c r="AZ62" i="28"/>
  <c r="AZ61" i="28"/>
  <c r="AM159" i="24"/>
  <c r="R159" i="24"/>
  <c r="S159" i="24" s="1"/>
  <c r="V159" i="24" s="1"/>
  <c r="M159" i="24"/>
  <c r="BG156" i="24" l="1"/>
  <c r="AM156" i="24"/>
  <c r="U156" i="24"/>
  <c r="R156" i="24"/>
  <c r="S156" i="24" s="1"/>
  <c r="V156" i="24" s="1"/>
  <c r="M156" i="24"/>
  <c r="BG151" i="22"/>
  <c r="BA64" i="28"/>
  <c r="AW64" i="28"/>
  <c r="AH64" i="28"/>
  <c r="T64" i="28"/>
  <c r="W64" i="28" s="1"/>
  <c r="M64" i="28"/>
  <c r="M154" i="24"/>
  <c r="S154" i="24"/>
  <c r="V154" i="24" s="1"/>
  <c r="U154" i="24"/>
  <c r="AM154" i="24"/>
  <c r="BB154" i="24"/>
  <c r="BG154" i="24"/>
  <c r="BH154" i="24"/>
  <c r="BK154" i="24"/>
  <c r="R157" i="24" l="1"/>
  <c r="M152" i="24"/>
  <c r="R152" i="24"/>
  <c r="S152" i="24" s="1"/>
  <c r="V152" i="24" s="1"/>
  <c r="U152" i="24"/>
  <c r="AM152" i="24"/>
  <c r="BB152" i="24"/>
  <c r="BG152" i="24"/>
  <c r="BH152" i="24"/>
  <c r="BK152" i="24"/>
  <c r="BA63" i="28"/>
  <c r="AH63" i="28"/>
  <c r="V63" i="28"/>
  <c r="S63" i="28"/>
  <c r="T63" i="28" s="1"/>
  <c r="W63" i="28" s="1"/>
  <c r="M63" i="28"/>
  <c r="BA62" i="28" l="1"/>
  <c r="AH62" i="28"/>
  <c r="V62" i="28"/>
  <c r="S62" i="28"/>
  <c r="T62" i="28" s="1"/>
  <c r="W62" i="28" s="1"/>
  <c r="M62" i="28"/>
  <c r="BK134" i="24" l="1"/>
  <c r="BH134" i="24"/>
  <c r="BA61" i="28" l="1"/>
  <c r="AH61" i="28"/>
  <c r="V61" i="28"/>
  <c r="S61" i="28"/>
  <c r="T61" i="28" s="1"/>
  <c r="W61" i="28" s="1"/>
  <c r="M61" i="28"/>
  <c r="U134" i="24" l="1"/>
  <c r="R134" i="24"/>
  <c r="S134" i="24" s="1"/>
  <c r="V134" i="24" s="1"/>
  <c r="M134" i="24"/>
  <c r="R48" i="24"/>
  <c r="BX142" i="16"/>
  <c r="CA142" i="16" s="1"/>
  <c r="BG129" i="24"/>
  <c r="AM129" i="24"/>
  <c r="U129" i="24"/>
  <c r="R129" i="24"/>
  <c r="S129" i="24" s="1"/>
  <c r="V129" i="24" s="1"/>
  <c r="M129" i="24"/>
  <c r="M242" i="28" l="1"/>
  <c r="M241" i="28"/>
  <c r="M240" i="28"/>
  <c r="M239" i="28"/>
  <c r="M238" i="28"/>
  <c r="M237" i="28"/>
  <c r="M236" i="28"/>
  <c r="M235" i="28"/>
  <c r="M234" i="28"/>
  <c r="M233" i="28"/>
  <c r="M232" i="28"/>
  <c r="M231" i="28"/>
  <c r="M230" i="28"/>
  <c r="M229" i="28"/>
  <c r="M228" i="28"/>
  <c r="M227" i="28"/>
  <c r="M226" i="28"/>
  <c r="M225" i="28"/>
  <c r="M224" i="28"/>
  <c r="M223" i="28"/>
  <c r="M222" i="28"/>
  <c r="M221" i="28"/>
  <c r="M220" i="28"/>
  <c r="M219" i="28"/>
  <c r="M218" i="28"/>
  <c r="M217" i="28"/>
  <c r="M216" i="28"/>
  <c r="M215" i="28"/>
  <c r="M214" i="28"/>
  <c r="M213" i="28"/>
  <c r="M212" i="28"/>
  <c r="M211" i="28"/>
  <c r="M210" i="28"/>
  <c r="M209" i="28"/>
  <c r="M208" i="28"/>
  <c r="M207" i="28"/>
  <c r="M206" i="28"/>
  <c r="M205" i="28"/>
  <c r="M204" i="28"/>
  <c r="M203" i="28"/>
  <c r="M202" i="28"/>
  <c r="M201" i="28"/>
  <c r="M200" i="28"/>
  <c r="M199" i="28"/>
  <c r="M198" i="28"/>
  <c r="M197" i="28"/>
  <c r="M196" i="28"/>
  <c r="M195" i="28"/>
  <c r="M194" i="28"/>
  <c r="M193" i="28"/>
  <c r="M192" i="28"/>
  <c r="M191" i="28"/>
  <c r="M190" i="28"/>
  <c r="M189" i="28"/>
  <c r="M188" i="28"/>
  <c r="M187" i="28"/>
  <c r="M186" i="28"/>
  <c r="M185" i="28"/>
  <c r="M184" i="28"/>
  <c r="M183" i="28"/>
  <c r="M182" i="28"/>
  <c r="M181" i="28"/>
  <c r="M180" i="28"/>
  <c r="M179" i="28"/>
  <c r="M178" i="28"/>
  <c r="M177" i="28"/>
  <c r="M176" i="28"/>
  <c r="L175" i="28"/>
  <c r="L174" i="28"/>
  <c r="L173" i="28"/>
  <c r="L172" i="28"/>
  <c r="L171" i="28"/>
  <c r="J164" i="28"/>
  <c r="M163" i="28"/>
  <c r="M162" i="28"/>
  <c r="M161" i="28"/>
  <c r="M160" i="28"/>
  <c r="BA55" i="28"/>
  <c r="AH55" i="28"/>
  <c r="V55" i="28"/>
  <c r="T55" i="28"/>
  <c r="W55" i="28" s="1"/>
  <c r="M55" i="28"/>
  <c r="AZ54" i="28"/>
  <c r="AH54" i="28"/>
  <c r="T54" i="28"/>
  <c r="W54" i="28" s="1"/>
  <c r="M54" i="28"/>
  <c r="AH53" i="28"/>
  <c r="W53" i="28"/>
  <c r="M53" i="28"/>
  <c r="AZ154" i="28"/>
  <c r="AH154" i="28"/>
  <c r="T154" i="28"/>
  <c r="W154" i="28" s="1"/>
  <c r="AZ52" i="28"/>
  <c r="AH52" i="28"/>
  <c r="S52" i="28"/>
  <c r="T52" i="28" s="1"/>
  <c r="W52" i="28" s="1"/>
  <c r="M52" i="28"/>
  <c r="AZ153" i="28"/>
  <c r="AH153" i="28"/>
  <c r="S153" i="28"/>
  <c r="T153" i="28" s="1"/>
  <c r="W153" i="28" s="1"/>
  <c r="M153" i="28"/>
  <c r="BA152" i="28"/>
  <c r="AZ152" i="28"/>
  <c r="AH152" i="28"/>
  <c r="S152" i="28"/>
  <c r="T152" i="28" s="1"/>
  <c r="W152" i="28" s="1"/>
  <c r="M152" i="28"/>
  <c r="BA151" i="28"/>
  <c r="AZ151" i="28"/>
  <c r="AH151" i="28"/>
  <c r="S151" i="28"/>
  <c r="T151" i="28" s="1"/>
  <c r="W151" i="28" s="1"/>
  <c r="M151" i="28"/>
  <c r="BA51" i="28"/>
  <c r="AZ51" i="28"/>
  <c r="AH51" i="28"/>
  <c r="S51" i="28"/>
  <c r="T51" i="28" s="1"/>
  <c r="W51" i="28" s="1"/>
  <c r="M51" i="28"/>
  <c r="BA150" i="28"/>
  <c r="AZ150" i="28"/>
  <c r="AH150" i="28"/>
  <c r="V150" i="28"/>
  <c r="S150" i="28"/>
  <c r="T150" i="28" s="1"/>
  <c r="W150" i="28" s="1"/>
  <c r="M150" i="28"/>
  <c r="BA50" i="28"/>
  <c r="AZ50" i="28"/>
  <c r="AH50" i="28"/>
  <c r="S50" i="28"/>
  <c r="T50" i="28" s="1"/>
  <c r="W50" i="28" s="1"/>
  <c r="M50" i="28"/>
  <c r="BA49" i="28"/>
  <c r="AZ49" i="28"/>
  <c r="AH49" i="28"/>
  <c r="S49" i="28"/>
  <c r="M49" i="28"/>
  <c r="BA148" i="28"/>
  <c r="AZ148" i="28"/>
  <c r="AH148" i="28"/>
  <c r="S148" i="28"/>
  <c r="T148" i="28" s="1"/>
  <c r="W148" i="28" s="1"/>
  <c r="M148" i="28"/>
  <c r="BA149" i="28"/>
  <c r="AZ149" i="28"/>
  <c r="AH149" i="28"/>
  <c r="S149" i="28"/>
  <c r="T149" i="28" s="1"/>
  <c r="W149" i="28" s="1"/>
  <c r="M149" i="28"/>
  <c r="BA48" i="28"/>
  <c r="AZ48" i="28"/>
  <c r="AH48" i="28"/>
  <c r="S48" i="28"/>
  <c r="T48" i="28" s="1"/>
  <c r="W48" i="28" s="1"/>
  <c r="M48" i="28"/>
  <c r="BA47" i="28"/>
  <c r="AZ47" i="28"/>
  <c r="AH47" i="28"/>
  <c r="S47" i="28"/>
  <c r="M47" i="28"/>
  <c r="BA60" i="28"/>
  <c r="AZ60" i="28"/>
  <c r="AH60" i="28"/>
  <c r="S60" i="28"/>
  <c r="T60" i="28" s="1"/>
  <c r="W60" i="28" s="1"/>
  <c r="BA46" i="28"/>
  <c r="AZ46" i="28"/>
  <c r="AH46" i="28"/>
  <c r="S46" i="28"/>
  <c r="T46" i="28" s="1"/>
  <c r="W46" i="28" s="1"/>
  <c r="M46" i="28"/>
  <c r="BA45" i="28"/>
  <c r="AZ45" i="28"/>
  <c r="AH45" i="28"/>
  <c r="S45" i="28"/>
  <c r="T45" i="28" s="1"/>
  <c r="W45" i="28" s="1"/>
  <c r="M45" i="28"/>
  <c r="BA147" i="28"/>
  <c r="AZ147" i="28"/>
  <c r="AH147" i="28"/>
  <c r="S147" i="28"/>
  <c r="T147" i="28" s="1"/>
  <c r="W147" i="28" s="1"/>
  <c r="M147" i="28"/>
  <c r="BA145" i="28"/>
  <c r="AZ145" i="28"/>
  <c r="AH145" i="28"/>
  <c r="S145" i="28"/>
  <c r="T145" i="28" s="1"/>
  <c r="W145" i="28" s="1"/>
  <c r="M145" i="28"/>
  <c r="BA144" i="28"/>
  <c r="AZ144" i="28"/>
  <c r="AH144" i="28"/>
  <c r="S144" i="28"/>
  <c r="T144" i="28" s="1"/>
  <c r="W144" i="28" s="1"/>
  <c r="M144" i="28"/>
  <c r="AZ146" i="28"/>
  <c r="AH146" i="28"/>
  <c r="S146" i="28"/>
  <c r="T146" i="28" s="1"/>
  <c r="W146" i="28" s="1"/>
  <c r="M146" i="28"/>
  <c r="BA142" i="28"/>
  <c r="AZ142" i="28"/>
  <c r="AH142" i="28"/>
  <c r="S142" i="28"/>
  <c r="T142" i="28" s="1"/>
  <c r="W142" i="28" s="1"/>
  <c r="M142" i="28"/>
  <c r="AZ143" i="28"/>
  <c r="AH143" i="28"/>
  <c r="S143" i="28"/>
  <c r="T143" i="28" s="1"/>
  <c r="W143" i="28" s="1"/>
  <c r="M143" i="28"/>
  <c r="BA141" i="28"/>
  <c r="AZ141" i="28"/>
  <c r="AH141" i="28"/>
  <c r="S141" i="28"/>
  <c r="T141" i="28" s="1"/>
  <c r="W141" i="28" s="1"/>
  <c r="M141" i="28"/>
  <c r="BA138" i="28"/>
  <c r="AZ138" i="28"/>
  <c r="AH138" i="28"/>
  <c r="V138" i="28"/>
  <c r="S138" i="28"/>
  <c r="T138" i="28" s="1"/>
  <c r="W138" i="28" s="1"/>
  <c r="M138" i="28"/>
  <c r="BA140" i="28"/>
  <c r="AZ140" i="28"/>
  <c r="S140" i="28"/>
  <c r="T140" i="28" s="1"/>
  <c r="W140" i="28" s="1"/>
  <c r="BA137" i="28"/>
  <c r="AZ137" i="28"/>
  <c r="AH137" i="28"/>
  <c r="S137" i="28"/>
  <c r="T137" i="28" s="1"/>
  <c r="W137" i="28" s="1"/>
  <c r="M137" i="28"/>
  <c r="BA134" i="28"/>
  <c r="AZ134" i="28"/>
  <c r="AH134" i="28"/>
  <c r="S134" i="28"/>
  <c r="T134" i="28" s="1"/>
  <c r="W134" i="28" s="1"/>
  <c r="M134" i="28"/>
  <c r="BA132" i="28"/>
  <c r="AZ132" i="28"/>
  <c r="AH132" i="28"/>
  <c r="S132" i="28"/>
  <c r="T132" i="28" s="1"/>
  <c r="W132" i="28" s="1"/>
  <c r="M132" i="28"/>
  <c r="BA136" i="28"/>
  <c r="AZ136" i="28"/>
  <c r="AH136" i="28"/>
  <c r="S136" i="28"/>
  <c r="T136" i="28" s="1"/>
  <c r="W136" i="28" s="1"/>
  <c r="M136" i="28"/>
  <c r="BA135" i="28"/>
  <c r="AZ135" i="28"/>
  <c r="AH135" i="28"/>
  <c r="S135" i="28"/>
  <c r="T135" i="28" s="1"/>
  <c r="W135" i="28" s="1"/>
  <c r="M135" i="28"/>
  <c r="BA133" i="28"/>
  <c r="AZ133" i="28"/>
  <c r="AH133" i="28"/>
  <c r="S133" i="28"/>
  <c r="T133" i="28" s="1"/>
  <c r="W133" i="28" s="1"/>
  <c r="BA131" i="28"/>
  <c r="AZ131" i="28"/>
  <c r="AH131" i="28"/>
  <c r="S131" i="28"/>
  <c r="T131" i="28" s="1"/>
  <c r="W131" i="28" s="1"/>
  <c r="M131" i="28"/>
  <c r="BA130" i="28"/>
  <c r="AZ130" i="28"/>
  <c r="AH130" i="28"/>
  <c r="S130" i="28"/>
  <c r="BA129" i="28"/>
  <c r="AZ129" i="28"/>
  <c r="AH129" i="28"/>
  <c r="S129" i="28"/>
  <c r="T129" i="28" s="1"/>
  <c r="W129" i="28" s="1"/>
  <c r="M129" i="28"/>
  <c r="BA57" i="28"/>
  <c r="AZ57" i="28"/>
  <c r="AH57" i="28"/>
  <c r="S57" i="28"/>
  <c r="T57" i="28" s="1"/>
  <c r="W57" i="28" s="1"/>
  <c r="M57" i="28"/>
  <c r="BA40" i="28"/>
  <c r="AZ40" i="28"/>
  <c r="AH40" i="28"/>
  <c r="S40" i="28"/>
  <c r="T40" i="28" s="1"/>
  <c r="W40" i="28" s="1"/>
  <c r="M40" i="28"/>
  <c r="BA42" i="28"/>
  <c r="AZ42" i="28"/>
  <c r="AH42" i="28"/>
  <c r="S42" i="28"/>
  <c r="T42" i="28" s="1"/>
  <c r="W42" i="28" s="1"/>
  <c r="BA41" i="28"/>
  <c r="AZ41" i="28"/>
  <c r="AH41" i="28"/>
  <c r="S41" i="28"/>
  <c r="T41" i="28" s="1"/>
  <c r="W41" i="28" s="1"/>
  <c r="M41" i="28"/>
  <c r="BA128" i="28"/>
  <c r="AH128" i="28"/>
  <c r="S128" i="28"/>
  <c r="T128" i="28" s="1"/>
  <c r="W128" i="28" s="1"/>
  <c r="M128" i="28"/>
  <c r="BA39" i="28"/>
  <c r="AZ39" i="28"/>
  <c r="AH39" i="28"/>
  <c r="S39" i="28"/>
  <c r="T39" i="28" s="1"/>
  <c r="W39" i="28" s="1"/>
  <c r="M39" i="28"/>
  <c r="BA127" i="28"/>
  <c r="AZ127" i="28"/>
  <c r="AH127" i="28"/>
  <c r="S127" i="28"/>
  <c r="T127" i="28" s="1"/>
  <c r="W127" i="28" s="1"/>
  <c r="M127" i="28"/>
  <c r="BA126" i="28"/>
  <c r="AZ126" i="28"/>
  <c r="AH126" i="28"/>
  <c r="S126" i="28"/>
  <c r="T126" i="28" s="1"/>
  <c r="W126" i="28" s="1"/>
  <c r="M126" i="28"/>
  <c r="BA125" i="28"/>
  <c r="AZ125" i="28"/>
  <c r="AH125" i="28"/>
  <c r="V125" i="28"/>
  <c r="S125" i="28"/>
  <c r="T125" i="28" s="1"/>
  <c r="W125" i="28" s="1"/>
  <c r="M125" i="28"/>
  <c r="BA38" i="28"/>
  <c r="AZ38" i="28"/>
  <c r="AH38" i="28"/>
  <c r="S38" i="28"/>
  <c r="BA124" i="28"/>
  <c r="AZ124" i="28"/>
  <c r="AH124" i="28"/>
  <c r="S124" i="28"/>
  <c r="T124" i="28" s="1"/>
  <c r="W124" i="28" s="1"/>
  <c r="M124" i="28"/>
  <c r="BA119" i="28"/>
  <c r="AZ119" i="28"/>
  <c r="AH119" i="28"/>
  <c r="V119" i="28"/>
  <c r="S119" i="28"/>
  <c r="T119" i="28" s="1"/>
  <c r="W119" i="28" s="1"/>
  <c r="M119" i="28"/>
  <c r="BA112" i="28"/>
  <c r="AZ112" i="28"/>
  <c r="AH112" i="28"/>
  <c r="V112" i="28"/>
  <c r="S112" i="28"/>
  <c r="T112" i="28" s="1"/>
  <c r="W112" i="28" s="1"/>
  <c r="M112" i="28"/>
  <c r="BA113" i="28"/>
  <c r="AZ113" i="28"/>
  <c r="AH113" i="28"/>
  <c r="V113" i="28"/>
  <c r="S113" i="28"/>
  <c r="T113" i="28" s="1"/>
  <c r="W113" i="28" s="1"/>
  <c r="BA109" i="28"/>
  <c r="AZ109" i="28"/>
  <c r="AH109" i="28"/>
  <c r="V109" i="28"/>
  <c r="S109" i="28"/>
  <c r="T109" i="28" s="1"/>
  <c r="W109" i="28" s="1"/>
  <c r="M109" i="28"/>
  <c r="BA20" i="28"/>
  <c r="AZ20" i="28"/>
  <c r="AH20" i="28"/>
  <c r="V20" i="28"/>
  <c r="S20" i="28"/>
  <c r="M20" i="28"/>
  <c r="BA21" i="28"/>
  <c r="AZ21" i="28"/>
  <c r="AH21" i="28"/>
  <c r="V21" i="28"/>
  <c r="S21" i="28"/>
  <c r="T21" i="28" s="1"/>
  <c r="W21" i="28" s="1"/>
  <c r="M21" i="28"/>
  <c r="BA22" i="28"/>
  <c r="AZ22" i="28"/>
  <c r="AH22" i="28"/>
  <c r="V22" i="28"/>
  <c r="S22" i="28"/>
  <c r="M22" i="28"/>
  <c r="BA102" i="28"/>
  <c r="AZ102" i="28"/>
  <c r="AH102" i="28"/>
  <c r="V102" i="28"/>
  <c r="S102" i="28"/>
  <c r="T102" i="28" s="1"/>
  <c r="W102" i="28" s="1"/>
  <c r="M102" i="28"/>
  <c r="BA101" i="28"/>
  <c r="AZ101" i="28"/>
  <c r="AH101" i="28"/>
  <c r="S101" i="28"/>
  <c r="T101" i="28" s="1"/>
  <c r="W101" i="28" s="1"/>
  <c r="M101" i="28"/>
  <c r="BA100" i="28"/>
  <c r="AZ100" i="28"/>
  <c r="AH100" i="28"/>
  <c r="S100" i="28"/>
  <c r="T100" i="28" s="1"/>
  <c r="W100" i="28" s="1"/>
  <c r="M100" i="28"/>
  <c r="BA19" i="28"/>
  <c r="AZ19" i="28"/>
  <c r="AH19" i="28"/>
  <c r="M19" i="28"/>
  <c r="BA99" i="28"/>
  <c r="AZ99" i="28"/>
  <c r="AH99" i="28"/>
  <c r="V99" i="28"/>
  <c r="S99" i="28"/>
  <c r="T99" i="28" s="1"/>
  <c r="W99" i="28" s="1"/>
  <c r="M99" i="28"/>
  <c r="BA97" i="28"/>
  <c r="AZ97" i="28"/>
  <c r="AH97" i="28"/>
  <c r="V97" i="28"/>
  <c r="S97" i="28"/>
  <c r="T97" i="28" s="1"/>
  <c r="W97" i="28" s="1"/>
  <c r="M97" i="28"/>
  <c r="BA95" i="28"/>
  <c r="AZ95" i="28"/>
  <c r="AH95" i="28"/>
  <c r="V95" i="28"/>
  <c r="S95" i="28"/>
  <c r="T95" i="28" s="1"/>
  <c r="W95" i="28" s="1"/>
  <c r="M95" i="28"/>
  <c r="BA98" i="28"/>
  <c r="AZ98" i="28"/>
  <c r="AH98" i="28"/>
  <c r="V98" i="28"/>
  <c r="S98" i="28"/>
  <c r="T98" i="28" s="1"/>
  <c r="W98" i="28" s="1"/>
  <c r="BA96" i="28"/>
  <c r="AZ96" i="28"/>
  <c r="AH96" i="28"/>
  <c r="V96" i="28"/>
  <c r="S96" i="28"/>
  <c r="T96" i="28" s="1"/>
  <c r="W96" i="28" s="1"/>
  <c r="M96" i="28"/>
  <c r="BA16" i="28"/>
  <c r="AZ16" i="28"/>
  <c r="AH16" i="28"/>
  <c r="V16" i="28"/>
  <c r="S16" i="28"/>
  <c r="T16" i="28" s="1"/>
  <c r="W16" i="28" s="1"/>
  <c r="M16" i="28"/>
  <c r="BA17" i="28"/>
  <c r="AZ17" i="28"/>
  <c r="AH17" i="28"/>
  <c r="V17" i="28"/>
  <c r="S17" i="28"/>
  <c r="T17" i="28" s="1"/>
  <c r="W17" i="28" s="1"/>
  <c r="M17" i="28"/>
  <c r="BA18" i="28"/>
  <c r="AZ18" i="28"/>
  <c r="AH18" i="28"/>
  <c r="T18" i="28"/>
  <c r="W18" i="28" s="1"/>
  <c r="M18" i="28"/>
  <c r="BA15" i="28"/>
  <c r="AZ15" i="28"/>
  <c r="AH15" i="28"/>
  <c r="V15" i="28"/>
  <c r="S15" i="28"/>
  <c r="T15" i="28" s="1"/>
  <c r="W15" i="28" s="1"/>
  <c r="M15" i="28"/>
  <c r="BA14" i="28"/>
  <c r="AZ14" i="28"/>
  <c r="AH14" i="28"/>
  <c r="V14" i="28"/>
  <c r="S14" i="28"/>
  <c r="T14" i="28" s="1"/>
  <c r="W14" i="28" s="1"/>
  <c r="M14" i="28"/>
  <c r="BA12" i="28"/>
  <c r="AZ12" i="28"/>
  <c r="AH12" i="28"/>
  <c r="V12" i="28"/>
  <c r="S12" i="28"/>
  <c r="T12" i="28" s="1"/>
  <c r="W12" i="28" s="1"/>
  <c r="M12" i="28"/>
  <c r="BA13" i="28"/>
  <c r="AZ13" i="28"/>
  <c r="AH13" i="28"/>
  <c r="V13" i="28"/>
  <c r="S13" i="28"/>
  <c r="T13" i="28" s="1"/>
  <c r="W13" i="28" s="1"/>
  <c r="M13" i="28"/>
  <c r="BA11" i="28"/>
  <c r="AZ11" i="28"/>
  <c r="AH11" i="28"/>
  <c r="V11" i="28"/>
  <c r="S11" i="28"/>
  <c r="T11" i="28" s="1"/>
  <c r="W11" i="28" s="1"/>
  <c r="M11" i="28"/>
  <c r="BA10" i="28"/>
  <c r="AZ10" i="28"/>
  <c r="AH10" i="28"/>
  <c r="V10" i="28"/>
  <c r="S10" i="28"/>
  <c r="T10" i="28" s="1"/>
  <c r="W10" i="28" s="1"/>
  <c r="M10" i="28"/>
  <c r="BA9" i="28"/>
  <c r="AZ9" i="28"/>
  <c r="AH9" i="28"/>
  <c r="S9" i="28"/>
  <c r="T9" i="28" s="1"/>
  <c r="W9" i="28" s="1"/>
  <c r="M9" i="28"/>
  <c r="BA94" i="28"/>
  <c r="AZ94" i="28"/>
  <c r="AH94" i="28"/>
  <c r="V94" i="28"/>
  <c r="S94" i="28"/>
  <c r="T94" i="28" s="1"/>
  <c r="W94" i="28" s="1"/>
  <c r="M94" i="28"/>
  <c r="BA93" i="28"/>
  <c r="AZ93" i="28"/>
  <c r="AH93" i="28"/>
  <c r="S93" i="28"/>
  <c r="T93" i="28" s="1"/>
  <c r="W93" i="28" s="1"/>
  <c r="M93" i="28"/>
  <c r="BA91" i="28"/>
  <c r="AZ91" i="28"/>
  <c r="AH91" i="28"/>
  <c r="S91" i="28"/>
  <c r="T91" i="28" s="1"/>
  <c r="W91" i="28" s="1"/>
  <c r="M91" i="28"/>
  <c r="BA87" i="28"/>
  <c r="AZ87" i="28"/>
  <c r="AH87" i="28"/>
  <c r="S87" i="28"/>
  <c r="T87" i="28" s="1"/>
  <c r="W87" i="28" s="1"/>
  <c r="M87" i="28"/>
  <c r="BA89" i="28"/>
  <c r="AZ89" i="28"/>
  <c r="AH89" i="28"/>
  <c r="S89" i="28"/>
  <c r="T89" i="28" s="1"/>
  <c r="W89" i="28" s="1"/>
  <c r="M89" i="28"/>
  <c r="BA90" i="28"/>
  <c r="AZ90" i="28"/>
  <c r="AH90" i="28"/>
  <c r="S90" i="28"/>
  <c r="T90" i="28" s="1"/>
  <c r="W90" i="28" s="1"/>
  <c r="M90" i="28"/>
  <c r="BA92" i="28"/>
  <c r="AZ92" i="28"/>
  <c r="AH92" i="28"/>
  <c r="S92" i="28"/>
  <c r="T92" i="28" s="1"/>
  <c r="W92" i="28" s="1"/>
  <c r="M92" i="28"/>
  <c r="BA88" i="28"/>
  <c r="AZ88" i="28"/>
  <c r="AH88" i="28"/>
  <c r="S88" i="28"/>
  <c r="T88" i="28" s="1"/>
  <c r="W88" i="28" s="1"/>
  <c r="M88" i="28"/>
  <c r="BA86" i="28"/>
  <c r="AZ86" i="28"/>
  <c r="AH86" i="28"/>
  <c r="BA83" i="28"/>
  <c r="AZ83" i="28"/>
  <c r="AH83" i="28"/>
  <c r="BA82" i="28"/>
  <c r="AZ82" i="28"/>
  <c r="AH82" i="28"/>
  <c r="S82" i="28"/>
  <c r="T82" i="28" s="1"/>
  <c r="W82" i="28" s="1"/>
  <c r="M82" i="28"/>
  <c r="BA81" i="28"/>
  <c r="AZ81" i="28"/>
  <c r="AH81" i="28"/>
  <c r="V81" i="28"/>
  <c r="S81" i="28"/>
  <c r="T81" i="28" s="1"/>
  <c r="W81" i="28" s="1"/>
  <c r="M81" i="28"/>
  <c r="BA79" i="28"/>
  <c r="AZ79" i="28"/>
  <c r="AH79" i="28"/>
  <c r="S79" i="28"/>
  <c r="M79" i="28"/>
  <c r="BA80" i="28"/>
  <c r="AZ80" i="28"/>
  <c r="AH80" i="28"/>
  <c r="S80" i="28"/>
  <c r="M80" i="28"/>
  <c r="BA77" i="28"/>
  <c r="AZ77" i="28"/>
  <c r="AH77" i="28"/>
  <c r="S77" i="28"/>
  <c r="T77" i="28" s="1"/>
  <c r="W77" i="28" s="1"/>
  <c r="M77" i="28"/>
  <c r="AH76" i="28"/>
  <c r="V76" i="28"/>
  <c r="S76" i="28"/>
  <c r="T76" i="28" s="1"/>
  <c r="W76" i="28" s="1"/>
  <c r="M76" i="28"/>
  <c r="AZ75" i="28"/>
  <c r="AH75" i="28"/>
  <c r="V75" i="28"/>
  <c r="S75" i="28"/>
  <c r="M75" i="28"/>
  <c r="BA74" i="28"/>
  <c r="AZ74" i="28"/>
  <c r="AH74" i="28"/>
  <c r="V74" i="28"/>
  <c r="S74" i="28"/>
  <c r="T74" i="28" s="1"/>
  <c r="W74" i="28" s="1"/>
  <c r="M74" i="28"/>
  <c r="AZ71" i="28"/>
  <c r="AH71" i="28"/>
  <c r="V71" i="28"/>
  <c r="S71" i="28"/>
  <c r="T71" i="28" s="1"/>
  <c r="W71" i="28" s="1"/>
  <c r="M71" i="28"/>
  <c r="BA73" i="28"/>
  <c r="AZ73" i="28"/>
  <c r="AH73" i="28"/>
  <c r="S73" i="28"/>
  <c r="T73" i="28" s="1"/>
  <c r="W73" i="28" s="1"/>
  <c r="M73" i="28"/>
  <c r="BA72" i="28"/>
  <c r="AZ72" i="28"/>
  <c r="AH72" i="28"/>
  <c r="V72" i="28"/>
  <c r="S72" i="28"/>
  <c r="T72" i="28" s="1"/>
  <c r="W72" i="28" s="1"/>
  <c r="M72" i="28"/>
  <c r="BA70" i="28"/>
  <c r="AZ70" i="28"/>
  <c r="AH70" i="28"/>
  <c r="S70" i="28"/>
  <c r="M70" i="28"/>
  <c r="BA66" i="28"/>
  <c r="AZ66" i="28"/>
  <c r="AH66" i="28"/>
  <c r="V66" i="28"/>
  <c r="S66" i="28"/>
  <c r="T66" i="28" s="1"/>
  <c r="W66" i="28" s="1"/>
  <c r="M66" i="28"/>
  <c r="BA65" i="28"/>
  <c r="AZ65" i="28"/>
  <c r="AH65" i="28"/>
  <c r="F173" i="28" l="1"/>
  <c r="T20" i="28"/>
  <c r="S158" i="28"/>
  <c r="V158" i="28"/>
  <c r="T49" i="28"/>
  <c r="T38" i="28"/>
  <c r="T47" i="28"/>
  <c r="T70" i="28"/>
  <c r="W70" i="28" s="1"/>
  <c r="T75" i="28"/>
  <c r="W75" i="28" s="1"/>
  <c r="T130" i="28"/>
  <c r="W130" i="28" s="1"/>
  <c r="T22" i="28"/>
  <c r="W22" i="28" s="1"/>
  <c r="W20" i="28" l="1"/>
  <c r="T158" i="28"/>
  <c r="W38" i="28"/>
  <c r="W47" i="28"/>
  <c r="F167" i="28" s="1"/>
  <c r="W49" i="28"/>
  <c r="BV110" i="16"/>
  <c r="BU110" i="16"/>
  <c r="F165" i="28" l="1"/>
  <c r="F174" i="28"/>
  <c r="F175" i="28" s="1"/>
  <c r="W158" i="28"/>
  <c r="F169" i="28" s="1"/>
  <c r="F166" i="28"/>
  <c r="BG9" i="24"/>
  <c r="BG10" i="24"/>
  <c r="BG11" i="24"/>
  <c r="BG12" i="24"/>
  <c r="BG13" i="24"/>
  <c r="BG14" i="24"/>
  <c r="BG15" i="24"/>
  <c r="BG16" i="24"/>
  <c r="BG17" i="24"/>
  <c r="BG18" i="24"/>
  <c r="BG19" i="24"/>
  <c r="BG20" i="24"/>
  <c r="BG21" i="24"/>
  <c r="BG22" i="24"/>
  <c r="BG23" i="24"/>
  <c r="BG24" i="24"/>
  <c r="BG27" i="24"/>
  <c r="BG28" i="24"/>
  <c r="BG29" i="24"/>
  <c r="BG30" i="24"/>
  <c r="BG31" i="24"/>
  <c r="BG32" i="24"/>
  <c r="BG33" i="24"/>
  <c r="BG34" i="24"/>
  <c r="BG36" i="24"/>
  <c r="BG37" i="24"/>
  <c r="BG38" i="24"/>
  <c r="BG39" i="24"/>
  <c r="BG40" i="24"/>
  <c r="BG42" i="24"/>
  <c r="BG43" i="24"/>
  <c r="BG44" i="24"/>
  <c r="BG45" i="24"/>
  <c r="BG46" i="24"/>
  <c r="BG47" i="24"/>
  <c r="BG48" i="24"/>
  <c r="BG49" i="24"/>
  <c r="BG50" i="24"/>
  <c r="BG51" i="24"/>
  <c r="BG52" i="24"/>
  <c r="BG53" i="24"/>
  <c r="BG54" i="24"/>
  <c r="BG55" i="24"/>
  <c r="BG56" i="24"/>
  <c r="BG57" i="24"/>
  <c r="BG58" i="24"/>
  <c r="BG59" i="24"/>
  <c r="BG60" i="24"/>
  <c r="BG61" i="24"/>
  <c r="BG62" i="24"/>
  <c r="BG63" i="24"/>
  <c r="BG64" i="24"/>
  <c r="BG65" i="24"/>
  <c r="BG66" i="24"/>
  <c r="BG67" i="24"/>
  <c r="BG68" i="24"/>
  <c r="BG69" i="24"/>
  <c r="BG70" i="24"/>
  <c r="BG71" i="24"/>
  <c r="BG72" i="24"/>
  <c r="BG73" i="24"/>
  <c r="BG74" i="24"/>
  <c r="BG76" i="24"/>
  <c r="BG77" i="24"/>
  <c r="BG78" i="24"/>
  <c r="BG79" i="24"/>
  <c r="BG80" i="24"/>
  <c r="BG82" i="24"/>
  <c r="BG83" i="24"/>
  <c r="BG84" i="24"/>
  <c r="BG85" i="24"/>
  <c r="BG86" i="24"/>
  <c r="BG87" i="24"/>
  <c r="BG88" i="24"/>
  <c r="BG89" i="24"/>
  <c r="BG90" i="24"/>
  <c r="BG91" i="24"/>
  <c r="BG92" i="24"/>
  <c r="BG93" i="24"/>
  <c r="BG94" i="24"/>
  <c r="BG96" i="24"/>
  <c r="BG97" i="24"/>
  <c r="BG98" i="24"/>
  <c r="BG99" i="24"/>
  <c r="BG100" i="24"/>
  <c r="BG101" i="24"/>
  <c r="BG102" i="24"/>
  <c r="BG103" i="24"/>
  <c r="BG104" i="24"/>
  <c r="BG105" i="24"/>
  <c r="BG106" i="24"/>
  <c r="BG107" i="24"/>
  <c r="BG108" i="24"/>
  <c r="BG109" i="24"/>
  <c r="BG110" i="24"/>
  <c r="BG111" i="24"/>
  <c r="BG112" i="24"/>
  <c r="BG113" i="24"/>
  <c r="BG114" i="24"/>
  <c r="BG115" i="24"/>
  <c r="BG116" i="24"/>
  <c r="BG117" i="24"/>
  <c r="BG118" i="24"/>
  <c r="BG119" i="24"/>
  <c r="BG120" i="24"/>
  <c r="BG121" i="24"/>
  <c r="BG122" i="24"/>
  <c r="BG123" i="24"/>
  <c r="BG124" i="24"/>
  <c r="BG125" i="24"/>
  <c r="BG126" i="24"/>
  <c r="BG127" i="24"/>
  <c r="BG128" i="24"/>
  <c r="BG131" i="24"/>
  <c r="BG130" i="24"/>
  <c r="BG135" i="24"/>
  <c r="BG132" i="24"/>
  <c r="BG133" i="24"/>
  <c r="BG136" i="24"/>
  <c r="BG140" i="24"/>
  <c r="BG137" i="24"/>
  <c r="BG138" i="24"/>
  <c r="BG139" i="24"/>
  <c r="BG141" i="24"/>
  <c r="BG142" i="24"/>
  <c r="BG148" i="24"/>
  <c r="BG143" i="24"/>
  <c r="BG149" i="24"/>
  <c r="BG147" i="24"/>
  <c r="BG145" i="24"/>
  <c r="BG146" i="24"/>
  <c r="BG144" i="24"/>
  <c r="BG150" i="24"/>
  <c r="BG151" i="24"/>
  <c r="BG153" i="24"/>
  <c r="BG157" i="24"/>
  <c r="BG155" i="24"/>
  <c r="BG158" i="24"/>
  <c r="BG160" i="24"/>
  <c r="BG163" i="24"/>
  <c r="BG162" i="24"/>
  <c r="BG161" i="24"/>
  <c r="BG164" i="24"/>
  <c r="F168" i="28" l="1"/>
  <c r="F176" i="28"/>
  <c r="BY110" i="16"/>
  <c r="BX110" i="16"/>
  <c r="BW110" i="16"/>
  <c r="BZ110" i="16" l="1"/>
  <c r="BW170" i="16"/>
  <c r="BU170" i="16"/>
  <c r="CA170" i="16" s="1"/>
  <c r="BK108" i="24" l="1"/>
  <c r="BH108" i="24"/>
  <c r="BH91" i="24" l="1"/>
  <c r="BK91" i="24" s="1"/>
  <c r="BH25" i="24"/>
  <c r="BK25" i="24" s="1"/>
  <c r="AM108" i="24" l="1"/>
  <c r="U108" i="24"/>
  <c r="R108" i="24"/>
  <c r="S108" i="24" s="1"/>
  <c r="V108" i="24" s="1"/>
  <c r="M108" i="24"/>
  <c r="BU94" i="16" l="1"/>
  <c r="BZ94" i="16"/>
  <c r="BY94" i="16"/>
  <c r="BX94" i="16"/>
  <c r="BW94" i="16"/>
  <c r="BV94" i="16"/>
  <c r="CA94" i="16" l="1"/>
  <c r="R106" i="24"/>
  <c r="BK94" i="24"/>
  <c r="BH94" i="24"/>
  <c r="AM94" i="24"/>
  <c r="U94" i="24"/>
  <c r="S94" i="24"/>
  <c r="V94" i="24" s="1"/>
  <c r="M94" i="24"/>
  <c r="AM193" i="24"/>
  <c r="M193" i="24"/>
  <c r="AM192" i="24"/>
  <c r="M192" i="24"/>
  <c r="AM191" i="24"/>
  <c r="M191" i="24"/>
  <c r="AM190" i="24"/>
  <c r="M190" i="24"/>
  <c r="AM189" i="24"/>
  <c r="M189" i="24"/>
  <c r="AM188" i="24"/>
  <c r="M188" i="24"/>
  <c r="AM187" i="24"/>
  <c r="M187" i="24"/>
  <c r="AM186" i="24"/>
  <c r="M186" i="24"/>
  <c r="AM185" i="24"/>
  <c r="M185" i="24"/>
  <c r="AM184" i="24"/>
  <c r="M184" i="24"/>
  <c r="AM183" i="24"/>
  <c r="M183" i="24"/>
  <c r="AM182" i="24"/>
  <c r="M182" i="24"/>
  <c r="AM181" i="24"/>
  <c r="M181" i="24"/>
  <c r="AM180" i="24"/>
  <c r="M180" i="24"/>
  <c r="AM179" i="24"/>
  <c r="M179" i="24"/>
  <c r="AM178" i="24"/>
  <c r="M178" i="24"/>
  <c r="AM177" i="24"/>
  <c r="M177" i="24"/>
  <c r="AM176" i="24"/>
  <c r="M176" i="24"/>
  <c r="AM175" i="24"/>
  <c r="M175" i="24"/>
  <c r="AM174" i="24"/>
  <c r="M174" i="24"/>
  <c r="AM173" i="24"/>
  <c r="M173" i="24"/>
  <c r="AM172" i="24"/>
  <c r="M172" i="24"/>
  <c r="AM171" i="24"/>
  <c r="M171" i="24"/>
  <c r="BK164" i="24"/>
  <c r="BH164" i="24"/>
  <c r="BB164" i="24"/>
  <c r="AM164" i="24"/>
  <c r="U164" i="24"/>
  <c r="R164" i="24"/>
  <c r="S164" i="24" s="1"/>
  <c r="V164" i="24" s="1"/>
  <c r="M164" i="24"/>
  <c r="BK161" i="24"/>
  <c r="BH161" i="24"/>
  <c r="BB161" i="24"/>
  <c r="AM161" i="24"/>
  <c r="U161" i="24"/>
  <c r="R161" i="24"/>
  <c r="S161" i="24" s="1"/>
  <c r="V161" i="24" s="1"/>
  <c r="M161" i="24"/>
  <c r="BK162" i="24"/>
  <c r="BH162" i="24"/>
  <c r="BB162" i="24"/>
  <c r="AM162" i="24"/>
  <c r="U162" i="24"/>
  <c r="R162" i="24"/>
  <c r="S162" i="24" s="1"/>
  <c r="V162" i="24" s="1"/>
  <c r="M162" i="24"/>
  <c r="BK163" i="24"/>
  <c r="BH163" i="24"/>
  <c r="BB163" i="24"/>
  <c r="AM163" i="24"/>
  <c r="U163" i="24"/>
  <c r="S163" i="24"/>
  <c r="V163" i="24" s="1"/>
  <c r="M163" i="24"/>
  <c r="BK160" i="24"/>
  <c r="BH160" i="24"/>
  <c r="BB160" i="24"/>
  <c r="AM160" i="24"/>
  <c r="U160" i="24"/>
  <c r="R160" i="24"/>
  <c r="S160" i="24" s="1"/>
  <c r="V160" i="24" s="1"/>
  <c r="M160" i="24"/>
  <c r="BK158" i="24"/>
  <c r="BH158" i="24"/>
  <c r="BB158" i="24"/>
  <c r="AM158" i="24"/>
  <c r="S158" i="24"/>
  <c r="V158" i="24" s="1"/>
  <c r="M158" i="24"/>
  <c r="BK155" i="24"/>
  <c r="BH155" i="24"/>
  <c r="BB155" i="24"/>
  <c r="AM155" i="24"/>
  <c r="U155" i="24"/>
  <c r="R155" i="24"/>
  <c r="S155" i="24" s="1"/>
  <c r="V155" i="24" s="1"/>
  <c r="M155" i="24"/>
  <c r="BK157" i="24"/>
  <c r="BH157" i="24"/>
  <c r="BB157" i="24"/>
  <c r="AM157" i="24"/>
  <c r="U157" i="24"/>
  <c r="S157" i="24"/>
  <c r="V157" i="24" s="1"/>
  <c r="M157" i="24"/>
  <c r="BK153" i="24"/>
  <c r="BH153" i="24"/>
  <c r="BB153" i="24"/>
  <c r="AM153" i="24"/>
  <c r="U153" i="24"/>
  <c r="R153" i="24"/>
  <c r="S153" i="24" s="1"/>
  <c r="V153" i="24" s="1"/>
  <c r="M153" i="24"/>
  <c r="BK151" i="24"/>
  <c r="BH151" i="24"/>
  <c r="BB151" i="24"/>
  <c r="AM151" i="24"/>
  <c r="U151" i="24"/>
  <c r="R151" i="24"/>
  <c r="S151" i="24" s="1"/>
  <c r="V151" i="24" s="1"/>
  <c r="M151" i="24"/>
  <c r="BK150" i="24"/>
  <c r="BH150" i="24"/>
  <c r="BB150" i="24"/>
  <c r="AM150" i="24"/>
  <c r="U150" i="24"/>
  <c r="R150" i="24"/>
  <c r="S150" i="24" s="1"/>
  <c r="V150" i="24" s="1"/>
  <c r="M150" i="24"/>
  <c r="BK144" i="24"/>
  <c r="BH144" i="24"/>
  <c r="BB144" i="24"/>
  <c r="AM144" i="24"/>
  <c r="U144" i="24"/>
  <c r="R144" i="24"/>
  <c r="S144" i="24" s="1"/>
  <c r="V144" i="24" s="1"/>
  <c r="M144" i="24"/>
  <c r="BK146" i="24"/>
  <c r="BH146" i="24"/>
  <c r="BB146" i="24"/>
  <c r="AM146" i="24"/>
  <c r="U146" i="24"/>
  <c r="R146" i="24"/>
  <c r="S146" i="24" s="1"/>
  <c r="V146" i="24" s="1"/>
  <c r="M146" i="24"/>
  <c r="BK145" i="24"/>
  <c r="BH145" i="24"/>
  <c r="BB145" i="24"/>
  <c r="AM145" i="24"/>
  <c r="U145" i="24"/>
  <c r="R145" i="24"/>
  <c r="S145" i="24" s="1"/>
  <c r="V145" i="24" s="1"/>
  <c r="M145" i="24"/>
  <c r="BK147" i="24"/>
  <c r="BH147" i="24"/>
  <c r="BB147" i="24"/>
  <c r="AM147" i="24"/>
  <c r="U147" i="24"/>
  <c r="R147" i="24"/>
  <c r="S147" i="24" s="1"/>
  <c r="V147" i="24" s="1"/>
  <c r="M147" i="24"/>
  <c r="BK149" i="24"/>
  <c r="BH149" i="24"/>
  <c r="BB149" i="24"/>
  <c r="AM149" i="24"/>
  <c r="U149" i="24"/>
  <c r="R149" i="24"/>
  <c r="S149" i="24" s="1"/>
  <c r="V149" i="24" s="1"/>
  <c r="M149" i="24"/>
  <c r="BK143" i="24"/>
  <c r="BH143" i="24"/>
  <c r="BB143" i="24"/>
  <c r="AM143" i="24"/>
  <c r="U143" i="24"/>
  <c r="R143" i="24"/>
  <c r="S143" i="24" s="1"/>
  <c r="V143" i="24" s="1"/>
  <c r="M143" i="24"/>
  <c r="BK148" i="24"/>
  <c r="BH148" i="24"/>
  <c r="BB148" i="24"/>
  <c r="AM148" i="24"/>
  <c r="U148" i="24"/>
  <c r="R148" i="24"/>
  <c r="S148" i="24" s="1"/>
  <c r="V148" i="24" s="1"/>
  <c r="M148" i="24"/>
  <c r="BK142" i="24"/>
  <c r="BH142" i="24"/>
  <c r="BB142" i="24"/>
  <c r="AM142" i="24"/>
  <c r="U142" i="24"/>
  <c r="R142" i="24"/>
  <c r="S142" i="24" s="1"/>
  <c r="V142" i="24" s="1"/>
  <c r="M142" i="24"/>
  <c r="BK141" i="24"/>
  <c r="BH141" i="24"/>
  <c r="BB141" i="24"/>
  <c r="AM141" i="24"/>
  <c r="U141" i="24"/>
  <c r="S141" i="24"/>
  <c r="V141" i="24" s="1"/>
  <c r="M141" i="24"/>
  <c r="BK139" i="24"/>
  <c r="BH139" i="24"/>
  <c r="BB139" i="24"/>
  <c r="AM139" i="24"/>
  <c r="U139" i="24"/>
  <c r="R139" i="24"/>
  <c r="S139" i="24" s="1"/>
  <c r="V139" i="24" s="1"/>
  <c r="M139" i="24"/>
  <c r="BB138" i="24"/>
  <c r="AM138" i="24"/>
  <c r="U138" i="24"/>
  <c r="R138" i="24"/>
  <c r="S138" i="24" s="1"/>
  <c r="V138" i="24" s="1"/>
  <c r="M138" i="24"/>
  <c r="BK137" i="24"/>
  <c r="BH137" i="24"/>
  <c r="BB137" i="24"/>
  <c r="AM137" i="24"/>
  <c r="U137" i="24"/>
  <c r="R137" i="24"/>
  <c r="S137" i="24" s="1"/>
  <c r="V137" i="24" s="1"/>
  <c r="M137" i="24"/>
  <c r="BK140" i="24"/>
  <c r="BH140" i="24"/>
  <c r="BB140" i="24"/>
  <c r="AM140" i="24"/>
  <c r="S140" i="24"/>
  <c r="V140" i="24" s="1"/>
  <c r="M140" i="24"/>
  <c r="BK136" i="24"/>
  <c r="BH136" i="24"/>
  <c r="BB136" i="24"/>
  <c r="AM136" i="24"/>
  <c r="U136" i="24"/>
  <c r="R136" i="24"/>
  <c r="S136" i="24" s="1"/>
  <c r="V136" i="24" s="1"/>
  <c r="M136" i="24"/>
  <c r="BK133" i="24"/>
  <c r="BH133" i="24"/>
  <c r="BB133" i="24"/>
  <c r="AM133" i="24"/>
  <c r="U133" i="24"/>
  <c r="R133" i="24"/>
  <c r="S133" i="24" s="1"/>
  <c r="V133" i="24" s="1"/>
  <c r="M133" i="24"/>
  <c r="BK132" i="24"/>
  <c r="BH132" i="24"/>
  <c r="BB132" i="24"/>
  <c r="AM132" i="24"/>
  <c r="U132" i="24"/>
  <c r="R132" i="24"/>
  <c r="S132" i="24" s="1"/>
  <c r="V132" i="24" s="1"/>
  <c r="M132" i="24"/>
  <c r="BK135" i="24"/>
  <c r="BH135" i="24"/>
  <c r="BB135" i="24"/>
  <c r="AM135" i="24"/>
  <c r="U135" i="24"/>
  <c r="M135" i="24"/>
  <c r="BK130" i="24"/>
  <c r="BH130" i="24"/>
  <c r="BB130" i="24"/>
  <c r="AM130" i="24"/>
  <c r="U130" i="24"/>
  <c r="R130" i="24"/>
  <c r="S130" i="24" s="1"/>
  <c r="V130" i="24" s="1"/>
  <c r="M130" i="24"/>
  <c r="BK131" i="24"/>
  <c r="BH131" i="24"/>
  <c r="BB131" i="24"/>
  <c r="AM131" i="24"/>
  <c r="U131" i="24"/>
  <c r="R131" i="24"/>
  <c r="S131" i="24" s="1"/>
  <c r="V131" i="24" s="1"/>
  <c r="M131" i="24"/>
  <c r="BK128" i="24"/>
  <c r="BH128" i="24"/>
  <c r="BB128" i="24"/>
  <c r="AM128" i="24"/>
  <c r="U128" i="24"/>
  <c r="R128" i="24"/>
  <c r="S128" i="24" s="1"/>
  <c r="V128" i="24" s="1"/>
  <c r="M128" i="24"/>
  <c r="BK127" i="24"/>
  <c r="BH127" i="24"/>
  <c r="BB127" i="24"/>
  <c r="AM127" i="24"/>
  <c r="U127" i="24"/>
  <c r="R127" i="24"/>
  <c r="S127" i="24" s="1"/>
  <c r="V127" i="24" s="1"/>
  <c r="M127" i="24"/>
  <c r="BK126" i="24"/>
  <c r="BH126" i="24"/>
  <c r="BB126" i="24"/>
  <c r="AM126" i="24"/>
  <c r="U126" i="24"/>
  <c r="R126" i="24"/>
  <c r="S126" i="24" s="1"/>
  <c r="V126" i="24" s="1"/>
  <c r="M126" i="24"/>
  <c r="BK125" i="24"/>
  <c r="BH125" i="24"/>
  <c r="BB125" i="24"/>
  <c r="AM125" i="24"/>
  <c r="U125" i="24"/>
  <c r="R125" i="24"/>
  <c r="S125" i="24" s="1"/>
  <c r="V125" i="24" s="1"/>
  <c r="M125" i="24"/>
  <c r="BK124" i="24"/>
  <c r="BH124" i="24"/>
  <c r="BB124" i="24"/>
  <c r="AM124" i="24"/>
  <c r="U124" i="24"/>
  <c r="R124" i="24"/>
  <c r="S124" i="24" s="1"/>
  <c r="V124" i="24" s="1"/>
  <c r="M124" i="24"/>
  <c r="BK123" i="24"/>
  <c r="BH123" i="24"/>
  <c r="BB123" i="24"/>
  <c r="AM123" i="24"/>
  <c r="U123" i="24"/>
  <c r="R123" i="24"/>
  <c r="S123" i="24" s="1"/>
  <c r="V123" i="24" s="1"/>
  <c r="M123" i="24"/>
  <c r="BK122" i="24"/>
  <c r="BH122" i="24"/>
  <c r="BB122" i="24"/>
  <c r="AM122" i="24"/>
  <c r="U122" i="24"/>
  <c r="R122" i="24"/>
  <c r="S122" i="24" s="1"/>
  <c r="V122" i="24" s="1"/>
  <c r="M122" i="24"/>
  <c r="BK121" i="24"/>
  <c r="BH121" i="24"/>
  <c r="BB121" i="24"/>
  <c r="AM121" i="24"/>
  <c r="U121" i="24"/>
  <c r="R121" i="24"/>
  <c r="S121" i="24" s="1"/>
  <c r="V121" i="24" s="1"/>
  <c r="M121" i="24"/>
  <c r="BK120" i="24"/>
  <c r="BH120" i="24"/>
  <c r="BB120" i="24"/>
  <c r="AM120" i="24"/>
  <c r="U120" i="24"/>
  <c r="R120" i="24"/>
  <c r="S120" i="24" s="1"/>
  <c r="V120" i="24" s="1"/>
  <c r="M120" i="24"/>
  <c r="BK119" i="24"/>
  <c r="BH119" i="24"/>
  <c r="BB119" i="24"/>
  <c r="AM119" i="24"/>
  <c r="U119" i="24"/>
  <c r="R119" i="24"/>
  <c r="S119" i="24" s="1"/>
  <c r="V119" i="24" s="1"/>
  <c r="M119" i="24"/>
  <c r="AM91" i="24" l="1"/>
  <c r="U91" i="24"/>
  <c r="R91" i="24"/>
  <c r="S91" i="24" s="1"/>
  <c r="V91" i="24" s="1"/>
  <c r="M91" i="24"/>
  <c r="M84" i="24" l="1"/>
  <c r="BM133" i="22"/>
  <c r="M8" i="24" l="1"/>
  <c r="AL194" i="24"/>
  <c r="BK118" i="24"/>
  <c r="BH118" i="24"/>
  <c r="BB118" i="24"/>
  <c r="AM118" i="24"/>
  <c r="S118" i="24"/>
  <c r="V118" i="24" s="1"/>
  <c r="M118" i="24"/>
  <c r="BK117" i="24"/>
  <c r="BH117" i="24"/>
  <c r="BB117" i="24"/>
  <c r="AM117" i="24"/>
  <c r="U117" i="24"/>
  <c r="R117" i="24"/>
  <c r="S117" i="24" s="1"/>
  <c r="V117" i="24" s="1"/>
  <c r="M117" i="24"/>
  <c r="BK116" i="24"/>
  <c r="BH116" i="24"/>
  <c r="BB116" i="24"/>
  <c r="AM116" i="24"/>
  <c r="U116" i="24"/>
  <c r="R116" i="24"/>
  <c r="S116" i="24" s="1"/>
  <c r="V116" i="24" s="1"/>
  <c r="M116" i="24"/>
  <c r="BK115" i="24"/>
  <c r="BH115" i="24"/>
  <c r="BB115" i="24"/>
  <c r="AM115" i="24"/>
  <c r="U115" i="24"/>
  <c r="S115" i="24"/>
  <c r="V115" i="24" s="1"/>
  <c r="M115" i="24"/>
  <c r="BK114" i="24"/>
  <c r="BH114" i="24"/>
  <c r="BB114" i="24"/>
  <c r="AM114" i="24"/>
  <c r="U114" i="24"/>
  <c r="R114" i="24"/>
  <c r="S114" i="24" s="1"/>
  <c r="V114" i="24" s="1"/>
  <c r="M114" i="24"/>
  <c r="BK113" i="24"/>
  <c r="BH113" i="24"/>
  <c r="BB113" i="24"/>
  <c r="AM113" i="24"/>
  <c r="U113" i="24"/>
  <c r="R113" i="24"/>
  <c r="S113" i="24" s="1"/>
  <c r="V113" i="24" s="1"/>
  <c r="M113" i="24"/>
  <c r="BK112" i="24"/>
  <c r="BH112" i="24"/>
  <c r="BB112" i="24"/>
  <c r="AM112" i="24"/>
  <c r="U112" i="24"/>
  <c r="R112" i="24"/>
  <c r="S112" i="24" s="1"/>
  <c r="V112" i="24" s="1"/>
  <c r="M112" i="24"/>
  <c r="BK109" i="24"/>
  <c r="BH109" i="24"/>
  <c r="BB109" i="24"/>
  <c r="AM109" i="24"/>
  <c r="U109" i="24"/>
  <c r="R109" i="24"/>
  <c r="S109" i="24" s="1"/>
  <c r="V109" i="24" s="1"/>
  <c r="M109" i="24"/>
  <c r="BK110" i="24"/>
  <c r="BH110" i="24"/>
  <c r="BB110" i="24"/>
  <c r="AM110" i="24"/>
  <c r="U110" i="24"/>
  <c r="R110" i="24"/>
  <c r="S110" i="24" s="1"/>
  <c r="V110" i="24" s="1"/>
  <c r="M110" i="24"/>
  <c r="BK111" i="24"/>
  <c r="BH111" i="24"/>
  <c r="BB111" i="24"/>
  <c r="AM111" i="24"/>
  <c r="U111" i="24"/>
  <c r="R111" i="24"/>
  <c r="S111" i="24" s="1"/>
  <c r="V111" i="24" s="1"/>
  <c r="M111" i="24"/>
  <c r="BK107" i="24"/>
  <c r="BH107" i="24"/>
  <c r="BB107" i="24"/>
  <c r="AM107" i="24"/>
  <c r="U107" i="24"/>
  <c r="R107" i="24"/>
  <c r="S107" i="24" s="1"/>
  <c r="V107" i="24" s="1"/>
  <c r="M107" i="24"/>
  <c r="BK106" i="24"/>
  <c r="BH106" i="24"/>
  <c r="BB106" i="24"/>
  <c r="AM106" i="24"/>
  <c r="U106" i="24"/>
  <c r="S106" i="24"/>
  <c r="V106" i="24" s="1"/>
  <c r="M106" i="24"/>
  <c r="BK105" i="24"/>
  <c r="BH105" i="24"/>
  <c r="BB105" i="24"/>
  <c r="AM105" i="24"/>
  <c r="U105" i="24"/>
  <c r="R105" i="24"/>
  <c r="S105" i="24" s="1"/>
  <c r="V105" i="24" s="1"/>
  <c r="M105" i="24"/>
  <c r="BK104" i="24"/>
  <c r="BH104" i="24"/>
  <c r="BB104" i="24"/>
  <c r="AM104" i="24"/>
  <c r="U104" i="24"/>
  <c r="R104" i="24"/>
  <c r="S104" i="24" s="1"/>
  <c r="V104" i="24" s="1"/>
  <c r="M104" i="24"/>
  <c r="BK103" i="24"/>
  <c r="BH103" i="24"/>
  <c r="BB103" i="24"/>
  <c r="AM103" i="24"/>
  <c r="U103" i="24"/>
  <c r="R103" i="24"/>
  <c r="S103" i="24" s="1"/>
  <c r="V103" i="24" s="1"/>
  <c r="M103" i="24"/>
  <c r="BK102" i="24"/>
  <c r="BH102" i="24"/>
  <c r="BB102" i="24"/>
  <c r="AM102" i="24"/>
  <c r="U102" i="24"/>
  <c r="R102" i="24"/>
  <c r="S102" i="24" s="1"/>
  <c r="V102" i="24" s="1"/>
  <c r="M102" i="24"/>
  <c r="BK100" i="24"/>
  <c r="BH100" i="24"/>
  <c r="BB100" i="24"/>
  <c r="AM100" i="24"/>
  <c r="U100" i="24"/>
  <c r="R100" i="24"/>
  <c r="S100" i="24" s="1"/>
  <c r="V100" i="24" s="1"/>
  <c r="M100" i="24"/>
  <c r="BK101" i="24"/>
  <c r="BH101" i="24"/>
  <c r="BB101" i="24"/>
  <c r="AM101" i="24"/>
  <c r="U101" i="24"/>
  <c r="R101" i="24"/>
  <c r="S101" i="24" s="1"/>
  <c r="V101" i="24" s="1"/>
  <c r="M101" i="24"/>
  <c r="BK98" i="24"/>
  <c r="BH98" i="24"/>
  <c r="BB98" i="24"/>
  <c r="AM98" i="24"/>
  <c r="U98" i="24"/>
  <c r="R98" i="24"/>
  <c r="S98" i="24" s="1"/>
  <c r="V98" i="24" s="1"/>
  <c r="M98" i="24"/>
  <c r="BK97" i="24"/>
  <c r="BH97" i="24"/>
  <c r="BB97" i="24"/>
  <c r="AM97" i="24"/>
  <c r="U97" i="24"/>
  <c r="R97" i="24"/>
  <c r="S97" i="24" s="1"/>
  <c r="V97" i="24" s="1"/>
  <c r="M97" i="24"/>
  <c r="BK96" i="24"/>
  <c r="BH96" i="24"/>
  <c r="BB96" i="24"/>
  <c r="AM96" i="24"/>
  <c r="U96" i="24"/>
  <c r="R96" i="24"/>
  <c r="S96" i="24" s="1"/>
  <c r="V96" i="24" s="1"/>
  <c r="M96" i="24"/>
  <c r="BK95" i="24"/>
  <c r="BH95" i="24"/>
  <c r="BB95" i="24"/>
  <c r="AM95" i="24"/>
  <c r="U95" i="24"/>
  <c r="R95" i="24"/>
  <c r="S95" i="24" s="1"/>
  <c r="V95" i="24" s="1"/>
  <c r="M95" i="24"/>
  <c r="BK99" i="24"/>
  <c r="BH99" i="24"/>
  <c r="BB99" i="24"/>
  <c r="AM99" i="24"/>
  <c r="U99" i="24"/>
  <c r="R99" i="24"/>
  <c r="S99" i="24" s="1"/>
  <c r="V99" i="24" s="1"/>
  <c r="M99" i="24"/>
  <c r="BK93" i="24"/>
  <c r="BH93" i="24"/>
  <c r="BB93" i="24"/>
  <c r="AM93" i="24"/>
  <c r="U93" i="24"/>
  <c r="R93" i="24"/>
  <c r="S93" i="24" s="1"/>
  <c r="V93" i="24" s="1"/>
  <c r="M93" i="24"/>
  <c r="BK92" i="24"/>
  <c r="BH92" i="24"/>
  <c r="BB92" i="24"/>
  <c r="AM92" i="24"/>
  <c r="U92" i="24"/>
  <c r="R92" i="24"/>
  <c r="S92" i="24" s="1"/>
  <c r="V92" i="24" s="1"/>
  <c r="M92" i="24"/>
  <c r="BK88" i="24"/>
  <c r="BH88" i="24"/>
  <c r="BB88" i="24"/>
  <c r="AM88" i="24"/>
  <c r="U88" i="24"/>
  <c r="R88" i="24"/>
  <c r="S88" i="24" s="1"/>
  <c r="V88" i="24" s="1"/>
  <c r="M88" i="24"/>
  <c r="BK85" i="24"/>
  <c r="BH85" i="24"/>
  <c r="BB85" i="24"/>
  <c r="AM85" i="24"/>
  <c r="U85" i="24"/>
  <c r="R85" i="24"/>
  <c r="S85" i="24" s="1"/>
  <c r="V85" i="24" s="1"/>
  <c r="M85" i="24"/>
  <c r="BK86" i="24"/>
  <c r="BH86" i="24"/>
  <c r="BB86" i="24"/>
  <c r="AM86" i="24"/>
  <c r="U86" i="24"/>
  <c r="R86" i="24"/>
  <c r="S86" i="24" s="1"/>
  <c r="V86" i="24" s="1"/>
  <c r="M86" i="24"/>
  <c r="BK89" i="24"/>
  <c r="BH89" i="24"/>
  <c r="BB89" i="24"/>
  <c r="AM89" i="24"/>
  <c r="U89" i="24"/>
  <c r="R89" i="24"/>
  <c r="S89" i="24" s="1"/>
  <c r="V89" i="24" s="1"/>
  <c r="M89" i="24"/>
  <c r="BK90" i="24"/>
  <c r="BH90" i="24"/>
  <c r="BB90" i="24"/>
  <c r="AM90" i="24"/>
  <c r="U90" i="24"/>
  <c r="R90" i="24"/>
  <c r="S90" i="24" s="1"/>
  <c r="V90" i="24" s="1"/>
  <c r="M90" i="24"/>
  <c r="BK87" i="24"/>
  <c r="BH87" i="24"/>
  <c r="BB87" i="24"/>
  <c r="AM87" i="24"/>
  <c r="U87" i="24"/>
  <c r="R87" i="24"/>
  <c r="S87" i="24" s="1"/>
  <c r="V87" i="24" s="1"/>
  <c r="M87" i="24"/>
  <c r="BK84" i="24"/>
  <c r="BH84" i="24"/>
  <c r="BB84" i="24"/>
  <c r="AM84" i="24"/>
  <c r="U84" i="24"/>
  <c r="R84" i="24"/>
  <c r="S84" i="24" s="1"/>
  <c r="V84" i="24" s="1"/>
  <c r="BK82" i="24"/>
  <c r="BH82" i="24"/>
  <c r="AM82" i="24"/>
  <c r="U82" i="24"/>
  <c r="R82" i="24"/>
  <c r="S82" i="24" s="1"/>
  <c r="V82" i="24" s="1"/>
  <c r="M82" i="24"/>
  <c r="BK83" i="24"/>
  <c r="BH83" i="24"/>
  <c r="BB83" i="24"/>
  <c r="AM83" i="24"/>
  <c r="U83" i="24"/>
  <c r="R83" i="24"/>
  <c r="S83" i="24" s="1"/>
  <c r="V83" i="24" s="1"/>
  <c r="M83" i="24"/>
  <c r="BK81" i="24"/>
  <c r="BH81" i="24"/>
  <c r="BB81" i="24"/>
  <c r="AM81" i="24"/>
  <c r="U81" i="24"/>
  <c r="R81" i="24"/>
  <c r="S81" i="24" s="1"/>
  <c r="V81" i="24" s="1"/>
  <c r="M81" i="24"/>
  <c r="BK80" i="24"/>
  <c r="BH80" i="24"/>
  <c r="BB80" i="24"/>
  <c r="AM80" i="24"/>
  <c r="U80" i="24"/>
  <c r="R80" i="24"/>
  <c r="S80" i="24" s="1"/>
  <c r="V80" i="24" s="1"/>
  <c r="M80" i="24"/>
  <c r="BK79" i="24"/>
  <c r="BH79" i="24"/>
  <c r="BB79" i="24"/>
  <c r="AM79" i="24"/>
  <c r="U79" i="24"/>
  <c r="R79" i="24"/>
  <c r="S79" i="24" s="1"/>
  <c r="V79" i="24" s="1"/>
  <c r="M79" i="24"/>
  <c r="BK78" i="24"/>
  <c r="BH78" i="24"/>
  <c r="BB78" i="24"/>
  <c r="AM78" i="24"/>
  <c r="U78" i="24"/>
  <c r="R78" i="24"/>
  <c r="S78" i="24" s="1"/>
  <c r="V78" i="24" s="1"/>
  <c r="M78" i="24"/>
  <c r="BK77" i="24"/>
  <c r="BH77" i="24"/>
  <c r="BB77" i="24"/>
  <c r="AM77" i="24"/>
  <c r="U77" i="24"/>
  <c r="R77" i="24"/>
  <c r="S77" i="24" s="1"/>
  <c r="V77" i="24" s="1"/>
  <c r="M77" i="24"/>
  <c r="BK76" i="24"/>
  <c r="BH76" i="24"/>
  <c r="BB76" i="24"/>
  <c r="AM76" i="24"/>
  <c r="U76" i="24"/>
  <c r="R76" i="24"/>
  <c r="S76" i="24" s="1"/>
  <c r="V76" i="24" s="1"/>
  <c r="M76" i="24"/>
  <c r="BK75" i="24"/>
  <c r="BH75" i="24"/>
  <c r="BB75" i="24"/>
  <c r="AM75" i="24"/>
  <c r="U75" i="24"/>
  <c r="R75" i="24"/>
  <c r="S75" i="24" s="1"/>
  <c r="V75" i="24" s="1"/>
  <c r="M75" i="24"/>
  <c r="BK74" i="24"/>
  <c r="BH74" i="24"/>
  <c r="BB74" i="24"/>
  <c r="AM74" i="24"/>
  <c r="U74" i="24"/>
  <c r="R74" i="24"/>
  <c r="S74" i="24" s="1"/>
  <c r="V74" i="24" s="1"/>
  <c r="M74" i="24"/>
  <c r="BK73" i="24"/>
  <c r="BH73" i="24"/>
  <c r="BB73" i="24"/>
  <c r="AM73" i="24"/>
  <c r="U73" i="24"/>
  <c r="R73" i="24"/>
  <c r="S73" i="24" s="1"/>
  <c r="V73" i="24" s="1"/>
  <c r="M73" i="24"/>
  <c r="BK72" i="24"/>
  <c r="BH72" i="24"/>
  <c r="BB72" i="24"/>
  <c r="AM72" i="24"/>
  <c r="U72" i="24"/>
  <c r="R72" i="24"/>
  <c r="S72" i="24" s="1"/>
  <c r="V72" i="24" s="1"/>
  <c r="M72" i="24"/>
  <c r="BK71" i="24"/>
  <c r="BH71" i="24"/>
  <c r="BB71" i="24"/>
  <c r="AM71" i="24"/>
  <c r="U71" i="24"/>
  <c r="R71" i="24"/>
  <c r="S71" i="24" s="1"/>
  <c r="V71" i="24" s="1"/>
  <c r="M71" i="24"/>
  <c r="BK69" i="24"/>
  <c r="BH69" i="24"/>
  <c r="BB69" i="24"/>
  <c r="AM69" i="24"/>
  <c r="U69" i="24"/>
  <c r="R69" i="24"/>
  <c r="S69" i="24" s="1"/>
  <c r="V69" i="24" s="1"/>
  <c r="M69" i="24"/>
  <c r="BK70" i="24"/>
  <c r="BH70" i="24"/>
  <c r="BB70" i="24"/>
  <c r="AM70" i="24"/>
  <c r="U70" i="24"/>
  <c r="R70" i="24"/>
  <c r="S70" i="24" s="1"/>
  <c r="V70" i="24" s="1"/>
  <c r="M70" i="24"/>
  <c r="BK68" i="24"/>
  <c r="BH68" i="24"/>
  <c r="BB68" i="24"/>
  <c r="AM68" i="24"/>
  <c r="U68" i="24"/>
  <c r="R68" i="24"/>
  <c r="S68" i="24" s="1"/>
  <c r="V68" i="24" s="1"/>
  <c r="M68" i="24"/>
  <c r="BK67" i="24"/>
  <c r="BH67" i="24"/>
  <c r="BB67" i="24"/>
  <c r="AM67" i="24"/>
  <c r="U67" i="24"/>
  <c r="R67" i="24"/>
  <c r="S67" i="24" s="1"/>
  <c r="V67" i="24" s="1"/>
  <c r="M67" i="24"/>
  <c r="BK65" i="24"/>
  <c r="BH65" i="24"/>
  <c r="BB65" i="24"/>
  <c r="AM65" i="24"/>
  <c r="U65" i="24"/>
  <c r="R65" i="24"/>
  <c r="S65" i="24" s="1"/>
  <c r="V65" i="24" s="1"/>
  <c r="M65" i="24"/>
  <c r="BK66" i="24"/>
  <c r="BH66" i="24"/>
  <c r="BB66" i="24"/>
  <c r="AM66" i="24"/>
  <c r="U66" i="24"/>
  <c r="R66" i="24"/>
  <c r="S66" i="24" s="1"/>
  <c r="V66" i="24" s="1"/>
  <c r="M66" i="24"/>
  <c r="BK64" i="24"/>
  <c r="BH64" i="24"/>
  <c r="BB64" i="24"/>
  <c r="AM64" i="24"/>
  <c r="U64" i="24"/>
  <c r="R64" i="24"/>
  <c r="S64" i="24" s="1"/>
  <c r="V64" i="24" s="1"/>
  <c r="M64" i="24"/>
  <c r="BK63" i="24"/>
  <c r="BH63" i="24"/>
  <c r="BB63" i="24"/>
  <c r="AM63" i="24"/>
  <c r="U63" i="24"/>
  <c r="R63" i="24"/>
  <c r="S63" i="24" s="1"/>
  <c r="V63" i="24" s="1"/>
  <c r="M63" i="24"/>
  <c r="BK62" i="24"/>
  <c r="BH62" i="24"/>
  <c r="BB62" i="24"/>
  <c r="AM62" i="24"/>
  <c r="U62" i="24"/>
  <c r="R62" i="24"/>
  <c r="S62" i="24" s="1"/>
  <c r="V62" i="24" s="1"/>
  <c r="M62" i="24"/>
  <c r="BK61" i="24"/>
  <c r="BH61" i="24"/>
  <c r="BB61" i="24"/>
  <c r="AM61" i="24"/>
  <c r="U61" i="24"/>
  <c r="R61" i="24"/>
  <c r="S61" i="24" s="1"/>
  <c r="V61" i="24" s="1"/>
  <c r="M61" i="24"/>
  <c r="BK60" i="24"/>
  <c r="BH60" i="24"/>
  <c r="BB60" i="24"/>
  <c r="AM60" i="24"/>
  <c r="U60" i="24"/>
  <c r="R60" i="24"/>
  <c r="S60" i="24" s="1"/>
  <c r="V60" i="24" s="1"/>
  <c r="M60" i="24"/>
  <c r="BK59" i="24"/>
  <c r="BH59" i="24"/>
  <c r="BB59" i="24"/>
  <c r="AM59" i="24"/>
  <c r="U59" i="24"/>
  <c r="R59" i="24"/>
  <c r="S59" i="24" s="1"/>
  <c r="V59" i="24" s="1"/>
  <c r="M59" i="24"/>
  <c r="BK58" i="24"/>
  <c r="BH58" i="24"/>
  <c r="BB58" i="24"/>
  <c r="AM58" i="24"/>
  <c r="S58" i="24"/>
  <c r="V58" i="24" s="1"/>
  <c r="M58" i="24"/>
  <c r="BK57" i="24"/>
  <c r="BH57" i="24"/>
  <c r="BB57" i="24"/>
  <c r="AM57" i="24"/>
  <c r="S57" i="24"/>
  <c r="V57" i="24" s="1"/>
  <c r="M57" i="24"/>
  <c r="BK56" i="24"/>
  <c r="BH56" i="24"/>
  <c r="BB56" i="24"/>
  <c r="AM56" i="24"/>
  <c r="U56" i="24"/>
  <c r="R56" i="24"/>
  <c r="S56" i="24" s="1"/>
  <c r="V56" i="24" s="1"/>
  <c r="M56" i="24"/>
  <c r="BK55" i="24"/>
  <c r="BH55" i="24"/>
  <c r="BB55" i="24"/>
  <c r="AM55" i="24"/>
  <c r="U55" i="24"/>
  <c r="R55" i="24"/>
  <c r="S55" i="24" s="1"/>
  <c r="V55" i="24" s="1"/>
  <c r="M55" i="24"/>
  <c r="BK54" i="24"/>
  <c r="BH54" i="24"/>
  <c r="BB54" i="24"/>
  <c r="AM54" i="24"/>
  <c r="U54" i="24"/>
  <c r="R54" i="24"/>
  <c r="S54" i="24" s="1"/>
  <c r="V54" i="24" s="1"/>
  <c r="M54" i="24"/>
  <c r="BK53" i="24"/>
  <c r="BH53" i="24"/>
  <c r="BB53" i="24"/>
  <c r="AM53" i="24"/>
  <c r="U53" i="24"/>
  <c r="R53" i="24"/>
  <c r="S53" i="24" s="1"/>
  <c r="V53" i="24" s="1"/>
  <c r="M53" i="24"/>
  <c r="BK52" i="24"/>
  <c r="BH52" i="24"/>
  <c r="BB52" i="24"/>
  <c r="AM52" i="24"/>
  <c r="U52" i="24"/>
  <c r="R52" i="24"/>
  <c r="S52" i="24" s="1"/>
  <c r="V52" i="24" s="1"/>
  <c r="M52" i="24"/>
  <c r="BK51" i="24"/>
  <c r="BH51" i="24"/>
  <c r="BB51" i="24"/>
  <c r="AM51" i="24"/>
  <c r="U51" i="24"/>
  <c r="R51" i="24"/>
  <c r="S51" i="24" s="1"/>
  <c r="V51" i="24" s="1"/>
  <c r="M51" i="24"/>
  <c r="BK50" i="24"/>
  <c r="BH50" i="24"/>
  <c r="BB50" i="24"/>
  <c r="AM50" i="24"/>
  <c r="U50" i="24"/>
  <c r="R50" i="24"/>
  <c r="S50" i="24" s="1"/>
  <c r="V50" i="24" s="1"/>
  <c r="M50" i="24"/>
  <c r="BK49" i="24"/>
  <c r="BH49" i="24"/>
  <c r="BB49" i="24"/>
  <c r="AM49" i="24"/>
  <c r="U49" i="24"/>
  <c r="R49" i="24"/>
  <c r="S49" i="24" s="1"/>
  <c r="V49" i="24" s="1"/>
  <c r="M49" i="24"/>
  <c r="BK48" i="24"/>
  <c r="BI48" i="24"/>
  <c r="BH48" i="24"/>
  <c r="BB48" i="24"/>
  <c r="AM48" i="24"/>
  <c r="U48" i="24"/>
  <c r="S48" i="24"/>
  <c r="V48" i="24" s="1"/>
  <c r="M48" i="24"/>
  <c r="BK47" i="24"/>
  <c r="BH47" i="24"/>
  <c r="BB47" i="24"/>
  <c r="AM47" i="24"/>
  <c r="U47" i="24"/>
  <c r="R47" i="24"/>
  <c r="S47" i="24" s="1"/>
  <c r="V47" i="24" s="1"/>
  <c r="M47" i="24"/>
  <c r="BK46" i="24"/>
  <c r="BH46" i="24"/>
  <c r="BB46" i="24"/>
  <c r="AM46" i="24"/>
  <c r="U46" i="24"/>
  <c r="R46" i="24"/>
  <c r="S46" i="24" s="1"/>
  <c r="V46" i="24" s="1"/>
  <c r="M46" i="24"/>
  <c r="BK45" i="24"/>
  <c r="BI45" i="24"/>
  <c r="BH45" i="24"/>
  <c r="BB45" i="24"/>
  <c r="AM45" i="24"/>
  <c r="U45" i="24"/>
  <c r="R45" i="24"/>
  <c r="S45" i="24" s="1"/>
  <c r="V45" i="24" s="1"/>
  <c r="M45" i="24"/>
  <c r="BK44" i="24"/>
  <c r="BH44" i="24"/>
  <c r="BB44" i="24"/>
  <c r="AM44" i="24"/>
  <c r="U44" i="24"/>
  <c r="R44" i="24"/>
  <c r="S44" i="24" s="1"/>
  <c r="V44" i="24" s="1"/>
  <c r="M44" i="24"/>
  <c r="BK43" i="24"/>
  <c r="BH43" i="24"/>
  <c r="BB43" i="24"/>
  <c r="AM43" i="24"/>
  <c r="U43" i="24"/>
  <c r="R43" i="24"/>
  <c r="S43" i="24" s="1"/>
  <c r="V43" i="24" s="1"/>
  <c r="M43" i="24"/>
  <c r="BK42" i="24"/>
  <c r="BH42" i="24"/>
  <c r="BB42" i="24"/>
  <c r="AM42" i="24"/>
  <c r="U42" i="24"/>
  <c r="R42" i="24"/>
  <c r="S42" i="24" s="1"/>
  <c r="V42" i="24" s="1"/>
  <c r="M42" i="24"/>
  <c r="BK41" i="24"/>
  <c r="BH41" i="24"/>
  <c r="BB41" i="24"/>
  <c r="AM41" i="24"/>
  <c r="U41" i="24"/>
  <c r="R41" i="24"/>
  <c r="S41" i="24" s="1"/>
  <c r="V41" i="24" s="1"/>
  <c r="M41" i="24"/>
  <c r="BK40" i="24"/>
  <c r="BH40" i="24"/>
  <c r="BB40" i="24"/>
  <c r="AM40" i="24"/>
  <c r="U40" i="24"/>
  <c r="R40" i="24"/>
  <c r="S40" i="24" s="1"/>
  <c r="V40" i="24" s="1"/>
  <c r="M40" i="24"/>
  <c r="BK39" i="24"/>
  <c r="BH39" i="24"/>
  <c r="BB39" i="24"/>
  <c r="AM39" i="24"/>
  <c r="U39" i="24"/>
  <c r="R39" i="24"/>
  <c r="S39" i="24" s="1"/>
  <c r="V39" i="24" s="1"/>
  <c r="M39" i="24"/>
  <c r="BK38" i="24"/>
  <c r="BH38" i="24"/>
  <c r="BB38" i="24"/>
  <c r="AM38" i="24"/>
  <c r="U38" i="24"/>
  <c r="R38" i="24"/>
  <c r="S38" i="24" s="1"/>
  <c r="V38" i="24" s="1"/>
  <c r="M38" i="24"/>
  <c r="BK37" i="24"/>
  <c r="BH37" i="24"/>
  <c r="BB37" i="24"/>
  <c r="AM37" i="24"/>
  <c r="U37" i="24"/>
  <c r="R37" i="24"/>
  <c r="S37" i="24" s="1"/>
  <c r="V37" i="24" s="1"/>
  <c r="M37" i="24"/>
  <c r="BK36" i="24"/>
  <c r="BH36" i="24"/>
  <c r="BB36" i="24"/>
  <c r="AM36" i="24"/>
  <c r="U36" i="24"/>
  <c r="R36" i="24"/>
  <c r="S36" i="24" s="1"/>
  <c r="V36" i="24" s="1"/>
  <c r="M36" i="24"/>
  <c r="BK35" i="24"/>
  <c r="BH35" i="24"/>
  <c r="BB35" i="24"/>
  <c r="AM35" i="24"/>
  <c r="U35" i="24"/>
  <c r="R35" i="24"/>
  <c r="S35" i="24" s="1"/>
  <c r="V35" i="24" s="1"/>
  <c r="M35" i="24"/>
  <c r="BK34" i="24"/>
  <c r="BH34" i="24"/>
  <c r="BB34" i="24"/>
  <c r="AM34" i="24"/>
  <c r="U34" i="24"/>
  <c r="R34" i="24"/>
  <c r="S34" i="24" s="1"/>
  <c r="V34" i="24" s="1"/>
  <c r="M34" i="24"/>
  <c r="BK33" i="24"/>
  <c r="BH33" i="24"/>
  <c r="BB33" i="24"/>
  <c r="AM33" i="24"/>
  <c r="U33" i="24"/>
  <c r="R33" i="24"/>
  <c r="S33" i="24" s="1"/>
  <c r="V33" i="24" s="1"/>
  <c r="M33" i="24"/>
  <c r="BK32" i="24"/>
  <c r="BH32" i="24"/>
  <c r="BB32" i="24"/>
  <c r="AM32" i="24"/>
  <c r="U32" i="24"/>
  <c r="R32" i="24"/>
  <c r="S32" i="24" s="1"/>
  <c r="V32" i="24" s="1"/>
  <c r="M32" i="24"/>
  <c r="BK31" i="24"/>
  <c r="BH31" i="24"/>
  <c r="BB31" i="24"/>
  <c r="AM31" i="24"/>
  <c r="U31" i="24"/>
  <c r="R31" i="24"/>
  <c r="S31" i="24" s="1"/>
  <c r="V31" i="24" s="1"/>
  <c r="M31" i="24"/>
  <c r="BK30" i="24"/>
  <c r="BH30" i="24"/>
  <c r="BB30" i="24"/>
  <c r="AM30" i="24"/>
  <c r="U30" i="24"/>
  <c r="R30" i="24"/>
  <c r="S30" i="24" s="1"/>
  <c r="V30" i="24" s="1"/>
  <c r="M30" i="24"/>
  <c r="BK29" i="24"/>
  <c r="BH29" i="24"/>
  <c r="BB29" i="24"/>
  <c r="AM29" i="24"/>
  <c r="U29" i="24"/>
  <c r="R29" i="24"/>
  <c r="S29" i="24" s="1"/>
  <c r="V29" i="24" s="1"/>
  <c r="M29" i="24"/>
  <c r="BK28" i="24"/>
  <c r="BH28" i="24"/>
  <c r="BB28" i="24"/>
  <c r="AM28" i="24"/>
  <c r="U28" i="24"/>
  <c r="R28" i="24"/>
  <c r="S28" i="24" s="1"/>
  <c r="V28" i="24" s="1"/>
  <c r="M28" i="24"/>
  <c r="BK27" i="24"/>
  <c r="BH27" i="24"/>
  <c r="BB27" i="24"/>
  <c r="AM27" i="24"/>
  <c r="U27" i="24"/>
  <c r="R27" i="24"/>
  <c r="S27" i="24" s="1"/>
  <c r="V27" i="24" s="1"/>
  <c r="M27" i="24"/>
  <c r="BK26" i="24"/>
  <c r="BH26" i="24"/>
  <c r="BB26" i="24"/>
  <c r="AM26" i="24"/>
  <c r="U26" i="24"/>
  <c r="R26" i="24"/>
  <c r="S26" i="24" s="1"/>
  <c r="V26" i="24" s="1"/>
  <c r="M26" i="24"/>
  <c r="AM25" i="24"/>
  <c r="U25" i="24"/>
  <c r="R25" i="24"/>
  <c r="S25" i="24" s="1"/>
  <c r="V25" i="24" s="1"/>
  <c r="M25" i="24"/>
  <c r="BK24" i="24"/>
  <c r="BH24" i="24"/>
  <c r="BB24" i="24"/>
  <c r="AM24" i="24"/>
  <c r="U24" i="24"/>
  <c r="R24" i="24"/>
  <c r="S24" i="24" s="1"/>
  <c r="V24" i="24" s="1"/>
  <c r="M24" i="24"/>
  <c r="BK23" i="24"/>
  <c r="BH23" i="24"/>
  <c r="BB23" i="24"/>
  <c r="AM23" i="24"/>
  <c r="U23" i="24"/>
  <c r="R23" i="24"/>
  <c r="S23" i="24" s="1"/>
  <c r="V23" i="24" s="1"/>
  <c r="M23" i="24"/>
  <c r="BK22" i="24"/>
  <c r="BH22" i="24"/>
  <c r="BB22" i="24"/>
  <c r="AM22" i="24"/>
  <c r="U22" i="24"/>
  <c r="R22" i="24"/>
  <c r="S22" i="24" s="1"/>
  <c r="V22" i="24" s="1"/>
  <c r="M22" i="24"/>
  <c r="BH21" i="24"/>
  <c r="BK21" i="24" s="1"/>
  <c r="AM21" i="24"/>
  <c r="S21" i="24"/>
  <c r="V21" i="24" s="1"/>
  <c r="M21" i="24"/>
  <c r="BK20" i="24"/>
  <c r="BH20" i="24"/>
  <c r="BB20" i="24"/>
  <c r="AM20" i="24"/>
  <c r="U20" i="24"/>
  <c r="R20" i="24"/>
  <c r="S20" i="24" s="1"/>
  <c r="V20" i="24" s="1"/>
  <c r="M20" i="24"/>
  <c r="BK19" i="24"/>
  <c r="BH19" i="24"/>
  <c r="BB19" i="24"/>
  <c r="AM19" i="24"/>
  <c r="U19" i="24"/>
  <c r="R19" i="24"/>
  <c r="S19" i="24" s="1"/>
  <c r="V19" i="24" s="1"/>
  <c r="M19" i="24"/>
  <c r="BK18" i="24"/>
  <c r="BH18" i="24"/>
  <c r="BB18" i="24"/>
  <c r="AM18" i="24"/>
  <c r="U18" i="24"/>
  <c r="R18" i="24"/>
  <c r="S18" i="24" s="1"/>
  <c r="V18" i="24" s="1"/>
  <c r="M18" i="24"/>
  <c r="BK17" i="24"/>
  <c r="BH17" i="24"/>
  <c r="BB17" i="24"/>
  <c r="AM17" i="24"/>
  <c r="U17" i="24"/>
  <c r="R17" i="24"/>
  <c r="S17" i="24" s="1"/>
  <c r="V17" i="24" s="1"/>
  <c r="M17" i="24"/>
  <c r="BK16" i="24"/>
  <c r="BH16" i="24"/>
  <c r="BB16" i="24"/>
  <c r="AM16" i="24"/>
  <c r="U16" i="24"/>
  <c r="R16" i="24"/>
  <c r="S16" i="24" s="1"/>
  <c r="V16" i="24" s="1"/>
  <c r="M16" i="24"/>
  <c r="BK15" i="24"/>
  <c r="BH15" i="24"/>
  <c r="BB15" i="24"/>
  <c r="AM15" i="24"/>
  <c r="U15" i="24"/>
  <c r="R15" i="24"/>
  <c r="S15" i="24" s="1"/>
  <c r="V15" i="24" s="1"/>
  <c r="M15" i="24"/>
  <c r="BK14" i="24"/>
  <c r="BH14" i="24"/>
  <c r="BB14" i="24"/>
  <c r="AM14" i="24"/>
  <c r="U14" i="24"/>
  <c r="R14" i="24"/>
  <c r="S14" i="24" s="1"/>
  <c r="V14" i="24" s="1"/>
  <c r="M14" i="24"/>
  <c r="BK13" i="24"/>
  <c r="BH13" i="24"/>
  <c r="BB13" i="24"/>
  <c r="AM13" i="24"/>
  <c r="U13" i="24"/>
  <c r="R13" i="24"/>
  <c r="S13" i="24" s="1"/>
  <c r="V13" i="24" s="1"/>
  <c r="M13" i="24"/>
  <c r="BK12" i="24"/>
  <c r="BH12" i="24"/>
  <c r="BB12" i="24"/>
  <c r="AM12" i="24"/>
  <c r="S12" i="24"/>
  <c r="V12" i="24" s="1"/>
  <c r="M12" i="24"/>
  <c r="BK11" i="24"/>
  <c r="BH11" i="24"/>
  <c r="BB11" i="24"/>
  <c r="AM11" i="24"/>
  <c r="U11" i="24"/>
  <c r="R11" i="24"/>
  <c r="S11" i="24" s="1"/>
  <c r="V11" i="24" s="1"/>
  <c r="M11" i="24"/>
  <c r="BK10" i="24"/>
  <c r="BH10" i="24"/>
  <c r="BB10" i="24"/>
  <c r="AM10" i="24"/>
  <c r="U10" i="24"/>
  <c r="R10" i="24"/>
  <c r="S10" i="24" s="1"/>
  <c r="V10" i="24" s="1"/>
  <c r="M10" i="24"/>
  <c r="BK9" i="24"/>
  <c r="BH9" i="24"/>
  <c r="BB9" i="24"/>
  <c r="AM9" i="24"/>
  <c r="U9" i="24"/>
  <c r="R9" i="24"/>
  <c r="S9" i="24" s="1"/>
  <c r="V9" i="24" s="1"/>
  <c r="M9" i="24"/>
  <c r="BK8" i="24"/>
  <c r="BH8" i="24"/>
  <c r="BB8" i="24"/>
  <c r="AM8" i="24"/>
  <c r="U8" i="24"/>
  <c r="R8" i="24"/>
  <c r="BK7" i="24"/>
  <c r="BH7" i="24"/>
  <c r="BG7" i="24"/>
  <c r="BB7" i="24"/>
  <c r="AM7" i="24"/>
  <c r="U7" i="24"/>
  <c r="S7" i="24"/>
  <c r="M7" i="24"/>
  <c r="BI160" i="22"/>
  <c r="BB158" i="22"/>
  <c r="AX158" i="22"/>
  <c r="T158" i="22"/>
  <c r="Q158" i="22"/>
  <c r="BH157" i="22"/>
  <c r="BK157" i="22" s="1"/>
  <c r="BG157" i="22"/>
  <c r="AM157" i="22"/>
  <c r="U157" i="22"/>
  <c r="R157" i="22"/>
  <c r="S157" i="22" s="1"/>
  <c r="V157" i="22" s="1"/>
  <c r="M157" i="22"/>
  <c r="BK156" i="22"/>
  <c r="BH156" i="22"/>
  <c r="BG156" i="22"/>
  <c r="BB156" i="22"/>
  <c r="BA156" i="22"/>
  <c r="AM156" i="22"/>
  <c r="U156" i="22"/>
  <c r="R156" i="22"/>
  <c r="S156" i="22" s="1"/>
  <c r="V156" i="22" s="1"/>
  <c r="M156" i="22"/>
  <c r="BK155" i="22"/>
  <c r="BH155" i="22"/>
  <c r="BG155" i="22"/>
  <c r="BB155" i="22"/>
  <c r="BA155" i="22"/>
  <c r="AM155" i="22"/>
  <c r="U155" i="22"/>
  <c r="R155" i="22"/>
  <c r="S155" i="22" s="1"/>
  <c r="V155" i="22" s="1"/>
  <c r="M155" i="22"/>
  <c r="BK154" i="22"/>
  <c r="BH154" i="22"/>
  <c r="BG154" i="22"/>
  <c r="BB154" i="22"/>
  <c r="AM154" i="22"/>
  <c r="U154" i="22"/>
  <c r="R154" i="22"/>
  <c r="S154" i="22" s="1"/>
  <c r="V154" i="22" s="1"/>
  <c r="M154" i="22"/>
  <c r="BK153" i="22"/>
  <c r="BH153" i="22"/>
  <c r="BG153" i="22"/>
  <c r="BB153" i="22"/>
  <c r="AM153" i="22"/>
  <c r="U153" i="22"/>
  <c r="R153" i="22"/>
  <c r="S153" i="22" s="1"/>
  <c r="V153" i="22" s="1"/>
  <c r="M153" i="22"/>
  <c r="BK152" i="22"/>
  <c r="BH152" i="22"/>
  <c r="BG152" i="22"/>
  <c r="BB152" i="22"/>
  <c r="AM152" i="22"/>
  <c r="U152" i="22"/>
  <c r="R152" i="22"/>
  <c r="S152" i="22" s="1"/>
  <c r="V152" i="22" s="1"/>
  <c r="M152" i="22"/>
  <c r="BK151" i="22"/>
  <c r="BH151" i="22"/>
  <c r="BB151" i="22"/>
  <c r="BA151" i="22"/>
  <c r="AM151" i="22"/>
  <c r="U151" i="22"/>
  <c r="R151" i="22"/>
  <c r="S151" i="22" s="1"/>
  <c r="V151" i="22" s="1"/>
  <c r="M151" i="22"/>
  <c r="BK150" i="22"/>
  <c r="BH150" i="22"/>
  <c r="BG150" i="22"/>
  <c r="BB150" i="22"/>
  <c r="AM150" i="22"/>
  <c r="U150" i="22"/>
  <c r="S150" i="22"/>
  <c r="V150" i="22" s="1"/>
  <c r="M150" i="22"/>
  <c r="BK149" i="22"/>
  <c r="BH149" i="22"/>
  <c r="BG149" i="22"/>
  <c r="BB149" i="22"/>
  <c r="BA149" i="22"/>
  <c r="AM149" i="22"/>
  <c r="U149" i="22"/>
  <c r="R149" i="22"/>
  <c r="S149" i="22" s="1"/>
  <c r="V149" i="22" s="1"/>
  <c r="M149" i="22"/>
  <c r="BK148" i="22"/>
  <c r="BH148" i="22"/>
  <c r="BG148" i="22"/>
  <c r="BB148" i="22"/>
  <c r="AM148" i="22"/>
  <c r="U148" i="22"/>
  <c r="R148" i="22"/>
  <c r="S148" i="22" s="1"/>
  <c r="V148" i="22" s="1"/>
  <c r="M148" i="22"/>
  <c r="BK147" i="22"/>
  <c r="BH147" i="22"/>
  <c r="BG147" i="22"/>
  <c r="BB147" i="22"/>
  <c r="AM147" i="22"/>
  <c r="U147" i="22"/>
  <c r="R147" i="22"/>
  <c r="S147" i="22" s="1"/>
  <c r="V147" i="22" s="1"/>
  <c r="M147" i="22"/>
  <c r="BK146" i="22"/>
  <c r="BH146" i="22"/>
  <c r="BG146" i="22"/>
  <c r="BB146" i="22"/>
  <c r="BA146" i="22"/>
  <c r="AM146" i="22"/>
  <c r="U146" i="22"/>
  <c r="R146" i="22"/>
  <c r="S146" i="22" s="1"/>
  <c r="V146" i="22" s="1"/>
  <c r="M146" i="22"/>
  <c r="BK145" i="22"/>
  <c r="BH145" i="22"/>
  <c r="BG145" i="22"/>
  <c r="BB145" i="22"/>
  <c r="AM145" i="22"/>
  <c r="U145" i="22"/>
  <c r="R145" i="22"/>
  <c r="S145" i="22" s="1"/>
  <c r="V145" i="22" s="1"/>
  <c r="M145" i="22"/>
  <c r="BK144" i="22"/>
  <c r="BH144" i="22"/>
  <c r="BB144" i="22"/>
  <c r="AM144" i="22"/>
  <c r="U144" i="22"/>
  <c r="R144" i="22"/>
  <c r="S144" i="22" s="1"/>
  <c r="V144" i="22" s="1"/>
  <c r="M144" i="22"/>
  <c r="BK143" i="22"/>
  <c r="BH143" i="22"/>
  <c r="BG143" i="22"/>
  <c r="BB143" i="22"/>
  <c r="AM143" i="22"/>
  <c r="U143" i="22"/>
  <c r="R143" i="22"/>
  <c r="S143" i="22" s="1"/>
  <c r="V143" i="22" s="1"/>
  <c r="M143" i="22"/>
  <c r="BK142" i="22"/>
  <c r="BH142" i="22"/>
  <c r="BG142" i="22"/>
  <c r="BB142" i="22"/>
  <c r="AM142" i="22"/>
  <c r="U142" i="22"/>
  <c r="R142" i="22"/>
  <c r="S142" i="22" s="1"/>
  <c r="V142" i="22" s="1"/>
  <c r="M142" i="22"/>
  <c r="BK141" i="22"/>
  <c r="BH141" i="22"/>
  <c r="BG141" i="22"/>
  <c r="BB141" i="22"/>
  <c r="AM141" i="22"/>
  <c r="U141" i="22"/>
  <c r="R141" i="22"/>
  <c r="S141" i="22" s="1"/>
  <c r="V141" i="22" s="1"/>
  <c r="M141" i="22"/>
  <c r="BK140" i="22"/>
  <c r="BH140" i="22"/>
  <c r="BG140" i="22"/>
  <c r="BB140" i="22"/>
  <c r="AM140" i="22"/>
  <c r="U140" i="22"/>
  <c r="R140" i="22"/>
  <c r="S140" i="22" s="1"/>
  <c r="V140" i="22" s="1"/>
  <c r="M140" i="22"/>
  <c r="BK139" i="22"/>
  <c r="BH139" i="22"/>
  <c r="BG139" i="22"/>
  <c r="BB139" i="22"/>
  <c r="AM139" i="22"/>
  <c r="U139" i="22"/>
  <c r="R139" i="22"/>
  <c r="S139" i="22" s="1"/>
  <c r="V139" i="22" s="1"/>
  <c r="M139" i="22"/>
  <c r="BK138" i="22"/>
  <c r="BH138" i="22"/>
  <c r="BG138" i="22"/>
  <c r="BB138" i="22"/>
  <c r="AM138" i="22"/>
  <c r="U138" i="22"/>
  <c r="R138" i="22"/>
  <c r="S138" i="22" s="1"/>
  <c r="V138" i="22" s="1"/>
  <c r="M138" i="22"/>
  <c r="BK137" i="22"/>
  <c r="BH137" i="22"/>
  <c r="BG137" i="22"/>
  <c r="BB137" i="22"/>
  <c r="AM137" i="22"/>
  <c r="U137" i="22"/>
  <c r="R137" i="22"/>
  <c r="S137" i="22" s="1"/>
  <c r="V137" i="22" s="1"/>
  <c r="M137" i="22"/>
  <c r="BK136" i="22"/>
  <c r="BH136" i="22"/>
  <c r="BG136" i="22"/>
  <c r="BB136" i="22"/>
  <c r="AM136" i="22"/>
  <c r="U136" i="22"/>
  <c r="R136" i="22"/>
  <c r="S136" i="22" s="1"/>
  <c r="V136" i="22" s="1"/>
  <c r="M136" i="22"/>
  <c r="BK135" i="22"/>
  <c r="BH135" i="22"/>
  <c r="BG135" i="22"/>
  <c r="BB135" i="22"/>
  <c r="AM135" i="22"/>
  <c r="U135" i="22"/>
  <c r="R135" i="22"/>
  <c r="S135" i="22" s="1"/>
  <c r="V135" i="22" s="1"/>
  <c r="M135" i="22"/>
  <c r="BK134" i="22"/>
  <c r="BH134" i="22"/>
  <c r="BG134" i="22"/>
  <c r="BB134" i="22"/>
  <c r="AM134" i="22"/>
  <c r="U134" i="22"/>
  <c r="R134" i="22"/>
  <c r="S134" i="22" s="1"/>
  <c r="V134" i="22" s="1"/>
  <c r="M134" i="22"/>
  <c r="BK133" i="22"/>
  <c r="BH133" i="22"/>
  <c r="BG133" i="22"/>
  <c r="BB133" i="22"/>
  <c r="AM133" i="22"/>
  <c r="U133" i="22"/>
  <c r="R133" i="22"/>
  <c r="S133" i="22" s="1"/>
  <c r="V133" i="22" s="1"/>
  <c r="M133" i="22"/>
  <c r="BK132" i="22"/>
  <c r="BH132" i="22"/>
  <c r="BB132" i="22"/>
  <c r="AM132" i="22"/>
  <c r="S132" i="22"/>
  <c r="V132" i="22" s="1"/>
  <c r="M132" i="22"/>
  <c r="BK131" i="22"/>
  <c r="BH131" i="22"/>
  <c r="BG131" i="22"/>
  <c r="BB131" i="22"/>
  <c r="AM131" i="22"/>
  <c r="U131" i="22"/>
  <c r="R131" i="22"/>
  <c r="S131" i="22" s="1"/>
  <c r="V131" i="22" s="1"/>
  <c r="M131" i="22"/>
  <c r="BK130" i="22"/>
  <c r="BH130" i="22"/>
  <c r="BG130" i="22"/>
  <c r="BB130" i="22"/>
  <c r="AM130" i="22"/>
  <c r="R130" i="22"/>
  <c r="S130" i="22" s="1"/>
  <c r="V130" i="22" s="1"/>
  <c r="M130" i="22"/>
  <c r="BK129" i="22"/>
  <c r="BH129" i="22"/>
  <c r="BG129" i="22"/>
  <c r="BB129" i="22"/>
  <c r="AM129" i="22"/>
  <c r="U129" i="22"/>
  <c r="V129" i="22"/>
  <c r="M129" i="22"/>
  <c r="BK128" i="22"/>
  <c r="BH128" i="22"/>
  <c r="BG128" i="22"/>
  <c r="BB128" i="22"/>
  <c r="BA128" i="22"/>
  <c r="AM128" i="22"/>
  <c r="U128" i="22"/>
  <c r="R128" i="22"/>
  <c r="S128" i="22" s="1"/>
  <c r="V128" i="22" s="1"/>
  <c r="M128" i="22"/>
  <c r="BK127" i="22"/>
  <c r="BH127" i="22"/>
  <c r="BG127" i="22"/>
  <c r="BB127" i="22"/>
  <c r="AM127" i="22"/>
  <c r="U127" i="22"/>
  <c r="R127" i="22"/>
  <c r="S127" i="22" s="1"/>
  <c r="V127" i="22" s="1"/>
  <c r="M127" i="22"/>
  <c r="BN126" i="22"/>
  <c r="BM126" i="22"/>
  <c r="BK126" i="22"/>
  <c r="BH126" i="22"/>
  <c r="BG126" i="22"/>
  <c r="BB126" i="22"/>
  <c r="AM126" i="22"/>
  <c r="U126" i="22"/>
  <c r="R126" i="22"/>
  <c r="S126" i="22" s="1"/>
  <c r="V126" i="22" s="1"/>
  <c r="M126" i="22"/>
  <c r="BN125" i="22"/>
  <c r="BM125" i="22"/>
  <c r="BK125" i="22"/>
  <c r="BH125" i="22"/>
  <c r="BG125" i="22"/>
  <c r="BB125" i="22"/>
  <c r="BA125" i="22"/>
  <c r="AM125" i="22"/>
  <c r="U125" i="22"/>
  <c r="R125" i="22"/>
  <c r="S125" i="22" s="1"/>
  <c r="V125" i="22" s="1"/>
  <c r="M125" i="22"/>
  <c r="BN124" i="22"/>
  <c r="BM124" i="22"/>
  <c r="BK124" i="22"/>
  <c r="BH124" i="22"/>
  <c r="BG124" i="22"/>
  <c r="BB124" i="22"/>
  <c r="AM124" i="22"/>
  <c r="U124" i="22"/>
  <c r="R124" i="22"/>
  <c r="S124" i="22" s="1"/>
  <c r="V124" i="22" s="1"/>
  <c r="M124" i="22"/>
  <c r="BK123" i="22"/>
  <c r="BH123" i="22"/>
  <c r="BG123" i="22"/>
  <c r="BB123" i="22"/>
  <c r="AM123" i="22"/>
  <c r="U123" i="22"/>
  <c r="R123" i="22"/>
  <c r="S123" i="22" s="1"/>
  <c r="V123" i="22" s="1"/>
  <c r="M123" i="22"/>
  <c r="BK122" i="22"/>
  <c r="BH122" i="22"/>
  <c r="BG122" i="22"/>
  <c r="BB122" i="22"/>
  <c r="BA122" i="22"/>
  <c r="AM122" i="22"/>
  <c r="U122" i="22"/>
  <c r="R122" i="22"/>
  <c r="S122" i="22" s="1"/>
  <c r="V122" i="22" s="1"/>
  <c r="M122" i="22"/>
  <c r="BK121" i="22"/>
  <c r="BH121" i="22"/>
  <c r="BG121" i="22"/>
  <c r="BB121" i="22"/>
  <c r="BA121" i="22"/>
  <c r="AM121" i="22"/>
  <c r="U121" i="22"/>
  <c r="R121" i="22"/>
  <c r="S121" i="22" s="1"/>
  <c r="V121" i="22" s="1"/>
  <c r="M121" i="22"/>
  <c r="BK120" i="22"/>
  <c r="BI120" i="22"/>
  <c r="BH120" i="22"/>
  <c r="BG120" i="22"/>
  <c r="BB120" i="22"/>
  <c r="AM120" i="22"/>
  <c r="U120" i="22"/>
  <c r="R120" i="22"/>
  <c r="S120" i="22" s="1"/>
  <c r="V120" i="22" s="1"/>
  <c r="M120" i="22"/>
  <c r="BK119" i="22"/>
  <c r="BI119" i="22"/>
  <c r="BH119" i="22"/>
  <c r="BG119" i="22"/>
  <c r="BB119" i="22"/>
  <c r="AM119" i="22"/>
  <c r="U119" i="22"/>
  <c r="R119" i="22"/>
  <c r="S119" i="22" s="1"/>
  <c r="V119" i="22" s="1"/>
  <c r="M119" i="22"/>
  <c r="BN118" i="22"/>
  <c r="BM118" i="22"/>
  <c r="BK118" i="22"/>
  <c r="BH118" i="22"/>
  <c r="BG118" i="22"/>
  <c r="BB118" i="22"/>
  <c r="AM118" i="22"/>
  <c r="U118" i="22"/>
  <c r="R118" i="22"/>
  <c r="S118" i="22" s="1"/>
  <c r="V118" i="22" s="1"/>
  <c r="M118" i="22"/>
  <c r="BK117" i="22"/>
  <c r="BH117" i="22"/>
  <c r="BG117" i="22"/>
  <c r="BB117" i="22"/>
  <c r="BA117" i="22"/>
  <c r="AM117" i="22"/>
  <c r="U117" i="22"/>
  <c r="R117" i="22"/>
  <c r="S117" i="22" s="1"/>
  <c r="V117" i="22" s="1"/>
  <c r="M117" i="22"/>
  <c r="BK116" i="22"/>
  <c r="BH116" i="22"/>
  <c r="BG116" i="22"/>
  <c r="BB116" i="22"/>
  <c r="AM116" i="22"/>
  <c r="U116" i="22"/>
  <c r="R116" i="22"/>
  <c r="S116" i="22" s="1"/>
  <c r="V116" i="22" s="1"/>
  <c r="M116" i="22"/>
  <c r="BK115" i="22"/>
  <c r="BH115" i="22"/>
  <c r="BG115" i="22"/>
  <c r="BB115" i="22"/>
  <c r="BA115" i="22"/>
  <c r="AM115" i="22"/>
  <c r="U115" i="22"/>
  <c r="R115" i="22"/>
  <c r="S115" i="22" s="1"/>
  <c r="V115" i="22" s="1"/>
  <c r="M115" i="22"/>
  <c r="BK114" i="22"/>
  <c r="BH114" i="22"/>
  <c r="BG114" i="22"/>
  <c r="BB114" i="22"/>
  <c r="AM114" i="22"/>
  <c r="U114" i="22"/>
  <c r="R114" i="22"/>
  <c r="S114" i="22" s="1"/>
  <c r="V114" i="22" s="1"/>
  <c r="M114" i="22"/>
  <c r="BK113" i="22"/>
  <c r="BH113" i="22"/>
  <c r="BG113" i="22"/>
  <c r="BB113" i="22"/>
  <c r="AM113" i="22"/>
  <c r="U113" i="22"/>
  <c r="R113" i="22"/>
  <c r="S113" i="22" s="1"/>
  <c r="V113" i="22" s="1"/>
  <c r="M113" i="22"/>
  <c r="BK112" i="22"/>
  <c r="BH112" i="22"/>
  <c r="BG112" i="22"/>
  <c r="BB112" i="22"/>
  <c r="AM112" i="22"/>
  <c r="U112" i="22"/>
  <c r="R112" i="22"/>
  <c r="S112" i="22" s="1"/>
  <c r="V112" i="22" s="1"/>
  <c r="M112" i="22"/>
  <c r="BK111" i="22"/>
  <c r="BH111" i="22"/>
  <c r="BG111" i="22"/>
  <c r="BB111" i="22"/>
  <c r="AM111" i="22"/>
  <c r="U111" i="22"/>
  <c r="R111" i="22"/>
  <c r="S111" i="22" s="1"/>
  <c r="V111" i="22" s="1"/>
  <c r="M111" i="22"/>
  <c r="BK110" i="22"/>
  <c r="BH110" i="22"/>
  <c r="BG110" i="22"/>
  <c r="BB110" i="22"/>
  <c r="AO110" i="22"/>
  <c r="AO127" i="22" s="1"/>
  <c r="AM110" i="22"/>
  <c r="U110" i="22"/>
  <c r="R110" i="22"/>
  <c r="S110" i="22" s="1"/>
  <c r="V110" i="22" s="1"/>
  <c r="M110" i="22"/>
  <c r="BK109" i="22"/>
  <c r="BH109" i="22"/>
  <c r="BB109" i="22"/>
  <c r="AM109" i="22"/>
  <c r="U109" i="22"/>
  <c r="R109" i="22"/>
  <c r="S109" i="22" s="1"/>
  <c r="V109" i="22" s="1"/>
  <c r="M109" i="22"/>
  <c r="BN108" i="22"/>
  <c r="BM108" i="22"/>
  <c r="BK108" i="22"/>
  <c r="BH108" i="22"/>
  <c r="BG108" i="22"/>
  <c r="BB108" i="22"/>
  <c r="AM108" i="22"/>
  <c r="U108" i="22"/>
  <c r="R108" i="22"/>
  <c r="S108" i="22" s="1"/>
  <c r="V108" i="22" s="1"/>
  <c r="M108" i="22"/>
  <c r="BK107" i="22"/>
  <c r="BH107" i="22"/>
  <c r="BB107" i="22"/>
  <c r="BA107" i="22"/>
  <c r="AM107" i="22"/>
  <c r="U107" i="22"/>
  <c r="R107" i="22"/>
  <c r="S107" i="22" s="1"/>
  <c r="V107" i="22" s="1"/>
  <c r="M107" i="22"/>
  <c r="BK106" i="22"/>
  <c r="BH106" i="22"/>
  <c r="BB106" i="22"/>
  <c r="BA106" i="22"/>
  <c r="AM106" i="22"/>
  <c r="U106" i="22"/>
  <c r="R106" i="22"/>
  <c r="S106" i="22" s="1"/>
  <c r="V106" i="22" s="1"/>
  <c r="M106" i="22"/>
  <c r="BK105" i="22"/>
  <c r="BH105" i="22"/>
  <c r="BG105" i="22"/>
  <c r="BA105" i="22"/>
  <c r="AM105" i="22"/>
  <c r="U105" i="22"/>
  <c r="R105" i="22"/>
  <c r="S105" i="22" s="1"/>
  <c r="V105" i="22" s="1"/>
  <c r="M105" i="22"/>
  <c r="BK104" i="22"/>
  <c r="BH104" i="22"/>
  <c r="BG104" i="22"/>
  <c r="BB104" i="22"/>
  <c r="AM104" i="22"/>
  <c r="U104" i="22"/>
  <c r="R104" i="22"/>
  <c r="S104" i="22" s="1"/>
  <c r="V104" i="22" s="1"/>
  <c r="M104" i="22"/>
  <c r="BK103" i="22"/>
  <c r="BH103" i="22"/>
  <c r="U103" i="22"/>
  <c r="R103" i="22"/>
  <c r="S103" i="22" s="1"/>
  <c r="V103" i="22" s="1"/>
  <c r="M103" i="22"/>
  <c r="BK102" i="22"/>
  <c r="BH102" i="22"/>
  <c r="BG102" i="22"/>
  <c r="BB102" i="22"/>
  <c r="BA102" i="22"/>
  <c r="AM102" i="22"/>
  <c r="U102" i="22"/>
  <c r="R102" i="22"/>
  <c r="S102" i="22" s="1"/>
  <c r="V102" i="22" s="1"/>
  <c r="M102" i="22"/>
  <c r="BK101" i="22"/>
  <c r="BH101" i="22"/>
  <c r="BB101" i="22"/>
  <c r="BA101" i="22"/>
  <c r="AM101" i="22"/>
  <c r="U101" i="22"/>
  <c r="R101" i="22"/>
  <c r="S101" i="22" s="1"/>
  <c r="V101" i="22" s="1"/>
  <c r="M101" i="22"/>
  <c r="BK100" i="22"/>
  <c r="BH100" i="22"/>
  <c r="BG100" i="22"/>
  <c r="BB100" i="22"/>
  <c r="AM100" i="22"/>
  <c r="U100" i="22"/>
  <c r="R100" i="22"/>
  <c r="S100" i="22" s="1"/>
  <c r="V100" i="22" s="1"/>
  <c r="M100" i="22"/>
  <c r="BM99" i="22"/>
  <c r="BK99" i="22"/>
  <c r="BH99" i="22"/>
  <c r="BG99" i="22"/>
  <c r="BB99" i="22"/>
  <c r="AM99" i="22"/>
  <c r="U99" i="22"/>
  <c r="R99" i="22"/>
  <c r="S99" i="22" s="1"/>
  <c r="V99" i="22" s="1"/>
  <c r="M99" i="22"/>
  <c r="BK98" i="22"/>
  <c r="BH98" i="22"/>
  <c r="BB98" i="22"/>
  <c r="AM98" i="22"/>
  <c r="U98" i="22"/>
  <c r="R98" i="22"/>
  <c r="S98" i="22" s="1"/>
  <c r="V98" i="22" s="1"/>
  <c r="M98" i="22"/>
  <c r="BK97" i="22"/>
  <c r="BH97" i="22"/>
  <c r="BG97" i="22"/>
  <c r="BB97" i="22"/>
  <c r="AM97" i="22"/>
  <c r="U97" i="22"/>
  <c r="R97" i="22"/>
  <c r="S97" i="22" s="1"/>
  <c r="V97" i="22" s="1"/>
  <c r="M97" i="22"/>
  <c r="BK96" i="22"/>
  <c r="BH96" i="22"/>
  <c r="BB96" i="22"/>
  <c r="AM96" i="22"/>
  <c r="U96" i="22"/>
  <c r="R96" i="22"/>
  <c r="S96" i="22" s="1"/>
  <c r="V96" i="22" s="1"/>
  <c r="M96" i="22"/>
  <c r="BK95" i="22"/>
  <c r="BH95" i="22"/>
  <c r="BG95" i="22"/>
  <c r="BB95" i="22"/>
  <c r="AM95" i="22"/>
  <c r="U95" i="22"/>
  <c r="R95" i="22"/>
  <c r="S95" i="22" s="1"/>
  <c r="V95" i="22" s="1"/>
  <c r="M95" i="22"/>
  <c r="BK94" i="22"/>
  <c r="BI94" i="22"/>
  <c r="BH94" i="22"/>
  <c r="BG94" i="22"/>
  <c r="BB94" i="22"/>
  <c r="BA94" i="22"/>
  <c r="AM94" i="22"/>
  <c r="U94" i="22"/>
  <c r="R94" i="22"/>
  <c r="S94" i="22" s="1"/>
  <c r="V94" i="22" s="1"/>
  <c r="M94" i="22"/>
  <c r="BK93" i="22"/>
  <c r="BH93" i="22"/>
  <c r="BB93" i="22"/>
  <c r="AM93" i="22"/>
  <c r="U93" i="22"/>
  <c r="R93" i="22"/>
  <c r="S93" i="22" s="1"/>
  <c r="V93" i="22" s="1"/>
  <c r="M93" i="22"/>
  <c r="BK92" i="22"/>
  <c r="BH92" i="22"/>
  <c r="BB92" i="22"/>
  <c r="U92" i="22"/>
  <c r="R92" i="22"/>
  <c r="S92" i="22" s="1"/>
  <c r="V92" i="22" s="1"/>
  <c r="M92" i="22"/>
  <c r="BK91" i="22"/>
  <c r="BH91" i="22"/>
  <c r="BB91" i="22"/>
  <c r="BA91" i="22"/>
  <c r="AM91" i="22"/>
  <c r="U91" i="22"/>
  <c r="R91" i="22"/>
  <c r="S91" i="22" s="1"/>
  <c r="V91" i="22" s="1"/>
  <c r="M91" i="22"/>
  <c r="BK90" i="22"/>
  <c r="BH90" i="22"/>
  <c r="BG90" i="22"/>
  <c r="BB90" i="22"/>
  <c r="AM90" i="22"/>
  <c r="U90" i="22"/>
  <c r="R90" i="22"/>
  <c r="S90" i="22" s="1"/>
  <c r="V90" i="22" s="1"/>
  <c r="M90" i="22"/>
  <c r="BK89" i="22"/>
  <c r="BI89" i="22"/>
  <c r="BH89" i="22"/>
  <c r="BG89" i="22"/>
  <c r="BB89" i="22"/>
  <c r="AM89" i="22"/>
  <c r="U89" i="22"/>
  <c r="R89" i="22"/>
  <c r="S89" i="22" s="1"/>
  <c r="V89" i="22" s="1"/>
  <c r="M89" i="22"/>
  <c r="BK88" i="22"/>
  <c r="BH88" i="22"/>
  <c r="BG88" i="22"/>
  <c r="BB88" i="22"/>
  <c r="AM88" i="22"/>
  <c r="U88" i="22"/>
  <c r="R88" i="22"/>
  <c r="S88" i="22" s="1"/>
  <c r="V88" i="22" s="1"/>
  <c r="M88" i="22"/>
  <c r="BK87" i="22"/>
  <c r="BH87" i="22"/>
  <c r="BB87" i="22"/>
  <c r="AM87" i="22"/>
  <c r="U87" i="22"/>
  <c r="R87" i="22"/>
  <c r="S87" i="22" s="1"/>
  <c r="V87" i="22" s="1"/>
  <c r="M87" i="22"/>
  <c r="BK86" i="22"/>
  <c r="BH86" i="22"/>
  <c r="BG86" i="22"/>
  <c r="BB86" i="22"/>
  <c r="AM86" i="22"/>
  <c r="U86" i="22"/>
  <c r="R86" i="22"/>
  <c r="S86" i="22" s="1"/>
  <c r="V86" i="22" s="1"/>
  <c r="M86" i="22"/>
  <c r="BK85" i="22"/>
  <c r="BH85" i="22"/>
  <c r="BG85" i="22"/>
  <c r="BB85" i="22"/>
  <c r="AM85" i="22"/>
  <c r="S85" i="22"/>
  <c r="V85" i="22" s="1"/>
  <c r="M85" i="22"/>
  <c r="BK84" i="22"/>
  <c r="BH84" i="22"/>
  <c r="BB84" i="22"/>
  <c r="AM84" i="22"/>
  <c r="U84" i="22"/>
  <c r="R84" i="22"/>
  <c r="S84" i="22" s="1"/>
  <c r="V84" i="22" s="1"/>
  <c r="M84" i="22"/>
  <c r="BK83" i="22"/>
  <c r="BH83" i="22"/>
  <c r="BG83" i="22"/>
  <c r="BB83" i="22"/>
  <c r="AM83" i="22"/>
  <c r="U83" i="22"/>
  <c r="R83" i="22"/>
  <c r="S83" i="22" s="1"/>
  <c r="V83" i="22" s="1"/>
  <c r="M83" i="22"/>
  <c r="BK82" i="22"/>
  <c r="BH82" i="22"/>
  <c r="BB82" i="22"/>
  <c r="AM82" i="22"/>
  <c r="U82" i="22"/>
  <c r="R82" i="22"/>
  <c r="S82" i="22" s="1"/>
  <c r="V82" i="22" s="1"/>
  <c r="M82" i="22"/>
  <c r="BK81" i="22"/>
  <c r="BH81" i="22"/>
  <c r="BB81" i="22"/>
  <c r="AM81" i="22"/>
  <c r="U81" i="22"/>
  <c r="R81" i="22"/>
  <c r="S81" i="22" s="1"/>
  <c r="V81" i="22" s="1"/>
  <c r="M81" i="22"/>
  <c r="BK80" i="22"/>
  <c r="BH80" i="22"/>
  <c r="BB80" i="22"/>
  <c r="BA80" i="22"/>
  <c r="AM80" i="22"/>
  <c r="U80" i="22"/>
  <c r="R80" i="22"/>
  <c r="S80" i="22" s="1"/>
  <c r="V80" i="22" s="1"/>
  <c r="M80" i="22"/>
  <c r="BK79" i="22"/>
  <c r="BH79" i="22"/>
  <c r="BG79" i="22"/>
  <c r="BB79" i="22"/>
  <c r="BA79" i="22"/>
  <c r="AM79" i="22"/>
  <c r="U79" i="22"/>
  <c r="R79" i="22"/>
  <c r="S79" i="22" s="1"/>
  <c r="V79" i="22" s="1"/>
  <c r="M79" i="22"/>
  <c r="BK78" i="22"/>
  <c r="BI78" i="22"/>
  <c r="BH78" i="22"/>
  <c r="BB78" i="22"/>
  <c r="AM78" i="22"/>
  <c r="U78" i="22"/>
  <c r="R78" i="22"/>
  <c r="S78" i="22" s="1"/>
  <c r="V78" i="22" s="1"/>
  <c r="M78" i="22"/>
  <c r="BK77" i="22"/>
  <c r="BH77" i="22"/>
  <c r="BB77" i="22"/>
  <c r="AM77" i="22"/>
  <c r="U77" i="22"/>
  <c r="R77" i="22"/>
  <c r="S77" i="22" s="1"/>
  <c r="V77" i="22" s="1"/>
  <c r="M77" i="22"/>
  <c r="BK76" i="22"/>
  <c r="BI76" i="22"/>
  <c r="BH76" i="22"/>
  <c r="BB76" i="22"/>
  <c r="AM76" i="22"/>
  <c r="U76" i="22"/>
  <c r="R76" i="22"/>
  <c r="S76" i="22" s="1"/>
  <c r="V76" i="22" s="1"/>
  <c r="M76" i="22"/>
  <c r="BK75" i="22"/>
  <c r="BI75" i="22"/>
  <c r="BH75" i="22"/>
  <c r="BG75" i="22"/>
  <c r="BB75" i="22"/>
  <c r="AM75" i="22"/>
  <c r="U75" i="22"/>
  <c r="R75" i="22"/>
  <c r="S75" i="22" s="1"/>
  <c r="V75" i="22" s="1"/>
  <c r="M75" i="22"/>
  <c r="BK74" i="22"/>
  <c r="BH74" i="22"/>
  <c r="BG74" i="22"/>
  <c r="BB74" i="22"/>
  <c r="AM74" i="22"/>
  <c r="U74" i="22"/>
  <c r="R74" i="22"/>
  <c r="S74" i="22" s="1"/>
  <c r="V74" i="22" s="1"/>
  <c r="M74" i="22"/>
  <c r="BK73" i="22"/>
  <c r="BI73" i="22"/>
  <c r="BH73" i="22"/>
  <c r="BG73" i="22"/>
  <c r="BB73" i="22"/>
  <c r="AM73" i="22"/>
  <c r="U73" i="22"/>
  <c r="R73" i="22"/>
  <c r="S73" i="22" s="1"/>
  <c r="V73" i="22" s="1"/>
  <c r="M73" i="22"/>
  <c r="BK72" i="22"/>
  <c r="BI72" i="22"/>
  <c r="BH72" i="22"/>
  <c r="BG72" i="22"/>
  <c r="BB72" i="22"/>
  <c r="AM72" i="22"/>
  <c r="U72" i="22"/>
  <c r="R72" i="22"/>
  <c r="S72" i="22" s="1"/>
  <c r="V72" i="22" s="1"/>
  <c r="M72" i="22"/>
  <c r="BK71" i="22"/>
  <c r="BH71" i="22"/>
  <c r="BG71" i="22"/>
  <c r="BB71" i="22"/>
  <c r="BA71" i="22"/>
  <c r="U71" i="22"/>
  <c r="R71" i="22"/>
  <c r="S71" i="22" s="1"/>
  <c r="V71" i="22" s="1"/>
  <c r="M71" i="22"/>
  <c r="BK70" i="22"/>
  <c r="BH70" i="22"/>
  <c r="BG70" i="22"/>
  <c r="BB70" i="22"/>
  <c r="AM70" i="22"/>
  <c r="S70" i="22"/>
  <c r="V70" i="22" s="1"/>
  <c r="M70" i="22"/>
  <c r="BK69" i="22"/>
  <c r="BH69" i="22"/>
  <c r="BB69" i="22"/>
  <c r="AM69" i="22"/>
  <c r="U69" i="22"/>
  <c r="R69" i="22"/>
  <c r="S69" i="22" s="1"/>
  <c r="V69" i="22" s="1"/>
  <c r="M69" i="22"/>
  <c r="BK68" i="22"/>
  <c r="BH68" i="22"/>
  <c r="BB68" i="22"/>
  <c r="BA68" i="22"/>
  <c r="AM68" i="22"/>
  <c r="AL68" i="22"/>
  <c r="U68" i="22"/>
  <c r="R68" i="22"/>
  <c r="S68" i="22" s="1"/>
  <c r="M68" i="22"/>
  <c r="BK67" i="22"/>
  <c r="BI67" i="22"/>
  <c r="BH67" i="22"/>
  <c r="BB67" i="22"/>
  <c r="AM67" i="22"/>
  <c r="U67" i="22"/>
  <c r="R67" i="22"/>
  <c r="S67" i="22" s="1"/>
  <c r="V67" i="22" s="1"/>
  <c r="M67" i="22"/>
  <c r="BK66" i="22"/>
  <c r="BH66" i="22"/>
  <c r="BB66" i="22"/>
  <c r="BA66" i="22"/>
  <c r="AM66" i="22"/>
  <c r="U66" i="22"/>
  <c r="S66" i="22"/>
  <c r="V66" i="22" s="1"/>
  <c r="M66" i="22"/>
  <c r="BK65" i="22"/>
  <c r="BH65" i="22"/>
  <c r="BB65" i="22"/>
  <c r="AM65" i="22"/>
  <c r="R65" i="22"/>
  <c r="S65" i="22" s="1"/>
  <c r="V65" i="22" s="1"/>
  <c r="M65" i="22"/>
  <c r="BK64" i="22"/>
  <c r="BH64" i="22"/>
  <c r="BB64" i="22"/>
  <c r="BA64" i="22"/>
  <c r="AM64" i="22"/>
  <c r="U64" i="22"/>
  <c r="R64" i="22"/>
  <c r="S64" i="22" s="1"/>
  <c r="V64" i="22" s="1"/>
  <c r="M64" i="22"/>
  <c r="BK63" i="22"/>
  <c r="BI63" i="22"/>
  <c r="BH63" i="22"/>
  <c r="AM63" i="22"/>
  <c r="U63" i="22"/>
  <c r="R63" i="22"/>
  <c r="S63" i="22" s="1"/>
  <c r="V63" i="22" s="1"/>
  <c r="M63" i="22"/>
  <c r="BK62" i="22"/>
  <c r="BI62" i="22"/>
  <c r="BH62" i="22"/>
  <c r="BA62" i="22"/>
  <c r="AM62" i="22"/>
  <c r="U62" i="22"/>
  <c r="R62" i="22"/>
  <c r="S62" i="22" s="1"/>
  <c r="V62" i="22" s="1"/>
  <c r="M62" i="22"/>
  <c r="BK61" i="22"/>
  <c r="BH61" i="22"/>
  <c r="BB61" i="22"/>
  <c r="BA61" i="22"/>
  <c r="AM61" i="22"/>
  <c r="U61" i="22"/>
  <c r="R61" i="22"/>
  <c r="S61" i="22" s="1"/>
  <c r="V61" i="22" s="1"/>
  <c r="M61" i="22"/>
  <c r="BK60" i="22"/>
  <c r="BH60" i="22"/>
  <c r="BB60" i="22"/>
  <c r="AM60" i="22"/>
  <c r="U60" i="22"/>
  <c r="R60" i="22"/>
  <c r="S60" i="22" s="1"/>
  <c r="V60" i="22" s="1"/>
  <c r="M60" i="22"/>
  <c r="BK59" i="22"/>
  <c r="BJ59" i="22"/>
  <c r="BH59" i="22"/>
  <c r="BB59" i="22"/>
  <c r="AM59" i="22"/>
  <c r="U59" i="22"/>
  <c r="R59" i="22"/>
  <c r="S59" i="22" s="1"/>
  <c r="V59" i="22" s="1"/>
  <c r="M59" i="22"/>
  <c r="BK58" i="22"/>
  <c r="BJ58" i="22"/>
  <c r="BH58" i="22"/>
  <c r="BB58" i="22"/>
  <c r="AM58" i="22"/>
  <c r="U58" i="22"/>
  <c r="R58" i="22"/>
  <c r="S58" i="22" s="1"/>
  <c r="V58" i="22" s="1"/>
  <c r="M58" i="22"/>
  <c r="BK57" i="22"/>
  <c r="BH57" i="22"/>
  <c r="BB57" i="22"/>
  <c r="AM57" i="22"/>
  <c r="U57" i="22"/>
  <c r="R57" i="22"/>
  <c r="S57" i="22" s="1"/>
  <c r="V57" i="22" s="1"/>
  <c r="M57" i="22"/>
  <c r="BK56" i="22"/>
  <c r="BH56" i="22"/>
  <c r="BB56" i="22"/>
  <c r="BA56" i="22"/>
  <c r="AM56" i="22"/>
  <c r="U56" i="22"/>
  <c r="R56" i="22"/>
  <c r="S56" i="22" s="1"/>
  <c r="V56" i="22" s="1"/>
  <c r="M56" i="22"/>
  <c r="BK55" i="22"/>
  <c r="BJ55" i="22"/>
  <c r="BH55" i="22"/>
  <c r="BB55" i="22"/>
  <c r="BA55" i="22"/>
  <c r="AM55" i="22"/>
  <c r="S55" i="22"/>
  <c r="V55" i="22" s="1"/>
  <c r="M55" i="22"/>
  <c r="BK54" i="22"/>
  <c r="BH54" i="22"/>
  <c r="BB54" i="22"/>
  <c r="AM54" i="22"/>
  <c r="U54" i="22"/>
  <c r="R54" i="22"/>
  <c r="S54" i="22" s="1"/>
  <c r="V54" i="22" s="1"/>
  <c r="M54" i="22"/>
  <c r="BK53" i="22"/>
  <c r="BH53" i="22"/>
  <c r="BB53" i="22"/>
  <c r="BA53" i="22"/>
  <c r="AM53" i="22"/>
  <c r="U53" i="22"/>
  <c r="R53" i="22"/>
  <c r="S53" i="22" s="1"/>
  <c r="V53" i="22" s="1"/>
  <c r="M53" i="22"/>
  <c r="BK52" i="22"/>
  <c r="BH52" i="22"/>
  <c r="BB52" i="22"/>
  <c r="AM52" i="22"/>
  <c r="U52" i="22"/>
  <c r="R52" i="22"/>
  <c r="S52" i="22" s="1"/>
  <c r="V52" i="22" s="1"/>
  <c r="M52" i="22"/>
  <c r="BK51" i="22"/>
  <c r="BH51" i="22"/>
  <c r="BB51" i="22"/>
  <c r="AM51" i="22"/>
  <c r="U51" i="22"/>
  <c r="R51" i="22"/>
  <c r="S51" i="22" s="1"/>
  <c r="V51" i="22" s="1"/>
  <c r="M51" i="22"/>
  <c r="BK50" i="22"/>
  <c r="BH50" i="22"/>
  <c r="BA50" i="22"/>
  <c r="AM50" i="22"/>
  <c r="U50" i="22"/>
  <c r="R50" i="22"/>
  <c r="S50" i="22" s="1"/>
  <c r="V50" i="22" s="1"/>
  <c r="M50" i="22"/>
  <c r="BK49" i="22"/>
  <c r="BH49" i="22"/>
  <c r="BB49" i="22"/>
  <c r="BA49" i="22"/>
  <c r="AM49" i="22"/>
  <c r="U49" i="22"/>
  <c r="R49" i="22"/>
  <c r="S49" i="22" s="1"/>
  <c r="V49" i="22" s="1"/>
  <c r="M49" i="22"/>
  <c r="BK48" i="22"/>
  <c r="BH48" i="22"/>
  <c r="BB48" i="22"/>
  <c r="AM48" i="22"/>
  <c r="U48" i="22"/>
  <c r="R48" i="22"/>
  <c r="S48" i="22" s="1"/>
  <c r="V48" i="22" s="1"/>
  <c r="M48" i="22"/>
  <c r="BK47" i="22"/>
  <c r="BH47" i="22"/>
  <c r="BB47" i="22"/>
  <c r="BA47" i="22"/>
  <c r="AM47" i="22"/>
  <c r="U47" i="22"/>
  <c r="R47" i="22"/>
  <c r="S47" i="22" s="1"/>
  <c r="V47" i="22" s="1"/>
  <c r="M47" i="22"/>
  <c r="BK46" i="22"/>
  <c r="BH46" i="22"/>
  <c r="BB46" i="22"/>
  <c r="BA46" i="22"/>
  <c r="AM46" i="22"/>
  <c r="U46" i="22"/>
  <c r="R46" i="22"/>
  <c r="S46" i="22" s="1"/>
  <c r="V46" i="22" s="1"/>
  <c r="M46" i="22"/>
  <c r="BK45" i="22"/>
  <c r="BH45" i="22"/>
  <c r="BB45" i="22"/>
  <c r="BA45" i="22"/>
  <c r="AM45" i="22"/>
  <c r="U45" i="22"/>
  <c r="S45" i="22"/>
  <c r="V45" i="22" s="1"/>
  <c r="M45" i="22"/>
  <c r="BK44" i="22"/>
  <c r="BH44" i="22"/>
  <c r="BB44" i="22"/>
  <c r="BA44" i="22"/>
  <c r="AM44" i="22"/>
  <c r="S44" i="22"/>
  <c r="V44" i="22" s="1"/>
  <c r="M44" i="22"/>
  <c r="BK43" i="22"/>
  <c r="BB43" i="22"/>
  <c r="BA43" i="22"/>
  <c r="AM43" i="22"/>
  <c r="U43" i="22"/>
  <c r="R43" i="22"/>
  <c r="S43" i="22" s="1"/>
  <c r="V43" i="22" s="1"/>
  <c r="M43" i="22"/>
  <c r="BK42" i="22"/>
  <c r="BH42" i="22"/>
  <c r="BB42" i="22"/>
  <c r="BA42" i="22"/>
  <c r="AM42" i="22"/>
  <c r="U42" i="22"/>
  <c r="R42" i="22"/>
  <c r="S42" i="22" s="1"/>
  <c r="V42" i="22" s="1"/>
  <c r="M42" i="22"/>
  <c r="BK41" i="22"/>
  <c r="BH41" i="22"/>
  <c r="BB41" i="22"/>
  <c r="BA41" i="22"/>
  <c r="AM41" i="22"/>
  <c r="U41" i="22"/>
  <c r="R41" i="22"/>
  <c r="S41" i="22" s="1"/>
  <c r="V41" i="22" s="1"/>
  <c r="M41" i="22"/>
  <c r="BK40" i="22"/>
  <c r="BJ40" i="22"/>
  <c r="BH40" i="22"/>
  <c r="BB40" i="22"/>
  <c r="U40" i="22"/>
  <c r="R40" i="22"/>
  <c r="S40" i="22" s="1"/>
  <c r="V40" i="22" s="1"/>
  <c r="M40" i="22"/>
  <c r="BK39" i="22"/>
  <c r="BH39" i="22"/>
  <c r="BB39" i="22"/>
  <c r="U39" i="22"/>
  <c r="R39" i="22"/>
  <c r="S39" i="22" s="1"/>
  <c r="V39" i="22" s="1"/>
  <c r="M39" i="22"/>
  <c r="BK38" i="22"/>
  <c r="BH38" i="22"/>
  <c r="BB38" i="22"/>
  <c r="BA38" i="22"/>
  <c r="AM38" i="22"/>
  <c r="AL38" i="22"/>
  <c r="AL158" i="22" s="1"/>
  <c r="U38" i="22"/>
  <c r="R38" i="22"/>
  <c r="S38" i="22" s="1"/>
  <c r="M38" i="22"/>
  <c r="BK37" i="22"/>
  <c r="BH37" i="22"/>
  <c r="BB37" i="22"/>
  <c r="U37" i="22"/>
  <c r="R37" i="22"/>
  <c r="S37" i="22" s="1"/>
  <c r="V37" i="22" s="1"/>
  <c r="M37" i="22"/>
  <c r="BK36" i="22"/>
  <c r="BJ36" i="22"/>
  <c r="BH36" i="22"/>
  <c r="BB36" i="22"/>
  <c r="BA36" i="22"/>
  <c r="AM36" i="22"/>
  <c r="U36" i="22"/>
  <c r="R36" i="22"/>
  <c r="S36" i="22" s="1"/>
  <c r="V36" i="22" s="1"/>
  <c r="M36" i="22"/>
  <c r="BK35" i="22"/>
  <c r="BH35" i="22"/>
  <c r="U35" i="22"/>
  <c r="R35" i="22"/>
  <c r="S35" i="22" s="1"/>
  <c r="V35" i="22" s="1"/>
  <c r="M35" i="22"/>
  <c r="BK34" i="22"/>
  <c r="BJ34" i="22"/>
  <c r="BH34" i="22"/>
  <c r="BB34" i="22"/>
  <c r="BA34" i="22"/>
  <c r="AM34" i="22"/>
  <c r="U34" i="22"/>
  <c r="R34" i="22"/>
  <c r="S34" i="22" s="1"/>
  <c r="V34" i="22" s="1"/>
  <c r="M34" i="22"/>
  <c r="BK33" i="22"/>
  <c r="BJ33" i="22"/>
  <c r="BH33" i="22"/>
  <c r="BB33" i="22"/>
  <c r="BA33" i="22"/>
  <c r="U33" i="22"/>
  <c r="R33" i="22"/>
  <c r="S33" i="22" s="1"/>
  <c r="V33" i="22" s="1"/>
  <c r="BK32" i="22"/>
  <c r="BH32" i="22"/>
  <c r="BB32" i="22"/>
  <c r="BA32" i="22"/>
  <c r="AM32" i="22"/>
  <c r="U32" i="22"/>
  <c r="R32" i="22"/>
  <c r="S32" i="22" s="1"/>
  <c r="V32" i="22" s="1"/>
  <c r="M32" i="22"/>
  <c r="BK31" i="22"/>
  <c r="BH31" i="22"/>
  <c r="BB31" i="22"/>
  <c r="BA31" i="22"/>
  <c r="AM31" i="22"/>
  <c r="U31" i="22"/>
  <c r="R31" i="22"/>
  <c r="S31" i="22" s="1"/>
  <c r="V31" i="22" s="1"/>
  <c r="M31" i="22"/>
  <c r="BK30" i="22"/>
  <c r="BJ30" i="22"/>
  <c r="BH30" i="22"/>
  <c r="BB30" i="22"/>
  <c r="BA30" i="22"/>
  <c r="AM30" i="22"/>
  <c r="U30" i="22"/>
  <c r="R30" i="22"/>
  <c r="S30" i="22" s="1"/>
  <c r="V30" i="22" s="1"/>
  <c r="M30" i="22"/>
  <c r="BK29" i="22"/>
  <c r="BJ29" i="22"/>
  <c r="BH29" i="22"/>
  <c r="BB29" i="22"/>
  <c r="BA29" i="22"/>
  <c r="AM29" i="22"/>
  <c r="AH29" i="22"/>
  <c r="U29" i="22"/>
  <c r="R29" i="22"/>
  <c r="S29" i="22" s="1"/>
  <c r="V29" i="22" s="1"/>
  <c r="M29" i="22"/>
  <c r="BK28" i="22"/>
  <c r="BH28" i="22"/>
  <c r="BB28" i="22"/>
  <c r="BA28" i="22"/>
  <c r="AM28" i="22"/>
  <c r="U28" i="22"/>
  <c r="R28" i="22"/>
  <c r="S28" i="22" s="1"/>
  <c r="V28" i="22" s="1"/>
  <c r="M28" i="22"/>
  <c r="BK27" i="22"/>
  <c r="BJ27" i="22"/>
  <c r="BH27" i="22"/>
  <c r="BB27" i="22"/>
  <c r="AM27" i="22"/>
  <c r="U27" i="22"/>
  <c r="R27" i="22"/>
  <c r="S27" i="22" s="1"/>
  <c r="V27" i="22" s="1"/>
  <c r="M27" i="22"/>
  <c r="BK26" i="22"/>
  <c r="BH26" i="22"/>
  <c r="BB26" i="22"/>
  <c r="BA26" i="22"/>
  <c r="AM26" i="22"/>
  <c r="U26" i="22"/>
  <c r="R26" i="22"/>
  <c r="S26" i="22" s="1"/>
  <c r="V26" i="22" s="1"/>
  <c r="M26" i="22"/>
  <c r="BK25" i="22"/>
  <c r="BJ25" i="22"/>
  <c r="BH25" i="22"/>
  <c r="BB25" i="22"/>
  <c r="BA25" i="22"/>
  <c r="AM25" i="22"/>
  <c r="U25" i="22"/>
  <c r="R25" i="22"/>
  <c r="S25" i="22" s="1"/>
  <c r="V25" i="22" s="1"/>
  <c r="M25" i="22"/>
  <c r="BK24" i="22"/>
  <c r="BH24" i="22"/>
  <c r="BA24" i="22"/>
  <c r="AM24" i="22"/>
  <c r="U24" i="22"/>
  <c r="R24" i="22"/>
  <c r="S24" i="22" s="1"/>
  <c r="V24" i="22" s="1"/>
  <c r="M24" i="22"/>
  <c r="BK23" i="22"/>
  <c r="BH23" i="22"/>
  <c r="BB23" i="22"/>
  <c r="AM23" i="22"/>
  <c r="U23" i="22"/>
  <c r="R23" i="22"/>
  <c r="S23" i="22" s="1"/>
  <c r="V23" i="22" s="1"/>
  <c r="M23" i="22"/>
  <c r="BK22" i="22"/>
  <c r="BH22" i="22"/>
  <c r="BB22" i="22"/>
  <c r="AM22" i="22"/>
  <c r="U22" i="22"/>
  <c r="R22" i="22"/>
  <c r="S22" i="22" s="1"/>
  <c r="V22" i="22" s="1"/>
  <c r="M22" i="22"/>
  <c r="BK21" i="22"/>
  <c r="BH21" i="22"/>
  <c r="BB21" i="22"/>
  <c r="AM21" i="22"/>
  <c r="U21" i="22"/>
  <c r="R21" i="22"/>
  <c r="S21" i="22" s="1"/>
  <c r="V21" i="22" s="1"/>
  <c r="M21" i="22"/>
  <c r="BK20" i="22"/>
  <c r="BH20" i="22"/>
  <c r="BB20" i="22"/>
  <c r="AM20" i="22"/>
  <c r="U20" i="22"/>
  <c r="R20" i="22"/>
  <c r="S20" i="22" s="1"/>
  <c r="V20" i="22" s="1"/>
  <c r="M20" i="22"/>
  <c r="BK19" i="22"/>
  <c r="BJ19" i="22"/>
  <c r="BH19" i="22"/>
  <c r="BB19" i="22"/>
  <c r="AM19" i="22"/>
  <c r="U19" i="22"/>
  <c r="R19" i="22"/>
  <c r="S19" i="22" s="1"/>
  <c r="V19" i="22" s="1"/>
  <c r="M19" i="22"/>
  <c r="BK18" i="22"/>
  <c r="BJ18" i="22"/>
  <c r="BH18" i="22"/>
  <c r="BB18" i="22"/>
  <c r="AM18" i="22"/>
  <c r="U18" i="22"/>
  <c r="R18" i="22"/>
  <c r="S18" i="22" s="1"/>
  <c r="V18" i="22" s="1"/>
  <c r="M18" i="22"/>
  <c r="BK17" i="22"/>
  <c r="BJ17" i="22"/>
  <c r="BH17" i="22"/>
  <c r="BB17" i="22"/>
  <c r="AM17" i="22"/>
  <c r="U17" i="22"/>
  <c r="R17" i="22"/>
  <c r="S17" i="22" s="1"/>
  <c r="V17" i="22" s="1"/>
  <c r="M17" i="22"/>
  <c r="BK16" i="22"/>
  <c r="BJ16" i="22"/>
  <c r="BH16" i="22"/>
  <c r="BB16" i="22"/>
  <c r="BA16" i="22"/>
  <c r="AM16" i="22"/>
  <c r="U16" i="22"/>
  <c r="R16" i="22"/>
  <c r="S16" i="22" s="1"/>
  <c r="V16" i="22" s="1"/>
  <c r="M16" i="22"/>
  <c r="BK15" i="22"/>
  <c r="BJ15" i="22"/>
  <c r="BH15" i="22"/>
  <c r="BB15" i="22"/>
  <c r="AM15" i="22"/>
  <c r="U15" i="22"/>
  <c r="R15" i="22"/>
  <c r="S15" i="22" s="1"/>
  <c r="V15" i="22" s="1"/>
  <c r="M15" i="22"/>
  <c r="BK14" i="22"/>
  <c r="BJ14" i="22"/>
  <c r="BH14" i="22"/>
  <c r="BB14" i="22"/>
  <c r="BA14" i="22"/>
  <c r="AM14" i="22"/>
  <c r="U14" i="22"/>
  <c r="R14" i="22"/>
  <c r="S14" i="22" s="1"/>
  <c r="V14" i="22" s="1"/>
  <c r="M14" i="22"/>
  <c r="BK13" i="22"/>
  <c r="BH13" i="22"/>
  <c r="BB13" i="22"/>
  <c r="AM13" i="22"/>
  <c r="U13" i="22"/>
  <c r="R13" i="22"/>
  <c r="S13" i="22" s="1"/>
  <c r="V13" i="22" s="1"/>
  <c r="M13" i="22"/>
  <c r="BK12" i="22"/>
  <c r="BH12" i="22"/>
  <c r="BB12" i="22"/>
  <c r="BA12" i="22"/>
  <c r="AM12" i="22"/>
  <c r="U12" i="22"/>
  <c r="R12" i="22"/>
  <c r="S12" i="22" s="1"/>
  <c r="V12" i="22" s="1"/>
  <c r="M12" i="22"/>
  <c r="BK11" i="22"/>
  <c r="BH11" i="22"/>
  <c r="BB11" i="22"/>
  <c r="AM11" i="22"/>
  <c r="U11" i="22"/>
  <c r="R11" i="22"/>
  <c r="S11" i="22" s="1"/>
  <c r="V11" i="22" s="1"/>
  <c r="M11" i="22"/>
  <c r="BK10" i="22"/>
  <c r="BH10" i="22"/>
  <c r="BB10" i="22"/>
  <c r="BA10" i="22"/>
  <c r="AM10" i="22"/>
  <c r="U10" i="22"/>
  <c r="R10" i="22"/>
  <c r="S10" i="22" s="1"/>
  <c r="V10" i="22" s="1"/>
  <c r="M10" i="22"/>
  <c r="BK9" i="22"/>
  <c r="BH9" i="22"/>
  <c r="BB9" i="22"/>
  <c r="U9" i="22"/>
  <c r="R9" i="22"/>
  <c r="S9" i="22" s="1"/>
  <c r="V9" i="22" s="1"/>
  <c r="M9" i="22"/>
  <c r="BK8" i="22"/>
  <c r="BJ8" i="22"/>
  <c r="BH8" i="22"/>
  <c r="BB8" i="22"/>
  <c r="BA8" i="22"/>
  <c r="AM8" i="22"/>
  <c r="U8" i="22"/>
  <c r="R8" i="22"/>
  <c r="S8" i="22" s="1"/>
  <c r="V8" i="22" s="1"/>
  <c r="M8" i="22"/>
  <c r="BK7" i="22"/>
  <c r="BJ7" i="22"/>
  <c r="BH7" i="22"/>
  <c r="BB7" i="22"/>
  <c r="BA7" i="22"/>
  <c r="AM7" i="22"/>
  <c r="U7" i="22"/>
  <c r="R7" i="22"/>
  <c r="S7" i="22" s="1"/>
  <c r="V7" i="22" s="1"/>
  <c r="M7" i="22"/>
  <c r="BK6" i="22"/>
  <c r="BH6" i="22"/>
  <c r="BB6" i="22"/>
  <c r="BA6" i="22"/>
  <c r="AM6" i="22"/>
  <c r="U6" i="22"/>
  <c r="R6" i="22"/>
  <c r="S6" i="22" s="1"/>
  <c r="V6" i="22" s="1"/>
  <c r="M6" i="22"/>
  <c r="BK5" i="22"/>
  <c r="BJ5" i="22"/>
  <c r="BH5" i="22"/>
  <c r="BB5" i="22"/>
  <c r="U5" i="22"/>
  <c r="R5" i="22"/>
  <c r="M5" i="22"/>
  <c r="AX195" i="20"/>
  <c r="BA193" i="20"/>
  <c r="AM193" i="20"/>
  <c r="U193" i="20"/>
  <c r="R193" i="20"/>
  <c r="S193" i="20" s="1"/>
  <c r="V193" i="20" s="1"/>
  <c r="BA192" i="20"/>
  <c r="AM192" i="20"/>
  <c r="U192" i="20"/>
  <c r="R192" i="20"/>
  <c r="S192" i="20" s="1"/>
  <c r="V192" i="20" s="1"/>
  <c r="BA191" i="20"/>
  <c r="AM191" i="20"/>
  <c r="U191" i="20"/>
  <c r="R191" i="20"/>
  <c r="S191" i="20" s="1"/>
  <c r="V191" i="20" s="1"/>
  <c r="BA190" i="20"/>
  <c r="AM190" i="20"/>
  <c r="U190" i="20"/>
  <c r="R190" i="20"/>
  <c r="S190" i="20" s="1"/>
  <c r="V190" i="20" s="1"/>
  <c r="BA189" i="20"/>
  <c r="AM189" i="20"/>
  <c r="U189" i="20"/>
  <c r="R189" i="20"/>
  <c r="S189" i="20" s="1"/>
  <c r="V189" i="20" s="1"/>
  <c r="BA188" i="20"/>
  <c r="AM188" i="20"/>
  <c r="U188" i="20"/>
  <c r="R188" i="20"/>
  <c r="S188" i="20" s="1"/>
  <c r="V188" i="20" s="1"/>
  <c r="BA187" i="20"/>
  <c r="AM187" i="20"/>
  <c r="U187" i="20"/>
  <c r="R187" i="20"/>
  <c r="S187" i="20" s="1"/>
  <c r="V187" i="20" s="1"/>
  <c r="BA186" i="20"/>
  <c r="AM186" i="20"/>
  <c r="S186" i="20"/>
  <c r="V186" i="20" s="1"/>
  <c r="BA185" i="20"/>
  <c r="AM185" i="20"/>
  <c r="S185" i="20"/>
  <c r="V185" i="20" s="1"/>
  <c r="BA184" i="20"/>
  <c r="AM184" i="20"/>
  <c r="U184" i="20"/>
  <c r="R184" i="20"/>
  <c r="S184" i="20" s="1"/>
  <c r="V184" i="20" s="1"/>
  <c r="BA183" i="20"/>
  <c r="AM183" i="20"/>
  <c r="U183" i="20"/>
  <c r="R183" i="20"/>
  <c r="S183" i="20" s="1"/>
  <c r="V183" i="20" s="1"/>
  <c r="BA182" i="20"/>
  <c r="AM182" i="20"/>
  <c r="U182" i="20"/>
  <c r="R182" i="20"/>
  <c r="S182" i="20" s="1"/>
  <c r="V182" i="20" s="1"/>
  <c r="BA181" i="20"/>
  <c r="AM181" i="20"/>
  <c r="U181" i="20"/>
  <c r="R181" i="20"/>
  <c r="S181" i="20" s="1"/>
  <c r="V181" i="20" s="1"/>
  <c r="BA180" i="20"/>
  <c r="AM180" i="20"/>
  <c r="U180" i="20"/>
  <c r="R180" i="20"/>
  <c r="S180" i="20" s="1"/>
  <c r="V180" i="20" s="1"/>
  <c r="BA179" i="20"/>
  <c r="AM179" i="20"/>
  <c r="U179" i="20"/>
  <c r="R179" i="20"/>
  <c r="S179" i="20" s="1"/>
  <c r="V179" i="20" s="1"/>
  <c r="BA178" i="20"/>
  <c r="AM178" i="20"/>
  <c r="U178" i="20"/>
  <c r="R178" i="20"/>
  <c r="S178" i="20" s="1"/>
  <c r="V178" i="20" s="1"/>
  <c r="BA177" i="20"/>
  <c r="AM177" i="20"/>
  <c r="U177" i="20"/>
  <c r="R177" i="20"/>
  <c r="S177" i="20" s="1"/>
  <c r="V177" i="20" s="1"/>
  <c r="BA176" i="20"/>
  <c r="AM176" i="20"/>
  <c r="U176" i="20"/>
  <c r="R176" i="20"/>
  <c r="S176" i="20" s="1"/>
  <c r="V176" i="20" s="1"/>
  <c r="BA175" i="20"/>
  <c r="AM175" i="20"/>
  <c r="U175" i="20"/>
  <c r="R175" i="20"/>
  <c r="S175" i="20" s="1"/>
  <c r="V175" i="20" s="1"/>
  <c r="BA174" i="20"/>
  <c r="AM174" i="20"/>
  <c r="U174" i="20"/>
  <c r="R174" i="20"/>
  <c r="S174" i="20" s="1"/>
  <c r="V174" i="20" s="1"/>
  <c r="BA173" i="20"/>
  <c r="AM173" i="20"/>
  <c r="U173" i="20"/>
  <c r="R173" i="20"/>
  <c r="S173" i="20" s="1"/>
  <c r="V173" i="20" s="1"/>
  <c r="BA172" i="20"/>
  <c r="AM172" i="20"/>
  <c r="U172" i="20"/>
  <c r="S172" i="20"/>
  <c r="V172" i="20" s="1"/>
  <c r="BA171" i="20"/>
  <c r="AM171" i="20"/>
  <c r="U171" i="20"/>
  <c r="R171" i="20"/>
  <c r="S171" i="20" s="1"/>
  <c r="V171" i="20" s="1"/>
  <c r="BA170" i="20"/>
  <c r="AM170" i="20"/>
  <c r="U170" i="20"/>
  <c r="R170" i="20"/>
  <c r="S170" i="20" s="1"/>
  <c r="V170" i="20" s="1"/>
  <c r="BA169" i="20"/>
  <c r="AM169" i="20"/>
  <c r="U169" i="20"/>
  <c r="R169" i="20"/>
  <c r="S169" i="20" s="1"/>
  <c r="V169" i="20" s="1"/>
  <c r="BA168" i="20"/>
  <c r="AM168" i="20"/>
  <c r="U168" i="20"/>
  <c r="R168" i="20"/>
  <c r="S168" i="20" s="1"/>
  <c r="V168" i="20" s="1"/>
  <c r="BA167" i="20"/>
  <c r="AM167" i="20"/>
  <c r="U167" i="20"/>
  <c r="R167" i="20"/>
  <c r="S167" i="20" s="1"/>
  <c r="V167" i="20" s="1"/>
  <c r="BA166" i="20"/>
  <c r="AM166" i="20"/>
  <c r="AL166" i="20"/>
  <c r="U166" i="20"/>
  <c r="R166" i="20"/>
  <c r="S166" i="20" s="1"/>
  <c r="BA165" i="20"/>
  <c r="AM165" i="20"/>
  <c r="U165" i="20"/>
  <c r="R165" i="20"/>
  <c r="S165" i="20" s="1"/>
  <c r="V165" i="20" s="1"/>
  <c r="BA164" i="20"/>
  <c r="AM164" i="20"/>
  <c r="U164" i="20"/>
  <c r="R164" i="20"/>
  <c r="S164" i="20" s="1"/>
  <c r="V164" i="20" s="1"/>
  <c r="BA163" i="20"/>
  <c r="AM163" i="20"/>
  <c r="U163" i="20"/>
  <c r="S163" i="20"/>
  <c r="V163" i="20" s="1"/>
  <c r="BA162" i="20"/>
  <c r="AM162" i="20"/>
  <c r="U162" i="20"/>
  <c r="R162" i="20"/>
  <c r="S162" i="20" s="1"/>
  <c r="V162" i="20" s="1"/>
  <c r="BA161" i="20"/>
  <c r="AM161" i="20"/>
  <c r="T161" i="20"/>
  <c r="U161" i="20" s="1"/>
  <c r="Q161" i="20"/>
  <c r="R161" i="20" s="1"/>
  <c r="S161" i="20" s="1"/>
  <c r="V161" i="20" s="1"/>
  <c r="BA160" i="20"/>
  <c r="AM160" i="20"/>
  <c r="U160" i="20"/>
  <c r="R160" i="20"/>
  <c r="S160" i="20" s="1"/>
  <c r="V160" i="20" s="1"/>
  <c r="BA159" i="20"/>
  <c r="AM159" i="20"/>
  <c r="U159" i="20"/>
  <c r="R159" i="20"/>
  <c r="S159" i="20" s="1"/>
  <c r="V159" i="20" s="1"/>
  <c r="BA158" i="20"/>
  <c r="AM158" i="20"/>
  <c r="U158" i="20"/>
  <c r="R158" i="20"/>
  <c r="S158" i="20" s="1"/>
  <c r="V158" i="20" s="1"/>
  <c r="BA157" i="20"/>
  <c r="U157" i="20"/>
  <c r="R157" i="20"/>
  <c r="S157" i="20" s="1"/>
  <c r="V157" i="20" s="1"/>
  <c r="BA156" i="20"/>
  <c r="AM156" i="20"/>
  <c r="U156" i="20"/>
  <c r="R156" i="20"/>
  <c r="S156" i="20" s="1"/>
  <c r="V156" i="20" s="1"/>
  <c r="BA155" i="20"/>
  <c r="AM155" i="20"/>
  <c r="U155" i="20"/>
  <c r="R155" i="20"/>
  <c r="S155" i="20" s="1"/>
  <c r="V155" i="20" s="1"/>
  <c r="BA154" i="20"/>
  <c r="AM154" i="20"/>
  <c r="U154" i="20"/>
  <c r="R154" i="20"/>
  <c r="S154" i="20" s="1"/>
  <c r="V154" i="20" s="1"/>
  <c r="BA153" i="20"/>
  <c r="AM153" i="20"/>
  <c r="U153" i="20"/>
  <c r="R153" i="20"/>
  <c r="S153" i="20" s="1"/>
  <c r="V153" i="20" s="1"/>
  <c r="BA152" i="20"/>
  <c r="AM152" i="20"/>
  <c r="U152" i="20"/>
  <c r="R152" i="20"/>
  <c r="S152" i="20" s="1"/>
  <c r="V152" i="20" s="1"/>
  <c r="BA151" i="20"/>
  <c r="AM151" i="20"/>
  <c r="U151" i="20"/>
  <c r="R151" i="20"/>
  <c r="S151" i="20" s="1"/>
  <c r="V151" i="20" s="1"/>
  <c r="BA150" i="20"/>
  <c r="AM150" i="20"/>
  <c r="U150" i="20"/>
  <c r="R150" i="20"/>
  <c r="S150" i="20" s="1"/>
  <c r="V150" i="20" s="1"/>
  <c r="BA149" i="20"/>
  <c r="AM149" i="20"/>
  <c r="U149" i="20"/>
  <c r="R149" i="20"/>
  <c r="S149" i="20" s="1"/>
  <c r="V149" i="20" s="1"/>
  <c r="BA148" i="20"/>
  <c r="AM148" i="20"/>
  <c r="U148" i="20"/>
  <c r="R148" i="20"/>
  <c r="S148" i="20" s="1"/>
  <c r="V148" i="20" s="1"/>
  <c r="BA147" i="20"/>
  <c r="AM147" i="20"/>
  <c r="U147" i="20"/>
  <c r="R147" i="20"/>
  <c r="S147" i="20" s="1"/>
  <c r="V147" i="20" s="1"/>
  <c r="BA146" i="20"/>
  <c r="AM146" i="20"/>
  <c r="U146" i="20"/>
  <c r="R146" i="20"/>
  <c r="S146" i="20" s="1"/>
  <c r="V146" i="20" s="1"/>
  <c r="BA145" i="20"/>
  <c r="AM145" i="20"/>
  <c r="U145" i="20"/>
  <c r="R145" i="20"/>
  <c r="S145" i="20" s="1"/>
  <c r="V145" i="20" s="1"/>
  <c r="BA144" i="20"/>
  <c r="AM144" i="20"/>
  <c r="U144" i="20"/>
  <c r="R144" i="20"/>
  <c r="S144" i="20" s="1"/>
  <c r="V144" i="20" s="1"/>
  <c r="BA143" i="20"/>
  <c r="AM143" i="20"/>
  <c r="U143" i="20"/>
  <c r="R143" i="20"/>
  <c r="S143" i="20" s="1"/>
  <c r="V143" i="20" s="1"/>
  <c r="BA142" i="20"/>
  <c r="AM142" i="20"/>
  <c r="U142" i="20"/>
  <c r="R142" i="20"/>
  <c r="S142" i="20" s="1"/>
  <c r="V142" i="20" s="1"/>
  <c r="BA141" i="20"/>
  <c r="AM141" i="20"/>
  <c r="U141" i="20"/>
  <c r="R141" i="20"/>
  <c r="S141" i="20" s="1"/>
  <c r="V141" i="20" s="1"/>
  <c r="BA140" i="20"/>
  <c r="AM140" i="20"/>
  <c r="U140" i="20"/>
  <c r="R140" i="20"/>
  <c r="S140" i="20" s="1"/>
  <c r="V140" i="20" s="1"/>
  <c r="BA139" i="20"/>
  <c r="AM139" i="20"/>
  <c r="AL139" i="20"/>
  <c r="U139" i="20"/>
  <c r="R139" i="20"/>
  <c r="S139" i="20" s="1"/>
  <c r="BA138" i="20"/>
  <c r="AM138" i="20"/>
  <c r="U138" i="20"/>
  <c r="R138" i="20"/>
  <c r="S138" i="20" s="1"/>
  <c r="V138" i="20" s="1"/>
  <c r="BA137" i="20"/>
  <c r="AM137" i="20"/>
  <c r="U137" i="20"/>
  <c r="R137" i="20"/>
  <c r="S137" i="20" s="1"/>
  <c r="V137" i="20" s="1"/>
  <c r="BA136" i="20"/>
  <c r="AM136" i="20"/>
  <c r="U136" i="20"/>
  <c r="R136" i="20"/>
  <c r="S136" i="20" s="1"/>
  <c r="V136" i="20" s="1"/>
  <c r="BA135" i="20"/>
  <c r="AM135" i="20"/>
  <c r="U135" i="20"/>
  <c r="R135" i="20"/>
  <c r="S135" i="20" s="1"/>
  <c r="V135" i="20" s="1"/>
  <c r="BA134" i="20"/>
  <c r="AM134" i="20"/>
  <c r="U134" i="20"/>
  <c r="R134" i="20"/>
  <c r="S134" i="20" s="1"/>
  <c r="V134" i="20" s="1"/>
  <c r="BA133" i="20"/>
  <c r="AM133" i="20"/>
  <c r="U133" i="20"/>
  <c r="R133" i="20"/>
  <c r="S133" i="20" s="1"/>
  <c r="V133" i="20" s="1"/>
  <c r="BA132" i="20"/>
  <c r="AM132" i="20"/>
  <c r="U132" i="20"/>
  <c r="R132" i="20"/>
  <c r="S132" i="20" s="1"/>
  <c r="V132" i="20" s="1"/>
  <c r="BA131" i="20"/>
  <c r="AM131" i="20"/>
  <c r="U131" i="20"/>
  <c r="R131" i="20"/>
  <c r="S131" i="20" s="1"/>
  <c r="V131" i="20" s="1"/>
  <c r="BA130" i="20"/>
  <c r="AM130" i="20"/>
  <c r="U130" i="20"/>
  <c r="R130" i="20"/>
  <c r="S130" i="20" s="1"/>
  <c r="V130" i="20" s="1"/>
  <c r="BA129" i="20"/>
  <c r="AM129" i="20"/>
  <c r="U129" i="20"/>
  <c r="R129" i="20"/>
  <c r="S129" i="20" s="1"/>
  <c r="V129" i="20" s="1"/>
  <c r="BA128" i="20"/>
  <c r="AM128" i="20"/>
  <c r="U128" i="20"/>
  <c r="R128" i="20"/>
  <c r="S128" i="20" s="1"/>
  <c r="V128" i="20" s="1"/>
  <c r="BA127" i="20"/>
  <c r="AM127" i="20"/>
  <c r="U127" i="20"/>
  <c r="R127" i="20"/>
  <c r="S127" i="20" s="1"/>
  <c r="V127" i="20" s="1"/>
  <c r="BA126" i="20"/>
  <c r="AM126" i="20"/>
  <c r="U126" i="20"/>
  <c r="R126" i="20"/>
  <c r="S126" i="20" s="1"/>
  <c r="V126" i="20" s="1"/>
  <c r="BA125" i="20"/>
  <c r="AM125" i="20"/>
  <c r="U125" i="20"/>
  <c r="R125" i="20"/>
  <c r="S125" i="20" s="1"/>
  <c r="V125" i="20" s="1"/>
  <c r="BA124" i="20"/>
  <c r="AM124" i="20"/>
  <c r="U124" i="20"/>
  <c r="R124" i="20"/>
  <c r="S124" i="20" s="1"/>
  <c r="V124" i="20" s="1"/>
  <c r="BA123" i="20"/>
  <c r="AM123" i="20"/>
  <c r="U123" i="20"/>
  <c r="R123" i="20"/>
  <c r="S123" i="20" s="1"/>
  <c r="V123" i="20" s="1"/>
  <c r="BA122" i="20"/>
  <c r="AM122" i="20"/>
  <c r="U122" i="20"/>
  <c r="R122" i="20"/>
  <c r="S122" i="20" s="1"/>
  <c r="V122" i="20" s="1"/>
  <c r="BA121" i="20"/>
  <c r="AM121" i="20"/>
  <c r="U121" i="20"/>
  <c r="R121" i="20"/>
  <c r="S121" i="20" s="1"/>
  <c r="V121" i="20" s="1"/>
  <c r="BA120" i="20"/>
  <c r="AM120" i="20"/>
  <c r="U120" i="20"/>
  <c r="R120" i="20"/>
  <c r="S120" i="20" s="1"/>
  <c r="V120" i="20" s="1"/>
  <c r="BA119" i="20"/>
  <c r="AM119" i="20"/>
  <c r="U119" i="20"/>
  <c r="R119" i="20"/>
  <c r="S119" i="20" s="1"/>
  <c r="V119" i="20" s="1"/>
  <c r="BA118" i="20"/>
  <c r="AM118" i="20"/>
  <c r="U118" i="20"/>
  <c r="R118" i="20"/>
  <c r="S118" i="20" s="1"/>
  <c r="V118" i="20" s="1"/>
  <c r="BA117" i="20"/>
  <c r="AM117" i="20"/>
  <c r="AL117" i="20"/>
  <c r="U117" i="20"/>
  <c r="R117" i="20"/>
  <c r="S117" i="20" s="1"/>
  <c r="BA116" i="20"/>
  <c r="AM116" i="20"/>
  <c r="U116" i="20"/>
  <c r="R116" i="20"/>
  <c r="S116" i="20" s="1"/>
  <c r="V116" i="20" s="1"/>
  <c r="BA115" i="20"/>
  <c r="AM115" i="20"/>
  <c r="U115" i="20"/>
  <c r="R115" i="20"/>
  <c r="S115" i="20" s="1"/>
  <c r="V115" i="20" s="1"/>
  <c r="BA114" i="20"/>
  <c r="AM114" i="20"/>
  <c r="U114" i="20"/>
  <c r="R114" i="20"/>
  <c r="S114" i="20" s="1"/>
  <c r="V114" i="20" s="1"/>
  <c r="BA113" i="20"/>
  <c r="AM113" i="20"/>
  <c r="U113" i="20"/>
  <c r="R113" i="20"/>
  <c r="S113" i="20" s="1"/>
  <c r="V113" i="20" s="1"/>
  <c r="BA112" i="20"/>
  <c r="AM112" i="20"/>
  <c r="U112" i="20"/>
  <c r="R112" i="20"/>
  <c r="S112" i="20" s="1"/>
  <c r="V112" i="20" s="1"/>
  <c r="BA111" i="20"/>
  <c r="AM111" i="20"/>
  <c r="U111" i="20"/>
  <c r="R111" i="20"/>
  <c r="S111" i="20" s="1"/>
  <c r="V111" i="20" s="1"/>
  <c r="BA110" i="20"/>
  <c r="AM110" i="20"/>
  <c r="U110" i="20"/>
  <c r="R110" i="20"/>
  <c r="S110" i="20" s="1"/>
  <c r="V110" i="20" s="1"/>
  <c r="BA109" i="20"/>
  <c r="AM109" i="20"/>
  <c r="U109" i="20"/>
  <c r="R109" i="20"/>
  <c r="S109" i="20" s="1"/>
  <c r="V109" i="20" s="1"/>
  <c r="BA108" i="20"/>
  <c r="AM108" i="20"/>
  <c r="U108" i="20"/>
  <c r="R108" i="20"/>
  <c r="S108" i="20" s="1"/>
  <c r="V108" i="20" s="1"/>
  <c r="BA107" i="20"/>
  <c r="AM107" i="20"/>
  <c r="T107" i="20"/>
  <c r="Q107" i="20"/>
  <c r="S107" i="20" s="1"/>
  <c r="V107" i="20" s="1"/>
  <c r="BA106" i="20"/>
  <c r="AM106" i="20"/>
  <c r="U106" i="20"/>
  <c r="R106" i="20"/>
  <c r="S106" i="20" s="1"/>
  <c r="V106" i="20" s="1"/>
  <c r="BA105" i="20"/>
  <c r="AM105" i="20"/>
  <c r="T105" i="20"/>
  <c r="U105" i="20" s="1"/>
  <c r="Q105" i="20"/>
  <c r="R105" i="20" s="1"/>
  <c r="S105" i="20" s="1"/>
  <c r="V105" i="20" s="1"/>
  <c r="BA104" i="20"/>
  <c r="AM104" i="20"/>
  <c r="U104" i="20"/>
  <c r="R104" i="20"/>
  <c r="S104" i="20" s="1"/>
  <c r="V104" i="20" s="1"/>
  <c r="BA103" i="20"/>
  <c r="AM103" i="20"/>
  <c r="U103" i="20"/>
  <c r="R103" i="20"/>
  <c r="S103" i="20" s="1"/>
  <c r="V103" i="20" s="1"/>
  <c r="BA102" i="20"/>
  <c r="AM102" i="20"/>
  <c r="U102" i="20"/>
  <c r="R102" i="20"/>
  <c r="S102" i="20" s="1"/>
  <c r="V102" i="20" s="1"/>
  <c r="BA101" i="20"/>
  <c r="AM101" i="20"/>
  <c r="AL101" i="20"/>
  <c r="U101" i="20"/>
  <c r="R101" i="20"/>
  <c r="S101" i="20" s="1"/>
  <c r="BA100" i="20"/>
  <c r="AM100" i="20"/>
  <c r="U100" i="20"/>
  <c r="R100" i="20"/>
  <c r="S100" i="20" s="1"/>
  <c r="V100" i="20" s="1"/>
  <c r="BA99" i="20"/>
  <c r="AM99" i="20"/>
  <c r="U99" i="20"/>
  <c r="R99" i="20"/>
  <c r="S99" i="20" s="1"/>
  <c r="V99" i="20" s="1"/>
  <c r="BA98" i="20"/>
  <c r="AM98" i="20"/>
  <c r="U98" i="20"/>
  <c r="R98" i="20"/>
  <c r="S98" i="20" s="1"/>
  <c r="V98" i="20" s="1"/>
  <c r="BA97" i="20"/>
  <c r="AM97" i="20"/>
  <c r="U97" i="20"/>
  <c r="R97" i="20"/>
  <c r="S97" i="20" s="1"/>
  <c r="V97" i="20" s="1"/>
  <c r="BA96" i="20"/>
  <c r="AM96" i="20"/>
  <c r="U96" i="20"/>
  <c r="R96" i="20"/>
  <c r="S96" i="20" s="1"/>
  <c r="V96" i="20" s="1"/>
  <c r="BA95" i="20"/>
  <c r="AM95" i="20"/>
  <c r="U95" i="20"/>
  <c r="R95" i="20"/>
  <c r="S95" i="20" s="1"/>
  <c r="V95" i="20" s="1"/>
  <c r="BA94" i="20"/>
  <c r="AM94" i="20"/>
  <c r="U94" i="20"/>
  <c r="R94" i="20"/>
  <c r="S94" i="20" s="1"/>
  <c r="V94" i="20" s="1"/>
  <c r="BA93" i="20"/>
  <c r="AM93" i="20"/>
  <c r="U93" i="20"/>
  <c r="R93" i="20"/>
  <c r="S93" i="20" s="1"/>
  <c r="V93" i="20" s="1"/>
  <c r="BA92" i="20"/>
  <c r="AM92" i="20"/>
  <c r="U92" i="20"/>
  <c r="R92" i="20"/>
  <c r="S92" i="20" s="1"/>
  <c r="V92" i="20" s="1"/>
  <c r="BA91" i="20"/>
  <c r="AM91" i="20"/>
  <c r="U91" i="20"/>
  <c r="R91" i="20"/>
  <c r="S91" i="20" s="1"/>
  <c r="V91" i="20" s="1"/>
  <c r="BA90" i="20"/>
  <c r="AM90" i="20"/>
  <c r="U90" i="20"/>
  <c r="R90" i="20"/>
  <c r="S90" i="20" s="1"/>
  <c r="V90" i="20" s="1"/>
  <c r="BA89" i="20"/>
  <c r="AM89" i="20"/>
  <c r="U89" i="20"/>
  <c r="R89" i="20"/>
  <c r="S89" i="20" s="1"/>
  <c r="V89" i="20" s="1"/>
  <c r="BA88" i="20"/>
  <c r="AM88" i="20"/>
  <c r="U88" i="20"/>
  <c r="R88" i="20"/>
  <c r="S88" i="20" s="1"/>
  <c r="V88" i="20" s="1"/>
  <c r="BA87" i="20"/>
  <c r="AM87" i="20"/>
  <c r="U87" i="20"/>
  <c r="R87" i="20"/>
  <c r="S87" i="20" s="1"/>
  <c r="V87" i="20" s="1"/>
  <c r="BA86" i="20"/>
  <c r="AM86" i="20"/>
  <c r="U86" i="20"/>
  <c r="R86" i="20"/>
  <c r="S86" i="20" s="1"/>
  <c r="V86" i="20" s="1"/>
  <c r="BA85" i="20"/>
  <c r="AM85" i="20"/>
  <c r="U85" i="20"/>
  <c r="R85" i="20"/>
  <c r="S85" i="20" s="1"/>
  <c r="V85" i="20" s="1"/>
  <c r="BA84" i="20"/>
  <c r="AM84" i="20"/>
  <c r="U84" i="20"/>
  <c r="R84" i="20"/>
  <c r="S84" i="20" s="1"/>
  <c r="V84" i="20" s="1"/>
  <c r="BA83" i="20"/>
  <c r="AM83" i="20"/>
  <c r="U83" i="20"/>
  <c r="R83" i="20"/>
  <c r="S83" i="20" s="1"/>
  <c r="V83" i="20" s="1"/>
  <c r="BA82" i="20"/>
  <c r="AM82" i="20"/>
  <c r="U82" i="20"/>
  <c r="R82" i="20"/>
  <c r="S82" i="20" s="1"/>
  <c r="V82" i="20" s="1"/>
  <c r="BA81" i="20"/>
  <c r="AM81" i="20"/>
  <c r="U81" i="20"/>
  <c r="R81" i="20"/>
  <c r="S81" i="20" s="1"/>
  <c r="V81" i="20" s="1"/>
  <c r="BA80" i="20"/>
  <c r="AM80" i="20"/>
  <c r="U80" i="20"/>
  <c r="R80" i="20"/>
  <c r="S80" i="20" s="1"/>
  <c r="V80" i="20" s="1"/>
  <c r="BA79" i="20"/>
  <c r="AM79" i="20"/>
  <c r="U79" i="20"/>
  <c r="R79" i="20"/>
  <c r="S79" i="20" s="1"/>
  <c r="V79" i="20" s="1"/>
  <c r="BA78" i="20"/>
  <c r="AM78" i="20"/>
  <c r="U78" i="20"/>
  <c r="R78" i="20"/>
  <c r="S78" i="20" s="1"/>
  <c r="V78" i="20" s="1"/>
  <c r="BA77" i="20"/>
  <c r="AM77" i="20"/>
  <c r="U77" i="20"/>
  <c r="R77" i="20"/>
  <c r="S77" i="20" s="1"/>
  <c r="V77" i="20" s="1"/>
  <c r="BA76" i="20"/>
  <c r="AM76" i="20"/>
  <c r="AL76" i="20"/>
  <c r="U76" i="20"/>
  <c r="R76" i="20"/>
  <c r="S76" i="20" s="1"/>
  <c r="BA75" i="20"/>
  <c r="AM75" i="20"/>
  <c r="U75" i="20"/>
  <c r="R75" i="20"/>
  <c r="S75" i="20" s="1"/>
  <c r="V75" i="20" s="1"/>
  <c r="BA74" i="20"/>
  <c r="AM74" i="20"/>
  <c r="U74" i="20"/>
  <c r="R74" i="20"/>
  <c r="S74" i="20" s="1"/>
  <c r="V74" i="20" s="1"/>
  <c r="BA73" i="20"/>
  <c r="AM73" i="20"/>
  <c r="U73" i="20"/>
  <c r="R73" i="20"/>
  <c r="S73" i="20" s="1"/>
  <c r="V73" i="20" s="1"/>
  <c r="BA72" i="20"/>
  <c r="AM72" i="20"/>
  <c r="U72" i="20"/>
  <c r="R72" i="20"/>
  <c r="S72" i="20" s="1"/>
  <c r="V72" i="20" s="1"/>
  <c r="BA71" i="20"/>
  <c r="AM71" i="20"/>
  <c r="U71" i="20"/>
  <c r="R71" i="20"/>
  <c r="S71" i="20" s="1"/>
  <c r="V71" i="20" s="1"/>
  <c r="BA70" i="20"/>
  <c r="AM70" i="20"/>
  <c r="U70" i="20"/>
  <c r="R70" i="20"/>
  <c r="S70" i="20" s="1"/>
  <c r="V70" i="20" s="1"/>
  <c r="BA69" i="20"/>
  <c r="AM69" i="20"/>
  <c r="U69" i="20"/>
  <c r="R69" i="20"/>
  <c r="S69" i="20" s="1"/>
  <c r="V69" i="20" s="1"/>
  <c r="BA68" i="20"/>
  <c r="AM68" i="20"/>
  <c r="U68" i="20"/>
  <c r="R68" i="20"/>
  <c r="S68" i="20" s="1"/>
  <c r="V68" i="20" s="1"/>
  <c r="BA67" i="20"/>
  <c r="AM67" i="20"/>
  <c r="U67" i="20"/>
  <c r="R67" i="20"/>
  <c r="S67" i="20" s="1"/>
  <c r="V67" i="20" s="1"/>
  <c r="BA66" i="20"/>
  <c r="AM66" i="20"/>
  <c r="U66" i="20"/>
  <c r="R66" i="20"/>
  <c r="S66" i="20" s="1"/>
  <c r="V66" i="20" s="1"/>
  <c r="BA65" i="20"/>
  <c r="AM65" i="20"/>
  <c r="AL65" i="20"/>
  <c r="U65" i="20"/>
  <c r="R65" i="20"/>
  <c r="S65" i="20" s="1"/>
  <c r="BA64" i="20"/>
  <c r="U64" i="20"/>
  <c r="R64" i="20"/>
  <c r="S64" i="20" s="1"/>
  <c r="V64" i="20" s="1"/>
  <c r="BA63" i="20"/>
  <c r="AM63" i="20"/>
  <c r="U63" i="20"/>
  <c r="Q63" i="20"/>
  <c r="R63" i="20" s="1"/>
  <c r="S63" i="20" s="1"/>
  <c r="V63" i="20" s="1"/>
  <c r="BA62" i="20"/>
  <c r="AM62" i="20"/>
  <c r="U62" i="20"/>
  <c r="R62" i="20"/>
  <c r="S62" i="20" s="1"/>
  <c r="V62" i="20" s="1"/>
  <c r="BA61" i="20"/>
  <c r="AM61" i="20"/>
  <c r="U61" i="20"/>
  <c r="R61" i="20"/>
  <c r="S61" i="20" s="1"/>
  <c r="V61" i="20" s="1"/>
  <c r="U60" i="20"/>
  <c r="R60" i="20"/>
  <c r="S60" i="20" s="1"/>
  <c r="V60" i="20" s="1"/>
  <c r="BA59" i="20"/>
  <c r="AM59" i="20"/>
  <c r="U59" i="20"/>
  <c r="R59" i="20"/>
  <c r="S59" i="20" s="1"/>
  <c r="V59" i="20" s="1"/>
  <c r="BA58" i="20"/>
  <c r="AM58" i="20"/>
  <c r="U58" i="20"/>
  <c r="R58" i="20"/>
  <c r="S58" i="20" s="1"/>
  <c r="V58" i="20" s="1"/>
  <c r="BA57" i="20"/>
  <c r="AM57" i="20"/>
  <c r="U57" i="20"/>
  <c r="R57" i="20"/>
  <c r="S57" i="20" s="1"/>
  <c r="V57" i="20" s="1"/>
  <c r="BA56" i="20"/>
  <c r="AM56" i="20"/>
  <c r="U56" i="20"/>
  <c r="R56" i="20"/>
  <c r="S56" i="20" s="1"/>
  <c r="V56" i="20" s="1"/>
  <c r="BA55" i="20"/>
  <c r="AM55" i="20"/>
  <c r="T55" i="20"/>
  <c r="Q55" i="20"/>
  <c r="S55" i="20" s="1"/>
  <c r="V55" i="20" s="1"/>
  <c r="BA54" i="20"/>
  <c r="AM54" i="20"/>
  <c r="U54" i="20"/>
  <c r="R54" i="20"/>
  <c r="S54" i="20" s="1"/>
  <c r="V54" i="20" s="1"/>
  <c r="BA53" i="20"/>
  <c r="AM53" i="20"/>
  <c r="AL53" i="20"/>
  <c r="U53" i="20"/>
  <c r="R53" i="20"/>
  <c r="S53" i="20" s="1"/>
  <c r="BA52" i="20"/>
  <c r="AM52" i="20"/>
  <c r="U52" i="20"/>
  <c r="R52" i="20"/>
  <c r="S52" i="20" s="1"/>
  <c r="V52" i="20" s="1"/>
  <c r="BA51" i="20"/>
  <c r="AM51" i="20"/>
  <c r="U51" i="20"/>
  <c r="R51" i="20"/>
  <c r="S51" i="20" s="1"/>
  <c r="V51" i="20" s="1"/>
  <c r="BA50" i="20"/>
  <c r="AM50" i="20"/>
  <c r="U50" i="20"/>
  <c r="R50" i="20"/>
  <c r="S50" i="20" s="1"/>
  <c r="V50" i="20" s="1"/>
  <c r="BA49" i="20"/>
  <c r="AM49" i="20"/>
  <c r="U49" i="20"/>
  <c r="R49" i="20"/>
  <c r="S49" i="20" s="1"/>
  <c r="V49" i="20" s="1"/>
  <c r="BA48" i="20"/>
  <c r="AM48" i="20"/>
  <c r="U48" i="20"/>
  <c r="R48" i="20"/>
  <c r="S48" i="20" s="1"/>
  <c r="V48" i="20" s="1"/>
  <c r="BA47" i="20"/>
  <c r="AM47" i="20"/>
  <c r="U47" i="20"/>
  <c r="R47" i="20"/>
  <c r="S47" i="20" s="1"/>
  <c r="V47" i="20" s="1"/>
  <c r="BA46" i="20"/>
  <c r="AM46" i="20"/>
  <c r="U46" i="20"/>
  <c r="R46" i="20"/>
  <c r="S46" i="20" s="1"/>
  <c r="V46" i="20" s="1"/>
  <c r="BA45" i="20"/>
  <c r="AM45" i="20"/>
  <c r="U45" i="20"/>
  <c r="R45" i="20"/>
  <c r="S45" i="20" s="1"/>
  <c r="V45" i="20" s="1"/>
  <c r="BA44" i="20"/>
  <c r="AM44" i="20"/>
  <c r="AL44" i="20"/>
  <c r="U44" i="20"/>
  <c r="R44" i="20"/>
  <c r="S44" i="20" s="1"/>
  <c r="BA43" i="20"/>
  <c r="AM43" i="20"/>
  <c r="U43" i="20"/>
  <c r="R43" i="20"/>
  <c r="S43" i="20" s="1"/>
  <c r="V43" i="20" s="1"/>
  <c r="BA42" i="20"/>
  <c r="U42" i="20"/>
  <c r="R42" i="20"/>
  <c r="S42" i="20" s="1"/>
  <c r="V42" i="20" s="1"/>
  <c r="BA41" i="20"/>
  <c r="AM41" i="20"/>
  <c r="U41" i="20"/>
  <c r="R41" i="20"/>
  <c r="S41" i="20" s="1"/>
  <c r="V41" i="20" s="1"/>
  <c r="BA40" i="20"/>
  <c r="AM40" i="20"/>
  <c r="U40" i="20"/>
  <c r="R40" i="20"/>
  <c r="S40" i="20" s="1"/>
  <c r="V40" i="20" s="1"/>
  <c r="BA39" i="20"/>
  <c r="AM39" i="20"/>
  <c r="U39" i="20"/>
  <c r="R39" i="20"/>
  <c r="S39" i="20" s="1"/>
  <c r="V39" i="20" s="1"/>
  <c r="BA38" i="20"/>
  <c r="AM38" i="20"/>
  <c r="U38" i="20"/>
  <c r="R38" i="20"/>
  <c r="S38" i="20" s="1"/>
  <c r="V38" i="20" s="1"/>
  <c r="BA37" i="20"/>
  <c r="AM37" i="20"/>
  <c r="S37" i="20"/>
  <c r="V37" i="20" s="1"/>
  <c r="BA36" i="20"/>
  <c r="AM36" i="20"/>
  <c r="U36" i="20"/>
  <c r="R36" i="20"/>
  <c r="S36" i="20" s="1"/>
  <c r="V36" i="20" s="1"/>
  <c r="BA35" i="20"/>
  <c r="AM35" i="20"/>
  <c r="U35" i="20"/>
  <c r="R35" i="20"/>
  <c r="S35" i="20" s="1"/>
  <c r="V35" i="20" s="1"/>
  <c r="BA34" i="20"/>
  <c r="AM34" i="20"/>
  <c r="U34" i="20"/>
  <c r="R34" i="20"/>
  <c r="S34" i="20" s="1"/>
  <c r="V34" i="20" s="1"/>
  <c r="AM33" i="20"/>
  <c r="U33" i="20"/>
  <c r="R33" i="20"/>
  <c r="S33" i="20" s="1"/>
  <c r="V33" i="20" s="1"/>
  <c r="BA32" i="20"/>
  <c r="AM32" i="20"/>
  <c r="AL32" i="20"/>
  <c r="U32" i="20"/>
  <c r="R32" i="20"/>
  <c r="S32" i="20" s="1"/>
  <c r="BA31" i="20"/>
  <c r="AM31" i="20"/>
  <c r="U31" i="20"/>
  <c r="R31" i="20"/>
  <c r="S31" i="20" s="1"/>
  <c r="V31" i="20" s="1"/>
  <c r="BA30" i="20"/>
  <c r="AM30" i="20"/>
  <c r="U30" i="20"/>
  <c r="R30" i="20"/>
  <c r="S30" i="20" s="1"/>
  <c r="V30" i="20" s="1"/>
  <c r="BA29" i="20"/>
  <c r="AM29" i="20"/>
  <c r="U29" i="20"/>
  <c r="R29" i="20"/>
  <c r="S29" i="20" s="1"/>
  <c r="V29" i="20" s="1"/>
  <c r="BA28" i="20"/>
  <c r="AM28" i="20"/>
  <c r="U28" i="20"/>
  <c r="R28" i="20"/>
  <c r="S28" i="20" s="1"/>
  <c r="V28" i="20" s="1"/>
  <c r="BI27" i="20"/>
  <c r="BA27" i="20"/>
  <c r="AM27" i="20"/>
  <c r="U27" i="20"/>
  <c r="R27" i="20"/>
  <c r="S27" i="20" s="1"/>
  <c r="V27" i="20" s="1"/>
  <c r="BI26" i="20"/>
  <c r="BA26" i="20"/>
  <c r="S26" i="20"/>
  <c r="V26" i="20" s="1"/>
  <c r="BI25" i="20"/>
  <c r="BA25" i="20"/>
  <c r="AM25" i="20"/>
  <c r="U25" i="20"/>
  <c r="R25" i="20"/>
  <c r="S25" i="20" s="1"/>
  <c r="V25" i="20" s="1"/>
  <c r="BI24" i="20"/>
  <c r="BA24" i="20"/>
  <c r="AM24" i="20"/>
  <c r="U24" i="20"/>
  <c r="R24" i="20"/>
  <c r="S24" i="20" s="1"/>
  <c r="V24" i="20" s="1"/>
  <c r="BI23" i="20"/>
  <c r="BA23" i="20"/>
  <c r="AM23" i="20"/>
  <c r="U23" i="20"/>
  <c r="R23" i="20"/>
  <c r="S23" i="20" s="1"/>
  <c r="V23" i="20" s="1"/>
  <c r="BI22" i="20"/>
  <c r="BA22" i="20"/>
  <c r="AM22" i="20"/>
  <c r="S22" i="20"/>
  <c r="V22" i="20" s="1"/>
  <c r="BI21" i="20"/>
  <c r="BA21" i="20"/>
  <c r="AM21" i="20"/>
  <c r="U21" i="20"/>
  <c r="R21" i="20"/>
  <c r="S21" i="20" s="1"/>
  <c r="V21" i="20" s="1"/>
  <c r="BI20" i="20"/>
  <c r="BA20" i="20"/>
  <c r="AL20" i="20"/>
  <c r="U20" i="20"/>
  <c r="R20" i="20"/>
  <c r="S20" i="20" s="1"/>
  <c r="BI19" i="20"/>
  <c r="BA19" i="20"/>
  <c r="AM19" i="20"/>
  <c r="U19" i="20"/>
  <c r="R19" i="20"/>
  <c r="S19" i="20" s="1"/>
  <c r="V19" i="20" s="1"/>
  <c r="BI18" i="20"/>
  <c r="BA18" i="20"/>
  <c r="AM18" i="20"/>
  <c r="T18" i="20"/>
  <c r="U18" i="20" s="1"/>
  <c r="Q18" i="20"/>
  <c r="BI17" i="20"/>
  <c r="BA17" i="20"/>
  <c r="AL17" i="20"/>
  <c r="U17" i="20"/>
  <c r="R17" i="20"/>
  <c r="S17" i="20" s="1"/>
  <c r="BI16" i="20"/>
  <c r="BA16" i="20"/>
  <c r="AL16" i="20"/>
  <c r="U16" i="20"/>
  <c r="R16" i="20"/>
  <c r="S16" i="20" s="1"/>
  <c r="BI15" i="20"/>
  <c r="BA15" i="20"/>
  <c r="AL15" i="20"/>
  <c r="U15" i="20"/>
  <c r="R15" i="20"/>
  <c r="S15" i="20" s="1"/>
  <c r="BI14" i="20"/>
  <c r="BA14" i="20"/>
  <c r="AM14" i="20"/>
  <c r="U14" i="20"/>
  <c r="R14" i="20"/>
  <c r="S14" i="20" s="1"/>
  <c r="V14" i="20" s="1"/>
  <c r="BI13" i="20"/>
  <c r="BA13" i="20"/>
  <c r="AM13" i="20"/>
  <c r="U13" i="20"/>
  <c r="R13" i="20"/>
  <c r="S13" i="20" s="1"/>
  <c r="V13" i="20" s="1"/>
  <c r="BI12" i="20"/>
  <c r="BA12" i="20"/>
  <c r="AM12" i="20"/>
  <c r="U12" i="20"/>
  <c r="R12" i="20"/>
  <c r="S12" i="20" s="1"/>
  <c r="V12" i="20" s="1"/>
  <c r="BI11" i="20"/>
  <c r="BA11" i="20"/>
  <c r="AM11" i="20"/>
  <c r="U11" i="20"/>
  <c r="R11" i="20"/>
  <c r="S11" i="20" s="1"/>
  <c r="V11" i="20" s="1"/>
  <c r="BI10" i="20"/>
  <c r="BA10" i="20"/>
  <c r="AM10" i="20"/>
  <c r="U10" i="20"/>
  <c r="R10" i="20"/>
  <c r="S10" i="20" s="1"/>
  <c r="V10" i="20" s="1"/>
  <c r="BI9" i="20"/>
  <c r="BA9" i="20"/>
  <c r="AM9" i="20"/>
  <c r="U9" i="20"/>
  <c r="R9" i="20"/>
  <c r="S9" i="20" s="1"/>
  <c r="V9" i="20" s="1"/>
  <c r="BI8" i="20"/>
  <c r="BA8" i="20"/>
  <c r="AM8" i="20"/>
  <c r="U8" i="20"/>
  <c r="R8" i="20"/>
  <c r="S8" i="20" s="1"/>
  <c r="V8" i="20" s="1"/>
  <c r="BI7" i="20"/>
  <c r="BA7" i="20"/>
  <c r="AM7" i="20"/>
  <c r="U7" i="20"/>
  <c r="R7" i="20"/>
  <c r="S7" i="20" s="1"/>
  <c r="V7" i="20" s="1"/>
  <c r="BI6" i="20"/>
  <c r="BA6" i="20"/>
  <c r="AM6" i="20"/>
  <c r="U6" i="20"/>
  <c r="R6" i="20"/>
  <c r="S6" i="20" s="1"/>
  <c r="V6" i="20" s="1"/>
  <c r="AY196" i="16"/>
  <c r="U196" i="16"/>
  <c r="BA195" i="16"/>
  <c r="AL195" i="16"/>
  <c r="U195" i="16"/>
  <c r="R195" i="16"/>
  <c r="S195" i="16" s="1"/>
  <c r="V195" i="16" s="1"/>
  <c r="M195" i="16"/>
  <c r="BA194" i="16"/>
  <c r="AL194" i="16"/>
  <c r="U194" i="16"/>
  <c r="R194" i="16"/>
  <c r="S194" i="16" s="1"/>
  <c r="V194" i="16" s="1"/>
  <c r="M194" i="16"/>
  <c r="BA193" i="16"/>
  <c r="AL193" i="16"/>
  <c r="U193" i="16"/>
  <c r="R193" i="16"/>
  <c r="S193" i="16" s="1"/>
  <c r="V193" i="16" s="1"/>
  <c r="M193" i="16"/>
  <c r="BA192" i="16"/>
  <c r="AL192" i="16"/>
  <c r="U192" i="16"/>
  <c r="R192" i="16"/>
  <c r="S192" i="16" s="1"/>
  <c r="V192" i="16" s="1"/>
  <c r="M192" i="16"/>
  <c r="BA191" i="16"/>
  <c r="AL191" i="16"/>
  <c r="U191" i="16"/>
  <c r="R191" i="16"/>
  <c r="S191" i="16" s="1"/>
  <c r="V191" i="16" s="1"/>
  <c r="M191" i="16"/>
  <c r="BA190" i="16"/>
  <c r="AL190" i="16"/>
  <c r="U190" i="16"/>
  <c r="R190" i="16"/>
  <c r="S190" i="16" s="1"/>
  <c r="V190" i="16" s="1"/>
  <c r="M190" i="16"/>
  <c r="BA189" i="16"/>
  <c r="AL189" i="16"/>
  <c r="U189" i="16"/>
  <c r="R189" i="16"/>
  <c r="S189" i="16" s="1"/>
  <c r="V189" i="16" s="1"/>
  <c r="M189" i="16"/>
  <c r="BA188" i="16"/>
  <c r="AL188" i="16"/>
  <c r="U188" i="16"/>
  <c r="R188" i="16"/>
  <c r="S188" i="16" s="1"/>
  <c r="V188" i="16" s="1"/>
  <c r="M188" i="16"/>
  <c r="BA187" i="16"/>
  <c r="AL187" i="16"/>
  <c r="U187" i="16"/>
  <c r="R187" i="16"/>
  <c r="S187" i="16" s="1"/>
  <c r="V187" i="16" s="1"/>
  <c r="M187" i="16"/>
  <c r="BA186" i="16"/>
  <c r="AL186" i="16"/>
  <c r="U186" i="16"/>
  <c r="R186" i="16"/>
  <c r="S186" i="16" s="1"/>
  <c r="V186" i="16" s="1"/>
  <c r="M186" i="16"/>
  <c r="BA185" i="16"/>
  <c r="AL185" i="16"/>
  <c r="U185" i="16"/>
  <c r="R185" i="16"/>
  <c r="S185" i="16" s="1"/>
  <c r="V185" i="16" s="1"/>
  <c r="M185" i="16"/>
  <c r="BA184" i="16"/>
  <c r="AL184" i="16"/>
  <c r="U184" i="16"/>
  <c r="R184" i="16"/>
  <c r="S184" i="16" s="1"/>
  <c r="V184" i="16" s="1"/>
  <c r="M184" i="16"/>
  <c r="BA183" i="16"/>
  <c r="AL183" i="16"/>
  <c r="U183" i="16"/>
  <c r="R183" i="16"/>
  <c r="S183" i="16" s="1"/>
  <c r="V183" i="16" s="1"/>
  <c r="M183" i="16"/>
  <c r="BA182" i="16"/>
  <c r="AL182" i="16"/>
  <c r="U182" i="16"/>
  <c r="R182" i="16"/>
  <c r="S182" i="16" s="1"/>
  <c r="V182" i="16" s="1"/>
  <c r="M182" i="16"/>
  <c r="BA181" i="16"/>
  <c r="AL181" i="16"/>
  <c r="U181" i="16"/>
  <c r="R181" i="16"/>
  <c r="S181" i="16" s="1"/>
  <c r="V181" i="16" s="1"/>
  <c r="M181" i="16"/>
  <c r="BI180" i="16"/>
  <c r="BA180" i="16"/>
  <c r="AL180" i="16"/>
  <c r="U180" i="16"/>
  <c r="R180" i="16"/>
  <c r="S180" i="16" s="1"/>
  <c r="V180" i="16" s="1"/>
  <c r="M180" i="16"/>
  <c r="BI179" i="16"/>
  <c r="BA179" i="16"/>
  <c r="AL179" i="16"/>
  <c r="U179" i="16"/>
  <c r="R179" i="16"/>
  <c r="S179" i="16" s="1"/>
  <c r="V179" i="16" s="1"/>
  <c r="M179" i="16"/>
  <c r="BI178" i="16"/>
  <c r="BA178" i="16"/>
  <c r="AL178" i="16"/>
  <c r="U178" i="16"/>
  <c r="R178" i="16"/>
  <c r="S178" i="16" s="1"/>
  <c r="V178" i="16" s="1"/>
  <c r="M178" i="16"/>
  <c r="BI177" i="16"/>
  <c r="BA177" i="16"/>
  <c r="AL177" i="16"/>
  <c r="U177" i="16"/>
  <c r="R177" i="16"/>
  <c r="S177" i="16" s="1"/>
  <c r="V177" i="16" s="1"/>
  <c r="M177" i="16"/>
  <c r="BI176" i="16"/>
  <c r="BA176" i="16"/>
  <c r="AL176" i="16"/>
  <c r="U176" i="16"/>
  <c r="R176" i="16"/>
  <c r="S176" i="16" s="1"/>
  <c r="V176" i="16" s="1"/>
  <c r="M176" i="16"/>
  <c r="BI175" i="16"/>
  <c r="BA175" i="16"/>
  <c r="AL175" i="16"/>
  <c r="U175" i="16"/>
  <c r="R175" i="16"/>
  <c r="S175" i="16" s="1"/>
  <c r="V175" i="16" s="1"/>
  <c r="M175" i="16"/>
  <c r="BI174" i="16"/>
  <c r="BA174" i="16"/>
  <c r="AL174" i="16"/>
  <c r="U174" i="16"/>
  <c r="R174" i="16"/>
  <c r="S174" i="16" s="1"/>
  <c r="V174" i="16" s="1"/>
  <c r="M174" i="16"/>
  <c r="BI173" i="16"/>
  <c r="BA173" i="16"/>
  <c r="AK173" i="16"/>
  <c r="U173" i="16"/>
  <c r="R173" i="16"/>
  <c r="S173" i="16" s="1"/>
  <c r="M173" i="16"/>
  <c r="BI172" i="16"/>
  <c r="BA172" i="16"/>
  <c r="AL172" i="16"/>
  <c r="U172" i="16"/>
  <c r="R172" i="16"/>
  <c r="S172" i="16" s="1"/>
  <c r="V172" i="16" s="1"/>
  <c r="M172" i="16"/>
  <c r="BI171" i="16"/>
  <c r="BA171" i="16"/>
  <c r="AL171" i="16"/>
  <c r="U171" i="16"/>
  <c r="R171" i="16"/>
  <c r="S171" i="16" s="1"/>
  <c r="V171" i="16" s="1"/>
  <c r="M171" i="16"/>
  <c r="BI170" i="16"/>
  <c r="BA170" i="16"/>
  <c r="AL170" i="16"/>
  <c r="U170" i="16"/>
  <c r="R170" i="16"/>
  <c r="S170" i="16" s="1"/>
  <c r="V170" i="16" s="1"/>
  <c r="M170" i="16"/>
  <c r="BI169" i="16"/>
  <c r="BA169" i="16"/>
  <c r="AL169" i="16"/>
  <c r="U169" i="16"/>
  <c r="R169" i="16"/>
  <c r="S169" i="16" s="1"/>
  <c r="V169" i="16" s="1"/>
  <c r="M169" i="16"/>
  <c r="BI168" i="16"/>
  <c r="BA168" i="16"/>
  <c r="AL168" i="16"/>
  <c r="U168" i="16"/>
  <c r="R168" i="16"/>
  <c r="S168" i="16" s="1"/>
  <c r="V168" i="16" s="1"/>
  <c r="M168" i="16"/>
  <c r="BI167" i="16"/>
  <c r="BA167" i="16"/>
  <c r="AL167" i="16"/>
  <c r="U167" i="16"/>
  <c r="R167" i="16"/>
  <c r="S167" i="16" s="1"/>
  <c r="V167" i="16" s="1"/>
  <c r="M167" i="16"/>
  <c r="BI166" i="16"/>
  <c r="BA166" i="16"/>
  <c r="AL166" i="16"/>
  <c r="U166" i="16"/>
  <c r="S166" i="16"/>
  <c r="V166" i="16" s="1"/>
  <c r="M166" i="16"/>
  <c r="BI165" i="16"/>
  <c r="BA165" i="16"/>
  <c r="AL165" i="16"/>
  <c r="U165" i="16"/>
  <c r="R165" i="16"/>
  <c r="S165" i="16" s="1"/>
  <c r="V165" i="16" s="1"/>
  <c r="M165" i="16"/>
  <c r="BI164" i="16"/>
  <c r="BA164" i="16"/>
  <c r="AL164" i="16"/>
  <c r="U164" i="16"/>
  <c r="R164" i="16"/>
  <c r="S164" i="16" s="1"/>
  <c r="V164" i="16" s="1"/>
  <c r="M164" i="16"/>
  <c r="BI163" i="16"/>
  <c r="BA163" i="16"/>
  <c r="AL163" i="16"/>
  <c r="U163" i="16"/>
  <c r="R163" i="16"/>
  <c r="S163" i="16" s="1"/>
  <c r="V163" i="16" s="1"/>
  <c r="M163" i="16"/>
  <c r="BI162" i="16"/>
  <c r="BA162" i="16"/>
  <c r="AL162" i="16"/>
  <c r="U162" i="16"/>
  <c r="R162" i="16"/>
  <c r="S162" i="16" s="1"/>
  <c r="V162" i="16" s="1"/>
  <c r="M162" i="16"/>
  <c r="BI161" i="16"/>
  <c r="BA161" i="16"/>
  <c r="AL161" i="16"/>
  <c r="U161" i="16"/>
  <c r="R161" i="16"/>
  <c r="S161" i="16" s="1"/>
  <c r="V161" i="16" s="1"/>
  <c r="M161" i="16"/>
  <c r="BI160" i="16"/>
  <c r="BA160" i="16"/>
  <c r="AL160" i="16"/>
  <c r="U160" i="16"/>
  <c r="R160" i="16"/>
  <c r="S160" i="16" s="1"/>
  <c r="V160" i="16" s="1"/>
  <c r="M160" i="16"/>
  <c r="BI159" i="16"/>
  <c r="BA159" i="16"/>
  <c r="AL159" i="16"/>
  <c r="U159" i="16"/>
  <c r="R159" i="16"/>
  <c r="S159" i="16" s="1"/>
  <c r="V159" i="16" s="1"/>
  <c r="M159" i="16"/>
  <c r="BI158" i="16"/>
  <c r="BA158" i="16"/>
  <c r="U158" i="16"/>
  <c r="R158" i="16"/>
  <c r="S158" i="16" s="1"/>
  <c r="V158" i="16" s="1"/>
  <c r="M158" i="16"/>
  <c r="BI157" i="16"/>
  <c r="BA157" i="16"/>
  <c r="AL157" i="16"/>
  <c r="U157" i="16"/>
  <c r="R157" i="16"/>
  <c r="S157" i="16" s="1"/>
  <c r="V157" i="16" s="1"/>
  <c r="M157" i="16"/>
  <c r="BI156" i="16"/>
  <c r="BA156" i="16"/>
  <c r="AL156" i="16"/>
  <c r="U156" i="16"/>
  <c r="R156" i="16"/>
  <c r="S156" i="16" s="1"/>
  <c r="V156" i="16" s="1"/>
  <c r="M156" i="16"/>
  <c r="BI155" i="16"/>
  <c r="BA155" i="16"/>
  <c r="AL155" i="16"/>
  <c r="U155" i="16"/>
  <c r="R155" i="16"/>
  <c r="S155" i="16" s="1"/>
  <c r="V155" i="16" s="1"/>
  <c r="M155" i="16"/>
  <c r="BI154" i="16"/>
  <c r="BA154" i="16"/>
  <c r="AL154" i="16"/>
  <c r="U154" i="16"/>
  <c r="R154" i="16"/>
  <c r="S154" i="16" s="1"/>
  <c r="V154" i="16" s="1"/>
  <c r="M154" i="16"/>
  <c r="BI153" i="16"/>
  <c r="BA153" i="16"/>
  <c r="AL153" i="16"/>
  <c r="U153" i="16"/>
  <c r="R153" i="16"/>
  <c r="S153" i="16" s="1"/>
  <c r="V153" i="16" s="1"/>
  <c r="M153" i="16"/>
  <c r="BI152" i="16"/>
  <c r="BA152" i="16"/>
  <c r="AL152" i="16"/>
  <c r="U152" i="16"/>
  <c r="R152" i="16"/>
  <c r="S152" i="16" s="1"/>
  <c r="V152" i="16" s="1"/>
  <c r="M152" i="16"/>
  <c r="BI151" i="16"/>
  <c r="BA151" i="16"/>
  <c r="AL151" i="16"/>
  <c r="U151" i="16"/>
  <c r="R151" i="16"/>
  <c r="S151" i="16" s="1"/>
  <c r="V151" i="16" s="1"/>
  <c r="M151" i="16"/>
  <c r="BI150" i="16"/>
  <c r="BA150" i="16"/>
  <c r="AL150" i="16"/>
  <c r="U150" i="16"/>
  <c r="R150" i="16"/>
  <c r="S150" i="16" s="1"/>
  <c r="V150" i="16" s="1"/>
  <c r="M150" i="16"/>
  <c r="BI149" i="16"/>
  <c r="BA149" i="16"/>
  <c r="AL149" i="16"/>
  <c r="U149" i="16"/>
  <c r="R149" i="16"/>
  <c r="S149" i="16" s="1"/>
  <c r="V149" i="16" s="1"/>
  <c r="M149" i="16"/>
  <c r="BI148" i="16"/>
  <c r="BA148" i="16"/>
  <c r="AL148" i="16"/>
  <c r="U148" i="16"/>
  <c r="R148" i="16"/>
  <c r="S148" i="16" s="1"/>
  <c r="V148" i="16" s="1"/>
  <c r="M148" i="16"/>
  <c r="BI147" i="16"/>
  <c r="BA147" i="16"/>
  <c r="AL147" i="16"/>
  <c r="U147" i="16"/>
  <c r="R147" i="16"/>
  <c r="S147" i="16" s="1"/>
  <c r="V147" i="16" s="1"/>
  <c r="M147" i="16"/>
  <c r="BI146" i="16"/>
  <c r="BA146" i="16"/>
  <c r="AL146" i="16"/>
  <c r="U146" i="16"/>
  <c r="R146" i="16"/>
  <c r="S146" i="16" s="1"/>
  <c r="V146" i="16" s="1"/>
  <c r="M146" i="16"/>
  <c r="BR145" i="16"/>
  <c r="BI145" i="16"/>
  <c r="BA145" i="16"/>
  <c r="AL145" i="16"/>
  <c r="U145" i="16"/>
  <c r="R145" i="16"/>
  <c r="S145" i="16" s="1"/>
  <c r="V145" i="16" s="1"/>
  <c r="M145" i="16"/>
  <c r="BR144" i="16"/>
  <c r="BI144" i="16"/>
  <c r="BA144" i="16"/>
  <c r="AL144" i="16"/>
  <c r="U144" i="16"/>
  <c r="R144" i="16"/>
  <c r="S144" i="16" s="1"/>
  <c r="V144" i="16" s="1"/>
  <c r="M144" i="16"/>
  <c r="BR143" i="16"/>
  <c r="BI143" i="16"/>
  <c r="BA143" i="16"/>
  <c r="AL143" i="16"/>
  <c r="U143" i="16"/>
  <c r="R143" i="16"/>
  <c r="S143" i="16" s="1"/>
  <c r="V143" i="16" s="1"/>
  <c r="M143" i="16"/>
  <c r="BR142" i="16"/>
  <c r="BI142" i="16"/>
  <c r="BA142" i="16"/>
  <c r="AL142" i="16"/>
  <c r="U142" i="16"/>
  <c r="S142" i="16"/>
  <c r="V142" i="16" s="1"/>
  <c r="M142" i="16"/>
  <c r="BR141" i="16"/>
  <c r="BI141" i="16"/>
  <c r="BA141" i="16"/>
  <c r="AL141" i="16"/>
  <c r="U141" i="16"/>
  <c r="R141" i="16"/>
  <c r="S141" i="16" s="1"/>
  <c r="V141" i="16" s="1"/>
  <c r="M141" i="16"/>
  <c r="BR140" i="16"/>
  <c r="BI140" i="16"/>
  <c r="BA140" i="16"/>
  <c r="AL140" i="16"/>
  <c r="U140" i="16"/>
  <c r="R140" i="16"/>
  <c r="S140" i="16" s="1"/>
  <c r="V140" i="16" s="1"/>
  <c r="M140" i="16"/>
  <c r="BR139" i="16"/>
  <c r="BI139" i="16"/>
  <c r="BA139" i="16"/>
  <c r="AL139" i="16"/>
  <c r="U139" i="16"/>
  <c r="R139" i="16"/>
  <c r="S139" i="16" s="1"/>
  <c r="V139" i="16" s="1"/>
  <c r="M139" i="16"/>
  <c r="BR138" i="16"/>
  <c r="BI138" i="16"/>
  <c r="BA138" i="16"/>
  <c r="AL138" i="16"/>
  <c r="U138" i="16"/>
  <c r="R138" i="16"/>
  <c r="S138" i="16" s="1"/>
  <c r="V138" i="16" s="1"/>
  <c r="M138" i="16"/>
  <c r="BR137" i="16"/>
  <c r="BI137" i="16"/>
  <c r="BA137" i="16"/>
  <c r="AL137" i="16"/>
  <c r="U137" i="16"/>
  <c r="R137" i="16"/>
  <c r="S137" i="16" s="1"/>
  <c r="V137" i="16" s="1"/>
  <c r="M137" i="16"/>
  <c r="BS136" i="16"/>
  <c r="BR136" i="16"/>
  <c r="BI136" i="16"/>
  <c r="BA136" i="16"/>
  <c r="AL136" i="16"/>
  <c r="U136" i="16"/>
  <c r="R136" i="16"/>
  <c r="S136" i="16" s="1"/>
  <c r="V136" i="16" s="1"/>
  <c r="M136" i="16"/>
  <c r="BS135" i="16"/>
  <c r="BR135" i="16"/>
  <c r="BI135" i="16"/>
  <c r="BA135" i="16"/>
  <c r="AL135" i="16"/>
  <c r="U135" i="16"/>
  <c r="R135" i="16"/>
  <c r="S135" i="16" s="1"/>
  <c r="V135" i="16" s="1"/>
  <c r="M135" i="16"/>
  <c r="BS134" i="16"/>
  <c r="BR134" i="16"/>
  <c r="BI134" i="16"/>
  <c r="BA134" i="16"/>
  <c r="AL134" i="16"/>
  <c r="U134" i="16"/>
  <c r="R134" i="16"/>
  <c r="S134" i="16" s="1"/>
  <c r="V134" i="16" s="1"/>
  <c r="M134" i="16"/>
  <c r="BS133" i="16"/>
  <c r="BR133" i="16"/>
  <c r="BI133" i="16"/>
  <c r="BA133" i="16"/>
  <c r="AL133" i="16"/>
  <c r="U133" i="16"/>
  <c r="R133" i="16"/>
  <c r="S133" i="16" s="1"/>
  <c r="V133" i="16" s="1"/>
  <c r="M133" i="16"/>
  <c r="BS132" i="16"/>
  <c r="BR132" i="16"/>
  <c r="BI132" i="16"/>
  <c r="BA132" i="16"/>
  <c r="AL132" i="16"/>
  <c r="U132" i="16"/>
  <c r="R132" i="16"/>
  <c r="S132" i="16" s="1"/>
  <c r="V132" i="16" s="1"/>
  <c r="M132" i="16"/>
  <c r="BS131" i="16"/>
  <c r="BR131" i="16"/>
  <c r="BI131" i="16"/>
  <c r="BA131" i="16"/>
  <c r="AL131" i="16"/>
  <c r="U131" i="16"/>
  <c r="R131" i="16"/>
  <c r="S131" i="16" s="1"/>
  <c r="V131" i="16" s="1"/>
  <c r="M131" i="16"/>
  <c r="BS130" i="16"/>
  <c r="BR130" i="16"/>
  <c r="BI130" i="16"/>
  <c r="BA130" i="16"/>
  <c r="AL130" i="16"/>
  <c r="U130" i="16"/>
  <c r="R130" i="16"/>
  <c r="S130" i="16" s="1"/>
  <c r="V130" i="16" s="1"/>
  <c r="M130" i="16"/>
  <c r="BS129" i="16"/>
  <c r="BR129" i="16"/>
  <c r="BI129" i="16"/>
  <c r="BA129" i="16"/>
  <c r="AL129" i="16"/>
  <c r="U129" i="16"/>
  <c r="R129" i="16"/>
  <c r="S129" i="16" s="1"/>
  <c r="V129" i="16" s="1"/>
  <c r="M129" i="16"/>
  <c r="BS128" i="16"/>
  <c r="BR128" i="16"/>
  <c r="BI128" i="16"/>
  <c r="BA128" i="16"/>
  <c r="AL128" i="16"/>
  <c r="U128" i="16"/>
  <c r="R128" i="16"/>
  <c r="S128" i="16" s="1"/>
  <c r="V128" i="16" s="1"/>
  <c r="M128" i="16"/>
  <c r="BS127" i="16"/>
  <c r="BR127" i="16"/>
  <c r="BI127" i="16"/>
  <c r="BA127" i="16"/>
  <c r="AL127" i="16"/>
  <c r="U127" i="16"/>
  <c r="R127" i="16"/>
  <c r="S127" i="16" s="1"/>
  <c r="V127" i="16" s="1"/>
  <c r="M127" i="16"/>
  <c r="BS126" i="16"/>
  <c r="BR126" i="16"/>
  <c r="BI126" i="16"/>
  <c r="BA126" i="16"/>
  <c r="AL126" i="16"/>
  <c r="U126" i="16"/>
  <c r="R126" i="16"/>
  <c r="S126" i="16" s="1"/>
  <c r="V126" i="16" s="1"/>
  <c r="M126" i="16"/>
  <c r="BS125" i="16"/>
  <c r="BI125" i="16"/>
  <c r="BA125" i="16"/>
  <c r="AL125" i="16"/>
  <c r="U125" i="16"/>
  <c r="R125" i="16"/>
  <c r="S125" i="16" s="1"/>
  <c r="V125" i="16" s="1"/>
  <c r="M125" i="16"/>
  <c r="BS124" i="16"/>
  <c r="BR124" i="16"/>
  <c r="BI124" i="16"/>
  <c r="BA124" i="16"/>
  <c r="AL124" i="16"/>
  <c r="U124" i="16"/>
  <c r="R124" i="16"/>
  <c r="S124" i="16" s="1"/>
  <c r="V124" i="16" s="1"/>
  <c r="M124" i="16"/>
  <c r="BS123" i="16"/>
  <c r="BR123" i="16"/>
  <c r="BI123" i="16"/>
  <c r="BA123" i="16"/>
  <c r="AL123" i="16"/>
  <c r="U123" i="16"/>
  <c r="R123" i="16"/>
  <c r="S123" i="16" s="1"/>
  <c r="V123" i="16" s="1"/>
  <c r="M123" i="16"/>
  <c r="BS122" i="16"/>
  <c r="BR122" i="16"/>
  <c r="BI122" i="16"/>
  <c r="BA122" i="16"/>
  <c r="AL122" i="16"/>
  <c r="AK122" i="16"/>
  <c r="U122" i="16"/>
  <c r="R122" i="16"/>
  <c r="S122" i="16" s="1"/>
  <c r="M122" i="16"/>
  <c r="BS121" i="16"/>
  <c r="BR121" i="16"/>
  <c r="BI121" i="16"/>
  <c r="BA121" i="16"/>
  <c r="AL121" i="16"/>
  <c r="U121" i="16"/>
  <c r="R121" i="16"/>
  <c r="S121" i="16" s="1"/>
  <c r="V121" i="16" s="1"/>
  <c r="M121" i="16"/>
  <c r="BS120" i="16"/>
  <c r="BR120" i="16"/>
  <c r="BI120" i="16"/>
  <c r="BA120" i="16"/>
  <c r="AL120" i="16"/>
  <c r="U120" i="16"/>
  <c r="R120" i="16"/>
  <c r="S120" i="16" s="1"/>
  <c r="V120" i="16" s="1"/>
  <c r="M120" i="16"/>
  <c r="BS119" i="16"/>
  <c r="BR119" i="16"/>
  <c r="BI119" i="16"/>
  <c r="BA119" i="16"/>
  <c r="AL119" i="16"/>
  <c r="R119" i="16"/>
  <c r="S119" i="16" s="1"/>
  <c r="V119" i="16" s="1"/>
  <c r="M119" i="16"/>
  <c r="BS118" i="16"/>
  <c r="BR118" i="16"/>
  <c r="BI118" i="16"/>
  <c r="BA118" i="16"/>
  <c r="AL118" i="16"/>
  <c r="U118" i="16"/>
  <c r="R118" i="16"/>
  <c r="S118" i="16" s="1"/>
  <c r="V118" i="16" s="1"/>
  <c r="M118" i="16"/>
  <c r="BS117" i="16"/>
  <c r="BR117" i="16"/>
  <c r="BI117" i="16"/>
  <c r="BA117" i="16"/>
  <c r="AL117" i="16"/>
  <c r="U117" i="16"/>
  <c r="R117" i="16"/>
  <c r="S117" i="16" s="1"/>
  <c r="V117" i="16" s="1"/>
  <c r="M117" i="16"/>
  <c r="BS116" i="16"/>
  <c r="BR116" i="16"/>
  <c r="BI116" i="16"/>
  <c r="BA116" i="16"/>
  <c r="AL116" i="16"/>
  <c r="U116" i="16"/>
  <c r="R116" i="16"/>
  <c r="S116" i="16" s="1"/>
  <c r="V116" i="16" s="1"/>
  <c r="M116" i="16"/>
  <c r="BS115" i="16"/>
  <c r="BR115" i="16"/>
  <c r="BI115" i="16"/>
  <c r="BA115" i="16"/>
  <c r="AL115" i="16"/>
  <c r="U115" i="16"/>
  <c r="R115" i="16"/>
  <c r="S115" i="16" s="1"/>
  <c r="V115" i="16" s="1"/>
  <c r="M115" i="16"/>
  <c r="BS114" i="16"/>
  <c r="BR114" i="16"/>
  <c r="BI114" i="16"/>
  <c r="BA114" i="16"/>
  <c r="AL114" i="16"/>
  <c r="U114" i="16"/>
  <c r="R114" i="16"/>
  <c r="S114" i="16" s="1"/>
  <c r="V114" i="16" s="1"/>
  <c r="M114" i="16"/>
  <c r="BS113" i="16"/>
  <c r="BR113" i="16"/>
  <c r="BI113" i="16"/>
  <c r="BA113" i="16"/>
  <c r="AL113" i="16"/>
  <c r="U113" i="16"/>
  <c r="R113" i="16"/>
  <c r="S113" i="16" s="1"/>
  <c r="V113" i="16" s="1"/>
  <c r="M113" i="16"/>
  <c r="BS112" i="16"/>
  <c r="BR112" i="16"/>
  <c r="BI112" i="16"/>
  <c r="BA112" i="16"/>
  <c r="AL112" i="16"/>
  <c r="U112" i="16"/>
  <c r="R112" i="16"/>
  <c r="S112" i="16" s="1"/>
  <c r="V112" i="16" s="1"/>
  <c r="M112" i="16"/>
  <c r="BS111" i="16"/>
  <c r="BR111" i="16"/>
  <c r="BI111" i="16"/>
  <c r="BA111" i="16"/>
  <c r="AL111" i="16"/>
  <c r="U111" i="16"/>
  <c r="R111" i="16"/>
  <c r="S111" i="16" s="1"/>
  <c r="V111" i="16" s="1"/>
  <c r="M111" i="16"/>
  <c r="BS110" i="16"/>
  <c r="BR110" i="16"/>
  <c r="BI110" i="16"/>
  <c r="BA110" i="16"/>
  <c r="AL110" i="16"/>
  <c r="U110" i="16"/>
  <c r="R110" i="16"/>
  <c r="S110" i="16" s="1"/>
  <c r="M110" i="16"/>
  <c r="BS109" i="16"/>
  <c r="BR109" i="16"/>
  <c r="BI109" i="16"/>
  <c r="BA109" i="16"/>
  <c r="AL109" i="16"/>
  <c r="AK109" i="16"/>
  <c r="U109" i="16"/>
  <c r="R109" i="16"/>
  <c r="S109" i="16" s="1"/>
  <c r="M109" i="16"/>
  <c r="BS108" i="16"/>
  <c r="BR108" i="16"/>
  <c r="BI108" i="16"/>
  <c r="BA108" i="16"/>
  <c r="AL108" i="16"/>
  <c r="U108" i="16"/>
  <c r="R108" i="16"/>
  <c r="S108" i="16" s="1"/>
  <c r="V108" i="16" s="1"/>
  <c r="M108" i="16"/>
  <c r="BS107" i="16"/>
  <c r="BR107" i="16"/>
  <c r="BI107" i="16"/>
  <c r="BA107" i="16"/>
  <c r="AL107" i="16"/>
  <c r="U107" i="16"/>
  <c r="R107" i="16"/>
  <c r="S107" i="16" s="1"/>
  <c r="V107" i="16" s="1"/>
  <c r="M107" i="16"/>
  <c r="BS106" i="16"/>
  <c r="BR106" i="16"/>
  <c r="BI106" i="16"/>
  <c r="BA106" i="16"/>
  <c r="AL106" i="16"/>
  <c r="U106" i="16"/>
  <c r="R106" i="16"/>
  <c r="S106" i="16" s="1"/>
  <c r="V106" i="16" s="1"/>
  <c r="M106" i="16"/>
  <c r="BS105" i="16"/>
  <c r="BR105" i="16"/>
  <c r="BI105" i="16"/>
  <c r="BA105" i="16"/>
  <c r="AL105" i="16"/>
  <c r="U105" i="16"/>
  <c r="R105" i="16"/>
  <c r="S105" i="16" s="1"/>
  <c r="V105" i="16" s="1"/>
  <c r="M105" i="16"/>
  <c r="BS104" i="16"/>
  <c r="BR104" i="16"/>
  <c r="BI104" i="16"/>
  <c r="BA104" i="16"/>
  <c r="AL104" i="16"/>
  <c r="U104" i="16"/>
  <c r="R104" i="16"/>
  <c r="S104" i="16" s="1"/>
  <c r="V104" i="16" s="1"/>
  <c r="M104" i="16"/>
  <c r="CA103" i="16"/>
  <c r="CB103" i="16" s="1"/>
  <c r="BS103" i="16"/>
  <c r="BR103" i="16"/>
  <c r="BI103" i="16"/>
  <c r="BA103" i="16"/>
  <c r="U103" i="16"/>
  <c r="Q103" i="16"/>
  <c r="M103" i="16"/>
  <c r="BS102" i="16"/>
  <c r="BR102" i="16"/>
  <c r="BI102" i="16"/>
  <c r="BA102" i="16"/>
  <c r="AL102" i="16"/>
  <c r="U102" i="16"/>
  <c r="R102" i="16"/>
  <c r="S102" i="16" s="1"/>
  <c r="V102" i="16" s="1"/>
  <c r="M102" i="16"/>
  <c r="BS101" i="16"/>
  <c r="BR101" i="16"/>
  <c r="BI101" i="16"/>
  <c r="BA101" i="16"/>
  <c r="AL101" i="16"/>
  <c r="U101" i="16"/>
  <c r="R101" i="16"/>
  <c r="S101" i="16" s="1"/>
  <c r="V101" i="16" s="1"/>
  <c r="M101" i="16"/>
  <c r="BS100" i="16"/>
  <c r="BR100" i="16"/>
  <c r="BI100" i="16"/>
  <c r="BA100" i="16"/>
  <c r="AL100" i="16"/>
  <c r="U100" i="16"/>
  <c r="R100" i="16"/>
  <c r="S100" i="16" s="1"/>
  <c r="V100" i="16" s="1"/>
  <c r="M100" i="16"/>
  <c r="BS99" i="16"/>
  <c r="BR99" i="16"/>
  <c r="BI99" i="16"/>
  <c r="BA99" i="16"/>
  <c r="AL99" i="16"/>
  <c r="U99" i="16"/>
  <c r="R99" i="16"/>
  <c r="S99" i="16" s="1"/>
  <c r="V99" i="16" s="1"/>
  <c r="M99" i="16"/>
  <c r="BS98" i="16"/>
  <c r="BR98" i="16"/>
  <c r="BI98" i="16"/>
  <c r="BA98" i="16"/>
  <c r="AL98" i="16"/>
  <c r="U98" i="16"/>
  <c r="R98" i="16"/>
  <c r="S98" i="16" s="1"/>
  <c r="V98" i="16" s="1"/>
  <c r="M98" i="16"/>
  <c r="BS97" i="16"/>
  <c r="BR97" i="16"/>
  <c r="BI97" i="16"/>
  <c r="BA97" i="16"/>
  <c r="AL97" i="16"/>
  <c r="U97" i="16"/>
  <c r="R97" i="16"/>
  <c r="S97" i="16" s="1"/>
  <c r="V97" i="16" s="1"/>
  <c r="M97" i="16"/>
  <c r="BS96" i="16"/>
  <c r="BR96" i="16"/>
  <c r="BI96" i="16"/>
  <c r="BA96" i="16"/>
  <c r="AL96" i="16"/>
  <c r="U96" i="16"/>
  <c r="R96" i="16"/>
  <c r="S96" i="16" s="1"/>
  <c r="V96" i="16" s="1"/>
  <c r="M96" i="16"/>
  <c r="BS95" i="16"/>
  <c r="BR95" i="16"/>
  <c r="BI95" i="16"/>
  <c r="BA95" i="16"/>
  <c r="AL95" i="16"/>
  <c r="U95" i="16"/>
  <c r="R95" i="16"/>
  <c r="S95" i="16" s="1"/>
  <c r="V95" i="16" s="1"/>
  <c r="M95" i="16"/>
  <c r="BS94" i="16"/>
  <c r="BR94" i="16"/>
  <c r="BI94" i="16"/>
  <c r="BA94" i="16"/>
  <c r="AL94" i="16"/>
  <c r="U94" i="16"/>
  <c r="M94" i="16"/>
  <c r="BV93" i="16"/>
  <c r="BS93" i="16"/>
  <c r="BR93" i="16"/>
  <c r="BI93" i="16"/>
  <c r="BA93" i="16"/>
  <c r="AL93" i="16"/>
  <c r="U93" i="16"/>
  <c r="R93" i="16"/>
  <c r="S93" i="16" s="1"/>
  <c r="V93" i="16" s="1"/>
  <c r="M93" i="16"/>
  <c r="BS92" i="16"/>
  <c r="BR92" i="16"/>
  <c r="BI92" i="16"/>
  <c r="BA92" i="16"/>
  <c r="AL92" i="16"/>
  <c r="U92" i="16"/>
  <c r="R92" i="16"/>
  <c r="S92" i="16" s="1"/>
  <c r="V92" i="16" s="1"/>
  <c r="M92" i="16"/>
  <c r="BS91" i="16"/>
  <c r="BR91" i="16"/>
  <c r="BI91" i="16"/>
  <c r="BA91" i="16"/>
  <c r="AL91" i="16"/>
  <c r="U91" i="16"/>
  <c r="R91" i="16"/>
  <c r="S91" i="16" s="1"/>
  <c r="V91" i="16" s="1"/>
  <c r="M91" i="16"/>
  <c r="BS90" i="16"/>
  <c r="BR90" i="16"/>
  <c r="BI90" i="16"/>
  <c r="BA90" i="16"/>
  <c r="AL90" i="16"/>
  <c r="AK90" i="16"/>
  <c r="U90" i="16"/>
  <c r="R90" i="16"/>
  <c r="S90" i="16" s="1"/>
  <c r="V90" i="16" s="1"/>
  <c r="M90" i="16"/>
  <c r="BS89" i="16"/>
  <c r="BR89" i="16"/>
  <c r="BI89" i="16"/>
  <c r="BA89" i="16"/>
  <c r="AL89" i="16"/>
  <c r="U89" i="16"/>
  <c r="R89" i="16"/>
  <c r="S89" i="16" s="1"/>
  <c r="V89" i="16" s="1"/>
  <c r="M89" i="16"/>
  <c r="BS88" i="16"/>
  <c r="BR88" i="16"/>
  <c r="BI88" i="16"/>
  <c r="BA88" i="16"/>
  <c r="AL88" i="16"/>
  <c r="U88" i="16"/>
  <c r="R88" i="16"/>
  <c r="S88" i="16" s="1"/>
  <c r="V88" i="16" s="1"/>
  <c r="M88" i="16"/>
  <c r="BS87" i="16"/>
  <c r="BR87" i="16"/>
  <c r="BI87" i="16"/>
  <c r="BA87" i="16"/>
  <c r="AL87" i="16"/>
  <c r="U87" i="16"/>
  <c r="R87" i="16"/>
  <c r="S87" i="16" s="1"/>
  <c r="V87" i="16" s="1"/>
  <c r="M87" i="16"/>
  <c r="BS86" i="16"/>
  <c r="BR86" i="16"/>
  <c r="BI86" i="16"/>
  <c r="BA86" i="16"/>
  <c r="AL86" i="16"/>
  <c r="U86" i="16"/>
  <c r="R86" i="16"/>
  <c r="S86" i="16" s="1"/>
  <c r="V86" i="16" s="1"/>
  <c r="M86" i="16"/>
  <c r="BS85" i="16"/>
  <c r="BR85" i="16"/>
  <c r="BI85" i="16"/>
  <c r="BA85" i="16"/>
  <c r="AL85" i="16"/>
  <c r="U85" i="16"/>
  <c r="R85" i="16"/>
  <c r="S85" i="16" s="1"/>
  <c r="V85" i="16" s="1"/>
  <c r="M85" i="16"/>
  <c r="BS84" i="16"/>
  <c r="BR84" i="16"/>
  <c r="BI84" i="16"/>
  <c r="BA84" i="16"/>
  <c r="AL84" i="16"/>
  <c r="U84" i="16"/>
  <c r="R84" i="16"/>
  <c r="S84" i="16" s="1"/>
  <c r="V84" i="16" s="1"/>
  <c r="M84" i="16"/>
  <c r="BS83" i="16"/>
  <c r="BR83" i="16"/>
  <c r="BI83" i="16"/>
  <c r="BA83" i="16"/>
  <c r="AL83" i="16"/>
  <c r="U83" i="16"/>
  <c r="R83" i="16"/>
  <c r="S83" i="16" s="1"/>
  <c r="V83" i="16" s="1"/>
  <c r="M83" i="16"/>
  <c r="BS82" i="16"/>
  <c r="BR82" i="16"/>
  <c r="BI82" i="16"/>
  <c r="BA82" i="16"/>
  <c r="AL82" i="16"/>
  <c r="U82" i="16"/>
  <c r="R82" i="16"/>
  <c r="S82" i="16" s="1"/>
  <c r="V82" i="16" s="1"/>
  <c r="M82" i="16"/>
  <c r="BS81" i="16"/>
  <c r="BR81" i="16"/>
  <c r="BI81" i="16"/>
  <c r="BA81" i="16"/>
  <c r="AL81" i="16"/>
  <c r="U81" i="16"/>
  <c r="R81" i="16"/>
  <c r="S81" i="16" s="1"/>
  <c r="V81" i="16" s="1"/>
  <c r="M81" i="16"/>
  <c r="BS80" i="16"/>
  <c r="BR80" i="16"/>
  <c r="BA80" i="16"/>
  <c r="AL80" i="16"/>
  <c r="U80" i="16"/>
  <c r="R80" i="16"/>
  <c r="S80" i="16" s="1"/>
  <c r="V80" i="16" s="1"/>
  <c r="M80" i="16"/>
  <c r="BS79" i="16"/>
  <c r="BR79" i="16"/>
  <c r="BI79" i="16"/>
  <c r="BA79" i="16"/>
  <c r="AL79" i="16"/>
  <c r="U79" i="16"/>
  <c r="R79" i="16"/>
  <c r="S79" i="16" s="1"/>
  <c r="V79" i="16" s="1"/>
  <c r="M79" i="16"/>
  <c r="BS78" i="16"/>
  <c r="BR78" i="16"/>
  <c r="BI78" i="16"/>
  <c r="BA78" i="16"/>
  <c r="AL78" i="16"/>
  <c r="U78" i="16"/>
  <c r="R78" i="16"/>
  <c r="S78" i="16" s="1"/>
  <c r="V78" i="16" s="1"/>
  <c r="M78" i="16"/>
  <c r="BS77" i="16"/>
  <c r="BR77" i="16"/>
  <c r="BI77" i="16"/>
  <c r="BA77" i="16"/>
  <c r="AL77" i="16"/>
  <c r="AK77" i="16"/>
  <c r="U77" i="16"/>
  <c r="R77" i="16"/>
  <c r="S77" i="16" s="1"/>
  <c r="M77" i="16"/>
  <c r="BS76" i="16"/>
  <c r="BR76" i="16"/>
  <c r="BI76" i="16"/>
  <c r="BA76" i="16"/>
  <c r="AL76" i="16"/>
  <c r="AK76" i="16"/>
  <c r="U76" i="16"/>
  <c r="R76" i="16"/>
  <c r="S76" i="16" s="1"/>
  <c r="M76" i="16"/>
  <c r="BS75" i="16"/>
  <c r="BR75" i="16"/>
  <c r="BI75" i="16"/>
  <c r="BA75" i="16"/>
  <c r="AL75" i="16"/>
  <c r="U75" i="16"/>
  <c r="R75" i="16"/>
  <c r="S75" i="16" s="1"/>
  <c r="V75" i="16" s="1"/>
  <c r="M75" i="16"/>
  <c r="BS74" i="16"/>
  <c r="BR74" i="16"/>
  <c r="BI74" i="16"/>
  <c r="BA74" i="16"/>
  <c r="AL74" i="16"/>
  <c r="U74" i="16"/>
  <c r="R74" i="16"/>
  <c r="S74" i="16" s="1"/>
  <c r="V74" i="16" s="1"/>
  <c r="M74" i="16"/>
  <c r="BS73" i="16"/>
  <c r="BR73" i="16"/>
  <c r="BI73" i="16"/>
  <c r="BA73" i="16"/>
  <c r="AL73" i="16"/>
  <c r="U73" i="16"/>
  <c r="R73" i="16"/>
  <c r="S73" i="16" s="1"/>
  <c r="V73" i="16" s="1"/>
  <c r="M73" i="16"/>
  <c r="BS72" i="16"/>
  <c r="BR72" i="16"/>
  <c r="BI72" i="16"/>
  <c r="BA72" i="16"/>
  <c r="AL72" i="16"/>
  <c r="U72" i="16"/>
  <c r="R72" i="16"/>
  <c r="S72" i="16" s="1"/>
  <c r="V72" i="16" s="1"/>
  <c r="M72" i="16"/>
  <c r="BS71" i="16"/>
  <c r="BR71" i="16"/>
  <c r="BI71" i="16"/>
  <c r="BA71" i="16"/>
  <c r="AL71" i="16"/>
  <c r="U71" i="16"/>
  <c r="R71" i="16"/>
  <c r="S71" i="16" s="1"/>
  <c r="V71" i="16" s="1"/>
  <c r="M71" i="16"/>
  <c r="BS70" i="16"/>
  <c r="BR70" i="16"/>
  <c r="BI70" i="16"/>
  <c r="BA70" i="16"/>
  <c r="AL70" i="16"/>
  <c r="U70" i="16"/>
  <c r="S70" i="16"/>
  <c r="V70" i="16" s="1"/>
  <c r="M70" i="16"/>
  <c r="BS69" i="16"/>
  <c r="BR69" i="16"/>
  <c r="BI69" i="16"/>
  <c r="BA69" i="16"/>
  <c r="AL69" i="16"/>
  <c r="U69" i="16"/>
  <c r="R69" i="16"/>
  <c r="S69" i="16" s="1"/>
  <c r="V69" i="16" s="1"/>
  <c r="M69" i="16"/>
  <c r="BS68" i="16"/>
  <c r="BR68" i="16"/>
  <c r="BI68" i="16"/>
  <c r="BA68" i="16"/>
  <c r="AL68" i="16"/>
  <c r="S68" i="16"/>
  <c r="V68" i="16" s="1"/>
  <c r="M68" i="16"/>
  <c r="BS67" i="16"/>
  <c r="BR67" i="16"/>
  <c r="BI67" i="16"/>
  <c r="BA67" i="16"/>
  <c r="AL67" i="16"/>
  <c r="U67" i="16"/>
  <c r="R67" i="16"/>
  <c r="S67" i="16" s="1"/>
  <c r="V67" i="16" s="1"/>
  <c r="M67" i="16"/>
  <c r="BS66" i="16"/>
  <c r="BR66" i="16"/>
  <c r="BI66" i="16"/>
  <c r="BA66" i="16"/>
  <c r="AL66" i="16"/>
  <c r="U66" i="16"/>
  <c r="R66" i="16"/>
  <c r="S66" i="16" s="1"/>
  <c r="V66" i="16" s="1"/>
  <c r="M66" i="16"/>
  <c r="BS65" i="16"/>
  <c r="BR65" i="16"/>
  <c r="BI65" i="16"/>
  <c r="BA65" i="16"/>
  <c r="AL65" i="16"/>
  <c r="U65" i="16"/>
  <c r="R65" i="16"/>
  <c r="S65" i="16" s="1"/>
  <c r="V65" i="16" s="1"/>
  <c r="M65" i="16"/>
  <c r="BS64" i="16"/>
  <c r="BR64" i="16"/>
  <c r="BI64" i="16"/>
  <c r="BA64" i="16"/>
  <c r="AL64" i="16"/>
  <c r="AK64" i="16"/>
  <c r="U64" i="16"/>
  <c r="R64" i="16"/>
  <c r="S64" i="16" s="1"/>
  <c r="M64" i="16"/>
  <c r="BS63" i="16"/>
  <c r="BR63" i="16"/>
  <c r="BI63" i="16"/>
  <c r="BA63" i="16"/>
  <c r="AL63" i="16"/>
  <c r="U63" i="16"/>
  <c r="R63" i="16"/>
  <c r="S63" i="16" s="1"/>
  <c r="V63" i="16" s="1"/>
  <c r="M63" i="16"/>
  <c r="BS62" i="16"/>
  <c r="BR62" i="16"/>
  <c r="BI62" i="16"/>
  <c r="BA62" i="16"/>
  <c r="AL62" i="16"/>
  <c r="U62" i="16"/>
  <c r="R62" i="16"/>
  <c r="S62" i="16" s="1"/>
  <c r="V62" i="16" s="1"/>
  <c r="M62" i="16"/>
  <c r="BS61" i="16"/>
  <c r="BR61" i="16"/>
  <c r="BA61" i="16"/>
  <c r="AL61" i="16"/>
  <c r="U61" i="16"/>
  <c r="R61" i="16"/>
  <c r="S61" i="16" s="1"/>
  <c r="V61" i="16" s="1"/>
  <c r="M61" i="16"/>
  <c r="BS60" i="16"/>
  <c r="BR60" i="16"/>
  <c r="BI60" i="16"/>
  <c r="BA60" i="16"/>
  <c r="AL60" i="16"/>
  <c r="AK60" i="16"/>
  <c r="U60" i="16"/>
  <c r="R60" i="16"/>
  <c r="S60" i="16" s="1"/>
  <c r="M60" i="16"/>
  <c r="BS59" i="16"/>
  <c r="BR59" i="16"/>
  <c r="BI59" i="16"/>
  <c r="BA59" i="16"/>
  <c r="AL59" i="16"/>
  <c r="AK59" i="16"/>
  <c r="U59" i="16"/>
  <c r="R59" i="16"/>
  <c r="S59" i="16" s="1"/>
  <c r="M59" i="16"/>
  <c r="BS58" i="16"/>
  <c r="BR58" i="16"/>
  <c r="BI58" i="16"/>
  <c r="BA58" i="16"/>
  <c r="AL58" i="16"/>
  <c r="AK58" i="16"/>
  <c r="U58" i="16"/>
  <c r="R58" i="16"/>
  <c r="S58" i="16" s="1"/>
  <c r="M58" i="16"/>
  <c r="BS57" i="16"/>
  <c r="BR57" i="16"/>
  <c r="BI57" i="16"/>
  <c r="BA57" i="16"/>
  <c r="AL57" i="16"/>
  <c r="U57" i="16"/>
  <c r="R57" i="16"/>
  <c r="S57" i="16" s="1"/>
  <c r="V57" i="16" s="1"/>
  <c r="M57" i="16"/>
  <c r="BS56" i="16"/>
  <c r="BR56" i="16"/>
  <c r="BA56" i="16"/>
  <c r="AL56" i="16"/>
  <c r="U56" i="16"/>
  <c r="R56" i="16"/>
  <c r="S56" i="16" s="1"/>
  <c r="V56" i="16" s="1"/>
  <c r="M56" i="16"/>
  <c r="BS55" i="16"/>
  <c r="BR55" i="16"/>
  <c r="BI55" i="16"/>
  <c r="BA55" i="16"/>
  <c r="AL55" i="16"/>
  <c r="U55" i="16"/>
  <c r="R55" i="16"/>
  <c r="S55" i="16" s="1"/>
  <c r="V55" i="16" s="1"/>
  <c r="M55" i="16"/>
  <c r="BS54" i="16"/>
  <c r="BR54" i="16"/>
  <c r="BI54" i="16"/>
  <c r="BA54" i="16"/>
  <c r="AL54" i="16"/>
  <c r="U54" i="16"/>
  <c r="R54" i="16"/>
  <c r="S54" i="16" s="1"/>
  <c r="V54" i="16" s="1"/>
  <c r="M54" i="16"/>
  <c r="BS53" i="16"/>
  <c r="BR53" i="16"/>
  <c r="BI53" i="16"/>
  <c r="BA53" i="16"/>
  <c r="AL53" i="16"/>
  <c r="AK53" i="16"/>
  <c r="U53" i="16"/>
  <c r="R53" i="16"/>
  <c r="S53" i="16" s="1"/>
  <c r="M53" i="16"/>
  <c r="BS52" i="16"/>
  <c r="BR52" i="16"/>
  <c r="BI52" i="16"/>
  <c r="BA52" i="16"/>
  <c r="AL52" i="16"/>
  <c r="U52" i="16"/>
  <c r="R52" i="16"/>
  <c r="S52" i="16" s="1"/>
  <c r="V52" i="16" s="1"/>
  <c r="M52" i="16"/>
  <c r="BS51" i="16"/>
  <c r="BR51" i="16"/>
  <c r="BI51" i="16"/>
  <c r="BA51" i="16"/>
  <c r="AL51" i="16"/>
  <c r="U51" i="16"/>
  <c r="R51" i="16"/>
  <c r="S51" i="16" s="1"/>
  <c r="V51" i="16" s="1"/>
  <c r="M51" i="16"/>
  <c r="BS50" i="16"/>
  <c r="BR50" i="16"/>
  <c r="BI50" i="16"/>
  <c r="BA50" i="16"/>
  <c r="AL50" i="16"/>
  <c r="U50" i="16"/>
  <c r="R50" i="16"/>
  <c r="S50" i="16" s="1"/>
  <c r="V50" i="16" s="1"/>
  <c r="M50" i="16"/>
  <c r="BS49" i="16"/>
  <c r="BR49" i="16"/>
  <c r="BI49" i="16"/>
  <c r="BA49" i="16"/>
  <c r="AL49" i="16"/>
  <c r="AK49" i="16"/>
  <c r="U49" i="16"/>
  <c r="R49" i="16"/>
  <c r="S49" i="16" s="1"/>
  <c r="M49" i="16"/>
  <c r="BS48" i="16"/>
  <c r="BR48" i="16"/>
  <c r="BA48" i="16"/>
  <c r="AL48" i="16"/>
  <c r="AK48" i="16"/>
  <c r="U48" i="16"/>
  <c r="R48" i="16"/>
  <c r="S48" i="16" s="1"/>
  <c r="M48" i="16"/>
  <c r="BS47" i="16"/>
  <c r="BR47" i="16"/>
  <c r="BA47" i="16"/>
  <c r="AL47" i="16"/>
  <c r="AK47" i="16"/>
  <c r="U47" i="16"/>
  <c r="R47" i="16"/>
  <c r="S47" i="16" s="1"/>
  <c r="M47" i="16"/>
  <c r="BS46" i="16"/>
  <c r="BR46" i="16"/>
  <c r="BA46" i="16"/>
  <c r="AL46" i="16"/>
  <c r="U46" i="16"/>
  <c r="R46" i="16"/>
  <c r="S46" i="16" s="1"/>
  <c r="V46" i="16" s="1"/>
  <c r="M46" i="16"/>
  <c r="BS45" i="16"/>
  <c r="BR45" i="16"/>
  <c r="BI45" i="16"/>
  <c r="BA45" i="16"/>
  <c r="AL45" i="16"/>
  <c r="S45" i="16"/>
  <c r="AK45" i="16" s="1"/>
  <c r="V45" i="16" s="1"/>
  <c r="M45" i="16"/>
  <c r="BS44" i="16"/>
  <c r="BR44" i="16"/>
  <c r="BA44" i="16"/>
  <c r="AL44" i="16"/>
  <c r="S44" i="16"/>
  <c r="V44" i="16" s="1"/>
  <c r="M44" i="16"/>
  <c r="BS43" i="16"/>
  <c r="BR43" i="16"/>
  <c r="BA43" i="16"/>
  <c r="AL43" i="16"/>
  <c r="U43" i="16"/>
  <c r="R43" i="16"/>
  <c r="S43" i="16" s="1"/>
  <c r="V43" i="16" s="1"/>
  <c r="M43" i="16"/>
  <c r="BS42" i="16"/>
  <c r="BR42" i="16"/>
  <c r="BA42" i="16"/>
  <c r="U42" i="16"/>
  <c r="R42" i="16"/>
  <c r="S42" i="16" s="1"/>
  <c r="V42" i="16" s="1"/>
  <c r="M42" i="16"/>
  <c r="BS41" i="16"/>
  <c r="BR41" i="16"/>
  <c r="BA41" i="16"/>
  <c r="AL41" i="16"/>
  <c r="U41" i="16"/>
  <c r="R41" i="16"/>
  <c r="S41" i="16" s="1"/>
  <c r="V41" i="16" s="1"/>
  <c r="M41" i="16"/>
  <c r="BS40" i="16"/>
  <c r="BR40" i="16"/>
  <c r="BA40" i="16"/>
  <c r="AL40" i="16"/>
  <c r="U40" i="16"/>
  <c r="R40" i="16"/>
  <c r="S40" i="16" s="1"/>
  <c r="V40" i="16" s="1"/>
  <c r="M40" i="16"/>
  <c r="BS39" i="16"/>
  <c r="BR39" i="16"/>
  <c r="BA39" i="16"/>
  <c r="AL39" i="16"/>
  <c r="U39" i="16"/>
  <c r="R39" i="16"/>
  <c r="S39" i="16" s="1"/>
  <c r="V39" i="16" s="1"/>
  <c r="M39" i="16"/>
  <c r="BS38" i="16"/>
  <c r="BR38" i="16"/>
  <c r="BA38" i="16"/>
  <c r="AL38" i="16"/>
  <c r="U38" i="16"/>
  <c r="R38" i="16"/>
  <c r="S38" i="16" s="1"/>
  <c r="V38" i="16" s="1"/>
  <c r="M38" i="16"/>
  <c r="BS37" i="16"/>
  <c r="BR37" i="16"/>
  <c r="BI37" i="16"/>
  <c r="BA37" i="16"/>
  <c r="AL37" i="16"/>
  <c r="U37" i="16"/>
  <c r="R37" i="16"/>
  <c r="S37" i="16" s="1"/>
  <c r="V37" i="16" s="1"/>
  <c r="M37" i="16"/>
  <c r="BS36" i="16"/>
  <c r="BR36" i="16"/>
  <c r="BI36" i="16"/>
  <c r="BA36" i="16"/>
  <c r="AL36" i="16"/>
  <c r="U36" i="16"/>
  <c r="R36" i="16"/>
  <c r="S36" i="16" s="1"/>
  <c r="V36" i="16" s="1"/>
  <c r="M36" i="16"/>
  <c r="BS35" i="16"/>
  <c r="BR35" i="16"/>
  <c r="BI35" i="16"/>
  <c r="BA35" i="16"/>
  <c r="AL35" i="16"/>
  <c r="U35" i="16"/>
  <c r="R35" i="16"/>
  <c r="S35" i="16" s="1"/>
  <c r="V35" i="16" s="1"/>
  <c r="M35" i="16"/>
  <c r="BS34" i="16"/>
  <c r="BR34" i="16"/>
  <c r="BI34" i="16"/>
  <c r="BA34" i="16"/>
  <c r="AL34" i="16"/>
  <c r="U34" i="16"/>
  <c r="R34" i="16"/>
  <c r="S34" i="16" s="1"/>
  <c r="V34" i="16" s="1"/>
  <c r="M34" i="16"/>
  <c r="BS33" i="16"/>
  <c r="BR33" i="16"/>
  <c r="BI33" i="16"/>
  <c r="BA33" i="16"/>
  <c r="AL33" i="16"/>
  <c r="U33" i="16"/>
  <c r="R33" i="16"/>
  <c r="S33" i="16" s="1"/>
  <c r="V33" i="16" s="1"/>
  <c r="M33" i="16"/>
  <c r="BS32" i="16"/>
  <c r="BR32" i="16"/>
  <c r="BI32" i="16"/>
  <c r="BA32" i="16"/>
  <c r="AL32" i="16"/>
  <c r="AK32" i="16"/>
  <c r="V32" i="16" s="1"/>
  <c r="U32" i="16"/>
  <c r="R32" i="16"/>
  <c r="M32" i="16"/>
  <c r="BS31" i="16"/>
  <c r="BR31" i="16"/>
  <c r="BI31" i="16"/>
  <c r="BA31" i="16"/>
  <c r="AL31" i="16"/>
  <c r="U31" i="16"/>
  <c r="R31" i="16"/>
  <c r="S31" i="16" s="1"/>
  <c r="V31" i="16" s="1"/>
  <c r="M31" i="16"/>
  <c r="BS30" i="16"/>
  <c r="BR30" i="16"/>
  <c r="BA30" i="16"/>
  <c r="AL30" i="16"/>
  <c r="U30" i="16"/>
  <c r="R30" i="16"/>
  <c r="S30" i="16" s="1"/>
  <c r="V30" i="16" s="1"/>
  <c r="M30" i="16"/>
  <c r="BS29" i="16"/>
  <c r="BR29" i="16"/>
  <c r="BA29" i="16"/>
  <c r="AL29" i="16"/>
  <c r="U29" i="16"/>
  <c r="R29" i="16"/>
  <c r="S29" i="16" s="1"/>
  <c r="V29" i="16" s="1"/>
  <c r="M29" i="16"/>
  <c r="BS28" i="16"/>
  <c r="BR28" i="16"/>
  <c r="BA28" i="16"/>
  <c r="AL28" i="16"/>
  <c r="U28" i="16"/>
  <c r="R28" i="16"/>
  <c r="S28" i="16" s="1"/>
  <c r="V28" i="16" s="1"/>
  <c r="M28" i="16"/>
  <c r="BS27" i="16"/>
  <c r="BR27" i="16"/>
  <c r="BA27" i="16"/>
  <c r="AL27" i="16"/>
  <c r="U27" i="16"/>
  <c r="R27" i="16"/>
  <c r="S27" i="16" s="1"/>
  <c r="V27" i="16" s="1"/>
  <c r="M27" i="16"/>
  <c r="BS26" i="16"/>
  <c r="BR26" i="16"/>
  <c r="BA26" i="16"/>
  <c r="AL26" i="16"/>
  <c r="U26" i="16"/>
  <c r="R26" i="16"/>
  <c r="S26" i="16" s="1"/>
  <c r="V26" i="16" s="1"/>
  <c r="M26" i="16"/>
  <c r="BS25" i="16"/>
  <c r="BR25" i="16"/>
  <c r="BI25" i="16"/>
  <c r="BA25" i="16"/>
  <c r="AL25" i="16"/>
  <c r="U25" i="16"/>
  <c r="R25" i="16"/>
  <c r="S25" i="16" s="1"/>
  <c r="V25" i="16" s="1"/>
  <c r="M25" i="16"/>
  <c r="BS24" i="16"/>
  <c r="BR24" i="16"/>
  <c r="BI24" i="16"/>
  <c r="BA24" i="16"/>
  <c r="AL24" i="16"/>
  <c r="U24" i="16"/>
  <c r="R24" i="16"/>
  <c r="S24" i="16" s="1"/>
  <c r="V24" i="16" s="1"/>
  <c r="M24" i="16"/>
  <c r="BS23" i="16"/>
  <c r="BR23" i="16"/>
  <c r="BI23" i="16"/>
  <c r="BA23" i="16"/>
  <c r="AL23" i="16"/>
  <c r="S23" i="16"/>
  <c r="V23" i="16" s="1"/>
  <c r="BS22" i="16"/>
  <c r="BR22" i="16"/>
  <c r="BI22" i="16"/>
  <c r="BA22" i="16"/>
  <c r="AL22" i="16"/>
  <c r="U22" i="16"/>
  <c r="R22" i="16"/>
  <c r="S22" i="16" s="1"/>
  <c r="V22" i="16" s="1"/>
  <c r="M22" i="16"/>
  <c r="BS21" i="16"/>
  <c r="BR21" i="16"/>
  <c r="BI21" i="16"/>
  <c r="BA21" i="16"/>
  <c r="AL21" i="16"/>
  <c r="U21" i="16"/>
  <c r="R21" i="16"/>
  <c r="S21" i="16" s="1"/>
  <c r="V21" i="16" s="1"/>
  <c r="M21" i="16"/>
  <c r="BS20" i="16"/>
  <c r="BR20" i="16"/>
  <c r="BI20" i="16"/>
  <c r="BA20" i="16"/>
  <c r="AL20" i="16"/>
  <c r="U20" i="16"/>
  <c r="R20" i="16"/>
  <c r="S20" i="16" s="1"/>
  <c r="V20" i="16" s="1"/>
  <c r="M20" i="16"/>
  <c r="BS19" i="16"/>
  <c r="BR19" i="16"/>
  <c r="BI19" i="16"/>
  <c r="BA19" i="16"/>
  <c r="AL19" i="16"/>
  <c r="U19" i="16"/>
  <c r="R19" i="16"/>
  <c r="S19" i="16" s="1"/>
  <c r="V19" i="16" s="1"/>
  <c r="M19" i="16"/>
  <c r="BS18" i="16"/>
  <c r="BR18" i="16"/>
  <c r="BI18" i="16"/>
  <c r="BA18" i="16"/>
  <c r="AL18" i="16"/>
  <c r="AK18" i="16"/>
  <c r="U18" i="16"/>
  <c r="R18" i="16"/>
  <c r="S18" i="16" s="1"/>
  <c r="M18" i="16"/>
  <c r="BS17" i="16"/>
  <c r="BR17" i="16"/>
  <c r="BI17" i="16"/>
  <c r="BA17" i="16"/>
  <c r="AL17" i="16"/>
  <c r="U17" i="16"/>
  <c r="R17" i="16"/>
  <c r="S17" i="16" s="1"/>
  <c r="V17" i="16" s="1"/>
  <c r="M17" i="16"/>
  <c r="BS16" i="16"/>
  <c r="BR16" i="16"/>
  <c r="BI16" i="16"/>
  <c r="BA16" i="16"/>
  <c r="AL16" i="16"/>
  <c r="U16" i="16"/>
  <c r="R16" i="16"/>
  <c r="S16" i="16" s="1"/>
  <c r="V16" i="16" s="1"/>
  <c r="M16" i="16"/>
  <c r="BS15" i="16"/>
  <c r="BR15" i="16"/>
  <c r="BI15" i="16"/>
  <c r="BA15" i="16"/>
  <c r="AL15" i="16"/>
  <c r="AK15" i="16"/>
  <c r="U15" i="16"/>
  <c r="R15" i="16"/>
  <c r="S15" i="16" s="1"/>
  <c r="M15" i="16"/>
  <c r="BS14" i="16"/>
  <c r="BR14" i="16"/>
  <c r="BI14" i="16"/>
  <c r="BA14" i="16"/>
  <c r="AL14" i="16"/>
  <c r="U14" i="16"/>
  <c r="R14" i="16"/>
  <c r="S14" i="16" s="1"/>
  <c r="V14" i="16" s="1"/>
  <c r="M14" i="16"/>
  <c r="BS13" i="16"/>
  <c r="BR13" i="16"/>
  <c r="BI13" i="16"/>
  <c r="BA13" i="16"/>
  <c r="AL13" i="16"/>
  <c r="U13" i="16"/>
  <c r="R13" i="16"/>
  <c r="S13" i="16" s="1"/>
  <c r="V13" i="16" s="1"/>
  <c r="M13" i="16"/>
  <c r="BS12" i="16"/>
  <c r="BR12" i="16"/>
  <c r="BI12" i="16"/>
  <c r="BA12" i="16"/>
  <c r="AL12" i="16"/>
  <c r="AK12" i="16"/>
  <c r="U12" i="16"/>
  <c r="R12" i="16"/>
  <c r="S12" i="16" s="1"/>
  <c r="M12" i="16"/>
  <c r="BS11" i="16"/>
  <c r="BR11" i="16"/>
  <c r="BI11" i="16"/>
  <c r="BA11" i="16"/>
  <c r="AL11" i="16"/>
  <c r="U11" i="16"/>
  <c r="R11" i="16"/>
  <c r="S11" i="16" s="1"/>
  <c r="V11" i="16" s="1"/>
  <c r="M11" i="16"/>
  <c r="BS10" i="16"/>
  <c r="BR10" i="16"/>
  <c r="BI10" i="16"/>
  <c r="BA10" i="16"/>
  <c r="AL10" i="16"/>
  <c r="U10" i="16"/>
  <c r="R10" i="16"/>
  <c r="S10" i="16" s="1"/>
  <c r="V10" i="16" s="1"/>
  <c r="M10" i="16"/>
  <c r="BS9" i="16"/>
  <c r="BR9" i="16"/>
  <c r="BI9" i="16"/>
  <c r="BA9" i="16"/>
  <c r="AL9" i="16"/>
  <c r="AK9" i="16"/>
  <c r="U9" i="16"/>
  <c r="R9" i="16"/>
  <c r="S9" i="16" s="1"/>
  <c r="M9" i="16"/>
  <c r="BS8" i="16"/>
  <c r="BR8" i="16"/>
  <c r="BI8" i="16"/>
  <c r="BA8" i="16"/>
  <c r="AL8" i="16"/>
  <c r="AK8" i="16"/>
  <c r="U8" i="16"/>
  <c r="R8" i="16"/>
  <c r="S8" i="16" s="1"/>
  <c r="M8" i="16"/>
  <c r="BS7" i="16"/>
  <c r="BR7" i="16"/>
  <c r="BI7" i="16"/>
  <c r="BA7" i="16"/>
  <c r="AL7" i="16"/>
  <c r="U7" i="16"/>
  <c r="R7" i="16"/>
  <c r="S7" i="16" s="1"/>
  <c r="V7" i="16" s="1"/>
  <c r="M7" i="16"/>
  <c r="BS6" i="16"/>
  <c r="BR6" i="16"/>
  <c r="BI6" i="16"/>
  <c r="BA6" i="16"/>
  <c r="AL6" i="16"/>
  <c r="AK6" i="16"/>
  <c r="U6" i="16"/>
  <c r="R6" i="16"/>
  <c r="S6" i="16" s="1"/>
  <c r="M6" i="16"/>
  <c r="BS5" i="16"/>
  <c r="BR5" i="16"/>
  <c r="BA5" i="16"/>
  <c r="AL5" i="16"/>
  <c r="U5" i="16"/>
  <c r="R5" i="16"/>
  <c r="S5" i="16" s="1"/>
  <c r="V5" i="16" s="1"/>
  <c r="M5" i="16"/>
  <c r="BS4" i="16"/>
  <c r="BR4" i="16"/>
  <c r="BI4" i="16"/>
  <c r="BA4" i="16"/>
  <c r="AL4" i="16"/>
  <c r="U4" i="16"/>
  <c r="R4" i="16"/>
  <c r="S4" i="16" s="1"/>
  <c r="V4" i="16" s="1"/>
  <c r="M4" i="16"/>
  <c r="BS3" i="16"/>
  <c r="BR3" i="16"/>
  <c r="BI3" i="16"/>
  <c r="BA3" i="16"/>
  <c r="AL3" i="16"/>
  <c r="AK3" i="16"/>
  <c r="U3" i="16"/>
  <c r="R3" i="16"/>
  <c r="S3" i="16" s="1"/>
  <c r="M3" i="16"/>
  <c r="V3" i="16" l="1"/>
  <c r="V47" i="16"/>
  <c r="V8" i="16"/>
  <c r="V18" i="16"/>
  <c r="V49" i="16"/>
  <c r="V77" i="16"/>
  <c r="V58" i="16"/>
  <c r="V12" i="16"/>
  <c r="E205" i="16" s="1"/>
  <c r="V53" i="16"/>
  <c r="E181" i="24"/>
  <c r="I172" i="22"/>
  <c r="E173" i="24"/>
  <c r="V110" i="16"/>
  <c r="R103" i="16"/>
  <c r="S103" i="16" s="1"/>
  <c r="V103" i="16" s="1"/>
  <c r="R196" i="16"/>
  <c r="V38" i="22"/>
  <c r="I173" i="22" s="1"/>
  <c r="V166" i="20"/>
  <c r="V173" i="16"/>
  <c r="V7" i="24"/>
  <c r="U165" i="24"/>
  <c r="S8" i="24"/>
  <c r="V8" i="24" s="1"/>
  <c r="E180" i="24" s="1"/>
  <c r="R165" i="24"/>
  <c r="V15" i="16"/>
  <c r="V60" i="16"/>
  <c r="V65" i="20"/>
  <c r="V48" i="16"/>
  <c r="V9" i="16"/>
  <c r="V68" i="22"/>
  <c r="I166" i="22" s="1"/>
  <c r="V32" i="20"/>
  <c r="F203" i="20" s="1"/>
  <c r="V15" i="20"/>
  <c r="V16" i="20"/>
  <c r="V53" i="20"/>
  <c r="F201" i="20" s="1"/>
  <c r="V17" i="20"/>
  <c r="V20" i="20"/>
  <c r="V117" i="20"/>
  <c r="V76" i="20"/>
  <c r="AL195" i="20"/>
  <c r="V44" i="20"/>
  <c r="Q195" i="20"/>
  <c r="V101" i="20"/>
  <c r="V139" i="20"/>
  <c r="V122" i="16"/>
  <c r="V6" i="16"/>
  <c r="V64" i="16"/>
  <c r="E204" i="16" s="1"/>
  <c r="V76" i="16"/>
  <c r="V109" i="16"/>
  <c r="V59" i="16"/>
  <c r="T195" i="20"/>
  <c r="V196" i="16"/>
  <c r="AL196" i="16"/>
  <c r="R158" i="22"/>
  <c r="R94" i="16"/>
  <c r="S196" i="16" s="1"/>
  <c r="R18" i="20"/>
  <c r="S18" i="20" s="1"/>
  <c r="U195" i="20"/>
  <c r="S5" i="22"/>
  <c r="U158" i="22"/>
  <c r="E182" i="24" l="1"/>
  <c r="F209" i="20"/>
  <c r="F210" i="20"/>
  <c r="I164" i="22"/>
  <c r="I175" i="22" s="1"/>
  <c r="E212" i="16"/>
  <c r="I174" i="22"/>
  <c r="E211" i="16"/>
  <c r="E203" i="16"/>
  <c r="E206" i="16" s="1"/>
  <c r="E172" i="24"/>
  <c r="E175" i="24" s="1"/>
  <c r="E174" i="24"/>
  <c r="V165" i="24"/>
  <c r="E176" i="24" s="1"/>
  <c r="S165" i="24"/>
  <c r="R195" i="20"/>
  <c r="S94" i="16"/>
  <c r="V94" i="16" s="1"/>
  <c r="W196" i="16" s="1"/>
  <c r="E207" i="16" s="1"/>
  <c r="V18" i="20"/>
  <c r="V195" i="20" s="1"/>
  <c r="F205" i="20" s="1"/>
  <c r="S195" i="20"/>
  <c r="S158" i="22"/>
  <c r="V5" i="22"/>
  <c r="I165" i="22" s="1"/>
  <c r="F211" i="20" l="1"/>
  <c r="F212" i="20" s="1"/>
  <c r="E213" i="16"/>
  <c r="I167" i="22"/>
  <c r="F202" i="20"/>
  <c r="F204" i="20" s="1"/>
  <c r="E183" i="24"/>
  <c r="E214" i="16"/>
  <c r="V158" i="22"/>
  <c r="I168" i="22" s="1"/>
  <c r="T196" i="16"/>
  <c r="D144"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tc={57CDC845-226B-4019-9339-33D659BE3107}</author>
  </authors>
  <commentList>
    <comment ref="E121" authorId="0" shapeId="0" xr:uid="{57CDC845-226B-4019-9339-33D659BE3107}">
      <text>
        <t>[Comentario encadenado]
Su versión de Excel le permite leer este comentario encadenado; sin embargo, las ediciones que se apliquen se quitarán si el archivo se abre en una versión más reciente de Excel. Más información: https://go.microsoft.com/fwlink/?linkid=870924
Comentario:
    FUERON DECLARADOS DESIERTOS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DIRECCION ADQUISICIONES JEFATURA COMPRAS 02</author>
  </authors>
  <commentList>
    <comment ref="C12" authorId="0" shapeId="0" xr:uid="{00000000-0006-0000-0900-000001000000}">
      <text>
        <r>
          <rPr>
            <b/>
            <sz val="12"/>
            <color indexed="81"/>
            <rFont val="Tahoma"/>
            <family val="2"/>
          </rPr>
          <t>EL MONTO ANTES DE LA MODIFICACION DE PRECIOS  ERA DE $74´577,675.48 I.V.A. INCLUIDO.</t>
        </r>
        <r>
          <rPr>
            <sz val="9"/>
            <color indexed="81"/>
            <rFont val="Tahoma"/>
            <family val="2"/>
          </rPr>
          <t xml:space="preserve">
</t>
        </r>
      </text>
    </comment>
    <comment ref="D14" authorId="0" shapeId="0" xr:uid="{00000000-0006-0000-0900-000002000000}">
      <text>
        <r>
          <rPr>
            <b/>
            <sz val="9"/>
            <color indexed="81"/>
            <rFont val="Tahoma"/>
            <family val="2"/>
          </rPr>
          <t>EL MONTO ANTES DE LA PRESICIÓN DE MONTOS ERA DE $41´541,784.
06 I,V,A, INCLUIDO</t>
        </r>
        <r>
          <rPr>
            <sz val="9"/>
            <color indexed="81"/>
            <rFont val="Tahoma"/>
            <family val="2"/>
          </rPr>
          <t xml:space="preserve">
</t>
        </r>
      </text>
    </comment>
    <comment ref="E14" authorId="0" shapeId="0" xr:uid="{00000000-0006-0000-0900-000003000000}">
      <text>
        <r>
          <rPr>
            <b/>
            <sz val="9"/>
            <color indexed="81"/>
            <rFont val="Tahoma"/>
            <family val="2"/>
          </rPr>
          <t>EL MONTO ANTES DE LA PRESICIÓN EN LOS MISMOS ERA DE $31´930,155.42 I.V.A. INCLUIDO</t>
        </r>
        <r>
          <rPr>
            <sz val="9"/>
            <color indexed="81"/>
            <rFont val="Tahoma"/>
            <family val="2"/>
          </rPr>
          <t xml:space="preserve">
</t>
        </r>
      </text>
    </comment>
    <comment ref="F14" authorId="0" shapeId="0" xr:uid="{00000000-0006-0000-0900-000004000000}">
      <text>
        <r>
          <rPr>
            <b/>
            <sz val="9"/>
            <color indexed="81"/>
            <rFont val="Tahoma"/>
            <family val="2"/>
          </rPr>
          <t>EL MONTO ANTES DE LA PRESICIÓN EN LOS MISMOS ERA DE $1´105,736.00 I.V.A. INCLUIDO</t>
        </r>
      </text>
    </comment>
    <comment ref="G14" authorId="0" shapeId="0" xr:uid="{00000000-0006-0000-0900-000005000000}">
      <text>
        <r>
          <rPr>
            <b/>
            <sz val="12"/>
            <color indexed="81"/>
            <rFont val="Tahoma"/>
            <family val="2"/>
          </rPr>
          <t>SE REALIZO UNA MODIFICACION AL PRECIO INICIAL DE $26´989,775.24 IVA INCLUIDO MAS $3´500,000</t>
        </r>
        <r>
          <rPr>
            <sz val="9"/>
            <color indexed="81"/>
            <rFont val="Tahoma"/>
            <family val="2"/>
          </rPr>
          <t xml:space="preserve">
</t>
        </r>
      </text>
    </comment>
  </commentList>
</comments>
</file>

<file path=xl/sharedStrings.xml><?xml version="1.0" encoding="utf-8"?>
<sst xmlns="http://schemas.openxmlformats.org/spreadsheetml/2006/main" count="29595" uniqueCount="10023">
  <si>
    <t>DESCRIPCIÓN</t>
  </si>
  <si>
    <t>FUNDAMENTO</t>
  </si>
  <si>
    <t>RUBRO</t>
  </si>
  <si>
    <t>1.- MONTO MENOR</t>
  </si>
  <si>
    <t>ART. 21 F. I</t>
  </si>
  <si>
    <t>D  MONTO MENOR</t>
  </si>
  <si>
    <t>ABARROTES Y ALIMENTOS</t>
  </si>
  <si>
    <t>2.- DERECHOS EXCLUSIVOS</t>
  </si>
  <si>
    <t>ART. 21 F. II</t>
  </si>
  <si>
    <t>B  EXCEPCIÓN A LA LICITACIÓN</t>
  </si>
  <si>
    <t>CAPACITACIÓN</t>
  </si>
  <si>
    <t>3.- ESTACIONAMIENTO</t>
  </si>
  <si>
    <t>ART. 21 F. III</t>
  </si>
  <si>
    <t>CONSTRUCCIÓN Y REMODELACIÓN</t>
  </si>
  <si>
    <t>4.- IMPRESIÓN, EDICIÓN LIBROS</t>
  </si>
  <si>
    <t>ART. 21 F. V</t>
  </si>
  <si>
    <t>EDICIONES E IMPRESIONES</t>
  </si>
  <si>
    <t>5.- IMPRESIÓN DE PAPELERÍA</t>
  </si>
  <si>
    <t>ART. 21 F. VI</t>
  </si>
  <si>
    <t>ELECTRÓNICOS Y ELECTRODOMÉSTICOS</t>
  </si>
  <si>
    <t>6.- PERECEDEROS Y ALIMENTICIOS</t>
  </si>
  <si>
    <t>ART. 21 F. VII</t>
  </si>
  <si>
    <t>EQUIPAMIENTO DE OFICINA</t>
  </si>
  <si>
    <t>7.- CONSULTORÍA Y ASESORÍA</t>
  </si>
  <si>
    <t>ART. 21 F. VIII</t>
  </si>
  <si>
    <t>ESTANCIAS DE INVESTIGACIÓN</t>
  </si>
  <si>
    <t xml:space="preserve">8.- TRADUCCIÓN </t>
  </si>
  <si>
    <t>ART. 21 F. IX</t>
  </si>
  <si>
    <t>FERRETERÍA Y ELECTRICIDAD</t>
  </si>
  <si>
    <t>9.- SERVICIOS PROFESIONALES</t>
  </si>
  <si>
    <t>ART. 21 F. X</t>
  </si>
  <si>
    <t>INFORMÁTICOS</t>
  </si>
  <si>
    <t>10.- INSTITUCIONES PÚBLICAS</t>
  </si>
  <si>
    <t>ART. 21 F. XI</t>
  </si>
  <si>
    <t>LIMPIEZA</t>
  </si>
  <si>
    <t>11.- ADAPTACIÓN CON CONTRATISTA DE PROYECTO EJECUTIVO</t>
  </si>
  <si>
    <t>ART. 21 F. XII</t>
  </si>
  <si>
    <t>MANTENIMIENTO</t>
  </si>
  <si>
    <t>12.- LICITACIÓN DESIERTA</t>
  </si>
  <si>
    <t>ART. 21 F. XIII</t>
  </si>
  <si>
    <t>MÉDICOS</t>
  </si>
  <si>
    <t>13.- INVITACIÓN DESIERTA</t>
  </si>
  <si>
    <t>ART. 21 F. XIV</t>
  </si>
  <si>
    <t>MOBILIARIO DE MADERA</t>
  </si>
  <si>
    <t>14.- CIRCUNSTANCIAS IMPREVISIBLES O PELIGRO</t>
  </si>
  <si>
    <t>ART. 21 F. XVI</t>
  </si>
  <si>
    <t>MUEBLES</t>
  </si>
  <si>
    <t>15.- BIENES O SERVICIOS DE PRESTACIONES LABORALES</t>
  </si>
  <si>
    <t>ART. 21 F. XVIII</t>
  </si>
  <si>
    <t>PAPELERÍA Y CONSUMIBLES DE CÓMPUTO</t>
  </si>
  <si>
    <t>16.- TARJETA IAVE Y TRANSPORTE</t>
  </si>
  <si>
    <t>ART. 21 F. XIX</t>
  </si>
  <si>
    <t>PINTURA</t>
  </si>
  <si>
    <t>17.- AGENCIAS VIAJES</t>
  </si>
  <si>
    <t>ART. 21 XX</t>
  </si>
  <si>
    <t>REGALOS Y PROMOCIONALES</t>
  </si>
  <si>
    <t>18.- AUTOMOTRICES</t>
  </si>
  <si>
    <t>ART. 21 F. XXI</t>
  </si>
  <si>
    <t>ROPA Y EQUIPO DE TRABAJO</t>
  </si>
  <si>
    <t>19.- AUTORIZACIÓN DE ÓRGANOS DE GOBIERNO A SOLICITUD DE ÁREAS DEL SENADO</t>
  </si>
  <si>
    <t>ART. 21 F. XXII</t>
  </si>
  <si>
    <t>SERVICIO AUTOMOTRIZ</t>
  </si>
  <si>
    <t>20.- CIRCUNSTANCIAS PROVOQUEN PERDIDAS</t>
  </si>
  <si>
    <t>ART. 21 XXIII</t>
  </si>
  <si>
    <t>TELEFONÍA CELULAR E INTERNET MÓVIL</t>
  </si>
  <si>
    <t>21.- TELEFONÍA MÓVIL</t>
  </si>
  <si>
    <t>ART. 21 F. XXIV</t>
  </si>
  <si>
    <t>TRADUCCIONES</t>
  </si>
  <si>
    <t>22.- RENOVACIÓN</t>
  </si>
  <si>
    <t>ART. 22</t>
  </si>
  <si>
    <t>TRANSPORTE</t>
  </si>
  <si>
    <t xml:space="preserve">23.- CONVENIOS DE COLABORACIÓN </t>
  </si>
  <si>
    <t>ART. 4</t>
  </si>
  <si>
    <t>VEHÍCULOS</t>
  </si>
  <si>
    <t>24.- LICITACIÓN PÚBLICA</t>
  </si>
  <si>
    <t>ART. 45</t>
  </si>
  <si>
    <t>A  LICITACIÓN</t>
  </si>
  <si>
    <t>Z DIVERSOS</t>
  </si>
  <si>
    <t>25.- INVITACIÓN</t>
  </si>
  <si>
    <t>ART. 67, 71 F. III</t>
  </si>
  <si>
    <t>C  INVITACIÓN</t>
  </si>
  <si>
    <t>26.- INVITACIÓN POR INSTRUCCIÓN DE ÓRGANO DE GOBIERNO</t>
  </si>
  <si>
    <t>ART. 71 F. III</t>
  </si>
  <si>
    <t>CONTRATO</t>
  </si>
  <si>
    <t>ADQ, SERV</t>
  </si>
  <si>
    <t>DOCUMENTO DE SOLICITUD</t>
  </si>
  <si>
    <t>PROCEDIMIENTO</t>
  </si>
  <si>
    <t>adj excepcion</t>
  </si>
  <si>
    <t>TIPO</t>
  </si>
  <si>
    <t>PERSONA MORAL</t>
  </si>
  <si>
    <t>NOMBRE (S)</t>
  </si>
  <si>
    <t>PRIMER APELLIDO</t>
  </si>
  <si>
    <t>SEGUNDO APELLIDO</t>
  </si>
  <si>
    <t>PROVEEDOR</t>
  </si>
  <si>
    <t>ADMINISTRADOR</t>
  </si>
  <si>
    <t>SUPERVISOR</t>
  </si>
  <si>
    <t>IMPORTE SIN IVA</t>
  </si>
  <si>
    <t>IVA</t>
  </si>
  <si>
    <t>TOTAL CON IVA</t>
  </si>
  <si>
    <t>ABIERTO MÍN A/IVA</t>
  </si>
  <si>
    <t>ABIERTO MÍN INCLUYE/IVA</t>
  </si>
  <si>
    <t>COMPROMETIDO
(CON IVA)</t>
  </si>
  <si>
    <t>PLURI</t>
  </si>
  <si>
    <t>FECHA DE CONTRATO</t>
  </si>
  <si>
    <t>MES</t>
  </si>
  <si>
    <t>INICIO DE VIGENCIA</t>
  </si>
  <si>
    <t>FIN DE VIGENCIA</t>
  </si>
  <si>
    <t>PARTIDA</t>
  </si>
  <si>
    <t>CLASIFICADOR POR OBJETO DE GASTO</t>
  </si>
  <si>
    <t>TICKET SAPFIN</t>
  </si>
  <si>
    <t>OBSERVACIONES</t>
  </si>
  <si>
    <t>CUMPLIMIENTO</t>
  </si>
  <si>
    <t>RESP CIV</t>
  </si>
  <si>
    <t>ANTICIPO</t>
  </si>
  <si>
    <t>VICIOS OCULTOS</t>
  </si>
  <si>
    <t>CUMPLIDA?</t>
  </si>
  <si>
    <t>MODIFICACIÓN</t>
  </si>
  <si>
    <t>OBJETO DE LA MODIFICACIÓN</t>
  </si>
  <si>
    <t>FECHA</t>
  </si>
  <si>
    <t>MONTO (CON IVA)</t>
  </si>
  <si>
    <t>¿VIGENTE?</t>
  </si>
  <si>
    <t>CAOS</t>
  </si>
  <si>
    <t>MODIF CAOS</t>
  </si>
  <si>
    <t>INF MESA</t>
  </si>
  <si>
    <t>TRANSPARENCIA</t>
  </si>
  <si>
    <t>MODIF TRNSP</t>
  </si>
  <si>
    <t>DOLARES</t>
  </si>
  <si>
    <t>TIPO DE CAMBIO</t>
  </si>
  <si>
    <t>MONTO</t>
  </si>
  <si>
    <t>OFICIO FORMALIZA</t>
  </si>
  <si>
    <t>DETALLES</t>
  </si>
  <si>
    <t>RFC</t>
  </si>
  <si>
    <t>FECHA SOLICITUD DE ÁREA</t>
  </si>
  <si>
    <t>FECHA SOLICITUD A JURIDICO</t>
  </si>
  <si>
    <t>REGRESA DE JURIDICO</t>
  </si>
  <si>
    <t>SE INFORMA AL PROV. DE FIANZA</t>
  </si>
  <si>
    <t>1ER DIA RECEPCIÓN FIANZA (S)</t>
  </si>
  <si>
    <t>RECEPCIÓN DE FIANZAS EN DIR</t>
  </si>
  <si>
    <t>DÍAS HAB PRESENTO FIANZA (s)</t>
  </si>
  <si>
    <t>SE ENVÍA FIANZA A JURÍDICO</t>
  </si>
  <si>
    <t>REGRESO DE FIANZA DE JURIDICO A DA</t>
  </si>
  <si>
    <t>COMENTARIOS EN CASO DE INCUMPLIMIENTO</t>
  </si>
  <si>
    <t>FECHA DE FORMALIZACIÓN DE FIANZA EN TESORERÍA y/o CONTRATO</t>
  </si>
  <si>
    <t>FECHA DE FORMALIZACIÓN DE CONTRATO EN JURÍDICO</t>
  </si>
  <si>
    <t>FECHA DE FORMALIZACIÓN ÁREA REQUIRENTE</t>
  </si>
  <si>
    <t>FECHA REAL DE FIRMA PROV. CONTRATO</t>
  </si>
  <si>
    <t>FECHA DE COMPROMISO (SUF)</t>
  </si>
  <si>
    <t>STATUS</t>
  </si>
  <si>
    <t>SERV/DGRMSG/001/01/18</t>
  </si>
  <si>
    <t>Servicio</t>
  </si>
  <si>
    <t>SEN/DGRMSG/INV030/2017</t>
  </si>
  <si>
    <t>Invitación</t>
  </si>
  <si>
    <t>Art 67</t>
  </si>
  <si>
    <t>Grafiscanner, S.A. de C.V.</t>
  </si>
  <si>
    <t>Dirección del Diario de los Debates</t>
  </si>
  <si>
    <t>Servicio de impresión, encuadernación y empastado de los Diarios de los debates</t>
  </si>
  <si>
    <t>No</t>
  </si>
  <si>
    <t>Enero</t>
  </si>
  <si>
    <t>Mediante tarjeta de 6 de junio autorizada por Secretario General se dispensa Fianza C 15%</t>
  </si>
  <si>
    <t>N/A</t>
  </si>
  <si>
    <t>Se dispensa fianza</t>
  </si>
  <si>
    <t>No aplica</t>
  </si>
  <si>
    <t>SERV/DGRMSG/002/01/18</t>
  </si>
  <si>
    <t>Adjudicación Directa</t>
  </si>
  <si>
    <t>Art 21 XI</t>
  </si>
  <si>
    <t>Policía Auxiliar de la Ciudad de México</t>
  </si>
  <si>
    <t>Dirección General de Resguardo Parlamentario</t>
  </si>
  <si>
    <t>Seguridad y vigilancia durante las 24 horas del día, de todos los días del año, intra y extramuros de los inmuebles que ocupa "EL SENADO", para el ejercicio 2018</t>
  </si>
  <si>
    <t>SERV/DGRMSG/002-I/01/18</t>
  </si>
  <si>
    <t>Incremento en el importe máximo</t>
  </si>
  <si>
    <t>Inst. Pública</t>
  </si>
  <si>
    <t>SERV/DGRMSG/003/01/18</t>
  </si>
  <si>
    <t>SEN/DGRMSG/L014/2017</t>
  </si>
  <si>
    <t>Licitación Pública</t>
  </si>
  <si>
    <t>Art 45, 97 y 100</t>
  </si>
  <si>
    <t>Licitación</t>
  </si>
  <si>
    <t>Luis</t>
  </si>
  <si>
    <t>Andrade</t>
  </si>
  <si>
    <t>Mendoza</t>
  </si>
  <si>
    <t>Coordinación de Comunicación Social</t>
  </si>
  <si>
    <t>Coodinación Administrativa de la Coordinación de Comunicación Social</t>
  </si>
  <si>
    <t>Abastecimiento y distribución de periódicos y revistas, así como la distribución de síntesis informativas para el ejercicio 2018</t>
  </si>
  <si>
    <t>Fianza C 15%</t>
  </si>
  <si>
    <t>Si</t>
  </si>
  <si>
    <t>SERV/DGRMSG/003-I/01/18</t>
  </si>
  <si>
    <t>Ampliación de vigencia al 28 de feb de 2019, incremento del 25% al monto máximo</t>
  </si>
  <si>
    <t>Ejecutora</t>
  </si>
  <si>
    <t>SERV/DGRMSG/009/02/18</t>
  </si>
  <si>
    <t>Art 21 XXII</t>
  </si>
  <si>
    <t>Camerier, S.A. de C.V.</t>
  </si>
  <si>
    <t>Unidad de Eventos</t>
  </si>
  <si>
    <t>Jefatura del Departamento de Servicios de Alimentación y Cafetería</t>
  </si>
  <si>
    <t xml:space="preserve">Servicio de alimentación para la presidencia de la Junta de Coordinación Política, para el ejercicio 2018 </t>
  </si>
  <si>
    <t>Febrero</t>
  </si>
  <si>
    <t>Fianza</t>
  </si>
  <si>
    <t>SERV/DGRMSG/010/02/18</t>
  </si>
  <si>
    <t>Art 21 XXI</t>
  </si>
  <si>
    <t>Samurai Motors Ciudad de México, S. de R.L. de C.V.</t>
  </si>
  <si>
    <t>Dirección de Mantenimiento de Bienes Muebles e Inmuebles</t>
  </si>
  <si>
    <t>Subdirección de Administración de Contratos y Servicios</t>
  </si>
  <si>
    <t>Servicio de mantenimiento preventivo y correctivo a 77 vehículos de la marca Toyota</t>
  </si>
  <si>
    <t>Fianza Cumpli 15%</t>
  </si>
  <si>
    <t>SERV/DGRMSG/010-I/02/18</t>
  </si>
  <si>
    <t>Incremento del 25% al monto máximo, ampliación de vigencia al 28 de feb de 2019, y sustitución del Anexo "I"</t>
  </si>
  <si>
    <t>No hay oficio</t>
  </si>
  <si>
    <t>No hay acuse</t>
  </si>
  <si>
    <t>SERV/DGRMSG/013/02/18</t>
  </si>
  <si>
    <t>SEN/DGRMSG/L0001/2017</t>
  </si>
  <si>
    <t>MR Computer Solutions, S.A. de C.V.</t>
  </si>
  <si>
    <t>Dirección de Infraestructura Informática y de Comunicaciones</t>
  </si>
  <si>
    <t>Subdirección de Infraestructura Informática</t>
  </si>
  <si>
    <t>Servicio de actualización y servicios de mantenimiento preventivo y correctivo para la solución tecnológica de almacenamiento Storange</t>
  </si>
  <si>
    <t>Fianza 
Resp Civil 10%</t>
  </si>
  <si>
    <t xml:space="preserve"> </t>
  </si>
  <si>
    <t xml:space="preserve">01/03/2018C
23/10/2018RC
16/11/2018RC
</t>
  </si>
  <si>
    <t>02/03/2018C
23/10/18RC
20/11/2018RC</t>
  </si>
  <si>
    <t>06/03/2018C
31/102018RC
23/11/2018RC</t>
  </si>
  <si>
    <t>Vigencia incorrecta y extemporánea</t>
  </si>
  <si>
    <t>SERV/DGRMSG/014/02/18</t>
  </si>
  <si>
    <t>Notimex, Agencia de noticias del Estado de México</t>
  </si>
  <si>
    <t>Dirección de Producción y Programación</t>
  </si>
  <si>
    <t>Dirección de Información y Noticias</t>
  </si>
  <si>
    <t>Servicio informativo de texto, fotografía digital y video (6 usuarios)</t>
  </si>
  <si>
    <t>No esta obligado a presentar fianza</t>
  </si>
  <si>
    <t>ADQ/DGRMSG/015/02/18</t>
  </si>
  <si>
    <t>Adquisición</t>
  </si>
  <si>
    <t>SEN/DGRMSG/INV001/18</t>
  </si>
  <si>
    <t>Electropura, S. de R.L. de C.V.</t>
  </si>
  <si>
    <t>Dirección de Mantenimiento de Bienes Muebles y Coordinación Técnica de la DGRMSG</t>
  </si>
  <si>
    <t>Subdirección de Adminsitración Contratos y Servicios y Subdirección de Supervisión</t>
  </si>
  <si>
    <t>Vender y entregar agua purificada envasada en garrafón de 20 litros para los inmuebles ocupados por la Cámara, para el ejercicio 2018 (partida única, numerales 1 y 2 )</t>
  </si>
  <si>
    <t xml:space="preserve">Fianza 15%
</t>
  </si>
  <si>
    <t>ADQ/DGRMSG/015-I/02/18</t>
  </si>
  <si>
    <t>Incremento del 25% a importe máximo de los numerales 1 y 2, ampliación de vigencia al 28 de feb de 2019</t>
  </si>
  <si>
    <t>Marzo</t>
  </si>
  <si>
    <t>SERV/DGRMSG/016/02/18</t>
  </si>
  <si>
    <t>SEN/DGRMSG/INV006/2018</t>
  </si>
  <si>
    <t>Art 21 XIV</t>
  </si>
  <si>
    <t>Invitación desierta</t>
  </si>
  <si>
    <t>Alfredo</t>
  </si>
  <si>
    <t>Muñoz</t>
  </si>
  <si>
    <t>Herranz</t>
  </si>
  <si>
    <t>Subdirección de Producción y Edición</t>
  </si>
  <si>
    <t>Servicios complementarios para cubrir las necesidades en las instalaciones del Circuito Cerrado de TV</t>
  </si>
  <si>
    <t xml:space="preserve">Fianza 15%
Resp Civil 15%
</t>
  </si>
  <si>
    <t>SERV/DGRMSG/016-I/02/18</t>
  </si>
  <si>
    <t>Incremento del 20% en monto total y ampliación de vigencia al 28 de feb de 2019</t>
  </si>
  <si>
    <t>02/04/18C
26/03/18RC</t>
  </si>
  <si>
    <t>05/04/18C
26/03/18RC</t>
  </si>
  <si>
    <t>10/04/18C
05/04/2018RC</t>
  </si>
  <si>
    <t>SERV/DGRMSG/017/02/18</t>
  </si>
  <si>
    <t>SEN/DGRMSG/INV004/2018</t>
  </si>
  <si>
    <t>Servicios de mantenimiento preventivo del Circuto Cerrado de Televisión y distribución de señales en las instalaciones de la Coordinación de Comunicación</t>
  </si>
  <si>
    <t>SERV/DGRMSG/017-I/02/18</t>
  </si>
  <si>
    <t>10/04/18C
26/03/18RC</t>
  </si>
  <si>
    <t>16/04/18C
05/04/18RC</t>
  </si>
  <si>
    <t>SERV/DGRMSG/018/02/18</t>
  </si>
  <si>
    <t>SEN/DGRMSG/INV005/2018</t>
  </si>
  <si>
    <t>Aureliano</t>
  </si>
  <si>
    <t>Contreras</t>
  </si>
  <si>
    <t>Morales</t>
  </si>
  <si>
    <t>Servicios de mantenimiento de equipos de audio de la Coordinación de Comunicación Social, ubicados en diversas áreas del Senado</t>
  </si>
  <si>
    <t>SERV/DGRMSG/018-I/02/18</t>
  </si>
  <si>
    <t>10/04/18C
24/04/18C
05/04/18RC</t>
  </si>
  <si>
    <t>10/04/18C
24/04/18C
06/04/18RC</t>
  </si>
  <si>
    <t>16/04/18C
30/04/18C
12/04/18RC</t>
  </si>
  <si>
    <t>El monto total no corresponde al 15%</t>
  </si>
  <si>
    <t>ADQ/DGRMSG/019/02/18</t>
  </si>
  <si>
    <t>SEN/DGRMSG/INV003/2018</t>
  </si>
  <si>
    <t>Manantiales la Asunción, S.A.P.I. de C.V.</t>
  </si>
  <si>
    <t>Dirección de Control Patrimonial</t>
  </si>
  <si>
    <t>Subdirección de Almacenes e Inventarios</t>
  </si>
  <si>
    <t>Agua embotellada para el ejercicio 2018</t>
  </si>
  <si>
    <t>SERV/DGRMSG/022/02/18</t>
  </si>
  <si>
    <t>SEN/DGRMSG/INV002/2018</t>
  </si>
  <si>
    <t>Impulso Metropolitano de Vivienda, S.A. de C.V.</t>
  </si>
  <si>
    <t>Dirección de Mantenimiento de Bienes Muebles e Inmuebles  /  Coordinación Técnica de la DGRMSG</t>
  </si>
  <si>
    <t>Subdirección de Mantenimiento de Bienes Muebles e Inmuebles  /  Subdirección de Supervisión</t>
  </si>
  <si>
    <t>Servicio de mantenimiento a mobiliario de madera y metálico, ubicado dentro de los inmuebles ocupados por el Senado</t>
  </si>
  <si>
    <t>Fianza 15%
Resp Civil 20%</t>
  </si>
  <si>
    <t>SERV/DGRMSG/022-I/02/18
SERV/DGRMSG/022-II/02/18
SERV/DGRMSG/022-III/02/18</t>
  </si>
  <si>
    <t xml:space="preserve">Incremento en el monto máximo del apartado 2 y sustitución del Anexo "I"  /  Decremento en monto máximo de apartado 1 a su vez incrementar esa cantidad en el monto máximo del apartado 2 y sustitución de Anexo "I"   /   Ampliación de vigencia al 28 de feb de 2019 y sustitución de Anexo "I"  </t>
  </si>
  <si>
    <t>29/08/2018
12/11/2018
7/01/2019</t>
  </si>
  <si>
    <t xml:space="preserve">11/04/2018C
11/04/18RC
</t>
  </si>
  <si>
    <t>12/04/2018C
12/04/18RC</t>
  </si>
  <si>
    <t>16/04/2018
16/04/18RC</t>
  </si>
  <si>
    <t>SERV/DGRMSG/023/02/18</t>
  </si>
  <si>
    <t>SEN/DGRMSG/INV007/2018</t>
  </si>
  <si>
    <t>Eliseo</t>
  </si>
  <si>
    <t>Madera</t>
  </si>
  <si>
    <t>Olague</t>
  </si>
  <si>
    <t>Servicio de cerrajería para los inmuebles ocupados por el Senado</t>
  </si>
  <si>
    <t>Fianza 15%
Resp Civil 30%</t>
  </si>
  <si>
    <t>SERV/DGRMSG/023-I/02/18</t>
  </si>
  <si>
    <t>Incremento del 25% en los montos máximos de los apartados 1 y 2, ampliación de vigencia al 28 de feb de 2019 y sustitución de Anexo "I"</t>
  </si>
  <si>
    <t>04/04/18C
05/04/18RC</t>
  </si>
  <si>
    <t xml:space="preserve">05/04/18C
05/04/18RC
</t>
  </si>
  <si>
    <t>10/04/18C
12/04/18RC</t>
  </si>
  <si>
    <t>SERV/DGRMSG/024/02/18</t>
  </si>
  <si>
    <t>SEN/DGRMSG/L002/2018</t>
  </si>
  <si>
    <t>Ipark, S.A. de C.V.</t>
  </si>
  <si>
    <t>Dirección de Servicios Administrativos</t>
  </si>
  <si>
    <t>Subdirección de Servicios Administrativos</t>
  </si>
  <si>
    <t>Servicio de operación de los cuatro niveles de estacionamiento de la Nueva Sede y los cuatro sótanos del inmueble de Donceles N° 14</t>
  </si>
  <si>
    <t>Fianza 15% N° 1888389
Resp Civil 30% N° 99-0</t>
  </si>
  <si>
    <t>SERV/DGRMSG/024-I/02/18</t>
  </si>
  <si>
    <t>Incremento del 6% , ampliación de vigencia al 28 de feb de 2019 y sustitución de Anexo "I"</t>
  </si>
  <si>
    <t>23/03/18C
23/03/18RC</t>
  </si>
  <si>
    <t>26/03/18C
26/03/18RC</t>
  </si>
  <si>
    <t>05/04/18C
05/04/18RC</t>
  </si>
  <si>
    <t>SERV/DGRMSG/025/02/18</t>
  </si>
  <si>
    <t>Comité 1a Sesión Ordinaria Celebrada 26 ENE 18</t>
  </si>
  <si>
    <t>Art 21 II</t>
  </si>
  <si>
    <t>COMITÉ</t>
  </si>
  <si>
    <t>DHIMEX Ciudad de México, S.A. de C.V.</t>
  </si>
  <si>
    <t>Dirección de Protección Civil</t>
  </si>
  <si>
    <t>Subdirección de la Dirección General de Resguardo Parlamentario</t>
  </si>
  <si>
    <t>Servicios de mantenimiento preventivo a los equipos contra incendios de los cuartos de bombas, de la Nueva Sede del Senado, mantenimiento mensual a Red PCI, el sistema integral de PCI, el cuarto de máquinas y la red de distribución, reparación de cabezales principales PCI CTO máquinas, trabajos de rehabilitación de sistema PCI</t>
  </si>
  <si>
    <t>Fianza 15%
Resp Civil 15%</t>
  </si>
  <si>
    <t>SERV/DGRMSG/025-I/02/18</t>
  </si>
  <si>
    <t>Incremento de valor de contrato, sustitutción de Anexo "I"</t>
  </si>
  <si>
    <t xml:space="preserve">
26/03/18RC
30/05/18C</t>
  </si>
  <si>
    <t>27/03/18RC
30/05/18C</t>
  </si>
  <si>
    <t xml:space="preserve">11/07/18RC
05/06/18C
</t>
  </si>
  <si>
    <t>SERV/DGRMSG/026/02/18</t>
  </si>
  <si>
    <t>SEN/DGRMSG/L008/2018</t>
  </si>
  <si>
    <t>Art 45</t>
  </si>
  <si>
    <t>Fumi-Dip Control de Plagas, S.A. de C.V.</t>
  </si>
  <si>
    <t>Dirección de Mantenimiento de Bienes Muebles e Inmuebles y CT de la DGRMSG</t>
  </si>
  <si>
    <t>Subdirección de Mantenimiento de Bienes Muebles e Inmuebles y Subdirección de Supervisión</t>
  </si>
  <si>
    <t>Servicio de fumigación y erradicación de fauna nociva para el ejercicio 2018 (partidas 1 y 2)</t>
  </si>
  <si>
    <t>SERV/DGRMSG/026-I/02/18</t>
  </si>
  <si>
    <t>Incremento del 25% en apartado 1 y 2, ampliación de vigencia al 28 de feb de 2019, sustitución de Anexo "I"</t>
  </si>
  <si>
    <t>Abril</t>
  </si>
  <si>
    <t>30/05/18C
28/05/18RC</t>
  </si>
  <si>
    <t>31/05/18C
29/05/18RC</t>
  </si>
  <si>
    <t>04/06/18C
04/06/18RC</t>
  </si>
  <si>
    <t>SERV/DGRMSG/027/03/18</t>
  </si>
  <si>
    <t>Servicio de mantenimiento, reforestación, fumigación, limpieza de plantas de ornato y suministro de macetas, ubicadas dentro de los inmuebles ocupados por el Senado, ejercicio 2018, (partida 3)</t>
  </si>
  <si>
    <t>SERV/DGRMSG/027-I/03/18</t>
  </si>
  <si>
    <t>SERV/DGRMSG/028/03/18</t>
  </si>
  <si>
    <t>Detección y Supresión Inteligentes, S.A. de C.V.</t>
  </si>
  <si>
    <t>Servicios de mantenimiento preventivo y/o correctivo a los 52 sistemas de detección, alarma y supresión de incendios para el ejercicio 2018</t>
  </si>
  <si>
    <t>Fianza 15%
Resp Civil %</t>
  </si>
  <si>
    <t>SERV/DGRMSG/028-01/03/18</t>
  </si>
  <si>
    <t>Incremento en el precio de los servicios</t>
  </si>
  <si>
    <t>16/05/18C
27/06/18RC</t>
  </si>
  <si>
    <t>16/05/18C
11/07/18RC</t>
  </si>
  <si>
    <t>23/05/18C
23/07/18RC</t>
  </si>
  <si>
    <t>SERV/DGRMSG/029/03/18</t>
  </si>
  <si>
    <t>SEN/DGRMSG/L009/2018</t>
  </si>
  <si>
    <t>Alos Mantenimiento Integral, S.A. de C.V.</t>
  </si>
  <si>
    <t>Subdirección de Mantenimiento de Bienes Muebles e Inmuebles</t>
  </si>
  <si>
    <t>Servicio de mantenimiento preventivo y correctivo con refacciones a equipos de aire acondicionado ubicados dentro de los inmuebles ocupados por la Cámara</t>
  </si>
  <si>
    <t>SERV/DGRMSG/029-I/03/18</t>
  </si>
  <si>
    <t>Ampliación en la vigencia al 28 de feb de 2019 y sustitución de Anexo "I"</t>
  </si>
  <si>
    <t>07/05/18C
20/06/18C
20/06/18RC</t>
  </si>
  <si>
    <t>09/05/18C
27/06/18C
27/06/18RC</t>
  </si>
  <si>
    <t>Cumplimiento: No cumple requisitos del Inciso B de declaraciones</t>
  </si>
  <si>
    <t>SERV/DGRMSG/030/03/18</t>
  </si>
  <si>
    <t>Comité 2a Sesión Ordinaria Celebrada 23 FEB 18</t>
  </si>
  <si>
    <t>Millenium Technologies, S.A. de C.V.</t>
  </si>
  <si>
    <t>Servicio de operación de mantenimiento y soporte de los sistemas Emas, Argos, Tritón, Hera y Carmen</t>
  </si>
  <si>
    <t>Fianza 15%
Vicios Ocultos 10%</t>
  </si>
  <si>
    <t>27/03/18C
19/04/18RC</t>
  </si>
  <si>
    <t>05/04/18C
19/04/18RC</t>
  </si>
  <si>
    <t>12/04/18C
26/04/18RC</t>
  </si>
  <si>
    <t>ADQ/DGRMSG/031/03/18</t>
  </si>
  <si>
    <t>SEN/DGRMSG/L0004/2018</t>
  </si>
  <si>
    <t>Si Vale México, S.A. de C.V.</t>
  </si>
  <si>
    <t>Dirección General de Recursos Humanos</t>
  </si>
  <si>
    <t>Vales de despensa de amplia cobertura</t>
  </si>
  <si>
    <t>Fianza 15%</t>
  </si>
  <si>
    <t>ADQ/DGRMSG/031-I/03/18</t>
  </si>
  <si>
    <t>Decremento en importe máximo y mínimo sin que cause IVA</t>
  </si>
  <si>
    <t>ADQ/DGRMSG/032/03/18</t>
  </si>
  <si>
    <t>SEN/DGRMSG/L0003/2018</t>
  </si>
  <si>
    <t>SANIPAP de México, S.A. de C.V.</t>
  </si>
  <si>
    <t>Subdiracción de Administración de Contratos y Servicios</t>
  </si>
  <si>
    <t>Material de limpieza (partida 3)</t>
  </si>
  <si>
    <t>ADQ/DGRMSG/032-I/03/18</t>
  </si>
  <si>
    <t>Ampliación de vigencia al 28 de feb de 2019 y sustitución de Anexo "I"</t>
  </si>
  <si>
    <t>ADQ/DGRMSG/033/03/18</t>
  </si>
  <si>
    <t>SEN/DGRMSG/L0005/2018</t>
  </si>
  <si>
    <t>Mario Alberto</t>
  </si>
  <si>
    <t>García</t>
  </si>
  <si>
    <t>Bienes consistentes en papelería impresa oficial y administrativa, (partida 1, 30% Primer Lugar)</t>
  </si>
  <si>
    <t>ADQ/DGRMSG/033-I/03/18 
ADQ/DGRMSG/033-II/03/18</t>
  </si>
  <si>
    <t>Incremento del 17% en el monto máximo, ampliación de vigencia al 28 de feb de 2019 y sustitución de Anexo "I" 
Incremento del 3% en el monto máximo y ampliación de vigencia al 31 de marzo de 2019 y sustitucion de Anexo "I"</t>
  </si>
  <si>
    <t>24/12/2019
01/03/2019</t>
  </si>
  <si>
    <t>ADQ/DGRMSG/034/03/18</t>
  </si>
  <si>
    <t>SEN/DGRMSG/L003/2018</t>
  </si>
  <si>
    <t>Roberto</t>
  </si>
  <si>
    <t>Martínez</t>
  </si>
  <si>
    <t>Castro</t>
  </si>
  <si>
    <t>Dirección de Mantenimiento de bienes Muebles e Inmuebles y Dirección de Control Patrimonial Apartado</t>
  </si>
  <si>
    <t>Subdirección de Administración de Contratos y Servicios y Subdirección de Almacenes e Inventarios</t>
  </si>
  <si>
    <t>Material de limpieza (partidas 2, 4, 5, 6, 7 y 8)</t>
  </si>
  <si>
    <t>SERV/DGRMSG/035/03/18</t>
  </si>
  <si>
    <t>SEN/DGRMSG/L006/2018</t>
  </si>
  <si>
    <t>ATML, S.A. de C.V.</t>
  </si>
  <si>
    <t>Servicios para la modernización y fortalecimiento de la infraestructura de virtualización del centro de datos de la Cámara de Senadores</t>
  </si>
  <si>
    <t>Fianza 15% N° 2186658
Resp Civil 10% N° 20217</t>
  </si>
  <si>
    <t>26/03/18C
26/03/18RC
28/06/18VO</t>
  </si>
  <si>
    <t>27/03/18C
27/03/18RC
28/06/18VO</t>
  </si>
  <si>
    <t xml:space="preserve">05/04/18C
05/04/18RC
04/07/18VO
</t>
  </si>
  <si>
    <t>ADQ/DGRMSG/037/03/18</t>
  </si>
  <si>
    <t>Carolina</t>
  </si>
  <si>
    <t>Maldonado</t>
  </si>
  <si>
    <t>Sánchez</t>
  </si>
  <si>
    <t>Bienes consistentes en papelería impresa oficial y administrativa, (partida 1, 50% Primer Lugar)</t>
  </si>
  <si>
    <t>ADQ/DGRMSG/037-I/03/18
ADQ/DGRMSG/037-II/03/18</t>
  </si>
  <si>
    <t>Incremento del 17% en el monto máximo, ampliación de vigencia al 28 de feb de 2019 y sustitución de Anexo "I"
Incremento del 3% en el monto máximo, ampliación de vigencia al 31 de marzo de 2019 y sustitución de Anexo "I"</t>
  </si>
  <si>
    <t>24/12/2019
01/03/19</t>
  </si>
  <si>
    <t>SERV/DGRMSG/038/03/18</t>
  </si>
  <si>
    <t>Johnson Controls Be Operations México, S. de R.L. de C.V.</t>
  </si>
  <si>
    <t>Subdirección Operativa</t>
  </si>
  <si>
    <t xml:space="preserve">Servicio de mantenimiento preventivo y correctivo con refacciones del equipo de automatización y control de la marca Metasys, instalado en el inmueble de Avenida Paseo de la Reforma N° 135 </t>
  </si>
  <si>
    <t>SERV/DGRMSG/038-I/03/18
SERV/DGRMSG/038-II/03/18</t>
  </si>
  <si>
    <t>Ampliación de vigencia al 28 de feb de 2019, incremento al monto máximo y sustitución del Anexo "I"
Ampliación de Vigencia al 31 de marzo de 2019 y sustitución de Anexo "I"</t>
  </si>
  <si>
    <t>18/12/2018
01/03/19</t>
  </si>
  <si>
    <t>16/05/18C
31/05/18RC</t>
  </si>
  <si>
    <t>16/05/18C
01/06/18RC</t>
  </si>
  <si>
    <t>23/05/2018C
07/06/18RC</t>
  </si>
  <si>
    <t>SERV/DGRMSG/039/03/18</t>
  </si>
  <si>
    <t>Autorización del Secretario General de Servicios Administivos, 28 de feb de 2018</t>
  </si>
  <si>
    <t>Art 21 X</t>
  </si>
  <si>
    <t>Autorización de Órganos de Gobierno</t>
  </si>
  <si>
    <t>Adriana de la Paz</t>
  </si>
  <si>
    <t>Reiking</t>
  </si>
  <si>
    <t>Fernández</t>
  </si>
  <si>
    <t>Secretaria General de Servicios Administrativos</t>
  </si>
  <si>
    <t>Servicios profesionales para la producción y postproducción fotográfica destinada a una exposición sobre acciones realizadas en el Senado</t>
  </si>
  <si>
    <t>SERV/DGRMSG/039-I/03/18</t>
  </si>
  <si>
    <t>Sustitución de Anexo "I", se dispensa a "La Prestadora" de presentar fianza de cumplimiento por el 15%</t>
  </si>
  <si>
    <t>SERV/DGRMSG/040/03/18</t>
  </si>
  <si>
    <t>SEN/DGRMSG/L010/2018</t>
  </si>
  <si>
    <t>3W Educación, S.C.</t>
  </si>
  <si>
    <t>Dirección de Radio y Televisión de la Coordinación de Comunicación Social</t>
  </si>
  <si>
    <t>Monitoreo del uso y aprovechamiento de los tiempos oficiales en radio y televisión a nivel nacional, otorgados al Senado</t>
  </si>
  <si>
    <t>21/03/18
25/05/18</t>
  </si>
  <si>
    <t>21/03/18
28/05/18</t>
  </si>
  <si>
    <t>27/03/18
31/05/18</t>
  </si>
  <si>
    <t>Requisitos juridicos establecidos en el inciso C</t>
  </si>
  <si>
    <t>ADQ/DGRMSG/041/03/18</t>
  </si>
  <si>
    <t>SEN/DGRMSG/L007/2018</t>
  </si>
  <si>
    <t>Internacional Proveedora de Industrias, S.A. de C.V.</t>
  </si>
  <si>
    <t>Bienes recurrentes (partidas: 1, 2, 5, 7, 10, 13, 14, 15, 16, 17, 20, 21, 22, 23, 27, 31, 33, 34 y 40)</t>
  </si>
  <si>
    <t>ADQ/DGRMSG/041-I//03/18</t>
  </si>
  <si>
    <t>Se modifica la partida 1 y se substituye el Anexo "1"</t>
  </si>
  <si>
    <t>ADQ/DGRMSG/042/03/18</t>
  </si>
  <si>
    <t>SEN/DGRMSG/L005/2018</t>
  </si>
  <si>
    <t>Claudia Ángelica</t>
  </si>
  <si>
    <t>López</t>
  </si>
  <si>
    <t>Flores</t>
  </si>
  <si>
    <t>Papelería impresa oficial y administrativa (partida 2)</t>
  </si>
  <si>
    <t>SERV/DGRMSG/043/03/18</t>
  </si>
  <si>
    <t>Tarjeta de 20 de Feb de 2018, autorizada por el Secretario General de Servicios Administrativos</t>
  </si>
  <si>
    <t>Mauricio Ricardo</t>
  </si>
  <si>
    <t>Cristante</t>
  </si>
  <si>
    <t>Skinfield</t>
  </si>
  <si>
    <t>Dirección General de Contabilidad</t>
  </si>
  <si>
    <t>Dirección de Registro y Control Contable</t>
  </si>
  <si>
    <t>Servicio de dictaminación de la correcta aplicación y entero de las obligaciones fiscales por parte del contribuyente Cámara de Senadores, para el pago de impuestos del Gobierno de la Ciudad de México</t>
  </si>
  <si>
    <t>ADQ/DGRMSG/045/03/18</t>
  </si>
  <si>
    <t>José Antonio</t>
  </si>
  <si>
    <t>Medina</t>
  </si>
  <si>
    <t>Gutiérrez</t>
  </si>
  <si>
    <t>Bienes recurrentes (partidas: 6, 9, 11, 12, 39, 41 y 42)</t>
  </si>
  <si>
    <t>ADQ/DGRMSG/045-I/03/19</t>
  </si>
  <si>
    <t>Se sustituye Anexo "1" que contiene cambio de marca de la partid 6</t>
  </si>
  <si>
    <t>SERV/DGRMSG/046/03/18</t>
  </si>
  <si>
    <t>Servicio de mantenimiento preventivo y correctivo con refacciones del equipo de aire acondicionado marca York, instalado en el inmueble de Reforma 135</t>
  </si>
  <si>
    <t>630000
110,327.8</t>
  </si>
  <si>
    <t>SERV/DGRMSG/046-I/03/18
SERV/DGRMSG/046-II/03/18</t>
  </si>
  <si>
    <t xml:space="preserve">Incremento al monto máximo, ampliación de vigencia al 28 de feb de 2019 y sustitución de Anexo "I"
Ampliación de vigencia al 31 de marzo de 2019 y sustitución de Anexo "I"
</t>
  </si>
  <si>
    <t xml:space="preserve">16/05/18C
21/05/18RC
18/07/19C MODIF
</t>
  </si>
  <si>
    <t>16/05/18C
01/06/18RC
18/07/19C MODIF</t>
  </si>
  <si>
    <t>23/05/18C
07/06/18RC
24/07/19C MOD</t>
  </si>
  <si>
    <t>CUMPLE</t>
  </si>
  <si>
    <t>ADQ/DGRMSG/047/03/18</t>
  </si>
  <si>
    <t>Comercializadora la Acción, S.A. de C.V.</t>
  </si>
  <si>
    <t>Bienes recurrentes (partidas: 18, 24, 25, 26, 28, 29, 30, 36, 37, 38 y 43)</t>
  </si>
  <si>
    <t>SERV/DGRMSG/050/03/18</t>
  </si>
  <si>
    <t xml:space="preserve">Of LXIII/MD/ECA/ST/1327/18, de 7 de feb de 2018, por el ST de la MD, Mtro. Alejandro Pérez Carcaño </t>
  </si>
  <si>
    <t>Art 21 X XII</t>
  </si>
  <si>
    <t>Leonardo Antonio</t>
  </si>
  <si>
    <t>Curzio</t>
  </si>
  <si>
    <t>Jefatura de Seguimiento de Series del Canal del Congreso</t>
  </si>
  <si>
    <t>Servicios profesionales para la conducción demprogramas de la serie de televisión "INCURSIONANDO"</t>
  </si>
  <si>
    <t>SERV/DGRMSG/051/03/18</t>
  </si>
  <si>
    <t>Art 21 X y  XXII</t>
  </si>
  <si>
    <t>Javier</t>
  </si>
  <si>
    <t>Solórzano</t>
  </si>
  <si>
    <t>Zinser</t>
  </si>
  <si>
    <t>Servicios profesionales para la conducción de programas de la serie de televisión "Meda de Diálogo"</t>
  </si>
  <si>
    <t>Junio</t>
  </si>
  <si>
    <t>07//02/18</t>
  </si>
  <si>
    <t>SERV/DGRMSG/052/03/18</t>
  </si>
  <si>
    <t>Verónica</t>
  </si>
  <si>
    <t>Ortíz</t>
  </si>
  <si>
    <t>Ortega</t>
  </si>
  <si>
    <t>SERV/DGRMSG/053/03/18</t>
  </si>
  <si>
    <t>César Iván</t>
  </si>
  <si>
    <t>Astudillo</t>
  </si>
  <si>
    <t>Reyes</t>
  </si>
  <si>
    <t>Servicios profesionales para la conducción demprogramas de la serie de televisión "100 preguntas sobre las elecciones 2018"</t>
  </si>
  <si>
    <t>ADQ/DGRMSG/057/03/18</t>
  </si>
  <si>
    <t>SEN/DGRMSG/L013/2018</t>
  </si>
  <si>
    <t>Bienes de papelería y artículos de oficina y consumibles de cómputo (partidas 7 y 21)</t>
  </si>
  <si>
    <t>ADQ/DGRMSG/058/03/18</t>
  </si>
  <si>
    <t>Cicovisa, S.A. de C.V.</t>
  </si>
  <si>
    <t>Bienes de papelería y artículos de oficina y consumibles de cómputo (partidas 1, 3, 8, 15, 17, 20, 23, 24, 25 y 26)</t>
  </si>
  <si>
    <t>ADQ/DGRMSG/058-I/03/18</t>
  </si>
  <si>
    <t>Cancelación del consecutivo 185 de la partida 26 y la sustitución del Anexo "1"</t>
  </si>
  <si>
    <t>ADQ/DGRMSG/059/03/18</t>
  </si>
  <si>
    <t>Gastelum IX, S.A. de C.V.</t>
  </si>
  <si>
    <t>Bienes de papelería y artículos de oficina y consumibles de cómputo (partidas 22)</t>
  </si>
  <si>
    <t>ADQ/DGRMSG/060/03/18</t>
  </si>
  <si>
    <t>Cosmopapel, S.A. de C.V.</t>
  </si>
  <si>
    <t>Bienes de papelería y artículos de oficina y consumibles de cómputo (partida 11)</t>
  </si>
  <si>
    <t>ADQ/DGRMSG/061/03/18</t>
  </si>
  <si>
    <t>Papelera Anzures, S.A. de C.V.</t>
  </si>
  <si>
    <t>Bienes de papelería y artículos de oficina y consumibles de cómputo (partidas 2, 4, 5, 6, 9, 10, 13, 14, 16, 18 y 19)</t>
  </si>
  <si>
    <t>ADQ/DGRMSG/061-I/03/18</t>
  </si>
  <si>
    <t>Sustitución de Anexo "1"</t>
  </si>
  <si>
    <t>ADQ/DGRMSG/062/03/18</t>
  </si>
  <si>
    <t>SEN/DGRMSG/L012/2018</t>
  </si>
  <si>
    <t>Café 1810, S.A. de C.V.</t>
  </si>
  <si>
    <t>Consumibles de cafetería y café (partidas 1 y 2)</t>
  </si>
  <si>
    <t>ADQ/DGRMSG/063/03/18</t>
  </si>
  <si>
    <t>FARVISAN Insumos Institucionales, S.A. de C.V.</t>
  </si>
  <si>
    <t>Dirección de Control Patrimonial y Unidad de Eventos</t>
  </si>
  <si>
    <t>Consumibles de cafetería y café (partidas 3 y 4)</t>
  </si>
  <si>
    <t>ADQ/DGRMSG/063-I/03/18</t>
  </si>
  <si>
    <t>Incremento del 25% a la partida 4, ampliación de vigencia al 28 de febrero de 2019 y sustitución de Anexo "I"</t>
  </si>
  <si>
    <t>ADQ/DGRMSG/064/03/18</t>
  </si>
  <si>
    <t>SEN/DGRMSG/INV008/2018</t>
  </si>
  <si>
    <t>Andrés Martín</t>
  </si>
  <si>
    <t>Aguilar</t>
  </si>
  <si>
    <t>Diversos materiales de pintura</t>
  </si>
  <si>
    <t>ADQ/DGRMSG/064-I/03/18
ADQ/DGRMSG/064-II/03/18</t>
  </si>
  <si>
    <t>Incremento en el monto máximo del apartado 2  /  ampliación de vigencia al 28 de feb de 2019 y sustitución de Anexo "I"</t>
  </si>
  <si>
    <t>06/08/2018
17/12/2018</t>
  </si>
  <si>
    <t>SERV/DGRMSG/065/03/18</t>
  </si>
  <si>
    <t>Art 21 VIII</t>
  </si>
  <si>
    <t>Excepción</t>
  </si>
  <si>
    <t>Diseño y Construcción Activos, S.A. de C.V.</t>
  </si>
  <si>
    <t>Servicio de elaboración de un proyecto ejecutivo para una bódega en el predio ubicado en Madrid N° 66.</t>
  </si>
  <si>
    <t>SERV/DGRMSG/066/03/18</t>
  </si>
  <si>
    <t>Rincón Méndez Construcciones, S.A. de C.V.</t>
  </si>
  <si>
    <t>Servicios de elaboración de un proyecto ejecutivo para comedor, sala de ajuste de tiempos y la reubicación de la planta de emergencia en el inmueble ubicado en Xicoténcatl N° 9</t>
  </si>
  <si>
    <t>ADQ/DGRMSG/068/04/18</t>
  </si>
  <si>
    <t>Art 22</t>
  </si>
  <si>
    <t>Renovación por circunstancias imprevisibles o peligre la seguridad</t>
  </si>
  <si>
    <t>Edenred México, S.A. de C.V.</t>
  </si>
  <si>
    <t>Dirección de Adquisiciones</t>
  </si>
  <si>
    <t>Subdirección de Programas y Contratos de Adquisiciones</t>
  </si>
  <si>
    <t>Tarejtas electrónicas de gasolina de amplia cobertura para el período abril-mayo de 2018</t>
  </si>
  <si>
    <t>Mayo</t>
  </si>
  <si>
    <t>SERV/DGRMSG/069/04/18</t>
  </si>
  <si>
    <t>Art 21 XVI</t>
  </si>
  <si>
    <t>Tecnologías Digitales Alternas de México, S. de R.L. de C.V.</t>
  </si>
  <si>
    <t>Servicio de internet dedicado de fibra óptica 2 Gbps para la Coordinación de Comunicación Social</t>
  </si>
  <si>
    <t>Fianza C 15%
Resp Civil 10%</t>
  </si>
  <si>
    <t>12/07/18C
08/08/18RC</t>
  </si>
  <si>
    <t>18/07/18C
14/08/18RC</t>
  </si>
  <si>
    <t>SERV/DGRMSG/070/04/18</t>
  </si>
  <si>
    <t>Art 21 XXIII</t>
  </si>
  <si>
    <t>Audio Video &amp; Control, S.A. de C.V.</t>
  </si>
  <si>
    <t>Servicios de mantenimiento preventivo y correctivo del sistema De traducción simultánea</t>
  </si>
  <si>
    <t>Fianza C 15%
Resp Civil 20%</t>
  </si>
  <si>
    <t>07/05/18C
31/05/18RC
14/06/18RC</t>
  </si>
  <si>
    <t>07/05/18C
05/06/18RC
15/06/18RC</t>
  </si>
  <si>
    <t>11/05/18C
08/05/18RC
20/06/18RC</t>
  </si>
  <si>
    <t>RC: No señala suma asegurada, importe del documento no corresponde y extemporánea</t>
  </si>
  <si>
    <t>SERV/DGRMSG/071/04/18</t>
  </si>
  <si>
    <t>Servicios de mantenimiento preventivo y correctivo del sistema de audio y video</t>
  </si>
  <si>
    <t>SERV/DGRMSG/072/04/18</t>
  </si>
  <si>
    <t>Comité 1a Y 3a Sesión Ordinaria Celebrada 26 de ENE Y 23 de MARZO de 18</t>
  </si>
  <si>
    <t>Subdirección de Planeación Estratégica y Control de Gestión de la DGRP</t>
  </si>
  <si>
    <t>Servicios de Mantenimiento Preventivo y Correctivo para el Sistema de Audio y Voceo general para el ejercicio 2018</t>
  </si>
  <si>
    <t>Fianza C 15%
Resp Civil 15%</t>
  </si>
  <si>
    <t>13/06/18C
18/07/18RC</t>
  </si>
  <si>
    <t>15/06/18C
23/07/18RC</t>
  </si>
  <si>
    <t>SERV/DGRMSG/076/04/18</t>
  </si>
  <si>
    <t>SEN/DGRMSG/L014/2018</t>
  </si>
  <si>
    <t>Estructuras Digitales de México Comercializadora, S.A. de C.V.</t>
  </si>
  <si>
    <t xml:space="preserve">Servicio de cableado categoría 5e y 7a de nodods de red para voz y datos en unidades parlamentarias, técnicas y administrativas de las instalaciones de la Cámara de Senadores </t>
  </si>
  <si>
    <t>SERV/DGRMSG/076-I/04/18</t>
  </si>
  <si>
    <t>Incremento del 25% en el monto máximo,  y sustitución de Anexo "I"</t>
  </si>
  <si>
    <t>21/06/18C
21/06/18RC</t>
  </si>
  <si>
    <t>29/06/18C
29/06/18RC</t>
  </si>
  <si>
    <t>ADQ/DGRMSG/077/04/18</t>
  </si>
  <si>
    <t>SEN/DGRMSG/INV009/2018</t>
  </si>
  <si>
    <t>Bienes consistentes en papelería impresa oficial (partida única)</t>
  </si>
  <si>
    <t>ADQ/DGRMSG/077-I/04/18</t>
  </si>
  <si>
    <t>24/12/2019
04/03/19</t>
  </si>
  <si>
    <t>SERV/DGRMSG/079/04/18</t>
  </si>
  <si>
    <t>Comité 3a Sesión Ordinaria Celebrada 23 de Marzo 18</t>
  </si>
  <si>
    <t>Incluir-T, S.A. de C.V.</t>
  </si>
  <si>
    <t>Dirección de Ingeniería y Operaciones</t>
  </si>
  <si>
    <t>Jefatura de Desarrollo Web</t>
  </si>
  <si>
    <t>Servicios de accesibilidad y usabilidad WEB para el Canal del Congreso</t>
  </si>
  <si>
    <t>SERV/DGRMSG/079-I/04/18</t>
  </si>
  <si>
    <t>Incremento al monto total, ampliación de vigencia al 28 de feb 2019 y sustitución de Anexo "I"</t>
  </si>
  <si>
    <t>SERV/DGRMSG/082/04/18</t>
  </si>
  <si>
    <t>Art 21 XIII</t>
  </si>
  <si>
    <t>Licitación desierta</t>
  </si>
  <si>
    <t xml:space="preserve">Vivaza Asesoría de Negocios, S.C. </t>
  </si>
  <si>
    <t>Servicios de consultoría para integrar, actualizar, simplificar y complementar la Normatividad Administrativa del Senado</t>
  </si>
  <si>
    <t>ADQ/DGRMSG/083/04/18</t>
  </si>
  <si>
    <t>SEN/DGRMSG/L011/2018</t>
  </si>
  <si>
    <t>Martínez Barranco, S.A. de C.V.</t>
  </si>
  <si>
    <t>Dirección de Mantenimiento de Bienes Muebles e Inmuebles y Unidad de Apoyo Técnico de la DGRMSG</t>
  </si>
  <si>
    <t>Material de tablaroca</t>
  </si>
  <si>
    <t>ADQ/DGRMSG/083-I/04/18</t>
  </si>
  <si>
    <t>Ampliación de vigencia, ahora vence 28 de feb de 2019</t>
  </si>
  <si>
    <t>SERV/DGRMSG/086/04/18</t>
  </si>
  <si>
    <t>Of LXIII/MD/ECA/ST/2116/18 y SGSA/LXIII/0384/2018, de fechas 11 y 18 de abril de 2018, por el ST de la MD, Mtro. Alejandro Pérez Carcaño y el Lic. Roberto Figueroa</t>
  </si>
  <si>
    <t>Art 21 V y XXII</t>
  </si>
  <si>
    <t>Información y Tecnología para Asuntos Públicos, S.C.</t>
  </si>
  <si>
    <t>Servicios de actualización e impresión de 1000 (mil) ejemplares de la obra "La Negociación Política del Presupuesto en México"</t>
  </si>
  <si>
    <t>ADQ/DGRMSG/087/05/18</t>
  </si>
  <si>
    <t>SEN/DGRMSG/L017/2018</t>
  </si>
  <si>
    <t>Videoservicios, S.A. de C.V.</t>
  </si>
  <si>
    <t>Subdirección de Programación</t>
  </si>
  <si>
    <t>Adquisición de material de grabación y reproducción para el Canal del Congreso (partidas 1, 2, 3, 4, y 5)</t>
  </si>
  <si>
    <t>ADQ/DGRMSG/087-I/05/18</t>
  </si>
  <si>
    <t>Incremento en el monto por 24.9%, ampliación de vigencia al 15/12/18 y sustitución de Anexo "I"</t>
  </si>
  <si>
    <t>ADQ/DGRMSG/088/05/18</t>
  </si>
  <si>
    <t>Grupo Besh, S.A. de C.V.</t>
  </si>
  <si>
    <t>Adquisición de material de grabación y reproducción para el Canal del Congreso (partidas 6, 7 y 8)</t>
  </si>
  <si>
    <t>ADQ/DGRMSG/089/05/18</t>
  </si>
  <si>
    <t>SEN/DGRMSG/L015/2018</t>
  </si>
  <si>
    <t>Art 63 III y Art 21 XIII</t>
  </si>
  <si>
    <t>Full Service de México, S.A. de C.V.</t>
  </si>
  <si>
    <t>Dirección de Amparos y Controversias Constitucionales</t>
  </si>
  <si>
    <t>Dirección General de Asuntos Jurídicos</t>
  </si>
  <si>
    <t>Guarda, custodia, conservación y adminitración de los expedientes que conforman los Juicios de Amparo de la Dirección de Amparos y Controversias Constitucionales de la DGAJ</t>
  </si>
  <si>
    <t>14/06/2018C
15/06/18RC</t>
  </si>
  <si>
    <t>15/06/18C
18/06/18RC</t>
  </si>
  <si>
    <t>20/06/18C
20/06/18RC</t>
  </si>
  <si>
    <t>SERV/DGRMSG/094/05/18</t>
  </si>
  <si>
    <t>Acuerdo de MD 30 de marzo de 2017 y Of SGSA/LXIII/392/18 de 18 de abril de 2018 de la SGSA</t>
  </si>
  <si>
    <t>R3M Soluciones, S.A. de C.V.</t>
  </si>
  <si>
    <t>Unidad de Proyectos Especiales</t>
  </si>
  <si>
    <t>Servicios para la elaboración e integración de la Memoria de Gestión de las actividades adminsitrativas y operativas de las Legislaturas LXII y LXIII del Senado, incluyendo los proyectos estratégicos desarrollados por la SGSA en los ejercicios 2017 y 2018 y que han sido parte para el cumplimiento de sus  objetivos institucionales</t>
  </si>
  <si>
    <t>SERV/DGRMSG/095/05/18</t>
  </si>
  <si>
    <t>Autorizado mediante  oficio LXIII/MD/ECA/ST/1486/18 del 18 de feb de 2018, sigando por el ST Mtro. Alejandro Pérez</t>
  </si>
  <si>
    <t>Dalia Women, S.A.P.I. de C.V.</t>
  </si>
  <si>
    <t>Unidad de Género</t>
  </si>
  <si>
    <t>Servicio de impartición del curso Dalia to Go que incluye la información integral en competencias personales, profesionales y directivas para Senadores de la República y altos mandos del Senado</t>
  </si>
  <si>
    <t>SERV/DGRMSG/097/05/18</t>
  </si>
  <si>
    <t>SEN/DGRMSG/L016/2018</t>
  </si>
  <si>
    <t>Neixar Systems, S.A. de C.V.</t>
  </si>
  <si>
    <t>Dirección General de Informática y Telecomunicaciones</t>
  </si>
  <si>
    <t>Subdirección de la Dirección General de Informática y Telecomunicaciones</t>
  </si>
  <si>
    <t>Servicios de implementación de un modelo de gobierno de tecnologías de información y comunicaciones y de un sistema de gestión de seguridad de la información, SGSI para la Dirección de Informática</t>
  </si>
  <si>
    <t xml:space="preserve">Fianza C 15%
Resp Civil </t>
  </si>
  <si>
    <t>15/06/18C
26/06/18C
26/06/18RC
12/07/18RC</t>
  </si>
  <si>
    <t>18/06/18C
26/06/18C
27/06/18RC
13/07/18RC</t>
  </si>
  <si>
    <t>20/06/18C
04/07/18C
02/07/18RC
18/07/18RC</t>
  </si>
  <si>
    <t>Cumplimiento: No cumple requisitos del Inciso A de declaraciones RC: La información correspondiente al bojeto del contrato no corresponde</t>
  </si>
  <si>
    <t>ADQ/DGRMSG/098/05/18</t>
  </si>
  <si>
    <t>SEN/DGRMSG/INV011/2018</t>
  </si>
  <si>
    <t>Nyr Tecnología, S.A. de C.V.</t>
  </si>
  <si>
    <t>Dirección de Soporte Técnico</t>
  </si>
  <si>
    <t>Departamento de Soporte Técnico a los Sistemas Parlamentarios de Asistencia, Votación y Audio Automatizado</t>
  </si>
  <si>
    <t>Bienes informáticos bajo demanda, partidas 1 a la 28</t>
  </si>
  <si>
    <t>ADQ/DGRMSG/099/05/18</t>
  </si>
  <si>
    <t>Autorizado mediante   oficio SGSA/DGRMSG/LXIII/1567/18 de 23 de abril de 2018, por el Lic. Roberto Figueroa, SGSA</t>
  </si>
  <si>
    <t>Ruysdael</t>
  </si>
  <si>
    <t>Vivanco</t>
  </si>
  <si>
    <t>De Gyves</t>
  </si>
  <si>
    <t>Dirección de Mantenimiento de Bienes  Muebles e Inmuebles</t>
  </si>
  <si>
    <t>Servicio de elaboración de un proyecto ejecutivo para la adecuación de espacios físicos del salón de vitrales dentro del edificio del Senado, ubicado en Xicoténcatl N° 9, Centro Histórico</t>
  </si>
  <si>
    <t>ADQ/DGRMSG/100/05/18</t>
  </si>
  <si>
    <t>SEN/DGRMSG/INV010/2018</t>
  </si>
  <si>
    <t>Mr. Limpieza, S.A. de C.V.</t>
  </si>
  <si>
    <t>Material de limpieza partida (líquidos)</t>
  </si>
  <si>
    <t>ADQ/DGRMSG/100-I/05/18</t>
  </si>
  <si>
    <t>Ampliación de Vigencia al 28 de febrero de 2019, ssustitución de anexo "I"</t>
  </si>
  <si>
    <t>ADQ/DGRMSG/101/05/18</t>
  </si>
  <si>
    <t>SEN/DGRMSG/INV012/2018</t>
  </si>
  <si>
    <t>Jasev Computación, S.A. de C.V.</t>
  </si>
  <si>
    <t>Suscripción y adquisición de software bajo demanda, partidas 1 a 22</t>
  </si>
  <si>
    <t>ADQ/DGRMSG/101-I/05/18</t>
  </si>
  <si>
    <t>Incremento del 25% en el monto máximo, ampliación de vigencia al 28 de feb de 2019 y sustitución de Anexo "I"</t>
  </si>
  <si>
    <t>SERV/DGRMSG/102/05/18</t>
  </si>
  <si>
    <t>Comité 4a Sesión Ordinaria Celebrada 27 de Abril 18</t>
  </si>
  <si>
    <t>Art 75 y 21 XXIII</t>
  </si>
  <si>
    <t>Información Segura, S.A. de C.V.</t>
  </si>
  <si>
    <t>Director de Infraestructura Informática y Comunicaciones</t>
  </si>
  <si>
    <t>Departamento de Seguridad Informática</t>
  </si>
  <si>
    <t>Servicio de protección y soporte para la seguridad de los equipos de cómputo de la Cámara de Senadores a través de la solución de antivirus de nueva generación (partidas 1 y 2)</t>
  </si>
  <si>
    <t>Julio</t>
  </si>
  <si>
    <t>SERV/DGRMSG/106/05/18</t>
  </si>
  <si>
    <t>Bla, Bla, Bla, S.C.</t>
  </si>
  <si>
    <t>Dirección de Desarrollo de Medios de Coordinación de Comunicación Social</t>
  </si>
  <si>
    <t>Consultoría para la elaboración de un estudio en materia legislativa titulado "La Comunicación Social en la LXII y la LXIII Legislaturas"</t>
  </si>
  <si>
    <t>SERV/DGRMSG/109/06/18</t>
  </si>
  <si>
    <t>SEN/DGRMSG/INV013/2018</t>
  </si>
  <si>
    <t>Proyectos Luminicos, S.A.</t>
  </si>
  <si>
    <t>Servicio de mantenimiento preventivo y correctivo sin refacciones a los equipos salva-escaleras "Supra 15" ubicados en la Nueva Sede de la Cámara de Senadores</t>
  </si>
  <si>
    <t>18/07/18C
24/07/18RC</t>
  </si>
  <si>
    <t>19/07/18C
24/07/18RC</t>
  </si>
  <si>
    <t>24/07/18C
30/07/18RC</t>
  </si>
  <si>
    <t>SERV/DGRMSG/110/06/18</t>
  </si>
  <si>
    <t xml:space="preserve">Comité 5a Sesión </t>
  </si>
  <si>
    <t>Art 21 XXIII y Art 75</t>
  </si>
  <si>
    <t>Carlos Corral y Asociados, S.C.</t>
  </si>
  <si>
    <t>Subdirección de Patrimonio Inmobiliario</t>
  </si>
  <si>
    <t>Servicios profesionales de peritos, director responsable de obra (DRO), y corresponsable en seguridad estructural (CSE), para la revisión general de los inmuebles de Donceles N° 14, N° 27, Xicoténcatl N° 9 y Madrid N° 62, para que se realicen las constancias de seguridad estructural</t>
  </si>
  <si>
    <t>Se dispensa fianza mediante oficio N° LXIII/SGSA/DGRMSG/1773/18</t>
  </si>
  <si>
    <t>SERV/DGRMSG/110-I/06/18</t>
  </si>
  <si>
    <t>Ampliación de vigencia por 60 días hábiles y sustitución de Anexo "I" (vencía 31 de agosto, ahora vence 26 de noviembre de 2018)</t>
  </si>
  <si>
    <t>ADQ/DGRMSG/111/06/18</t>
  </si>
  <si>
    <t>SEN/DGRMSG/L018/2018</t>
  </si>
  <si>
    <t>Sí Vale México, S.A. de C.V.</t>
  </si>
  <si>
    <t>Tarjetas electrónicas de gasolina de amplia combertura</t>
  </si>
  <si>
    <t xml:space="preserve">Fianza C </t>
  </si>
  <si>
    <t>ADQ/DGRMSG/111-I/06/18</t>
  </si>
  <si>
    <t>Ampliación de vigencia al 28 de febrero de 2019, sustitución de anexo "I", sustitución de apoderados legales</t>
  </si>
  <si>
    <t>SERV/DGRMSG/113/06/18</t>
  </si>
  <si>
    <t>Comité 5a Sesión Ordinaria</t>
  </si>
  <si>
    <t>Art 21 XVII</t>
  </si>
  <si>
    <t>Alta Tecnología en Ingeniería y Construcción, S.A. de C.V.</t>
  </si>
  <si>
    <t>Servicio de elaboración y desarrollo de un proyecto ejecutivo para la elaboración de estudios de estabilidad y seguridad estructural del edificio denominado Luis Pasteur N° 11</t>
  </si>
  <si>
    <t>Nov</t>
  </si>
  <si>
    <t>ADQ/DGRMSG/115/06/18</t>
  </si>
  <si>
    <t xml:space="preserve">Of LXIII/MD/ECA/ST/1602/18, de 28 de feb de 2018, por el ST de la MD, Mtro. Alejandro Pérez Carcaño </t>
  </si>
  <si>
    <t>Adriana Páramo, S.A. de C.V.</t>
  </si>
  <si>
    <t>Unidad Operativa del CECAFP</t>
  </si>
  <si>
    <t>UNIDAD OPERATIVA DEL CECAFP</t>
  </si>
  <si>
    <t>300 licencias de aprendizaje del idioma inglés en línea</t>
  </si>
  <si>
    <t>El monto está en dólares
Fianza C 15%</t>
  </si>
  <si>
    <t>SERV/DGRMSG/116/06/18</t>
  </si>
  <si>
    <t>Servicio de elaboración de proyectos ejecutivos de instalaciones del sistema contra incendio de los inmuebles ubicados en Madrid 62 y Donceles N° 14, propiedad de la Cámara de Senadores</t>
  </si>
  <si>
    <t>SERV/DGRMSG/119/06/18</t>
  </si>
  <si>
    <t>SEN/DGRMSG/INV014/2018</t>
  </si>
  <si>
    <t>Anastacio</t>
  </si>
  <si>
    <t>Islas</t>
  </si>
  <si>
    <t>Barajas</t>
  </si>
  <si>
    <t>Dirección de Desarrollo Tecnológico de la DGRP</t>
  </si>
  <si>
    <t>Subdirección de Vigilancia Exterior e Interior de la DGRP</t>
  </si>
  <si>
    <t>Servicios de puesta en operación y mantenimiento preventivo y correstivo de 26 arcos detectores de metales y 16 máquinas de inspección por rayos X con banda</t>
  </si>
  <si>
    <t>06/07/18C
11/0718RC</t>
  </si>
  <si>
    <t xml:space="preserve">09/07/18C
11/07/18RC
</t>
  </si>
  <si>
    <t>12/07/18C
18/07/18RC</t>
  </si>
  <si>
    <t>SERV/DGRMSG/120/06/18</t>
  </si>
  <si>
    <t>Of LXIII/MD/ECA/ST/2369/18, de fecha 30 de abril de 2018, por el ST de la MD, Mtro. Alejandro Pérez Carcaño</t>
  </si>
  <si>
    <t>Peña</t>
  </si>
  <si>
    <t>Herrera</t>
  </si>
  <si>
    <t>Servicios de renta de una unidad móvil a 5 cámaras, planta de energía, estación terrena y segmento satelital para la covertura de la jornada electoral del 1 de julio de 2018</t>
  </si>
  <si>
    <t>Se dispensa fianza mediante oficio N° SGSA/DGRMSG/LXIII/2020/18 de fecha 25 de mayo</t>
  </si>
  <si>
    <t>SERV/DGRMSG/121/06/18</t>
  </si>
  <si>
    <t>Teléfonos de México, S.A.B. de C.V.</t>
  </si>
  <si>
    <t>Administración del Equipamiento de la Infraestructura de Voz y Datos y Jefatura de Departamento de Seguridad Informática</t>
  </si>
  <si>
    <t>Servicio de internet a 1 gbps, enlaces dedicados para servicios de voz y datos en los inmuebles de Nueva Sede (Reforma N° 135), Donceles N° 14, Allende N° 23,  Torre Azul (Reforma N° 136), Xiconténcatl N| 9, Madrid N° 62, así como un enlace dedicado de internet simétrico para las instalaciones de Xicoténcatl N° 9</t>
  </si>
  <si>
    <t>ADQ/DGRMSG/124/06/18</t>
  </si>
  <si>
    <t>SEN/DGRMSG/L020/2018</t>
  </si>
  <si>
    <t>Desarrollo y Tecnología Empresarial, S.A. de C.V.</t>
  </si>
  <si>
    <t>Dirección General de Servicios Médicos</t>
  </si>
  <si>
    <t>Medicamentos y reactivos de laboratorio correspondientes a las partidas 3, 7, 10, 11, 12, 15, 31, 32, 41, 46, 48, 50, 63, 64, 65, 72, 79, 95, 101, 103, 113, 120, 134, 141, 164, 165, 211 y 433</t>
  </si>
  <si>
    <t>Fianza C
Únicamente la partida 433 tiene IVA</t>
  </si>
  <si>
    <t>ADQ/DGRMSG/124-I/06/18</t>
  </si>
  <si>
    <t>Se cancela partida 41 por lo que se disminuye el monto que dicha partida representaba</t>
  </si>
  <si>
    <t>SERV/DGRMSG/125/06/18</t>
  </si>
  <si>
    <t>Art 21  XXV</t>
  </si>
  <si>
    <t>Servicio de instalación de la interfaz digital de la cabina de ráido y televisión de la CCS ubicada en Reforma N° 135, así como en Xicótencatl N°9</t>
  </si>
  <si>
    <t>Fianza C 15%
Resp Civil 20 %</t>
  </si>
  <si>
    <t>02/08/2018C
02/08/18RC</t>
  </si>
  <si>
    <t>03/08/2018C
03/08/18RC</t>
  </si>
  <si>
    <t>08/08/2018C
08/08/18RC</t>
  </si>
  <si>
    <t>SERV/DGRMSG/127/06/18</t>
  </si>
  <si>
    <t>SEN/DGRMSG/L0019/2018</t>
  </si>
  <si>
    <t>Interlift de México, S.A. de C.V.</t>
  </si>
  <si>
    <t>Servicios de mantenimiento preventivo y correctivo a los 421 equipos elevautos, marca Bendpack, modelo PL7000 y PL7000X instalados en los cuatro niveles de estacionamiento de la Nueva Sede</t>
  </si>
  <si>
    <t>Incremento en monto total del 16.63%, amplicación de vigencia al 31 de enero de 2019 y sustitución de Anexo "I"</t>
  </si>
  <si>
    <t>14/08/2018C
14/08/18RC</t>
  </si>
  <si>
    <t>17/08/18C
04/09/18RC</t>
  </si>
  <si>
    <t>no hay oficio</t>
  </si>
  <si>
    <t>ADQ/DGRMSG/130/07/18</t>
  </si>
  <si>
    <t>ISSA Edificaciones, S.A. de C.V.</t>
  </si>
  <si>
    <t>Una pantalla móvil modular tipo LED de 22.5 m2, para difusión y proyección de sesiones, conferencias de prensa y diversos eventos de la Cámara en multiples sitios de sus diversas instalaciones, que incluye instalación, equipamiento y puesta en operación.</t>
  </si>
  <si>
    <t>30/07/18C
30/07/18RC</t>
  </si>
  <si>
    <t>02/08/18C
31/07/18</t>
  </si>
  <si>
    <t>ADQ/DGRMSG/132/07/18</t>
  </si>
  <si>
    <t>Dirección de Mantenimiento de Bienes Muebles e Inmuebles y Jefatura de la Unidad de Apoyo Técnico</t>
  </si>
  <si>
    <t>Subdirección de Mantenimiento de Bienes Muebles e Inmuebles y Subdirección Operativa</t>
  </si>
  <si>
    <t>Bienes consistentes en 14 portillos (10 pasillos para torniquetes), 18 lectoras de tarjetas de control de acceso y 2 barandas fijas</t>
  </si>
  <si>
    <t>ADQ/DGRMSG/132-I/07/18</t>
  </si>
  <si>
    <t>Incremento en monto del contrato y sustitución Anexo "I"</t>
  </si>
  <si>
    <t>21/08/18C
28/09/18C
27/09/18RC</t>
  </si>
  <si>
    <t>22/08/18C
28/09/18C
27/09/18RC</t>
  </si>
  <si>
    <t>27/08/18C
04/10/18C
08/10/18RC</t>
  </si>
  <si>
    <t>Cumplimiento: no cumple con los requisitos jurídicos establecidos.</t>
  </si>
  <si>
    <t>27/107/18</t>
  </si>
  <si>
    <t>ADQ/DGRMSG/133/07/18</t>
  </si>
  <si>
    <t>Malnor Sistemas, S.A. de C.V.</t>
  </si>
  <si>
    <t>Dirección de Sistema Integral de Administración</t>
  </si>
  <si>
    <t>Sistema de control de asistencia y acceso para la Cámara de Senadores, incluye instalación y puesta en operación</t>
  </si>
  <si>
    <t>Fianza C 15%
Vicios Ocultos 10%</t>
  </si>
  <si>
    <t>ADQ/DGRMSG/133-I/07/18</t>
  </si>
  <si>
    <t>Incremento en la partida 2 y cambio de vigencia, ahora vence el 12 de septiembre</t>
  </si>
  <si>
    <t>15/08/18C
15/08/18VO
26/11/18VO</t>
  </si>
  <si>
    <t>16/08/18C
16/08/18VO
26/11/18VO</t>
  </si>
  <si>
    <t>23/08/18C
23/08/18VO
30/11/18VO</t>
  </si>
  <si>
    <t>Vicios Ocultos: la fecha no cumple</t>
  </si>
  <si>
    <t>OP/DGRMSG/136/07/18</t>
  </si>
  <si>
    <t>Obra Pública</t>
  </si>
  <si>
    <t>SEN/DGRMSG/INV015/2018</t>
  </si>
  <si>
    <t>Unidad de Apoyo Técnico de la DGRMSG y Dirección de Mantenimiento de Bienes Muebles e Inmuebles</t>
  </si>
  <si>
    <t>Adecuación de espacios físicos en los inmuebles ubicados en Madrid N° 62 y Reforma N° 135 para la instalación de Torniquetes para el control de accesos</t>
  </si>
  <si>
    <t>Agosto</t>
  </si>
  <si>
    <t>Fianza C 15%
Fianza Anticipo
Resp Civil 10%
Vicios Ocultos 10%</t>
  </si>
  <si>
    <t>OP/DGRMSG/136-I/07/18</t>
  </si>
  <si>
    <t>Incremento en el monto total del contrato y sustitución del Anexo "I"</t>
  </si>
  <si>
    <t>No se reporto</t>
  </si>
  <si>
    <t>09/08/18A
09/08/18C
09/08/18RC
27/09/18VO</t>
  </si>
  <si>
    <t>10/08/18A
10/08/18C
10/08/18RC
27/09/18VO</t>
  </si>
  <si>
    <t>14/08/18A
14/08/18C
14/08/18RC
03/10/18VO</t>
  </si>
  <si>
    <t>SERV/DGRMSG/137/07/18</t>
  </si>
  <si>
    <t>Subdirección de Infraestructura Informática y Departamento de Seguridad Informátiva</t>
  </si>
  <si>
    <t>Servicios de ciberseguridad gestionada (Grupo de expertos de respuesta y prevención de incidentes de la seguridad)</t>
  </si>
  <si>
    <t>20/08/18C
24/09/18RC</t>
  </si>
  <si>
    <t>20/08/18C
27/09/18RC</t>
  </si>
  <si>
    <t>27/08/18C
04/10/18RC</t>
  </si>
  <si>
    <t>ADQ/DGRMSG/138/07/18</t>
  </si>
  <si>
    <t>SEN/DGRMSG/L021/2018</t>
  </si>
  <si>
    <t>Nac Soluciones Integrales, S.A. de C.V.</t>
  </si>
  <si>
    <t>Bienes informáticos especializados para el Canal del Congreso, correspondientes a las partidas 2, 3, 5, 6, 9, 11 y 12</t>
  </si>
  <si>
    <t>27/09/18
16/10/18</t>
  </si>
  <si>
    <t>28/09/18
17/10/18</t>
  </si>
  <si>
    <t>04/10/18
22/10/18</t>
  </si>
  <si>
    <t>Se dirigio a H. C. Diputados</t>
  </si>
  <si>
    <t>ADQ/DGRMSG/139/08/18</t>
  </si>
  <si>
    <t>Datapoint, S.A. de C.V.</t>
  </si>
  <si>
    <t>Bienes informáticos especializados para el Canal del Congreso, correspondientes a las partidas 1, 4 y 7</t>
  </si>
  <si>
    <t>16/08/18
30/08/18</t>
  </si>
  <si>
    <t>23/08/18
10/09/18</t>
  </si>
  <si>
    <t>Fecha de inicio de vigencia errónea</t>
  </si>
  <si>
    <t>OP/DGRMSG/140/08/18</t>
  </si>
  <si>
    <t>SEN/DGRMSG/INV016/2018</t>
  </si>
  <si>
    <t>Metpresa, S.A. de C.V.</t>
  </si>
  <si>
    <t>Obra Pública a precio alzado consistente en la construcción de elementos estructurales para reforzar el edificio ubicado en Allende N° 23, colonia centro, celegación Cuauhtémoc, en la ciudad de México</t>
  </si>
  <si>
    <t>Fianza Anticipo 100%
Resp Civil 10%
Vicios Ocultos 10%</t>
  </si>
  <si>
    <t>16/08/18A
24/08/18A
16/08/18C
24/08/18C
16/08/18RC
24/08/18RC
11/10/18VO</t>
  </si>
  <si>
    <t>16/08/18A
24/08/18A
16/08/18C
24/08/18C
17/08/18RC
24/08/18RC
12/10/18VO</t>
  </si>
  <si>
    <t>23/08/18A
28/08/18A
23/08/18C
28/08/18C
23/08/18RC
28/08/18RC
18/10/18VO</t>
  </si>
  <si>
    <t>Anticipo: fecha de vigencia errónea. Cumplimiento: fecha de vigencia errónea. RC. No contiene beneficiarios, cobertura errónea</t>
  </si>
  <si>
    <t>SERV/DGRMSG/141/08/18</t>
  </si>
  <si>
    <t>Autorizado mediante acuerdo de la MD del 24 de abril de 2018 y oficio SGSA/LXIII/724/18 de 10 de agosto de 2018, firmado por el Lic. Roberto Figueroa</t>
  </si>
  <si>
    <t>Agencia Promotora de Publicaciones, S.A. de C.V.</t>
  </si>
  <si>
    <t xml:space="preserve">Cordinación Técnica de la SGSA </t>
  </si>
  <si>
    <t>Elaboración de una memoria impresa de la LXII y LXIII legislaturas</t>
  </si>
  <si>
    <t>ADQ/DGRMSG/142/09/2018</t>
  </si>
  <si>
    <t>SEN/DGRMSG/L023/2018</t>
  </si>
  <si>
    <t>Promexar, S.A. de C.V.</t>
  </si>
  <si>
    <t>Dirección General del Canal del Congreso</t>
  </si>
  <si>
    <t>Dirección de Ingeniería y Operaciones del Canal del Congreso</t>
  </si>
  <si>
    <t>Adquisición de unidad móvil con equipamiento y cámaras de estudio para la Dirección General del Canal del Congreso (partida 2)</t>
  </si>
  <si>
    <t>Septiembre</t>
  </si>
  <si>
    <t>ADQ/DGRMSG/143/09/2018</t>
  </si>
  <si>
    <t>Sistemas Digitales en Audio y Video, S.A. de C.V.</t>
  </si>
  <si>
    <t>Adquisición de unidad móvil con equipamiento y cámaras de estudio para la Dirección General del Canal del Congreso (partida 1)</t>
  </si>
  <si>
    <t>ADQ/DGRMSG/143-I/09/18</t>
  </si>
  <si>
    <t>Sustitución de Anexo "I",  por cambio de equipo de grabación</t>
  </si>
  <si>
    <t>ADQ/DGRMSG/144/09/18</t>
  </si>
  <si>
    <t>SEN/DGRMSG/INV017/2018</t>
  </si>
  <si>
    <t>Avetronic, S.A. de C.V.</t>
  </si>
  <si>
    <t>Dirección de Programas y Administración</t>
  </si>
  <si>
    <t>Departamento de Audio y Grabación</t>
  </si>
  <si>
    <t>Sistema de microfonía inalámbrica</t>
  </si>
  <si>
    <t>ADQ/DGRMSG/144-I/09/18</t>
  </si>
  <si>
    <t>Ampliación de vigencia, ahora vence al 31 de diciembre de 2018</t>
  </si>
  <si>
    <t>ADQ/DGRMSG/145/10/18</t>
  </si>
  <si>
    <t>Comité 9a Sesión Ordinaria</t>
  </si>
  <si>
    <t>Art 21 II y 75</t>
  </si>
  <si>
    <t>Linceciamientos para sistemas Emas, Argos, Tritón, Hera y Carmen</t>
  </si>
  <si>
    <t>Octubre</t>
  </si>
  <si>
    <t>19/10/18C</t>
  </si>
  <si>
    <t>26/10/18C</t>
  </si>
  <si>
    <t>ADQ/DGRMSG/146/10/2018</t>
  </si>
  <si>
    <t>Excelencia en Comunicaciones y Tecnología, S.A. de C.V.</t>
  </si>
  <si>
    <t>Bienes informáticos especializados para el Canal del Congreso</t>
  </si>
  <si>
    <t>ADQ/DGRMSG/147/11/18</t>
  </si>
  <si>
    <t>Comité 10a Sesión Ordinaria</t>
  </si>
  <si>
    <t>Microsoft Corporation</t>
  </si>
  <si>
    <t>Departamento de Informática y Telecomunicaciones</t>
  </si>
  <si>
    <t>Adquisición de suscripción de licenciamiento Microsoft bajo el esquema "Enterprise Agreement Subscription"</t>
  </si>
  <si>
    <t>Noviembre</t>
  </si>
  <si>
    <t>Vicios Ocultos 10%</t>
  </si>
  <si>
    <t>ADQ/DGRMSG/147-I/09/18</t>
  </si>
  <si>
    <t xml:space="preserve">Modificación Administrador del Contrato </t>
  </si>
  <si>
    <t>19/03/2020
(cancelado 13/11/2020)</t>
  </si>
  <si>
    <t>US 1693285.5</t>
  </si>
  <si>
    <t>11/06/19C</t>
  </si>
  <si>
    <t>14/06/19C</t>
  </si>
  <si>
    <t>Completo</t>
  </si>
  <si>
    <t>SERV/DGRMSG/148/11/18</t>
  </si>
  <si>
    <t>Autorizado por acuerdo de la JUCOPO  de fecha 30 de oct.</t>
  </si>
  <si>
    <t>Escore Alimentos, S.A. de C.V.</t>
  </si>
  <si>
    <t>Departamento de Servicios de Alimentos y Cafetería</t>
  </si>
  <si>
    <t>Servicio de alimentación para eventos y desarrollo de los trabajos legislativos de la Cámara de Senadores intra o extra muros</t>
  </si>
  <si>
    <t>Fianza Anticipo 100%
Resp Civil 10%</t>
  </si>
  <si>
    <t>Desocupación 05/08/21</t>
  </si>
  <si>
    <t>10/12/18C
21/12/18RC
10/12/18D</t>
  </si>
  <si>
    <t>17/12/18C
04/01/18RC
17/12/18D</t>
  </si>
  <si>
    <t>SERV/DGRMSG/149/11/18</t>
  </si>
  <si>
    <t>SEN/DGRMSG/INV018/2018</t>
  </si>
  <si>
    <t>Servicio de Mantenimiento Preventivo y Correctivo para Bienes Informáticos Propiedad de la Cámara de Senadores</t>
  </si>
  <si>
    <t>Fianza C 15%
Resp Civil 10%
Vicios Ocultos 10%</t>
  </si>
  <si>
    <t>Dic</t>
  </si>
  <si>
    <t>18/12/18C
18/12/18RC
10/01/18VO</t>
  </si>
  <si>
    <t>18/12/18C
18/12/18RC
11/01/18VO</t>
  </si>
  <si>
    <t>03/01/18C
03/01/18RC
21/01/18VO</t>
  </si>
  <si>
    <t>VO: Señala nombre de empresa incorrecto, vigencia no corresponde</t>
  </si>
  <si>
    <t>ADQ/DGRMSG/150/12/18</t>
  </si>
  <si>
    <t>SEN/DGRMSG/INV019/2018</t>
  </si>
  <si>
    <t>Dicimex, S.A. de C.V.</t>
  </si>
  <si>
    <t>Subdirección de Transmisión</t>
  </si>
  <si>
    <t>Suministro e Instalación de sistema de antenas en la banda UHF para televisión digital ATSC, de banda ancha con paneles  de polarización horizontal para la estación del Canal del Congreso en el cerro del Chiquihuite</t>
  </si>
  <si>
    <t>Diciembre</t>
  </si>
  <si>
    <t>17/01/19C
17/01/19VO
22/02/19VO
30/01/19RC
01/03/19RC</t>
  </si>
  <si>
    <t>17/01/19C
17/01/19VO
22/02/19VO
31/01/19RC
01/03/19RC</t>
  </si>
  <si>
    <t>24/01/19C
24/01/19VO
27/02/19VO
05/02/19RC
07/03/19RC</t>
  </si>
  <si>
    <t>VO: Fecha de expedición no corresponde . RC: Beneficiarios y cobertura</t>
  </si>
  <si>
    <t>SERV/DGRMSG/151/12/18</t>
  </si>
  <si>
    <t>Autorizado por acuerdo de la JUCOPO  de fecha 23 nov</t>
  </si>
  <si>
    <t>Soluciones y Reingenieria de Software, S.A. de C.V</t>
  </si>
  <si>
    <t>Implementar un sistema informático para la administración de archivos</t>
  </si>
  <si>
    <t>Fianza C 15%
Resp Civil 10%
Vicios Ocultos 10%
Fianza Anticipo 100%</t>
  </si>
  <si>
    <t>31/12/18A
31/12/18C
14/01/19C</t>
  </si>
  <si>
    <t>31/12/18A
31/12/18C
18/01/19C</t>
  </si>
  <si>
    <t>Cumplimiento: Requisitos jurídicos no contiene delcaraciones expresas de la cláusula 8</t>
  </si>
  <si>
    <t>SERV/DGRMSG/152/12/18</t>
  </si>
  <si>
    <t>PEU Sinergia, S.A. de C.V.</t>
  </si>
  <si>
    <t>Servicio de herramienta tecnológica de apoyo para el proceso de nombramiento del Fiscal General de la República</t>
  </si>
  <si>
    <t>Fianza C 15%
Vicios Ocultos 10%
Fianza Anticipo 100%</t>
  </si>
  <si>
    <t>No se solicita</t>
  </si>
  <si>
    <t>27/12/18C
27/12/18A
15/01/19C
08/01/19A</t>
  </si>
  <si>
    <t>03/01/19C
03/01/18A
21/01/19C
14/01/19A</t>
  </si>
  <si>
    <t>Cumplimiento: Domicilio y fecha del contrato incorrecta.   Anticipo:El domicilio no corresponde</t>
  </si>
  <si>
    <t>SERV/DGRMSG/153/12/18</t>
  </si>
  <si>
    <t>Ingenieria Ambiental Roca, S.A. de C.V.</t>
  </si>
  <si>
    <t>Subdirección de Supervisión</t>
  </si>
  <si>
    <t>Servicio de realización de los trabajos de impermeabilización de azotea de losa tapa del salón de sesiones del edificio de la Nueva Sede</t>
  </si>
  <si>
    <t>Fianza C 15%
Resp Civil 15%
Fianza Anticipo 100%</t>
  </si>
  <si>
    <t>04/01/19A
04/01/19C
16/01/19A
23/01/19RC</t>
  </si>
  <si>
    <t>15/01/19A
15/01/19C
17/01/19A
25/01/19RC</t>
  </si>
  <si>
    <t>04/01/19A
04/01/19C
22/01/19A
31/01/19RC</t>
  </si>
  <si>
    <t>Anticipo: No cumple con la suma aregurada</t>
  </si>
  <si>
    <t>SERV/DGRMSG/154/12/18</t>
  </si>
  <si>
    <t>Servicio de realización de los trabajos de impermeabilización de azotea del inmueble ubicado en Madrid N° 62</t>
  </si>
  <si>
    <t xml:space="preserve">Fianza C 15%
Resp Civil 15%
</t>
  </si>
  <si>
    <t>04/01/19C
16/01/19C
23/01/19RC</t>
  </si>
  <si>
    <t>04/01/19C
17/01/19C
25/01/19RC</t>
  </si>
  <si>
    <t>14/01/19C
22/01/19C
31/01/19RC</t>
  </si>
  <si>
    <t>Cumplimiento: suma asegurada incorrecta</t>
  </si>
  <si>
    <t>ADQ/DGRMSG/155/12/18</t>
  </si>
  <si>
    <t>Sictel Soluciones TU, S.A. de C.V.</t>
  </si>
  <si>
    <t>Equipamiento y servcios para la actualización Tecnológica de la infraestructura de telefonía y datos para el edificio de Madrid N° 62</t>
  </si>
  <si>
    <t>17/01/19C
17/01/19A
14/01/19RC
19/03/19RC
07/06/19VO
11/07/19VO</t>
  </si>
  <si>
    <t>18/01/19C
18/01/19A
15/01/19RC
20/03/19RC
10/06/19VO
11/07/19 VO</t>
  </si>
  <si>
    <t>24/01/19C
24/01/19A
21/01/19RC
25/03/19RC
12/06/19VO
17/07/19 VO</t>
  </si>
  <si>
    <t>RC: Cuerpo de la póliza incorrecto así como la suma asegurada.  VO: Por monto, vigencia y domicilio incorrectos.  CUMPLE VO</t>
  </si>
  <si>
    <t>SERV/DGRMSG/156/12/18</t>
  </si>
  <si>
    <t>Ingeniería en Aislamientos Térmicos Aplicación y Venta, S.A. de C.V.</t>
  </si>
  <si>
    <t>Subdirección Operativa de Apoyo Técnico de la DGRMSG</t>
  </si>
  <si>
    <t>Servicio de realización de los trabajos de cambios de forros y aislamientos térmico en redes hidráulicas de agua helada a los edificios: Hemiciclo nivel 7, Cuña nivel 6 y Torre nivel 15 del edificio de la Nueva Sede del Senado de la República</t>
  </si>
  <si>
    <t>30/01/19A
29/01/19C
07/03/19RC
26/03/19RC</t>
  </si>
  <si>
    <t>31/01/19A
31/01/19C
07/03/19RC
27/03/19RC</t>
  </si>
  <si>
    <t>01/02/19A
01/02/19C
13/03/19RC
02/04/19RC</t>
  </si>
  <si>
    <t>RC. Cobertura incorrecta</t>
  </si>
  <si>
    <t>ADQ/DGRMSG/157/12/18</t>
  </si>
  <si>
    <t>Technologit Group de México, S.A. de C.V.</t>
  </si>
  <si>
    <t>Adquisición, instalación y programación de 104 equipos de energía ininterrumpida (UPS) de diferentes capacidades para las áreas de IDF´S, MDF´s y cuartode CCTV.</t>
  </si>
  <si>
    <t>Fianza C 15%
Resp Civil 5%
Vicios Ocultos 10%
Fianza Anticipo 100%</t>
  </si>
  <si>
    <t>28/12/18A
28/12/18C
09/01/19RC
20/02/19RC
09/04/19VO</t>
  </si>
  <si>
    <t>28/12/18A
28/12/18C
10/01/19RC
10/04/19VO
21/02/19RC</t>
  </si>
  <si>
    <t>04/01/19A
04/01/19C
18/01/19RC
24/04/19VO
04/03/19RC</t>
  </si>
  <si>
    <t>RC: Cobertura einformación del cuerpo no corresponden.  VO: Fecha de expedición, monto de la fianza no corresponden CUMPLE</t>
  </si>
  <si>
    <t>ADQ/DGRMSG/158/12/18</t>
  </si>
  <si>
    <t>SEN/DGRMSG/L024/2018</t>
  </si>
  <si>
    <t>Intercable, S.A. de C.V.</t>
  </si>
  <si>
    <t>Fortalecimiento de la infraestructura Técnica del Canal del Congreso,mediante la integración de Equipamiento Digital de Alta Definición HD</t>
  </si>
  <si>
    <t>ADQ/DGRMSG/158-I/12/18</t>
  </si>
  <si>
    <t>Sustitución del Anexo "I"</t>
  </si>
  <si>
    <t>SERV/DGRMSG/159/12/18</t>
  </si>
  <si>
    <t>Art 21 XVII y XXIII</t>
  </si>
  <si>
    <t>Departamento de Control de Procesos</t>
  </si>
  <si>
    <t>Servicio de guarda, custodia, conservación y administración de los expedientes que conforman los juicios de amparo y controversias constitucionales de la DAJ</t>
  </si>
  <si>
    <t>20/02/19C
28/02/19C
21/02/19RC</t>
  </si>
  <si>
    <t>21/02/19C
28/02/18C
21/02/19RC</t>
  </si>
  <si>
    <t>27/02/19C
06/03/19C
27/02/19RC</t>
  </si>
  <si>
    <t>Cumplimiento: nombre de asegurado y cláusulas del inciso B incorrectas</t>
  </si>
  <si>
    <t>SERV/DGRMSG/160/12/18</t>
  </si>
  <si>
    <t>Teléfonos México, S.A.B. de C.V.</t>
  </si>
  <si>
    <t>Administración del Equipamiento de la Infraestructura de Voz y Dato</t>
  </si>
  <si>
    <t>Servicios integrales de acceso a la red telefónica nacional e internacional con servicios 01 800 e internet de banda ancha inalámbrico, para la continuidad de los servicios de comunicaciones proporcionados mediante 4 acometidas telefónicas digitales(Nueva Sede, Madrid 62, Donceles 14 y Xiconténcatl N° 9)</t>
  </si>
  <si>
    <t>Fianza C 15%
Resp Civil 15%
Vicios Ocultos 10%</t>
  </si>
  <si>
    <t>22/04/19C
06/05/19C
23/04/19RC</t>
  </si>
  <si>
    <t>23/04/19C
07/05/19C
23/04/19RC</t>
  </si>
  <si>
    <t>26/04/19C
13/05/19C
26/04/19RC</t>
  </si>
  <si>
    <t>Cumplimiento: fecha de emisión incongruente</t>
  </si>
  <si>
    <t>SERV/DGRMSG/161/12/18</t>
  </si>
  <si>
    <t>Dhimex Ciudad de México, S.A. de C.V.</t>
  </si>
  <si>
    <t>Unidad de Apoyo Técncio de la Dirección General de Recursos Materiales y Servicios Generales</t>
  </si>
  <si>
    <t>Servicios de mantenimiento preventivo y correctivo a los equipos hidráulicos de los cuartos de bombas y cárcamos, asi como el mantenimiento a bombas centrífugas, sumergibles, verticales, cabezales y accesorios</t>
  </si>
  <si>
    <t>05/03/19C
05/03/19RC</t>
  </si>
  <si>
    <t>14/03/19C
14/03/19RC</t>
  </si>
  <si>
    <t>SERV/DGRMSG/162/12/18</t>
  </si>
  <si>
    <t>Servicios de mantenimiento preventivo a los equipos contra incendios de los cuartos de bombas, de la Nueva Sede del Senado, mantenimiento mensual a Red PCL, para el ejercicio 2019</t>
  </si>
  <si>
    <t>SERV/DGRMSG/162-I/12/18</t>
  </si>
  <si>
    <t>Ampliación del 25% monto y vigencia (Al 31 de marzo de 2020)</t>
  </si>
  <si>
    <t>05/03/19C
05/03/19RC
26/03/19RC</t>
  </si>
  <si>
    <t>08/03/19C
08/03/19RC
26/03/19C</t>
  </si>
  <si>
    <t>14/03/19C
14/03/19RC
27/03/19C</t>
  </si>
  <si>
    <t>Cumplimiento: Importe máximo contenido en el cuerpo de la póliza no corresponde</t>
  </si>
  <si>
    <t>SERV/DGRMSG/163/12/18</t>
  </si>
  <si>
    <t>Policia Auxiliar de la Ciudad de México</t>
  </si>
  <si>
    <t>Seguridad y vigilancia durante las 24 horas del día, de todos los días del año, intra y extramuros de los inmuebles que ocupa "EL SENADO", para el ejercicio 2019</t>
  </si>
  <si>
    <t>No se otorga garantía</t>
  </si>
  <si>
    <t>SERV/DGRMSG/164/12/18</t>
  </si>
  <si>
    <t>SEN/DGRMSG/INV020/2018</t>
  </si>
  <si>
    <t>Servicios de alimentación para eventos y desarrollo de los trabajos legislativos de la Cámara de Senadores intra o extra muros (partida 3)</t>
  </si>
  <si>
    <t>Fianza Desocupación</t>
  </si>
  <si>
    <t>SERV/DGRMSG/164-I/12/18</t>
  </si>
  <si>
    <t>17/01/19C
17/01/19D
24/01/19D
08/02/19RC
25/03/19RC</t>
  </si>
  <si>
    <t>17/01/19C
17/01/19D
25/01/19D
11/02/19RC
25/03/19RC</t>
  </si>
  <si>
    <t>22/01/18C
22/01/18D
01/02/19D
13/03/19RC
01/04/19RC</t>
  </si>
  <si>
    <t xml:space="preserve">Desocupación: Texto incorrecto en acto por el DGRMSG.  RC: No señala Beneficiarios </t>
  </si>
  <si>
    <t>SERV/DGRMSG/166/12/18</t>
  </si>
  <si>
    <t>excepción</t>
  </si>
  <si>
    <t>Servicio de internet a 1 gbps, enlaces dedicados para servicios de voz y datos en los inmuebles de Nueva Sede (Reforma N° 135), Donceles N° 14, Allende N° 23,  Torre Azul (Reforma N° 136), Xiconténcatl N| 9, Madrid N° 62, así como un enlace dedicado de internet simétrico para instalaciones de Xiconténcatl N° 9</t>
  </si>
  <si>
    <t>SERV/DGRMSG/167/12/18</t>
  </si>
  <si>
    <t>Sistemas Neumáticos de Envíos, S.A. de C.V.</t>
  </si>
  <si>
    <t>Unida de Apoyo Técnico de la DGRMSG</t>
  </si>
  <si>
    <t>Servicio de mantenimiento preventivo y correctivo con refacciones al sistema de manejo de basura de la torre de comisiones y hemiciclo</t>
  </si>
  <si>
    <t>16/01/19C
09/05/19RC
27/05/19RC</t>
  </si>
  <si>
    <t>17/01/19C
09/05/19RC
29/05/19RC</t>
  </si>
  <si>
    <t>13/02/19C
15/05/19RC
03/06/19RC</t>
  </si>
  <si>
    <t>RC: No contiene domicilio de la C. Senadores</t>
  </si>
  <si>
    <t>SERV/DGRMSG/168/12/18</t>
  </si>
  <si>
    <t>Blue &amp; Green Servicios y Soluciones al Medio Ambiente, S.A. de C.V.</t>
  </si>
  <si>
    <t>Unidad de Apoyo Técnico de la DGRMSG</t>
  </si>
  <si>
    <t>Servicio de mantenimiento preventivo y correctivo a la planta de tratamiento de aguas residuales (PTAR), 3 plantas de osmosis inversa, marca Aqua tecnología ambiental y el monitoreo de 2 cisternas de agua potable ubicadas en la Nueva Sede</t>
  </si>
  <si>
    <t>SERV/DGRMSG/168-I/12/18</t>
  </si>
  <si>
    <t>23/01/19C
20/02/19RC
01/03/19RC</t>
  </si>
  <si>
    <t>24/01/19C
21/02/19RC
05/03/019RC</t>
  </si>
  <si>
    <t>29/01/19C
27/02/19RC
13/03/19RC</t>
  </si>
  <si>
    <t>RC: Beneficiarios y cobertura</t>
  </si>
  <si>
    <t>SERV/DGRMSG/169/12/18</t>
  </si>
  <si>
    <t>Art 21 III</t>
  </si>
  <si>
    <t>Desarrolladora de Estacionamientos Privados, S.A. de C.V</t>
  </si>
  <si>
    <t>Servicio de estacionamiento y pensión para 250 unidades vehículares como mínimo y 450 como máximo, enlos inmuebles ubicados en "Monumento a la Madre"con domicilio en calle Manuel Villalongín S/N, esquina insurgentes, col. Cuauhtémoc, en Ciudad de México y " Morelos" Av. Morelos, esquina Av. paseo de la Reforma S/N, glorieta de Colón, col. Juárez, en Ciudad de México.</t>
  </si>
  <si>
    <t>Se dispensa por autorización de la DGRMSG 27/12/18</t>
  </si>
  <si>
    <t>Dispensa de fianza</t>
  </si>
  <si>
    <t>SERV/DGRMSG/170/12/18</t>
  </si>
  <si>
    <t>Notimex, agencia de noticias del estado Mexicano</t>
  </si>
  <si>
    <t>No esta obligada a presentar garantía</t>
  </si>
  <si>
    <t>Organismo Descentralizado de la APF</t>
  </si>
  <si>
    <t>SERV/DGRMSG/171/12/18</t>
  </si>
  <si>
    <t>Elevadores Schindler, S.A. de C.V.</t>
  </si>
  <si>
    <t>Servicio de mantenimiento preventivo y correctivo a 22 elevadores de pasajeros y 3 montacargas (2 para autos y 1 para cocina), de la marca Schindler</t>
  </si>
  <si>
    <t>SERV/DGRMSG/171-I/12/18</t>
  </si>
  <si>
    <t>Incremento del 25% en el monto máximo del contrato y ampliación de la vigencia al 31 de marzo de 2020</t>
  </si>
  <si>
    <t>03/04/19C
30/04/19C
21/03/19RC
20/06/19RC</t>
  </si>
  <si>
    <t>04/04/19C
02/05/19C
25/03/19RC
21/06/19RC</t>
  </si>
  <si>
    <t>11/04/19C
08/05/19C
27/03/19RC
25/06/19RC</t>
  </si>
  <si>
    <t>Cumplimiento: No señala domicilio de la C. Senadores.  RC: Beneficiarios y cobertura</t>
  </si>
  <si>
    <t>SERV/DGRMSG/172/12/18</t>
  </si>
  <si>
    <t>SEND/DGRMSG/INV021/2018</t>
  </si>
  <si>
    <t>Art 14</t>
  </si>
  <si>
    <t>Metlife México, S.A.</t>
  </si>
  <si>
    <t>Subdirección de Seguros</t>
  </si>
  <si>
    <t>Contratación de Seguros de Vida e Incapacidad Total y Permanente de los Senadores de la República, Trabajadores de la Cámara de Senadores y Jubilados por el ISSSTE, cuya última actividad laboral fue desempeñada en el Senado de la República, para el ejercicio 2019</t>
  </si>
  <si>
    <t>Ley de Instituciones de Seguros y de Fianzas</t>
  </si>
  <si>
    <t>TOPE</t>
  </si>
  <si>
    <t>COMPROMETIDO</t>
  </si>
  <si>
    <t>NUMERO</t>
  </si>
  <si>
    <t>Total</t>
  </si>
  <si>
    <t>Comprobación</t>
  </si>
  <si>
    <t>ADJUDICACION DIRECTA</t>
  </si>
  <si>
    <t>FRAC II, XII, XV, XVII, XVIII, XXIII</t>
  </si>
  <si>
    <t>CONSE 2019</t>
  </si>
  <si>
    <t>ADQ, SERV, OP ó EDI</t>
  </si>
  <si>
    <t>ÁREA SOLICITANTE</t>
  </si>
  <si>
    <t>ADMINISTRADOR DEL CONTRATO</t>
  </si>
  <si>
    <t>TOTAL (MÁXIMO)</t>
  </si>
  <si>
    <t>¿CUMPLIDA?</t>
  </si>
  <si>
    <t>PAAS</t>
  </si>
  <si>
    <t>INF AL PROV. DE FIANZA</t>
  </si>
  <si>
    <t>1ER DÍA  RECEP FIANZA</t>
  </si>
  <si>
    <t>RECEPCIÓN DE FIANZA (S) EN DA</t>
  </si>
  <si>
    <t>DÍAS HAB PARA PRESENTAR FIANZA</t>
  </si>
  <si>
    <t>ENVÍO DE FIANZA A JURÍDICO</t>
  </si>
  <si>
    <t>REGRESÓ FIANZA DE JURIDICO A DA</t>
  </si>
  <si>
    <t>DIAS PARA FORMALIZAR EN TESORERIA CONTRATO</t>
  </si>
  <si>
    <t>DÍAS PARA FORMALIZAR CONTRATO EN JURÍDICO</t>
  </si>
  <si>
    <t>2019 Importe sin IVA</t>
  </si>
  <si>
    <t>2020 Importe sin IVA</t>
  </si>
  <si>
    <t>2021 Importe sin IVA</t>
  </si>
  <si>
    <t>2022 Importe sin IVA</t>
  </si>
  <si>
    <t>2023 Importe sin IVA</t>
  </si>
  <si>
    <t>2024 Importe sin IVA</t>
  </si>
  <si>
    <t>TOTAL</t>
  </si>
  <si>
    <t>SERV/DGRMSG/002/01/19</t>
  </si>
  <si>
    <t>Comité 12a Sesión Ordinaria celebrada el 21 de diciembre de 2018</t>
  </si>
  <si>
    <t>comité</t>
  </si>
  <si>
    <t>Servicio de Mantenimiento Preventivo y Correctivo para el Sistema de Audio y Voceo General</t>
  </si>
  <si>
    <t>Fianza C 15%
Resp Civil G 15%</t>
  </si>
  <si>
    <t>SERV/DGRMSG/002-I/01/19</t>
  </si>
  <si>
    <t>14/03/2019C
28/03/2019C
21/03/2019RC</t>
  </si>
  <si>
    <t>15/03/2019C
28/03/2019C
21/03/2019RC</t>
  </si>
  <si>
    <t>25/03/2019C
15/04/2019C
27/03/2019RC</t>
  </si>
  <si>
    <t/>
  </si>
  <si>
    <t>SERV/DGRMSG/003/01/19</t>
  </si>
  <si>
    <t>Encargado del departamento de audio y grabación</t>
  </si>
  <si>
    <t>Servicio de Mantenimiento Preventivo y Correctivo del Sistema de Traducción Simultánea para el ejercicio 2019</t>
  </si>
  <si>
    <t>31/12/2018
07/03/2019 CORRECC</t>
  </si>
  <si>
    <t>02/01/2019
13/03/2019 CORRECC.</t>
  </si>
  <si>
    <t>15/03/2019C
02/04/2019C
30/04/2019RC</t>
  </si>
  <si>
    <t>15/03/2019C
28/03/2019C
30/04/2019RC</t>
  </si>
  <si>
    <t>25/03/2019C
02/04/2019C
06/05/2019RC
04/06/2019RC</t>
  </si>
  <si>
    <t>SERV/DGRMSG/004/01/19</t>
  </si>
  <si>
    <t>SEN/DGRMSG/INV021/2018</t>
  </si>
  <si>
    <t>Grupo Mexicano de Seguros, S.A. de C.V.</t>
  </si>
  <si>
    <t>Póliza de seguros de bienes patrimoniales propiedad de la Cámara de Senadores correspondientes  al ejercicio 2019</t>
  </si>
  <si>
    <t>SERV/DGRMSG/004-I/01/19</t>
  </si>
  <si>
    <t>Incremento en el monto máximo del contrato</t>
  </si>
  <si>
    <t>no aplica</t>
  </si>
  <si>
    <t>ADQ/DGRMSG/005/01/19</t>
  </si>
  <si>
    <t>Kronaline, S.A. de C.V.</t>
  </si>
  <si>
    <t>Departamento de Diseño</t>
  </si>
  <si>
    <t>Papel para plotter</t>
  </si>
  <si>
    <t>ADQ/DGRMSG/005-I/01/19</t>
  </si>
  <si>
    <t xml:space="preserve">Incremento del 25% al monto máximo del contrato </t>
  </si>
  <si>
    <t>17/01/2019
24/01/2019</t>
  </si>
  <si>
    <t>23/01/2019C
24/01/2019
30/01/2019</t>
  </si>
  <si>
    <t>No cumple por falta de domicilio fiscal</t>
  </si>
  <si>
    <t>SERV/DGRMSG/006/01/19</t>
  </si>
  <si>
    <t>Mitsubishi Electric de México, S.A. de C.V.</t>
  </si>
  <si>
    <t>Servicios de mantenimiento preventivo y  correctivo a tres (3) elevadores para pasajeros marca Mitsubishi instalados en dos inmuebles propiedad de la Cámara de Senadores</t>
  </si>
  <si>
    <t>SI</t>
  </si>
  <si>
    <t>SERV/DGRMSG/006- I/01/19</t>
  </si>
  <si>
    <t>Ampliación de Vigencia al 31 de marzo de 2020</t>
  </si>
  <si>
    <t>21/01/2019C
12/08/19RCG</t>
  </si>
  <si>
    <t>25/01/2019C
19/08/19RCG</t>
  </si>
  <si>
    <t>CUMPLEN</t>
  </si>
  <si>
    <t>NO HAY 19/07</t>
  </si>
  <si>
    <t>SERV/DGRMSG/007/01/19</t>
  </si>
  <si>
    <t>Servicio de mantenimiento preventivo y correctivo a los 52 sistemas de detección, alarma y supresión de incendios para el ejercicio 2019</t>
  </si>
  <si>
    <t>SERV/DGRMSG/007-I/01/19</t>
  </si>
  <si>
    <t>26/02/2019C
26/02/2019RC</t>
  </si>
  <si>
    <t>27/02/2019C
27/02/2019RC
31/05/2019RC</t>
  </si>
  <si>
    <t>No hay oficios</t>
  </si>
  <si>
    <t>RC No cumplio</t>
  </si>
  <si>
    <t>NO HAY</t>
  </si>
  <si>
    <t>SERV/DGRMSG/008/01/19</t>
  </si>
  <si>
    <t>Lemonroy Business Solutions, S.A. de C.V.</t>
  </si>
  <si>
    <t>Servicios de mantenimiento preventivo y  correctivo sin refacciones y soporte técnico a 8 equipos UPS/batería, 1 de 160 KVA, 3 de 225 KVA, 2 de 300 KVA, 1 de 30 KVA y 1 de 10 KVA para la Nueva Sede de la Cámara de Senadores</t>
  </si>
  <si>
    <t>SERV/DGRMSG/008-I/01/19</t>
  </si>
  <si>
    <t>18/01/2019RC
19/03/2019C</t>
  </si>
  <si>
    <t>18/01/2019RC
04/03/19RC
19/03/2019C</t>
  </si>
  <si>
    <t>28/01/2019RC
13/03/19RC
25/03/2019C</t>
  </si>
  <si>
    <t>RC:No cumple por falta de manifestaciones de clásula decima. CUMPLE</t>
  </si>
  <si>
    <t>SERV/DGRMSG/009/01/19</t>
  </si>
  <si>
    <t>Servicio de mantenimiento preventivo y correctivo del sistema de audio y video para el ejercicio 2019</t>
  </si>
  <si>
    <t>Fianza C 15%
Resp Civil G 20%</t>
  </si>
  <si>
    <t>14/03/2019C
28/03/2019C
29/04/2019RC</t>
  </si>
  <si>
    <t>20/03/2019C
28/03/2019C
30/04/2019RC</t>
  </si>
  <si>
    <t>25/03/2019C
08/05/2019C
06/05/2019RC</t>
  </si>
  <si>
    <t>Cumplimiento: No cumple domicilio incorrecto</t>
  </si>
  <si>
    <t>SERV/DGRMSG/010/01/19</t>
  </si>
  <si>
    <t>A.D.</t>
  </si>
  <si>
    <t>adjudicación Directa</t>
  </si>
  <si>
    <t>Servicios de Ciberseguridad gestionada (Grupo de expertos de respuesta y prevención de incidentes de la seguridad).</t>
  </si>
  <si>
    <t>31/01/2019C
31/01/2019RC</t>
  </si>
  <si>
    <t>05/02/2019C
05/02/2019RC</t>
  </si>
  <si>
    <t>SERV/DGRMSG/011/01/19</t>
  </si>
  <si>
    <t>Aquí se está mejor, S.A. de C.V.</t>
  </si>
  <si>
    <t>Jefatura del departamento de servicios de alimentación y cafetería</t>
  </si>
  <si>
    <t>Servicios de alimentación para eventos y desarrollo de los trabajos legislativos de la Cámara de Senadores intra o extra muros (partidas 1 y 2)</t>
  </si>
  <si>
    <t>SERV/DGRMSG/011-I/01/19</t>
  </si>
  <si>
    <t>14/02/2019C
13/03/2019C
06/03/2019RC
28/03/2019RC
15/02/2019D</t>
  </si>
  <si>
    <t>15/02/2019C
14/03/2019C
08/03/2019RC
28/03/2019RC
15/02/2019D</t>
  </si>
  <si>
    <t>27/02/2019 C
18/03/2019C
14/03/2019RC
11/03/2019D
02/04/2019RC</t>
  </si>
  <si>
    <t>Cumplimiento: Fecha de emisión y texto. RC: Manifestaciones cláusula decima. Desocupación: Fecha de emisión Incorrecta</t>
  </si>
  <si>
    <t>SERV/DGRMSG/012/02/19</t>
  </si>
  <si>
    <t>Comité 1a Sesión Ordinaria celebrada el 25 de enero de 2019</t>
  </si>
  <si>
    <t>Zuma, Tecnologías de Información, S.C.</t>
  </si>
  <si>
    <t>Procesos de Producción</t>
  </si>
  <si>
    <t>Servicio de soporte técnico para las aplicaciones de dispositivos móviles del Canal del Congreso en Sistemas Operativos IOS y Android</t>
  </si>
  <si>
    <t>SERV/DGRMSG/013/02/19</t>
  </si>
  <si>
    <t>Somboruco Films, S.A. de C.V.</t>
  </si>
  <si>
    <t>Servicio de la producción de la serie caminos de libertad en su sexta temporada</t>
  </si>
  <si>
    <t>01/03/2019
15/05/2019</t>
  </si>
  <si>
    <t>08/05/2019
21/05/2019</t>
  </si>
  <si>
    <t>Declaraciones insertas en el cuerpo de la póliza</t>
  </si>
  <si>
    <t>SERV/DGRMSG/014/02/09</t>
  </si>
  <si>
    <t>Jefe de Departamento de Seguridad Informática</t>
  </si>
  <si>
    <t>Servicio de internet dedicado de fibra óptica de 2 Gbps para la Coordinación de Comunicación Social</t>
  </si>
  <si>
    <t>Fianza C 15%
Resp Civil G 10%</t>
  </si>
  <si>
    <t>SERV/DGRMSG/014-I/01/19</t>
  </si>
  <si>
    <t>Ampliación del 25% monto y vigencia (Al 06 de marzo de 2020)</t>
  </si>
  <si>
    <t>05/04/2019C
14/04/2019C
03/04/2019RC
26/04/2019RC</t>
  </si>
  <si>
    <t>08/04/2019C
12/04/2019C
04/04/2019RC
26/04/2019RC</t>
  </si>
  <si>
    <t>11/04/2019C
25/04/2019C
11/04/2019RC
03/05/2019RC</t>
  </si>
  <si>
    <t>Cumplimiento: No señala domicilio de la C. Senadores. RC: Faltan datos en gral</t>
  </si>
  <si>
    <t>SERV/DGRMSG/015/02/19</t>
  </si>
  <si>
    <t>Acuerdo de JUCOPO 30/01/19</t>
  </si>
  <si>
    <t>Gaini, S.C.</t>
  </si>
  <si>
    <t>Dirección de Radio y TV de la C.C.S</t>
  </si>
  <si>
    <t>Servicio de monitoreo del uso y aprovechamiento de los tiempos oficiales en radio y televisión a nivel Nacional otorgados al Senado de la República</t>
  </si>
  <si>
    <t>SERV/DGRMSG/015-I/01/19</t>
  </si>
  <si>
    <t>Ampliación del 25% monto y vigencia (Al 28 de febrero de 2020)</t>
  </si>
  <si>
    <t>SERV/DGRMSG/016/02/19</t>
  </si>
  <si>
    <t>Expertos en Cómputo y Comunicaciones, S.A. de C.V.</t>
  </si>
  <si>
    <t>Jefe del departamento de Soporte Técnico</t>
  </si>
  <si>
    <t>Servicio de infraestructura de equipo de cómputo e impresión mediante la modalidad de servicios administrados.</t>
  </si>
  <si>
    <t>26/03/2019C
03/05/2019C
19/03/2019RC</t>
  </si>
  <si>
    <t>27/03/2019C
03/05/2019C
20/03/2019RC</t>
  </si>
  <si>
    <t>02/04/2019C
13/05/2019C
25/03/2019RC</t>
  </si>
  <si>
    <t>Cumplimiento:No señala domicilio de la C. Senadores</t>
  </si>
  <si>
    <t>SERV/DGRMSG/017/03/19</t>
  </si>
  <si>
    <t>SEN/DGRMSG/L001/2019</t>
  </si>
  <si>
    <t xml:space="preserve">Art 45 </t>
  </si>
  <si>
    <t>Servicio de cableado categoría 5e y 7A de nodos de red para voz y datos en unidades parlamentarias, técnicas y administrativas en las instalaciones de la Cámara de Senadores</t>
  </si>
  <si>
    <t>SERV/DGRMSG/017-I/01/19</t>
  </si>
  <si>
    <t>Incremento 25% del monto máximo</t>
  </si>
  <si>
    <t>09/07/19RC
22/07/19C</t>
  </si>
  <si>
    <t>12/07/19RC
26/07/19C</t>
  </si>
  <si>
    <t>AMBAS CUMPLEN</t>
  </si>
  <si>
    <t>NO HAY 01/07/19</t>
  </si>
  <si>
    <t>Incompleto por falta de fianzas de C y RC, ultimo seguimiento 12/03/19…01/07</t>
  </si>
  <si>
    <t>SERV/DGRMSG/018/03/19</t>
  </si>
  <si>
    <t>SEN/DGRMSG/L002/2019</t>
  </si>
  <si>
    <t>Connext Soluciones, S.A. de C.V</t>
  </si>
  <si>
    <t>Servicio de mantenimiento correctivo del sistema de voz y de datos con servicio de Smartnet a equipo de la marca Cisco</t>
  </si>
  <si>
    <t>15/07/19C
28/08/19RC</t>
  </si>
  <si>
    <t>19/07/19C
03/09/19/RC</t>
  </si>
  <si>
    <t>SERV/DGRMSG/019/03/19</t>
  </si>
  <si>
    <t>Comité 2a Sesión Ordinaria celebrada el 22 febrero de 2019</t>
  </si>
  <si>
    <t xml:space="preserve">Art 21 II </t>
  </si>
  <si>
    <t>Servicio de operación, mantenimiento y soporte de los sistemas Emas, Argos, Tritón, Hera y Carmen</t>
  </si>
  <si>
    <t>Fianza C 15%
Resp Civil G 10%
Vicios Ocultos 10%</t>
  </si>
  <si>
    <t>25/04/2019C
07/05/2019C
25/042019RC</t>
  </si>
  <si>
    <t>26/04/2019C
08/05/2019C
26/04/2019RC</t>
  </si>
  <si>
    <t>02/05/2019C
13/05/2019C
02/05/2019RC</t>
  </si>
  <si>
    <t>Cumplimiento: No señala domcicilio de la C.Senadores</t>
  </si>
  <si>
    <t>ADQ/DGRMSG/020/03/19</t>
  </si>
  <si>
    <t>Intercomza, S.A. de C.V.</t>
  </si>
  <si>
    <t>Encargado de la jefatura del departamento de administración de servicios</t>
  </si>
  <si>
    <t>Solución antibacterial marca Germstar en presentación de 946 ml</t>
  </si>
  <si>
    <t>SERV/DGRMSG/021-I/01/19</t>
  </si>
  <si>
    <t>Ampliación de Vigencia (Al 29 de febrero de 2020)</t>
  </si>
  <si>
    <t>26/03/2019
30/04/2019</t>
  </si>
  <si>
    <t>09/04/19
06/05/19</t>
  </si>
  <si>
    <t>Domicilio de proveedor incorrecto.
La información inserta en el cuerpo de la póliza no es identica</t>
  </si>
  <si>
    <t>SERV/DGRMSG/021/03/19</t>
  </si>
  <si>
    <t>SEN/DGRMSG/L003-2019</t>
  </si>
  <si>
    <t>Kay-ser Group, S.A. de C.V.</t>
  </si>
  <si>
    <t>Servicio de operación de los 4 niveles de estacionamiento de la Nueva Sede y los 4 sótanos del inmueble de Donceles 14 de la Cámara de Senadores</t>
  </si>
  <si>
    <t>Fianza C 15%
Resp Civil G 30%</t>
  </si>
  <si>
    <t>15/04/2019C
15/04/2019RC</t>
  </si>
  <si>
    <t>25/04/2019C
25/04/2019RC</t>
  </si>
  <si>
    <t>Cumplimiento: No señala domicilio de la C. Senadores. RC: Dirección erronéa de la C.Senadores</t>
  </si>
  <si>
    <t>ADQ/DGRMSG/021/03/19</t>
  </si>
  <si>
    <t>SEN/DGRMSG/INV001/2019</t>
  </si>
  <si>
    <t>Invitación Desierta</t>
  </si>
  <si>
    <t>Industria de Refrescos, S. de R.L. de C.V.</t>
  </si>
  <si>
    <t>Subdirector de Supervisión</t>
  </si>
  <si>
    <t>Agua purificada envasada en garrafón de 20 lt. Para los inmuebles ocupados por la Cámara de Senadores para el ejercicio 2019</t>
  </si>
  <si>
    <t>Diciembre
Enero</t>
  </si>
  <si>
    <t>03/04/2019
04/06/2019</t>
  </si>
  <si>
    <t>04/04/2019
05/06/2019</t>
  </si>
  <si>
    <t>No señala domicilio de la C. Senadores</t>
  </si>
  <si>
    <t>SERV/DGRMSG/022/03/19</t>
  </si>
  <si>
    <t>MCS Network Solution, S.A. de C.V.</t>
  </si>
  <si>
    <t>Servicio Administrado de Videovigilancia y Radiocomunicación</t>
  </si>
  <si>
    <t>25/04/2019RC
27/05/2019RC
18/07/19VO</t>
  </si>
  <si>
    <t>26/04/2019RC
29/05/2019RC
19/07/18/2019 VO</t>
  </si>
  <si>
    <t>06/05/2019RC
04/06/2019RC
24/07/2019VO</t>
  </si>
  <si>
    <t>RC: Manifestaciones contenidas en la cláusula décima…CUMPLE. VICIOS OCULTOS CUMPLE</t>
  </si>
  <si>
    <t>SERV/DGRMSG/023/03/19</t>
  </si>
  <si>
    <t>Coordinación de Poryectos y Vinculación</t>
  </si>
  <si>
    <t>21/03/2019
03/04/2019</t>
  </si>
  <si>
    <t>22/03/2019
04/04/2019</t>
  </si>
  <si>
    <t>27/03/2019
11/04/2019</t>
  </si>
  <si>
    <t>Manifestaciones contenidas en la cláusula décima</t>
  </si>
  <si>
    <t>SERV/DGRMSG/024/03/19</t>
  </si>
  <si>
    <t>Art 21 X y XXII</t>
  </si>
  <si>
    <t>Asistente de Porcesos de Producción del Canal del Congreso</t>
  </si>
  <si>
    <t>Servicios Profesionales para la Conducción de la Serie Televisiva "Mesa de Diálogo"</t>
  </si>
  <si>
    <t>Dispensa de Fianza</t>
  </si>
  <si>
    <t>SERV/DGRMSG/025/03/19</t>
  </si>
  <si>
    <t>Servicios Profesionales para la Conducción de Programas de la Serie Televisiva "Incursionando"</t>
  </si>
  <si>
    <t>SERV/DGRMSG/026/03/19</t>
  </si>
  <si>
    <t xml:space="preserve">Verónica </t>
  </si>
  <si>
    <t>Ortiz</t>
  </si>
  <si>
    <t>Servicios Profesionales para la Conducción de Programas de la Serie de Televisión "Incursionando"</t>
  </si>
  <si>
    <t>SERV/DGRMSG/027/03/19</t>
  </si>
  <si>
    <t>Fonatur Infraestructura, S.A. de C.V.</t>
  </si>
  <si>
    <t>Servicio de mantenimiento preventivo y correctivo menor y servicios generales para los inmuebles ocupados por la Cámara de Senadores</t>
  </si>
  <si>
    <t>No se encuentra obligado</t>
  </si>
  <si>
    <t>Inst Pública</t>
  </si>
  <si>
    <t>Inst. Publica</t>
  </si>
  <si>
    <t>SERV/DGRMSG/028/03/19</t>
  </si>
  <si>
    <t>Servicio de limpieza para los inmuebles ocupados por la Cámara de Senadores</t>
  </si>
  <si>
    <t>SERV/DGRMSG/029/03/19</t>
  </si>
  <si>
    <t>SEN/DGRMSG/INV002/2019</t>
  </si>
  <si>
    <t>SB Strategies, S.A. de C.V.</t>
  </si>
  <si>
    <t>Servicio de mantenimiento preventivo y correctivo para la solución tecnológica y de almacenamiento "Storage"</t>
  </si>
  <si>
    <t>15/04/2019C
15/04/2019RC
25/04/2019C
11/04/2019VO</t>
  </si>
  <si>
    <t>15/04/2019C
16/04/2019RC
26/04/2019C
12/04/2019VO</t>
  </si>
  <si>
    <t>23/04/2019C
23/04/2019RC
30/04/2019C
14/06/19RC</t>
  </si>
  <si>
    <t>Cumplimiento: No señala domicilio de C.Senadores RC: Manifestaciones de la cláusula décima</t>
  </si>
  <si>
    <t>ADQ/DGRMSG/030/03/19</t>
  </si>
  <si>
    <t>SEN/DGRMSG/INV004/2019</t>
  </si>
  <si>
    <t>Sustitución del Anexo / Ampliación en Monto Máximo y Vigencia (Al 28 de febrero de 2020)</t>
  </si>
  <si>
    <t>06/5/19
03/1/20</t>
  </si>
  <si>
    <t>Diciembre
Diciembre</t>
  </si>
  <si>
    <t>11/04/2019
30/04/2019</t>
  </si>
  <si>
    <t>22/04/2019
06/05/2019</t>
  </si>
  <si>
    <t>SERV/DGRMSG/031/03/19</t>
  </si>
  <si>
    <t>SEN/DGRMSG/L004/2019</t>
  </si>
  <si>
    <t>J. Anastacio</t>
  </si>
  <si>
    <t>Jefe de departamento de infraestructura y proyectos</t>
  </si>
  <si>
    <t>Servicio de mantenimiento preventivo y correctivo de 26 arcos detectores de metales y 16 máquinas de inspección por Rayos "X" con banda de la Cámara de Senadores</t>
  </si>
  <si>
    <t xml:space="preserve">05/04/2019C
29/04/2019C
12/04/2019RC
26/04/2019RC
</t>
  </si>
  <si>
    <t xml:space="preserve">08/04/2019C
30/04/2019C
12/04/2019RC
29/04/2019RC
</t>
  </si>
  <si>
    <t>11/04/2019C
08/05/2019C
23/04/2019RC
08/05/2019RC</t>
  </si>
  <si>
    <t>Cumplimiento: No señala domicilio de la C. Senadores RC: Domiciio incorrecto de la C.Senadores, y error de valor del contrato</t>
  </si>
  <si>
    <t>SERV/DGRMSG/032/03/19</t>
  </si>
  <si>
    <t>SEN/DGRMSG/L005/2019</t>
  </si>
  <si>
    <t>Corporate Accon en conocimientos e Ingeniería, S.A. de C.V.</t>
  </si>
  <si>
    <t>Subdirector Operativo de la Unidad de Apoyo Técnico</t>
  </si>
  <si>
    <t>Servicio de Mantenimiento Preventivo y Correctivo con Refacciones a Orugas (Salva - Escaleras) y Diversos Elevadores instalados en el Edificio de la Nueva Sede de la Cámara de Senadores</t>
  </si>
  <si>
    <t>29/03/19C
29/03/19RC
22/05/2019RC</t>
  </si>
  <si>
    <t>11/04/2019C
11/04/2019RC
22/05/2019RC</t>
  </si>
  <si>
    <t>23/04/2019C
23/04/2019RC
30/05/2019RC</t>
  </si>
  <si>
    <t>RC: Manifestaciones contenidas en la cláusula décima</t>
  </si>
  <si>
    <t>ADQ/DGRMSG/033/03/19</t>
  </si>
  <si>
    <t>SEN/DGRMSG/L006/2019</t>
  </si>
  <si>
    <t>Cocina y Aseo Institucional, S.A. de C.V.</t>
  </si>
  <si>
    <t>Materiales de limpieza partida 1,3,5,6, y 7</t>
  </si>
  <si>
    <t>28/03/2019
23/04/2019</t>
  </si>
  <si>
    <t>11/04/2019
02/05/2019</t>
  </si>
  <si>
    <t>ADQ/DGRMSG/034/03/19</t>
  </si>
  <si>
    <t>Aba-Mexa, S.A. de C.V.</t>
  </si>
  <si>
    <t>Materiales de limpieza partida 2</t>
  </si>
  <si>
    <t>05/04/2019
07/06</t>
  </si>
  <si>
    <t>08/04/2019
10/06/2019</t>
  </si>
  <si>
    <t>11/04/2019
13/06/19</t>
  </si>
  <si>
    <t>ADQ/DGRMSG/035/03/19</t>
  </si>
  <si>
    <t>Maquilas Plásticas Poliducto C, S.A. de C.V.</t>
  </si>
  <si>
    <t>Dirección de Mantenimiento de Bienes Muebles e Inmuebles Partida 4 / Dirección de Control Patrimonial Partida 8</t>
  </si>
  <si>
    <t>Encargado de la jefatura del departamento de administración de servicios Partida 4 / Subdirección de Almacenes e Inventarios Partida 8</t>
  </si>
  <si>
    <t>Bienes relativos a las partidas 4 y 8 de Material de Limpieza</t>
  </si>
  <si>
    <t>15/03/2019
15/05/2019</t>
  </si>
  <si>
    <t xml:space="preserve">SERV/DGRMSG/036/03/19
SERV/DGRMSG/036-I/03/19
</t>
  </si>
  <si>
    <t>Art 21 XX</t>
  </si>
  <si>
    <t>Aerovías de México, S.A. de C.V.</t>
  </si>
  <si>
    <t>Unidad de pago a Senadores</t>
  </si>
  <si>
    <t>Subdirección de Viáticos y Pasajes</t>
  </si>
  <si>
    <t>Servicio de agencia de viajes para la reservación, entrega y/o erradicación de boletos de transportación aérea y otros servicios para viajes de trabajo y comisión de los CC. Senadores y personal de la Cámara de Senadores</t>
  </si>
  <si>
    <t>31/12/2020
31/05/21</t>
  </si>
  <si>
    <t>Se concede dispensa establecida Art 120 I</t>
  </si>
  <si>
    <t xml:space="preserve">SERV/DGRMSG/036-I/03/19
</t>
  </si>
  <si>
    <t xml:space="preserve">Ampliación de Vigencia al 31 de mayo de 2021
</t>
  </si>
  <si>
    <t xml:space="preserve">31/12/2020
</t>
  </si>
  <si>
    <t>NO HAY 01/07</t>
  </si>
  <si>
    <t>no hay acuse</t>
  </si>
  <si>
    <t>Incompleto no hay contrato firmado... 01/07</t>
  </si>
  <si>
    <t>Reembolso</t>
  </si>
  <si>
    <t>SERV/DGRMSG/037/03/19</t>
  </si>
  <si>
    <t>Viajes Gengis Khan, S.A. de C.V.</t>
  </si>
  <si>
    <t>SERV/DGRMSG/038/03/19</t>
  </si>
  <si>
    <t>Viajes Escalona, S.A.</t>
  </si>
  <si>
    <t>SERV/DGRMSG/039/03/19</t>
  </si>
  <si>
    <t>Operadora Onis, S.A. de C.V.</t>
  </si>
  <si>
    <t>SERV/DGRMSG/040/03/19</t>
  </si>
  <si>
    <t>Viajes Alpandeire, S.A. de C.V.</t>
  </si>
  <si>
    <t>SERV/DGRMSG/040-I/03/19</t>
  </si>
  <si>
    <t>Ampliación de la vigencia al 31 de mayo de 2021.</t>
  </si>
  <si>
    <t>VIGENTE</t>
  </si>
  <si>
    <t>30/04/2019
Endoso 22-02-21</t>
  </si>
  <si>
    <t>SERV/DGRMSG/041/03/19</t>
  </si>
  <si>
    <t>Viajes Helvetia, S.A. de C.V.</t>
  </si>
  <si>
    <t>ADQ/DGRMSG/042/04/19</t>
  </si>
  <si>
    <t>SEN/DGRMSG/L007/2019</t>
  </si>
  <si>
    <t>Subdirección deProgramas y contratos de adquisiciones</t>
  </si>
  <si>
    <t>Tarjetas electrónicas de gasolina de amplia cobertura, correspondiente a la partida 2</t>
  </si>
  <si>
    <t>ADQ/DGRMSG/042-I/04/19
ADQ/DGRMSG/042-II/04/19</t>
  </si>
  <si>
    <t>Sustitición del Administrador del Contrato / Ampliación 25% Vigencia (Al 29 de febrero)</t>
  </si>
  <si>
    <t>17/10/19
10/01/20</t>
  </si>
  <si>
    <t>no hay (12/06)</t>
  </si>
  <si>
    <t>ADQ/DGRMSG/043/04/19</t>
  </si>
  <si>
    <t>Servicios Broxel, S.A.P.I. de C.V.</t>
  </si>
  <si>
    <t>Subdirección de Prestaciones y Servicios</t>
  </si>
  <si>
    <t>Vales de despensa correspondientes a la partida 1</t>
  </si>
  <si>
    <t>ADQ/DGRMSG/043-I/04/19</t>
  </si>
  <si>
    <t>Ampliación en monto y vigencia (Al 29 de febrero 2020)</t>
  </si>
  <si>
    <t>30/04/2019
17/05/2019</t>
  </si>
  <si>
    <t>30/04/2019
20/05/2019</t>
  </si>
  <si>
    <t>06/05/2019
29/05/2019</t>
  </si>
  <si>
    <t>No se consigna el domicilio de la C. Senadores, y error en el mismo</t>
  </si>
  <si>
    <t>SERV/DGRMSG/044/04/19</t>
  </si>
  <si>
    <t>G-Travel Express, S.A. de C.V.</t>
  </si>
  <si>
    <t>SERV/DGRMSG/045/04/19</t>
  </si>
  <si>
    <t>SERV/DGRMSG/045-I/04/19
SERV/DGRMSG/045-II/04/19</t>
  </si>
  <si>
    <t>Sustitución de Anexo / Incremento del 25% del monto máximo y ampliación de vigencia al 29 de febrero de 2020</t>
  </si>
  <si>
    <t>27/05/2019
10/1/20</t>
  </si>
  <si>
    <t>SERV/DGRMSG/046/04/19</t>
  </si>
  <si>
    <t>SERV/DGRMSG/046-I/04/19</t>
  </si>
  <si>
    <t>Incremento monto máximo en 25% y vigencia al 29 de febrero de 2020</t>
  </si>
  <si>
    <t>SERV/DGRMSG/047/04/19</t>
  </si>
  <si>
    <t>SEN/DGRMSG/INV013/2019</t>
  </si>
  <si>
    <t>Manatie Prod, S.A. de C.V.</t>
  </si>
  <si>
    <t>Dirección de Ingeniería y Operación del Canal del Congreso</t>
  </si>
  <si>
    <t>Servicio en analítica digital del Canal del Congreso</t>
  </si>
  <si>
    <t>SERV/DGRMSG/047-I/04/19</t>
  </si>
  <si>
    <t>06/05/2019
20/05/2019</t>
  </si>
  <si>
    <t>07/05/2019
21/05/2019</t>
  </si>
  <si>
    <t>13/05/2019
29/05/2019</t>
  </si>
  <si>
    <t>SERV/DGRMSG/048/04/19</t>
  </si>
  <si>
    <t>SEN/DGRMSG/INV006/2019</t>
  </si>
  <si>
    <t>Impulso Metropolitano de Vivienda S.A. de C.V.</t>
  </si>
  <si>
    <t xml:space="preserve">Dirección de Mantenimiento de Bienes Muebles e Inmuebles Partida 1 y 2 </t>
  </si>
  <si>
    <t>Subdirección de Mantenimiento de Bienes Muebles e Inmuebles Partida 1 / Subdirección de Supervisión Partida 2</t>
  </si>
  <si>
    <t>Servicio de mantenimiento a mobiliario de madera y metálico, ubicados dentro de los inmuebles ocupados por la Cámara de Senadores</t>
  </si>
  <si>
    <t>Fianza C 15%
Fianza RCG 20%</t>
  </si>
  <si>
    <t>SERV/DGRMSG/048-I/04/19</t>
  </si>
  <si>
    <t>Incremento 25% del monto máximo partida 1</t>
  </si>
  <si>
    <t>15/05/2019C
15/05/2019RC
15/07/2019C
15/07/2019RC</t>
  </si>
  <si>
    <t>15/05/2019C
15/05/2019RC
16/07/2019C
16/07/2019RC</t>
  </si>
  <si>
    <t>21/05/2019C
21/05/2019RC
19/07/2019RC</t>
  </si>
  <si>
    <t>Cumplimiento: No señala domicilio de la C. Senadores. RC: CUMPLE</t>
  </si>
  <si>
    <t>no hay</t>
  </si>
  <si>
    <t>Incompleto por fianza de cumplimiento  22/07</t>
  </si>
  <si>
    <t>ADQ/DGRMSG/049/04/19</t>
  </si>
  <si>
    <t>SEN/DGRMSG/INV007/2019</t>
  </si>
  <si>
    <t>Distribuidora Comercial Ronyte, S.A. de C.V.</t>
  </si>
  <si>
    <t>Adquisición de material recurrente partidas 1, 2, 3, 5 y 7</t>
  </si>
  <si>
    <t>SERV/DGRMSG/050/04/19</t>
  </si>
  <si>
    <t>SEN/DGRMSG/INV005/2019</t>
  </si>
  <si>
    <t>Servicio de cerrajeria para los inmuebles ocupados por la Cámara de Senadores</t>
  </si>
  <si>
    <t>Fianza C 15%
Fianza RCG 15%</t>
  </si>
  <si>
    <t>SERV/DGRMSG/050-I/04/19
SERV/DGRMSG/050-II/04/19</t>
  </si>
  <si>
    <t>Incremento 25% Partida 2 ($50,000.00) /Incremento 25% Partida 1 y Vigencia (Al 28 de febrero de 2020) ($50,000.58)</t>
  </si>
  <si>
    <t>03/12/2019
26/12/2019</t>
  </si>
  <si>
    <t>23/05/2019C
29/04/2019RC
23/05/2019RC</t>
  </si>
  <si>
    <t>23/05/2019C
30/04/2019RC
23/05/2019RC</t>
  </si>
  <si>
    <t>30/05/2019
08/05/2019RC
30/05/2019</t>
  </si>
  <si>
    <t>SERV/DGRMSG/051/04/19</t>
  </si>
  <si>
    <t>SEN/DGRMSG/L009/2019</t>
  </si>
  <si>
    <t xml:space="preserve">Subdirección de Mantenimiento de Bienes Muebles e Inmuebles </t>
  </si>
  <si>
    <t>Servicio de mantenimiento preventivo y correctivo con refacciones a equipos de aire acondicionado ubicados dentro de los inmuebles ocupados por la Cámara de Senadores</t>
  </si>
  <si>
    <t>Fianza C 15%
Fianza RCG 30%</t>
  </si>
  <si>
    <t>SERV/DGRMSG/051-I/04/19</t>
  </si>
  <si>
    <t>13/05/2019C
13/05/19RC
31/05/19 RC
20/06/19RC</t>
  </si>
  <si>
    <t>14/105/2019C
14/05/19RC
03/06/19RC
20/06/19RC</t>
  </si>
  <si>
    <t xml:space="preserve">17/05/19C
17/05/19RC
25/06/19RC
</t>
  </si>
  <si>
    <t>RC:Datos incorrectos en el texto</t>
  </si>
  <si>
    <t>ADQ/DGRMSG/052/04/19</t>
  </si>
  <si>
    <t>SEN/DGRMSG/L011/2019</t>
  </si>
  <si>
    <t>Claudia Angélica</t>
  </si>
  <si>
    <t>Adquisicición de Papelería impresa oficial y administrativa correspondiente a la partida 1</t>
  </si>
  <si>
    <t>SERV/DGRMSG/052-I/04/19</t>
  </si>
  <si>
    <t>Ampliación de vigencia (Al 31 de enero de 2020)</t>
  </si>
  <si>
    <t>ADQ/DGRMSG/053/04/19</t>
  </si>
  <si>
    <t>Adquisicición de Papelería impresa oficial y administrativa correspondiente a la partida 2</t>
  </si>
  <si>
    <t>SERV/DGRMSG/054/04/19</t>
  </si>
  <si>
    <t>SEN/DGRMSG/L012/2019</t>
  </si>
  <si>
    <t xml:space="preserve"> Licitación Pública Desierta</t>
  </si>
  <si>
    <t>QPN Monterrey, S.A. de C.V.</t>
  </si>
  <si>
    <t>Servicios de mensajería y paquetería</t>
  </si>
  <si>
    <t>Terminación Mutuo Consentimiento</t>
  </si>
  <si>
    <t>Dictamen de terminación anticipada 31/05/2019</t>
  </si>
  <si>
    <t>SERV/DGRMSG/055/04/19</t>
  </si>
  <si>
    <t>SEN/DGRMSG/INV010/2019</t>
  </si>
  <si>
    <t>Compañía Impresora y Editora Angema, S.A. de C.V.</t>
  </si>
  <si>
    <t>Servicio de impresión, encuadernación y empastado de los Diarios de los Debates</t>
  </si>
  <si>
    <t>SERV/DGRMSG/056/04/19</t>
  </si>
  <si>
    <t>Johnson Controls BE Operations México, S.de R.L. de C.V</t>
  </si>
  <si>
    <t>Servicio de mantenimiento preventivo y correctivo con refacciones del equipo de aire acondicionado marca York, instalado en el inmueble de Av. Paseo de la Reforma 135 de la Cámara de Senadores</t>
  </si>
  <si>
    <t>si</t>
  </si>
  <si>
    <t>SERV/DGRMSG/056-I/04/19</t>
  </si>
  <si>
    <t>Ampliación del 25% monto y vigencia (Al 29 de febrero de 2020)</t>
  </si>
  <si>
    <t>16/07/19 C
12/0819RC</t>
  </si>
  <si>
    <t>16/07/19C
12/08/19RC</t>
  </si>
  <si>
    <t>18/07/19C
19/08/19RC</t>
  </si>
  <si>
    <t>CUMPLIMIENTO: CUMPLE,  RC CUMPLE</t>
  </si>
  <si>
    <t>no hay 01/07</t>
  </si>
  <si>
    <t>SERV/DGRMSG/057/04/19</t>
  </si>
  <si>
    <t>Servicio de mantenimiento preventivo y correctivo con refacciones del equipo del sistema de automatización y control de marca METASY, instalado en el inmueble de Av. Paseo de la Reforma N° 135 de la Cámara de Senadores</t>
  </si>
  <si>
    <t>SERV/DGRMSG/057-I/04/19</t>
  </si>
  <si>
    <t>SERV/DGRMSG/058/04/19</t>
  </si>
  <si>
    <t>Teletec de México S.A.P.I. de C.V.</t>
  </si>
  <si>
    <t>Servicio de Mantenimiento preventivo y correctivo al sistema de iluminación arquitectónica instalado en el edificio de la Nueva Sede de la Cámara de Senadores</t>
  </si>
  <si>
    <t>23/04/2019C
09/05/2019C
23/04/2019RC</t>
  </si>
  <si>
    <t>24/04/2019C
09/05/2019C
24/04/2019RC</t>
  </si>
  <si>
    <t xml:space="preserve">02/05/2019C
15/05/2019C
02/05/2019RC
15/05/2019RC
</t>
  </si>
  <si>
    <t>Cumplimiento: No señala domicilio de la C. Senadores. RC: Manifestaciones en cláusula décima</t>
  </si>
  <si>
    <t>SERV/DGRMSG/059/04/19</t>
  </si>
  <si>
    <t>SEN/DGRMSG/INV014/2019</t>
  </si>
  <si>
    <t>A.N.A. Compañía de Seguros, S.A. de C.V.</t>
  </si>
  <si>
    <t>Emisión de la Póliza de Seguros de automóviles, camiones y motocicletas de la Cámara de Senadores</t>
  </si>
  <si>
    <t>SERV/DGRMSG/060/04/19</t>
  </si>
  <si>
    <t>SEN/DGRMSG/L010/2019</t>
  </si>
  <si>
    <t>Servicio de mantenimiento preventivo y correctivo a los 421 equipos de elevautos, marca Bendpak, Modelos PL7000X, instalados en los 4 niveles de estacionamiento de la Nueva Sede</t>
  </si>
  <si>
    <t>SERV/DGRMSG/060-I/04/19</t>
  </si>
  <si>
    <t>Modificación Anexo</t>
  </si>
  <si>
    <t xml:space="preserve">23/04/2019C
09/05/2019RC
22/05/2019RC
</t>
  </si>
  <si>
    <t xml:space="preserve">24/04/2019C
09/05/2019RC
22/05/2019RC
</t>
  </si>
  <si>
    <t>30/04/2019C
15/05/2019RC
30/05/2019RC</t>
  </si>
  <si>
    <t>RC: No contiene la declaración expresa de cobertura señalada y texto de póliza erronéo</t>
  </si>
  <si>
    <t>SERV/DGRMSG/061/04/19</t>
  </si>
  <si>
    <t>SEN/DGRMSG/INV008/2019</t>
  </si>
  <si>
    <t>Servicio de mantenimiento preventivo y correctivo sin refacciones alos equipos salva-escaleras supra 15, ubicados en la Nueva Sede de la Cámara de Senadores</t>
  </si>
  <si>
    <t>Convenio de Terminación por mutuo consentimiento.</t>
  </si>
  <si>
    <t>23/04/19C
05/07/19RC</t>
  </si>
  <si>
    <t>24/04/2019C
05/07/19RC</t>
  </si>
  <si>
    <t>30/04/2019C
15/05/2019RC
30/05/2019RC
09/07/19RC</t>
  </si>
  <si>
    <t>Incompleto no se ha enviado a tesoreria por falta de fianza RC ultmo seguimiento 12/04...   01/07
CUMPLE FIANZA DE RC  09/07/19 FALTA FORMALIZACIÓN</t>
  </si>
  <si>
    <t>SERV/DGRMSG/062/04/19</t>
  </si>
  <si>
    <t>SEN/DGRMSG/L008/2019</t>
  </si>
  <si>
    <t>Mer Solutions, S.A. de C.V.</t>
  </si>
  <si>
    <t>Partida 3 Servicios de fumigación y erradicación de fauna nóciva y el mantenimiento, reforestación, limpieza de plantas de ornato y suministro de macetas para los inmuebles ocupados por la Cámara de Senadores</t>
  </si>
  <si>
    <t>SERV/DGRMSG/062-I/04/19</t>
  </si>
  <si>
    <t xml:space="preserve">15/05/2019C
</t>
  </si>
  <si>
    <t>20/05/2019c</t>
  </si>
  <si>
    <t>No hay</t>
  </si>
  <si>
    <t>SERV/DGRMSG/063/04/19</t>
  </si>
  <si>
    <t>Criservices, S.A. de C.V.</t>
  </si>
  <si>
    <t>Partida 1 y 2 Servicios de fumigación y erradicación de fauna nóciva y el mantenimiento, reforestación, limpieza de plantas de ornato y suministro de macetas para los inmuebles ocupados por la Cámara de Senadores</t>
  </si>
  <si>
    <t>SERV/DGRMSG/063-I/04/19</t>
  </si>
  <si>
    <t>Incremento al monto máximo 
Ampliación vigencia al 28 febrero</t>
  </si>
  <si>
    <t>14/05/2019C
23/05/2019C
11/06/2019RC</t>
  </si>
  <si>
    <t>15/05/2019C
23/05/2019C</t>
  </si>
  <si>
    <t>20/05/2019C
30/05/2019C</t>
  </si>
  <si>
    <t>Cumplimiento: No corresponde la información de acuerdo a la cláusula cuarta</t>
  </si>
  <si>
    <t>SERV/DGRMSG/064/04/19</t>
  </si>
  <si>
    <t>SEN/DGRMSG/INV009/2019</t>
  </si>
  <si>
    <t>Amarello Tecnologías de Información, S.A. de C.V.</t>
  </si>
  <si>
    <t>Dirección de Sistemas Informáticos</t>
  </si>
  <si>
    <t>Dirección de Informática Parlamentaria / Jefatura de Departamento de aplicaciones web</t>
  </si>
  <si>
    <t>Servicio de Elasticsearch sobre Google Cloud Platform</t>
  </si>
  <si>
    <t>ADQ/DGRMSG/065/04/19</t>
  </si>
  <si>
    <t>SEN/DGRMSG/INV011/2019</t>
  </si>
  <si>
    <t>Direción de Producción y Programación del Canal del Congreso</t>
  </si>
  <si>
    <t>Subidrección de Programación del Canal del Congreso</t>
  </si>
  <si>
    <t>Adquisición de material de grabación y reproducción para el Canal del Congreso</t>
  </si>
  <si>
    <t>29/04/2019
13/05/2019</t>
  </si>
  <si>
    <t>08/05/2019
17/05/2019</t>
  </si>
  <si>
    <t>No contiene domicilio de la C. Senadores</t>
  </si>
  <si>
    <t>ADQ/DGRMSG/066/04/19</t>
  </si>
  <si>
    <t>SEN/DGRMSG/L014/2019</t>
  </si>
  <si>
    <t>Marleny</t>
  </si>
  <si>
    <t>Uscanga</t>
  </si>
  <si>
    <t>Aboytes</t>
  </si>
  <si>
    <t>Consumibles de Cafetería y Café partida 2</t>
  </si>
  <si>
    <t>13/05/2019
23/05/2019</t>
  </si>
  <si>
    <t>14/05/2019
23/05/2019</t>
  </si>
  <si>
    <t>17/05/2019
30/05/2019</t>
  </si>
  <si>
    <t>No contiene la declaración expresa de cobertura señalada en cláusula novena inciso b</t>
  </si>
  <si>
    <t>ADQ/DGRMSG/067/04/19</t>
  </si>
  <si>
    <t>María Bertha Guillermina Patricia</t>
  </si>
  <si>
    <t>Espinosa</t>
  </si>
  <si>
    <t>Consumibles de Cafetería y Café partida 3</t>
  </si>
  <si>
    <t>No hay 01/07</t>
  </si>
  <si>
    <t>No hay 13/06</t>
  </si>
  <si>
    <t>Incompleto por falta de contrato firmado, solicito cambios el adm del contrato... 01/07…22/07</t>
  </si>
  <si>
    <t>ADQ/DGRMSG/068/04/19</t>
  </si>
  <si>
    <t>Consumibles de Cafetería y Café partida 1</t>
  </si>
  <si>
    <t>16/05/2019
29/07/19</t>
  </si>
  <si>
    <t>21/05/2019
02/08/19</t>
  </si>
  <si>
    <t>No contiene domicilio y no contiene la declaración de la cláusula novena inciso b…. CUMPLE  02/08</t>
  </si>
  <si>
    <t>Incompleto por falta de fianza de c. ultimo correo seguimiento 26/06/19... 01/07…22/07</t>
  </si>
  <si>
    <t>ADQ/DGRMSG/069/04/19</t>
  </si>
  <si>
    <t>Consumibles de Cafetería y Café partida 4</t>
  </si>
  <si>
    <t>16/05/2019
17/07/2019
29/07/2019</t>
  </si>
  <si>
    <t xml:space="preserve">16/05/2019
NO HA PRESENTADO ORIGINAL 18/07
29/07/2019
</t>
  </si>
  <si>
    <t>No contiene domicilio de la C. Senadores…. CUMPLE 02/08</t>
  </si>
  <si>
    <t>Incompleto por falta de fianza de c. ultimo correo de seguimiento 21/06...  01/07</t>
  </si>
  <si>
    <t>SERV/DGRMSG/070/04/19</t>
  </si>
  <si>
    <t>SEN/DGRMSG/INV017/2019</t>
  </si>
  <si>
    <t>Sistema de Energía Ininterrumpida, S.A. de C.V.</t>
  </si>
  <si>
    <t>Jefatura del Departamento de Mantenimiento a Equipo y Parque</t>
  </si>
  <si>
    <t>Servicio de Mantenimiento Preventivo y/o Correctivo a equipo No Break´s, mayores y menores a 1000 va´s (partida 1 y 2)</t>
  </si>
  <si>
    <t>Fianza C 15%
Resp Civil G 15%
Vicios Ocultos 10%</t>
  </si>
  <si>
    <t>05/07/19C
09/07/19RC
30/07/19RC</t>
  </si>
  <si>
    <t>10/07/19C
12/07/19RC
02/08/19RC</t>
  </si>
  <si>
    <t>CUMPLIMIENTO: CUMPLE..RC: NO CUMPLE POR DIRECCIÓN INCORRECTA DEL LUGAR A REALIZAR LOS TRABAJOS…RC CUMPLE 02/08</t>
  </si>
  <si>
    <t>Incompleto RC NO CUMPLE  22/07</t>
  </si>
  <si>
    <t>SERV/DGRMSG/071/05/19</t>
  </si>
  <si>
    <t>SEN/DGRMSG/L018/2019</t>
  </si>
  <si>
    <t xml:space="preserve">Alfredo </t>
  </si>
  <si>
    <t>Servicios complementarios para cubrir las necesidades de audio y video en las instalaciones del Senado</t>
  </si>
  <si>
    <t>mayo</t>
  </si>
  <si>
    <t>27/05/2019C
22/05/2019RC
30/05/2019RC</t>
  </si>
  <si>
    <t>29/05/2019C
22/05/2019RC
30/05/2019RC</t>
  </si>
  <si>
    <t>03/06/2019C
30/05/2019RC
03/06/2019RC</t>
  </si>
  <si>
    <t>RC: No contiene el domicilio en su calidad de asegurado, ni la firma de la sociedad aseguradora</t>
  </si>
  <si>
    <t>SERV/DGRMSG/072/05/19</t>
  </si>
  <si>
    <t>Servicio de mantenimiento preventivo del circuito cerrado de TV y distribución de señales en las instalaciones de la Coordinación de Comunicación Social (Partida 3)</t>
  </si>
  <si>
    <t>22/05/2019C
22/05/2019RC
30/05/2019RC</t>
  </si>
  <si>
    <t>30/05/2019C
30/05/2019RC
03/06/2019RC</t>
  </si>
  <si>
    <t>SERV/DGRMSG/073/05/19</t>
  </si>
  <si>
    <t>Servicio de mantenimiento preventivo de equipos de audio de la Coordinación de Comunicación Social, ubicadas en diversas áreas del Senado de la República (Partida 2)</t>
  </si>
  <si>
    <t>junio</t>
  </si>
  <si>
    <t xml:space="preserve">22/05/2019C
22/05/2019RC
</t>
  </si>
  <si>
    <t xml:space="preserve">30/05/2019C
30/05/2019RC
</t>
  </si>
  <si>
    <t>SERV/DGRMSG/074/05/19</t>
  </si>
  <si>
    <t>Comité 4a Sesión Ordinaria celebrada el 26 de abril de 2019</t>
  </si>
  <si>
    <t>Art 21 II y XXIII</t>
  </si>
  <si>
    <t>Sr &amp; Friends, S.A. de C.V.</t>
  </si>
  <si>
    <t>Dirección de Enlace con Medios</t>
  </si>
  <si>
    <t>Servicio de Análisis, monitoreo y alertas de información relativa al Senado de la República en medios impresos, electrónicos y redes sociales através de un sistema multiplataforma (dispositivo móvil y página web)</t>
  </si>
  <si>
    <t xml:space="preserve">Fianza C 15%
</t>
  </si>
  <si>
    <t>SERV/DGRMSG/074-I/05/19</t>
  </si>
  <si>
    <t>Ampliación del 25% monto y ampliación de vigencia al 28 de febrero de 2020</t>
  </si>
  <si>
    <t>SERV/DGRMSG/075/05/19</t>
  </si>
  <si>
    <t>Grupo Arte y Comunicación S.C.</t>
  </si>
  <si>
    <t>Servicio de monitoreo en las actividades del Senado en medios impresos y portales de internet en los estados de la República Mexicana</t>
  </si>
  <si>
    <t>SERV/DGRMSG/075-I/05/19</t>
  </si>
  <si>
    <t>SERV/DGRMSG/076/05/19</t>
  </si>
  <si>
    <t>Servicio de mantenimiento preventivo y correctivo al sistema neumático de envíos, marca AEROCOM, modelo AC-3000, en 160 mm de diámetro, instalado en el edificio de la Nueva Sede de la Cámara de Senadores</t>
  </si>
  <si>
    <t xml:space="preserve">Fianza C 15%
Resp Civil G 15%
</t>
  </si>
  <si>
    <t>27/05/2019C
27/05/2019RC
07/06/2019RC</t>
  </si>
  <si>
    <t>29/05/2019C
29/05/2019RC
10/06/2019RC</t>
  </si>
  <si>
    <t>06/06/2019C
04/06/2019RC</t>
  </si>
  <si>
    <t>SERV/DGRMSG/077/05/19</t>
  </si>
  <si>
    <t>Caja Electrónica, S.A.</t>
  </si>
  <si>
    <t>Servicio de mantenimiento preventivo del equipo de edición, copiado y sistemas portátiles de audio y video en la CCS (Partida 1)</t>
  </si>
  <si>
    <t xml:space="preserve">27/05/2019C
27/05/2019RC
</t>
  </si>
  <si>
    <t>29/05/2019C
29/05/2019RC</t>
  </si>
  <si>
    <t>03/06/2019C
03/06/2019RC</t>
  </si>
  <si>
    <t>RC: Varios requisitos no cumple</t>
  </si>
  <si>
    <t>SERV/DGRMSG/078/05/19</t>
  </si>
  <si>
    <t>Oficio de la MD  LXIV/MD/ST/1917/19 de fecha 30 de abril</t>
  </si>
  <si>
    <t>Colectivo de Investigación, Desarrollo y Educación entre mujeres, A.C.</t>
  </si>
  <si>
    <t>Unidad Técnica para la Igualdad de Género</t>
  </si>
  <si>
    <t>Dirección de Transversalización de la Respectiva de Género</t>
  </si>
  <si>
    <t>Servicio para desarrollar el conversatorio "Legislando para la igualdad y con perspectiva de Género"</t>
  </si>
  <si>
    <t>Se concede dispensa establecida Art 120 II</t>
  </si>
  <si>
    <t>ADQ/DGRMSG/079/05/19</t>
  </si>
  <si>
    <t>Acrom, S.A. de C.V.</t>
  </si>
  <si>
    <t>Papelería impresa oficial y administrativa (partida 1, segundo lugar)</t>
  </si>
  <si>
    <t>No hay 20/06</t>
  </si>
  <si>
    <t>ADQ/DGRMSG/080/05/19</t>
  </si>
  <si>
    <t>SEN/DGRMSG/L016/2019</t>
  </si>
  <si>
    <t>Comercializadora Dopaj, S.A. de C.V.</t>
  </si>
  <si>
    <t>Departamento de Almacén</t>
  </si>
  <si>
    <t>Bienes de papelería, artículos de oficina y consumibles de cómputo partida 23</t>
  </si>
  <si>
    <t>ADQ/DGRMSG/080-I/05/19</t>
  </si>
  <si>
    <t xml:space="preserve">Sustitución de Anexo </t>
  </si>
  <si>
    <t>28/05/2019
04/06/2019</t>
  </si>
  <si>
    <t>29/05/2019
05/06/2019</t>
  </si>
  <si>
    <t>03/06/2019
12/06/2019</t>
  </si>
  <si>
    <t>ADQ/DGRMSG/081/05/19</t>
  </si>
  <si>
    <t>SEN/DGRMSG/L013/2019</t>
  </si>
  <si>
    <t>Bienes recurrentes (partidas 1, 2, 3, 4, 5, 6, 7, 8, 9, 10, 13, 14, 15, 18, 19, 20, 21, 22, 23, 24, 25, 26, 27, 28, 29, 30, 31, 32, 33 y 34)</t>
  </si>
  <si>
    <t>ADQ/DGRMSG/081-I/05/19</t>
  </si>
  <si>
    <t>Cancelación de la partida 9, e incremento en bienes de la partida 1 y 2</t>
  </si>
  <si>
    <t>noviembre</t>
  </si>
  <si>
    <t>No hay oficio 20/06/19</t>
  </si>
  <si>
    <t>ADQ/DGRMSG/082/05/19</t>
  </si>
  <si>
    <t>Bienes de papelería, artículos de oficina y consumibles de cómputo partidas 2, 3, 4, 6, 13, 15, 18, 21 y 22</t>
  </si>
  <si>
    <t>28/05/2019
06/06/2019</t>
  </si>
  <si>
    <t>29/05/2019
07/06/2019</t>
  </si>
  <si>
    <t>03/06/2019
13/06/2019</t>
  </si>
  <si>
    <t>Domicilio de C.Senadores incorrecto</t>
  </si>
  <si>
    <t>ADQ/DGRMSG/083/05/19</t>
  </si>
  <si>
    <t>Bienes de papelería, artículos de oficina y consumibles de cómputo partidas 1, 5, 7, 9, 10, 11, 12, 14, 16, 19 y 20</t>
  </si>
  <si>
    <t>ADQ/DGRMSG/083-I/05/19</t>
  </si>
  <si>
    <t>Sustitución de Anexo (Modificación en la presentación de los productos señalados en la partida 5 consecutivo 49, partida 10 consecutivo 101 y partida 19 consecutivo 150)</t>
  </si>
  <si>
    <t>ADQ/DGRMSG/084/05/19</t>
  </si>
  <si>
    <t>Yocelia</t>
  </si>
  <si>
    <t>Vazquez</t>
  </si>
  <si>
    <t>Adquisición de bienes de papelería, artículos de oficina y consumibles de cómputo partida 17</t>
  </si>
  <si>
    <t>SERV/DGRMSG/085/05/19</t>
  </si>
  <si>
    <t>SEN/DGRMSG/L017/2019</t>
  </si>
  <si>
    <t>Dirección de Difusión</t>
  </si>
  <si>
    <t>Servicio de abastecimiento y distribución de periódicos y revistas</t>
  </si>
  <si>
    <t>SERV/DGRNSG/085-I/05/19</t>
  </si>
  <si>
    <t>Incremento del 25% sobre el monto total</t>
  </si>
  <si>
    <t>SERV/DGRMSG/086/05/19</t>
  </si>
  <si>
    <t>SEN/DGRMSG/INV016/2019</t>
  </si>
  <si>
    <t>Enforcer Units Fire Service Pluse México, S.A. de C.V.</t>
  </si>
  <si>
    <t>Servicio de mantenimiento preventivo-correctivo al sistema de detección de alarmas de incendios</t>
  </si>
  <si>
    <t>05/06/19C
05/06/19RC</t>
  </si>
  <si>
    <t>12/06/19C
12/06/16RC</t>
  </si>
  <si>
    <t>RC: Nombre de Sociedad incorrecto, así como Beneficiarios y cobertura</t>
  </si>
  <si>
    <t>SERV/DGRMSG/087/05/19</t>
  </si>
  <si>
    <t>SEN/DGRMSG/INV019/2019</t>
  </si>
  <si>
    <t>Intérpretes y Traductores de Lengua de Señas en la República Mexicana, A.C.</t>
  </si>
  <si>
    <t>Producción del Canal del Congreso</t>
  </si>
  <si>
    <t>Servicios profesionales de interpretación de lengua de señas mexicanas</t>
  </si>
  <si>
    <t>SERV/DGRMSG/087-I/05/19</t>
  </si>
  <si>
    <t>11/06/19C
11/06/19RC</t>
  </si>
  <si>
    <t>12/06/19C
12/06/19RC</t>
  </si>
  <si>
    <t>18/06/19C
18/06/19RC</t>
  </si>
  <si>
    <t>Cumplimiento: Fecha de emisión e inicio de la póliza es incongruente.  RC: Beneficiarios, cobertura y vigencia incorrecta</t>
  </si>
  <si>
    <t>ADQ/DGRMSG/088/05/19</t>
  </si>
  <si>
    <t>Índice Dover, S.A. de C.V.</t>
  </si>
  <si>
    <t>Papelería impresa oficial y administrativa (partida 1, tercer lugar)</t>
  </si>
  <si>
    <t>ADQ/DGRMSG/088-I/05/19
ADQ/DGRMSG/088-II/05/19</t>
  </si>
  <si>
    <t>Modificación Anexo / Ampliación Monto 25% y vigencia al 24 de febrero de 2020</t>
  </si>
  <si>
    <t>11/10/19
10/1/20</t>
  </si>
  <si>
    <t>ADQ/DGRMSG/089/05/19</t>
  </si>
  <si>
    <t>SEN/DGRMSG/INV018/2019</t>
  </si>
  <si>
    <t>Departamento de Soporte Técnico a los Sistemas Parlamentarios de Asistencia, Votación y Audioautomatización</t>
  </si>
  <si>
    <t>Suscripción y adquisición de software bajo demanda (partidas 1 a la 35)</t>
  </si>
  <si>
    <t>SERV/DGRMSG/090/06/19</t>
  </si>
  <si>
    <t>Servicio de mantenimiento preventivo y correctivo con refacciones del equipo de bombeo hidrónico, válvulas, intercambiadores de calor, EPAC (expansión, presurización y control de aire) del sistema de aire acondionado instalado en el inmueble de la Nueva Sede</t>
  </si>
  <si>
    <t>julio</t>
  </si>
  <si>
    <t>SERV/DGRMSG/091/06/19</t>
  </si>
  <si>
    <t>Servicio de protección y soporte en seguridad informática a través de la solución de antivirus para equipos de cómputo de la Cámara de Senadores</t>
  </si>
  <si>
    <t>SERV/DGRMSG/091-I/06/19</t>
  </si>
  <si>
    <t>Ampliación en monto y vigencia (Al 31 de agosto 2020)</t>
  </si>
  <si>
    <t>SERV/DGRMSG/092/06/19</t>
  </si>
  <si>
    <t>GRUPO IDSEC, S.A.P.I. DE C.V.</t>
  </si>
  <si>
    <t>El servicio de arrendamiento del sistema de videovigilancia "CCTV"</t>
  </si>
  <si>
    <t xml:space="preserve">Fianza C 15%
Fianza A 
Resp Civ 5%
</t>
  </si>
  <si>
    <t>5´745000</t>
  </si>
  <si>
    <t>29/06 área solicita modificatorio por cambio de dirección fiscal</t>
  </si>
  <si>
    <t>Cambio de Domicilio fiscal</t>
  </si>
  <si>
    <t>En los años 2020, 2021, 2022, 2023 la cantidad de $16,086,000.00, 2024 $6,702,500.00
Formalizó Póliza de Responsabilidad civil 07-06-21</t>
  </si>
  <si>
    <t xml:space="preserve">1er modif firma proveedor 05/07/23
07/07/23  debidamente firmado el primer modificatorio
26/07/23 Modif formalizado con endosos </t>
  </si>
  <si>
    <t>12/07/2019 RC</t>
  </si>
  <si>
    <t>17/07/19 RC</t>
  </si>
  <si>
    <t>CUMPLE RC</t>
  </si>
  <si>
    <t>SERV/DGRMSG/093/06/19</t>
  </si>
  <si>
    <t>Acuerdo de JUCOPO 16/04/19</t>
  </si>
  <si>
    <t>Equipos y Climas de México, S.A. de C.V.</t>
  </si>
  <si>
    <t>Servicio de limpieza y sanitización de ductos de aire acondicionado de la torre principal y hemiciclo del Senado</t>
  </si>
  <si>
    <t xml:space="preserve">Fianza C 15%
Res Civ 20%
Fianza VO 10%
</t>
  </si>
  <si>
    <t>06/08/19C
15/08/19RC</t>
  </si>
  <si>
    <t>13/08/19C
20/08/19RC</t>
  </si>
  <si>
    <t>ADQ/DGRMSG/094/06/19</t>
  </si>
  <si>
    <t>SEN/DGRMSG/INV023/2019</t>
  </si>
  <si>
    <t>Refacciones y/o accesorios para los sistemas parlamentarios de asistencia, votación y audio autorizado</t>
  </si>
  <si>
    <t>ADQ/DGRMSG/095/06/19</t>
  </si>
  <si>
    <t>SEN/DGRMSG/INV024/2019</t>
  </si>
  <si>
    <t>Atracción Comercial, S.A. de C.V.</t>
  </si>
  <si>
    <t>Material recurrente de las partidas 1, 2, 3, 5, 6 y 7 de aire acondicionado: partida 2 de material especial; partida 6 de material eléctrico y partidas 2 y 3 de hidrosanitarias</t>
  </si>
  <si>
    <t>12/07/19C
24/07/19C</t>
  </si>
  <si>
    <t>26/07/19C</t>
  </si>
  <si>
    <t>Cumplimiento: No cumple, no señala domicilio de la C. ni vigencia de inicio.. 29/07 CUMPLE</t>
  </si>
  <si>
    <t>No hay 5/07</t>
  </si>
  <si>
    <t>Incompleto por no cumplir la fianza de cumplimiento 22/07</t>
  </si>
  <si>
    <t>ADQ/DGRMSG/096/06/19</t>
  </si>
  <si>
    <t>Proveedora Nacional Médica, S.A. de C.V.</t>
  </si>
  <si>
    <t>Material recurrente de la partida 8 aire acondicionado, partida 8, 10 y 12 material eléctrico y partida 1 especiales</t>
  </si>
  <si>
    <t>ADQ/DGRMSG/096-I/06/19</t>
  </si>
  <si>
    <t>Incremento del 25% sobre el monto total de la partida 1 Especiales</t>
  </si>
  <si>
    <t>ADQ/DGRMSG/097/06/19</t>
  </si>
  <si>
    <t>Interamericana CMH, S.A. de C.V.</t>
  </si>
  <si>
    <t>Material recurrente de las partidas 4 de aire acondicionado; partidas 1, 2, 3, 4, 5, 7, 9 y 11 de material eléctrico</t>
  </si>
  <si>
    <t>30/07/2019C</t>
  </si>
  <si>
    <t>30/07/19C</t>
  </si>
  <si>
    <t>02/08/19C</t>
  </si>
  <si>
    <t>ADQ/DGRMSG/098/06/19</t>
  </si>
  <si>
    <t>SEN/DGRMSG/INV026/2019</t>
  </si>
  <si>
    <t>Fridmay, S.A. de C.V.</t>
  </si>
  <si>
    <t>Bienes recurrentes (partidas 11, 16 y 17)</t>
  </si>
  <si>
    <t>ADQ/DGRMSG/099/06/19</t>
  </si>
  <si>
    <t>Bienes recurrentes partida 12</t>
  </si>
  <si>
    <t>SERV/DGRMSG/100/06/19</t>
  </si>
  <si>
    <t>SEN/DGRMSG/L021/2019</t>
  </si>
  <si>
    <t>La póliza de soporte de la infraestructura de virtualización del centro de datos de la Cámara de Senadores</t>
  </si>
  <si>
    <t>15/07/19C
15/07/19RC</t>
  </si>
  <si>
    <t>15/07/19 C
15/07/19RC</t>
  </si>
  <si>
    <t>17/07/19C
17/07/19RC</t>
  </si>
  <si>
    <t>CUMPLE  RC
CUMPLE  C</t>
  </si>
  <si>
    <t>Se cubrió en una sola exhibición  2019</t>
  </si>
  <si>
    <t>SERV/DGRMSG/101/06/19</t>
  </si>
  <si>
    <t>SEN/DGRMSG/L022/2019</t>
  </si>
  <si>
    <t>Consultores y Soporte AMD, S.A. de C.V.</t>
  </si>
  <si>
    <t>Servicio de arrendamiento de equipo de cómputo, servidores y equipo de impresión, mediante la modalidad de servicios administrados</t>
  </si>
  <si>
    <t xml:space="preserve">Fianza C 15%
Fianza A  30%
Resp Civ 10%
</t>
  </si>
  <si>
    <t>04/08/21 Proveedor solicitó cambio de apoderado legal (preguntar a Augusto si se hará modificatorio o solo lo cambiaran en jurídico)</t>
  </si>
  <si>
    <t>Solicitan incremento del 25% de la partida H apartado II, incremento del 5% para cjercicios 2021,2022,2023
2021 $22,795,288.29
2022 $23,287,724.29
2023 $16,278,667.49</t>
  </si>
  <si>
    <t>Se envia convenio modificatorioa firma del administrador 11/08/21
Modificatorio formalizado en tesorería, así como endoso de FC y PRC 27/08</t>
  </si>
  <si>
    <t>No hay 26/7</t>
  </si>
  <si>
    <t>SERV/DGRMSG/102/07/19</t>
  </si>
  <si>
    <t>SEN/DGRMSG/INV025/2019</t>
  </si>
  <si>
    <t>Segudirecto, Agente de Seguros y Fianzas, S.A. de C.V.</t>
  </si>
  <si>
    <t>Servicios de asesoría externa en materia de administración de riesgos de la Cámara de Senadores</t>
  </si>
  <si>
    <t>ADQ/DGRMSG/103/07/19</t>
  </si>
  <si>
    <t>NYR Tecnología, S.A. de C.V.</t>
  </si>
  <si>
    <t>Suscripción y adquisición de software bajo demanda (partidas 1 a la 33)</t>
  </si>
  <si>
    <t>ADQ/DGRMSG/104/07/19</t>
  </si>
  <si>
    <t>Promociones Ludisa, S.A. de C.V.</t>
  </si>
  <si>
    <t>Material recurrente correspondiente a la partida 1 (Hidrosanitaria-accesorios)</t>
  </si>
  <si>
    <t>ADQ/DGRMSG/104-I/07/19</t>
  </si>
  <si>
    <t>Incremento del 25% partida 1</t>
  </si>
  <si>
    <t>24601, 24701, 24901, 29101</t>
  </si>
  <si>
    <t>ADQ/DGRMSG/105/07/19</t>
  </si>
  <si>
    <t>Acuerdo JUCOPO 23/05/19</t>
  </si>
  <si>
    <t>Surman México, S.A. de C.V.</t>
  </si>
  <si>
    <t>Ambulancia tipo II de urgencias básicas modelo 2019</t>
  </si>
  <si>
    <t>SERV/DGRMSG/106/07/19</t>
  </si>
  <si>
    <t>Comité 6ta sesión ordinaria, celebrada el 28 de junio de 2019</t>
  </si>
  <si>
    <t>Estratec, S.A. de C.V.</t>
  </si>
  <si>
    <t>Servicio de copiado e impresión digital</t>
  </si>
  <si>
    <t xml:space="preserve">Fianza C 15%
Resp Civ 15%
</t>
  </si>
  <si>
    <t>SERV/DGRMSG/106-I/07/19</t>
  </si>
  <si>
    <t>Ampliación de Vigencia al 15 de febrero de 2020</t>
  </si>
  <si>
    <t>No  hay 14/08</t>
  </si>
  <si>
    <t>Falta pólizade Resp. Civ. 14/08</t>
  </si>
  <si>
    <t>SERV/DGRMSG/107/07/19</t>
  </si>
  <si>
    <t>Organización Mitamex, S.A. de C.V.</t>
  </si>
  <si>
    <t>SERV/DGRMSG/107-I/07/19</t>
  </si>
  <si>
    <t>Incremeto 25% en el monto máximo y ampliación de vigencia al 15 de febrero 2020</t>
  </si>
  <si>
    <t>No hay 29/08</t>
  </si>
  <si>
    <t>SERV/DGRMSG/108/07/19
SERV/DGRMSG/108-I/07/19
SERV/DGRMSG/108-II/07/19</t>
  </si>
  <si>
    <t>|</t>
  </si>
  <si>
    <t>Gestión y Edificación Inmobiliaria, S.A. de C.V.</t>
  </si>
  <si>
    <t>Servicio de gerencia y supervisión de la obra pública consistente en la "fabricación, montaje y adecuación de cubos para alojar elevadores dentro de las instalaciones del Senado de la República"</t>
  </si>
  <si>
    <t xml:space="preserve">Fianza C 15%
Fianza A 
Resp Civ 20%
</t>
  </si>
  <si>
    <t>14/05/2021.
05/07/21</t>
  </si>
  <si>
    <t>SERV/DGRMSG/108-I/07/19
SERV/DGRMSG/108-II/07/19 
03/10 se aprobó en la 8° Sesión Extraordinaria del Comité, incremento de $1,826248.24 más iva, y ampliación de vigencia al 30/09/2023
11/11 Se solicita a la DGAJ 4to modificatorio por cambio de domicilio fiscal del proveedor
23/03/23 Adm solicitaTerminación Anticipada 
24/03 se le envía un Dictamen para su revisión y visto bueno en apoyo a la DMBMI
27/03 la DMBMI, informa incorformidades en el dictamen, para que se hagan los cambios perntinentes
16/05 Se solicita a la DGAJ la Terminación Administrativa, una vez aprobada en el COMITÉ Cuarta Sesión Ordinaria 28/04/23</t>
  </si>
  <si>
    <t xml:space="preserve">I.- Incremento 2 meses en vigencia, al 26 de mayo 2021 sin impacto en precio, así mismo se sustituye el anexo I del contrato original 
II.- Incremento de $3,486,700 más IVA y ampliación de vigencia al 26 de septiembre de 2022
III.- Incremento de $1,826,248.24  más iva, así como ampliación de vigencia al 30/09/23
IV.- Cambio de domicilio fiscal del proveedor
****TERMINACIÓN ADMINISTRATIVA****
   </t>
  </si>
  <si>
    <t>Firmó proveedor modificatorio 30/03/2021
Formalizado convenio modificatorio 18/05/21 con endosos de FC y PRC
Firmó II Modificatorio proveedor 31/05/21
Formalizado III modificatorio ante tesorería 07/07/21
29/11 Firmó 4to modific</t>
  </si>
  <si>
    <t>3er Modif formalizado con endosos 12/12/22
4to Modif formalizado con endosos 12/12/22</t>
  </si>
  <si>
    <t>23/07/2019
Modificatorio 25-03-21</t>
  </si>
  <si>
    <t>26/07/2019
Modificatorio 29-03-21</t>
  </si>
  <si>
    <t>No hay 16/08/19</t>
  </si>
  <si>
    <t>No hay 16/08/19
Modificatorio enviado 30-03-21
Modificatorio devuelto 05-04-21
26/05/23 FIRMA TERMINACIÓN ADM PROVEEDOR
09/06 Term. Adm formalizada en Tesorería</t>
  </si>
  <si>
    <t>SERV/DGRMSG/109/08/19</t>
  </si>
  <si>
    <t>Oficio de la MD  LXIV/MD/ST/3114/19 de fecha 22 de julio de 2019</t>
  </si>
  <si>
    <t>Alma Laura</t>
  </si>
  <si>
    <t>Hernández</t>
  </si>
  <si>
    <t>Arévalo</t>
  </si>
  <si>
    <t>Servicio para desarrollar el documental conmemorativo a los 25 años de la cuarta conferencia mundial de la mujer realizada en Beijing en 1995</t>
  </si>
  <si>
    <t>No requiere</t>
  </si>
  <si>
    <t>SERV/DGRMSG/110/08/19</t>
  </si>
  <si>
    <t>Comité 7a Sesión Ordinaria celebrada el 26 de juliol de 2019</t>
  </si>
  <si>
    <t>Art 21 XXIII y XVI</t>
  </si>
  <si>
    <t>Estafeta Mexicana, S.A. de C.V.</t>
  </si>
  <si>
    <t>Servicio de mensajería y paquetería local, nacional e internacional para la Cámara de Senadores</t>
  </si>
  <si>
    <t>30/08/19C</t>
  </si>
  <si>
    <t>03/09/19C</t>
  </si>
  <si>
    <t>CUMPLIMIENTO: CUMPLE, FALTA RC.</t>
  </si>
  <si>
    <t>SERV/DGRMSG/111/08/19</t>
  </si>
  <si>
    <t>Medingenium, S.A. de C.V.</t>
  </si>
  <si>
    <t>Servicio de mantenimiento preventivo y/o correctivo a equipo de rayos X de la marca Comed, modelo Titán 2000</t>
  </si>
  <si>
    <t xml:space="preserve">Fianza C 15%
Res Civ 10%
</t>
  </si>
  <si>
    <t>N</t>
  </si>
  <si>
    <t>28/08/19C
28/08/19RC</t>
  </si>
  <si>
    <t>03/09/19C
03/09/19RC</t>
  </si>
  <si>
    <t>SERV/DGRMSG/112/08/19</t>
  </si>
  <si>
    <t>SEN/DGRMSG/112/08/19</t>
  </si>
  <si>
    <t>Servicio de mantenimiento preventivo con refacciones a 3 plantas generadoras eléctricas marca Caterpillar, modelo 3516B de 2000 KW c/u en la Nueva Sede de la Cámara de Senadores</t>
  </si>
  <si>
    <t xml:space="preserve">Fianza C 15%
Res Civ 5%
</t>
  </si>
  <si>
    <t>SERV/DGRMSG/113/08/19</t>
  </si>
  <si>
    <t>SEN/DGRMSG/L023/08/19</t>
  </si>
  <si>
    <t>Constructora Mozaco, S.A. de C.V.</t>
  </si>
  <si>
    <t>Suministro y colocación de piso vinílico y alfombra modular en las instalaciones de la Cámara de Senadores</t>
  </si>
  <si>
    <t xml:space="preserve">Fianza C 15%
Res Civ 20%
</t>
  </si>
  <si>
    <t>SERV/DGRMSG/113-I/08/19</t>
  </si>
  <si>
    <t>Ampliación de vigencia al 30 de abril de 2020</t>
  </si>
  <si>
    <t>No coincide monto escrito</t>
  </si>
  <si>
    <t>ADQ/DGRMSG/114/08/19</t>
  </si>
  <si>
    <t>SEN/DGRMSG/L025/2019</t>
  </si>
  <si>
    <t>Adquisición, instalación, puesta en operación y capacitación de un sistema de administrador de contenidos para bahías de producción y post-producción</t>
  </si>
  <si>
    <t xml:space="preserve">Fianza C 15%
Res Civ 15%
</t>
  </si>
  <si>
    <t>ADQ/DGRMSG/114-I/08/19</t>
  </si>
  <si>
    <t>Sustitución de dos bienes objeto del contrato</t>
  </si>
  <si>
    <t>SERV/DGRMSG/115/08/19</t>
  </si>
  <si>
    <t>SEN/DGRMSG/L027/2019</t>
  </si>
  <si>
    <t>Silent4business, S.A. de C.V.</t>
  </si>
  <si>
    <t>Servicio de monitoreo, medición y control del modelo de gobierno de TI, sistema de gestión de seguridad de la información y niveles de servicio</t>
  </si>
  <si>
    <t>ADQ/DGRMSG/116/08/19</t>
  </si>
  <si>
    <t>SEN/DGRMSG/INV027/2019</t>
  </si>
  <si>
    <t>Bienes consistentes en papelería y artículos de oficina correspondientes a la partida 8</t>
  </si>
  <si>
    <t>21101, 21401</t>
  </si>
  <si>
    <t>C: CUMPLE</t>
  </si>
  <si>
    <t>SERV/DGRMSG/117/09/19</t>
  </si>
  <si>
    <t>Idiomas de Iztapalapa, S.C.</t>
  </si>
  <si>
    <t>Servicio de capacitación del idioma inglés en línea</t>
  </si>
  <si>
    <t>Sept</t>
  </si>
  <si>
    <t>Dispensa DGRMSG</t>
  </si>
  <si>
    <t>SE SOLICITÓ A JURÍDICO CANCELACIÓN HASTA NUEVO AVISO MEDIANTE OFICIO 2603 DE DGRMSG 06/09/19 SE REPORTÓ A CAOS SEPTIEMBRE</t>
  </si>
  <si>
    <t>*SE CANCELÓ CONTRATO ADQ/DGRMSG/117/09/19 Patreco Comercializadora Consumibles de cómputo correspondientes a las partidas 24 y 25</t>
  </si>
  <si>
    <t>SERV/DGRMSG/118/08/19</t>
  </si>
  <si>
    <t>SEN/DGRMSG/L031/2019</t>
  </si>
  <si>
    <t>Actualización de Centro de Datos (Partidas 1, 2, 3, 4, 5, 6, 7, 8, 9, 10 Y 11</t>
  </si>
  <si>
    <t xml:space="preserve">Fianza C 15%
Res Civ 15%
VO 10%
</t>
  </si>
  <si>
    <t>33304, 32701, 51501</t>
  </si>
  <si>
    <t>09/09/19 C
20/09/19 RC</t>
  </si>
  <si>
    <t>10/09/19 C
23/09/19 RC</t>
  </si>
  <si>
    <t>18/09/19 C
26/09/19 RC</t>
  </si>
  <si>
    <t>C: CUMPLE
RC: CUMPLE</t>
  </si>
  <si>
    <t>SERV/DGRMSG/119/08/19</t>
  </si>
  <si>
    <t>Especialistas en Acabados Profesionales, S.A. de C.V.</t>
  </si>
  <si>
    <t>Servicio integral para la reparación de filtraciones en edificio de la Nueva Sede del Senado de la República</t>
  </si>
  <si>
    <t>Fianza C 15%
Resp Civ 30%
VO 10%</t>
  </si>
  <si>
    <t>SERV/DGRMSG/119-I/08/19</t>
  </si>
  <si>
    <t>Incremento del 25% del monto total</t>
  </si>
  <si>
    <t>18/09/19C</t>
  </si>
  <si>
    <t>24/09/19C</t>
  </si>
  <si>
    <t>C: CUMPLE.</t>
  </si>
  <si>
    <t>SERV/DGRMSG/120/09/19</t>
  </si>
  <si>
    <t>SEN/DGRMSG/L034/19</t>
  </si>
  <si>
    <t>Impermeabilizantes y mantenimiento de Inmuebles, S.A. de C.V.</t>
  </si>
  <si>
    <t>Servicio consistente en trabajos de remozamiento correspondientes al suministro y aplicación de una pintura ambientalmente responsable para cubrir muros y plafones de los edificios Sede y Administrativo de la Cámara de Senadores</t>
  </si>
  <si>
    <t>Fianza C 15%
Resp Civ 20%
VO 10%
Anticipo 100%</t>
  </si>
  <si>
    <t>SERV/DGRMSG/120-I/09/19</t>
  </si>
  <si>
    <t>Incremento del 15% del monto total y ampliación de vigencia al 31 de enero de 2020</t>
  </si>
  <si>
    <t>Oct</t>
  </si>
  <si>
    <t>SERV/DGRMSG/121/09/19</t>
  </si>
  <si>
    <t>Serretecno, S.A. de C.V.</t>
  </si>
  <si>
    <t>Servicio de mantenimiento preventivo y correctivo sin refacciones a los equipos Salva - Escaleras Supra 15, ubicados en la Nueva Sede de la Cámara de Senadores</t>
  </si>
  <si>
    <t>SERV/DGRMSG/122/09/19</t>
  </si>
  <si>
    <t>Acuerdo JUCOPO 04 Sept 2019</t>
  </si>
  <si>
    <t xml:space="preserve">Art 21 XXII </t>
  </si>
  <si>
    <t>Grupo GC, Servicios Profesionales, S.A. de C.V.</t>
  </si>
  <si>
    <t>Servicio consistente en una solución tecnológica que coadyuve en los servicios digitales para las convocatorias para los nombramientos de 21 magistrados de Órganos Jurisdiccionales Locales en materia electoral; 2 consejeros del Consejo de la Judicatura Federal; 2 consejeros del Consejo Consultivo del INAI; 2 consejeros del Consejo Ciudadano del Sistema Público de Radiodifusión del Estado Mexicano y 9 integrantes de la Comisión de Selección del Cómite de Participación Ciudadana del Sistema Nacional Anticorrupción</t>
  </si>
  <si>
    <t xml:space="preserve">Fianza C 15%
VO 15%
</t>
  </si>
  <si>
    <t>SERV/DGRMSG/123/09/19</t>
  </si>
  <si>
    <t>SEN/DGRMSG/L033/2019</t>
  </si>
  <si>
    <t>J+C Mexicana de Comercio y Construcción, S.A. de C.V.</t>
  </si>
  <si>
    <t>Servicio integral consistente en el suministro, colocación y puesta en marcha de los sistemas contra incendio para los edificios Madrid No. 62 y Donceles No. 14 de la Cámara de Senadores</t>
  </si>
  <si>
    <t>Fianza de Vicios ocultos enviada a Tesorería el 19-02-21</t>
  </si>
  <si>
    <t>EL pago se realizará  conforme a estimaciones y cronograma de porcentajes. El contrato no establece el monto a ejercer en 2020</t>
  </si>
  <si>
    <t>SERV/DGRMSG/124/09/19</t>
  </si>
  <si>
    <t xml:space="preserve">Art 21 XVII </t>
  </si>
  <si>
    <t>Control Patrimonial</t>
  </si>
  <si>
    <t>Servicios profesionales de un Director Responsable de Obra (DRO) y corresponsable en instalaciones, para llevar a cabo una revisión general de las instalaciones de los inmuebles de Xicoténcatl 9, Donceles 14, Donceles 27, Madrid 37, Madrid 62 a efecto de que éstos cumplan con el Reglamento de Construcciones para el Distrito Federal, emitan el dictamen respectivo, su responsiva para el aviso de visto bueno de seguridad y operación, así como su registro ante la autoridad competente (Alcaldía Cuauhtémoc)</t>
  </si>
  <si>
    <t>SERV/DGRMSG/124-I/09/19</t>
  </si>
  <si>
    <t>Ampliación de vigencia al 20 de enero de 2020. Incremento al monto</t>
  </si>
  <si>
    <t>diciembre</t>
  </si>
  <si>
    <t>SERV/DGRMSG/125/10/19</t>
  </si>
  <si>
    <t>Art 21 VII y XXIII</t>
  </si>
  <si>
    <t>Suministro y colocación de autonivelante para piso en instalaciones de la Cámara de Senadores</t>
  </si>
  <si>
    <t>Fianza C 15%
Resp Civ 30%
VO 10%
Anticipo 100%</t>
  </si>
  <si>
    <t>EL pago se realizará  conforme a estimaciones quincenales. El contrato no establece el monto a ejercer en 2020</t>
  </si>
  <si>
    <t>SERV/DGRMSG/126/10/19</t>
  </si>
  <si>
    <t>SEN/DGRMSG/L038/2019</t>
  </si>
  <si>
    <t>Tag Strategy Partners, S.C.</t>
  </si>
  <si>
    <t>Dirección de Producción y Programación del Canal del Congreso</t>
  </si>
  <si>
    <t>Servicio de estudio de opinión pública 2019 para el Canal del Congreso</t>
  </si>
  <si>
    <t>ADQ/DGRMSG/127/10/19</t>
  </si>
  <si>
    <t>Licenciamiento para los sistemas Emas, Argos, Tritón, Hera y Carmen</t>
  </si>
  <si>
    <t>Fianza C 15%
VO 10%</t>
  </si>
  <si>
    <t>EL pago se realizó en una sola exhibición Recursos 2019</t>
  </si>
  <si>
    <t>SERV/DGRMSG/128/10/19</t>
  </si>
  <si>
    <t>SEN/DGRMSG/L042/2019</t>
  </si>
  <si>
    <t>Sistemas Impermeables y Recubrimientos, S.A. de C.V.</t>
  </si>
  <si>
    <t>Suministro y colocación de impermeabilización en azotea del edificio ubicado en calle Xicoténcatl No. 9, propiedad del Senado de la República.</t>
  </si>
  <si>
    <t>SERV/DGRMSG/128-I/10/19</t>
  </si>
  <si>
    <t>Se incorpora una hoja al Anexo Técnico</t>
  </si>
  <si>
    <t>OP/DGRMSG/129/10/19</t>
  </si>
  <si>
    <t>OP</t>
  </si>
  <si>
    <t xml:space="preserve">Autorizado por acuerdo de la JUCOPO de fecha 23 mayo </t>
  </si>
  <si>
    <t>Art 21-XXII</t>
  </si>
  <si>
    <t>VF Ingeniería, S.A. de C.V.</t>
  </si>
  <si>
    <t>Adecuación, cambios y mejoras en el inmueble Teatro de la República</t>
  </si>
  <si>
    <t>SERV/DGRMSG/130/10/19</t>
  </si>
  <si>
    <t>SEN/DGRMSG/L041/19</t>
  </si>
  <si>
    <t>Corporate Accon en Conocimientos e Ingeniería, S.A. de C.V.</t>
  </si>
  <si>
    <t>Servicio de sustitución y mantenimiento a cubierta tridimensional del edificio ubicado en Madrid N° 62, Col. Tabacalera y cubierta del edificio ubicado en Xicoténcatl No. 9, Col. Centro, pertenecientes a la Cámara de Senadores</t>
  </si>
  <si>
    <t>EL pago se realizará  conforme a estimaciones. El contrato no establece el monto a ejercer en 2020</t>
  </si>
  <si>
    <t>SERV/DGRMSG/131/11/19</t>
  </si>
  <si>
    <t>SEN/DGRMSG/INV034/19</t>
  </si>
  <si>
    <t>Servicio especializado de atención y soporte a la pantalla led del salón de Sesiones</t>
  </si>
  <si>
    <t>SERV/DGRMSG/132/11/19</t>
  </si>
  <si>
    <t>Comité 2a Sesión Extraordinaria celebrada el 08 nov de 2019</t>
  </si>
  <si>
    <t>Art 21-II</t>
  </si>
  <si>
    <t>Salvador</t>
  </si>
  <si>
    <t>Quiauhtlazollin</t>
  </si>
  <si>
    <t>Servicio de producción de la serie "Quorum", misma que consta de 10 programas con duración aproximada de 27 minutos cada uno</t>
  </si>
  <si>
    <t>Preguntar a Julio</t>
  </si>
  <si>
    <t>SERV/DGRMSG/133/11/19</t>
  </si>
  <si>
    <t>Víctor Enrique</t>
  </si>
  <si>
    <t>Servicio de producción de 8 programas con duración aproximada de 30 minutos cada uno para la serie "EN DONDE SE LEGISLA" incluyendo investigación, conducción, grabación (incluye el uso de un dron), edición postproducción, musicalización y personal de producción</t>
  </si>
  <si>
    <t>SERV/DGRMSG/134/11/19</t>
  </si>
  <si>
    <t>Fernando</t>
  </si>
  <si>
    <t>Suárez Madrid</t>
  </si>
  <si>
    <t>Servicio de Producción de 10 programas con duración aproximada de 54 minutos cada uno para la serie "Entre Iguales", incluyendo investigación, conducción, grabación, edición, postproducción, musicalización y personal de producción</t>
  </si>
  <si>
    <t>SERV/DGRMSG/135/11/19</t>
  </si>
  <si>
    <t xml:space="preserve">Gabriel </t>
  </si>
  <si>
    <t>De la Vega</t>
  </si>
  <si>
    <t xml:space="preserve">Mora </t>
  </si>
  <si>
    <t>Servicio de Producción de 10 programas con duración aproximada de 27 minutos cada uno, para la serie "WEB 3.0", incluyendo investigación, conducción, grabación, edición, postproducción, musicalización, stock y personal de producción</t>
  </si>
  <si>
    <t>CD/DGRMSG/136/11/19</t>
  </si>
  <si>
    <t>César Marco</t>
  </si>
  <si>
    <t>Parra</t>
  </si>
  <si>
    <t>Olmedo</t>
  </si>
  <si>
    <t>Derechos patrimoniales de autor que ostenta, particularmente los audiovisuales, sobre la obra audiovisual "TRADICIÓN ES MÉXICO" la cual consta de 20 programas documentales en formato Full HD, con una duración de 27 minutos cada uno, así como dos cápsulas por cada capítulo con duración de 2 a 3 minutos, desde una mirada antropológica, cultural e histórica de la evolución de la fiesta popular en los distintos pueblos de México</t>
  </si>
  <si>
    <t>SERV/DGRMSG/137/11/19</t>
  </si>
  <si>
    <t>Alejandro</t>
  </si>
  <si>
    <t>Rosas</t>
  </si>
  <si>
    <t>Robles</t>
  </si>
  <si>
    <t>Servicio de producción de 10 programas con duración aproximada de 15 minutos cada uno, para la serie denominada "15 MINUTOS ANTE LA HISTORIA", incluyendo investigación historiográfica, iconográfica, guion y conducción</t>
  </si>
  <si>
    <t>ADQ/DGRMSG/138/11/19</t>
  </si>
  <si>
    <t>SEN/DGRMSG/INV037/19</t>
  </si>
  <si>
    <t xml:space="preserve">Adquisición de Impresora Multifuncional (Plotter) </t>
  </si>
  <si>
    <t>ADQ/DGRMSG/139/11/19</t>
  </si>
  <si>
    <t>SEN/DGRMSG/INV036/19</t>
  </si>
  <si>
    <t>Productos Metálicos Steele, S.A. de C.V.</t>
  </si>
  <si>
    <t>Suministro y colocación de módulos operativos para dos y cuatro personas</t>
  </si>
  <si>
    <t>Fianza C 15%
Resp Civ 5%</t>
  </si>
  <si>
    <t xml:space="preserve">
OP/DGRMSG/140/11/19</t>
  </si>
  <si>
    <t>Adjudicación Directa, Derivada de L024 y L039 Desiertas</t>
  </si>
  <si>
    <t>Proceso de Ingeniería Aplicada, S.A. de C.V.</t>
  </si>
  <si>
    <t>Fabricación, Montaje y Adecuación de Cubos para alojar elevadores dentro de las instalaciones del Senado de la República</t>
  </si>
  <si>
    <t>ADQ/DGRMSG/141/11/19</t>
  </si>
  <si>
    <t>SEN/DGRMSG/L043/19</t>
  </si>
  <si>
    <t>Comtelsat, S.A. de C.V</t>
  </si>
  <si>
    <t>Equipamiento para multiprogramación, grabación, almacenamiento y transmisión de los canales 45.2 y 45.3 en señal abierta para el Canal del Congreso</t>
  </si>
  <si>
    <t>Fianza C 15%
Resp Civ 15%
VO 10%</t>
  </si>
  <si>
    <t>ADQ/DGRMSG/141-I/11/19</t>
  </si>
  <si>
    <t>Correción al monto adjudicado</t>
  </si>
  <si>
    <t>51101, 51501, 52301, 56501</t>
  </si>
  <si>
    <t>Ocubre</t>
  </si>
  <si>
    <t>ADQ/DGRMSG/142/11/19</t>
  </si>
  <si>
    <t>SEN/DGRMSG/L044/19</t>
  </si>
  <si>
    <t>Equipamiento tecnológico en formato de alta definición para cabinas del Canal del Congreso, Sala de Protocolo de la Mesa Directiva (Ifigenia Martínez) y Sala de Protocolo de la Junta de Coordinación Política</t>
  </si>
  <si>
    <t>Fianza C 15%
Resp Civ 20%
VO 10%</t>
  </si>
  <si>
    <t>SERV/DGRMSG/143/11/19</t>
  </si>
  <si>
    <t>Comité 3a Sesión Extraordinaria celebrada el 25 nov de 2019</t>
  </si>
  <si>
    <t>Investigación Estratégica Kanji, S.A. de C.V.</t>
  </si>
  <si>
    <t>Servicio de producción de 10 programas con duración aproximada de 30 minutos cada uno para la serie "Cámaras en acción", incluyendo investigación, escaleta, grabación, locución, edición, post-producción, musicalización, stock y personal de producción</t>
  </si>
  <si>
    <t>ADQ/DGRMSG/144/11/19</t>
  </si>
  <si>
    <t>Comité 3a Sesión Extraordinaria celebrada el 21 nov de 2019</t>
  </si>
  <si>
    <t>Suministro y actualización tencológica de las luminarias de los rieles del sistema de iluminación del salón de sesiones, ubicado en el Pleno de la Nueva Sede de la Cámara de Senadores de Av. Reforma No. 135</t>
  </si>
  <si>
    <t>Fianza C 15%
Resp Civ 15%</t>
  </si>
  <si>
    <t>ADQ/DGRMSG/145/11/19</t>
  </si>
  <si>
    <t>Art 21 XVI y XXIII</t>
  </si>
  <si>
    <t xml:space="preserve">Mejora del sistema de difusión del aire y confort del aire acondicionado del Salón de Sesiones, así como en el Presídium de la Mesa Directiva del Pleno de la Nueva Sede </t>
  </si>
  <si>
    <t>OP/DGRMSG/146/11/19</t>
  </si>
  <si>
    <t>Adjudicación Directa, Derivada de L040 Desierta</t>
  </si>
  <si>
    <t>Desarrollo de Proyectos Especializados, S.A. de C.V.</t>
  </si>
  <si>
    <t xml:space="preserve">Proyecto integral de Obra Pública a precio alzado para el suministro y la colocación de cubierta y fachada de cristal en el acceso senatorial de las instalaciones del Senado de la República </t>
  </si>
  <si>
    <t>OP/DGRMSG/146-I/11/19</t>
  </si>
  <si>
    <t>Ampliación de la vigencia al 19 de febrero de 2020</t>
  </si>
  <si>
    <t>No se determina el monto para 2020</t>
  </si>
  <si>
    <t>SERV/DGRMSG/147/12/19</t>
  </si>
  <si>
    <t>Autorizado por la JUCOPO oficio 29 Noviembre</t>
  </si>
  <si>
    <t>Miguel Ángel Porrúa, S.A. de C.V.</t>
  </si>
  <si>
    <t>Unidad de Transparencia de la SGSA</t>
  </si>
  <si>
    <t>Unidadad de Transparencia de la SGSA</t>
  </si>
  <si>
    <t>Servicio de impresión de las obras denominadas: 1) "Tomo I. Historia verdadera de la Conquista de la Nueva España esrita por Bernal Díaz de Castillo" y 2) "Tomo II. Historia verdadera de la Conquista de la Nueva España escrita por Bernal Díaz de Castillo".</t>
  </si>
  <si>
    <t>Dispensa</t>
  </si>
  <si>
    <t>SERV/DGRMSG/147-I/12/19</t>
  </si>
  <si>
    <t>Modificación del administrador del contrato</t>
  </si>
  <si>
    <t>SERV/DGRMSG/148/12/19</t>
  </si>
  <si>
    <t>Servicio de impresión de las obras denominadas: 1) "Curso de Derecho Legislativo" y 2) "La transformación de la dicotomía de lo público y lo privado en el Estado y el Derecho en México".</t>
  </si>
  <si>
    <t>ADQ/DGRMSG/149/11/19</t>
  </si>
  <si>
    <t>Adjudicación Directa, Derivada de L029 Desierta</t>
  </si>
  <si>
    <t>Comercializadora Munrro, S.A. de C.V.</t>
  </si>
  <si>
    <t>Adquisición de ropa y equipo de trabajo para el personal de diversas áreas de la Cámara de Senadores</t>
  </si>
  <si>
    <t>ADQ/DGRMSG/150/12/19</t>
  </si>
  <si>
    <t>Licitación Pública SEN/DGRMSG/L048/2019</t>
  </si>
  <si>
    <t>Actualización Biométrica del Sistema Parlamentario de Asistencia y Votación</t>
  </si>
  <si>
    <t>SERV/DGRMSG/151/12/19</t>
  </si>
  <si>
    <t>Autorizado por la JUCOPO Oficio SGSA/LXIV/1482/19</t>
  </si>
  <si>
    <t>Art. 21 XXII</t>
  </si>
  <si>
    <t>Junta de Coordinación Política</t>
  </si>
  <si>
    <t>Servicio de impresión de diversa obras denominadas: 1) "Péndulo Político. Experiencia mexicana ¿izquierda o socialdemocracia?; 2) "Derechos de los mexicanos: nuevos paradigmas"; y 3) "Nuevo vocabulario, filosófico-democrático. Tomos I y II"</t>
  </si>
  <si>
    <t>SERV/DGRMSG/152/12/19</t>
  </si>
  <si>
    <t>Licitación Pública SEN/DGRMSG/L049/2019</t>
  </si>
  <si>
    <t>People Media, S.A. de C.V.</t>
  </si>
  <si>
    <t>Servicio de desarrollo de un sistema para la logística de los Eventos derivados de las Actividades Legislativas llevadas a cabo en las instalaciones del Senado de la República</t>
  </si>
  <si>
    <t>Fianza C 15%
Resp Civ 20%</t>
  </si>
  <si>
    <t>ADQ/DGRMSG/153/12/19</t>
  </si>
  <si>
    <t>José Eduardo</t>
  </si>
  <si>
    <t>Ramírez</t>
  </si>
  <si>
    <t>Suministro e instalación de un Elevador de pasajeros con sistema de máquina de tracción, puertas automáticas y 4 paradas, en el inmueble de Ignacio Allende No. 23 incluyendo el Desmontaje del que se encuentra instalado actualmente</t>
  </si>
  <si>
    <t>Fianza C 15%
Resp Civ 10%</t>
  </si>
  <si>
    <t>ADQ/DGRMSG/154/12/19</t>
  </si>
  <si>
    <t>Licitación Pública SEN/DGRMSG/L047/2019</t>
  </si>
  <si>
    <t>Unified Networks, S.A. de C.V.</t>
  </si>
  <si>
    <t>Modernización de la Infraestructura de la Red de Voz y Datos Lan y Wan</t>
  </si>
  <si>
    <t>ADQ/DGRMSG/155/12/19</t>
  </si>
  <si>
    <t>Licitación Pública SEN/DGRMSG/L045/2019</t>
  </si>
  <si>
    <t>Consultoría Organizacional y Sistemas Informáticos, S.C.</t>
  </si>
  <si>
    <t xml:space="preserve">Dirección General de Contabilidad </t>
  </si>
  <si>
    <t>Virtualización de los sistemas informáticos de digitalización "Alchemy", "Augusta", y de los "Sistemas contables legados" (incluye infraesructura y software</t>
  </si>
  <si>
    <t>SERV/DGRMSG/156/12/19</t>
  </si>
  <si>
    <t>Licitación Pública SEN/DGRMSG/L004/2020</t>
  </si>
  <si>
    <t>SERV/DGRMSG/156-I/12/19
SERV/DGRMSG/156-II/12/19</t>
  </si>
  <si>
    <t>Ampliación de Vigencia al 28-02-2021
Ampliación de vigencia al 31-03-21 (regresó de firma del área el 19-03-21)</t>
  </si>
  <si>
    <t>Formalización Endoso 23-03</t>
  </si>
  <si>
    <t>Endoso cumple 12-03-21</t>
  </si>
  <si>
    <t>ADQ/DGRMSG/157/12/19</t>
  </si>
  <si>
    <t>Adjudicación Directa, Derivada de L037 Desierta</t>
  </si>
  <si>
    <t>Art. 21 XII</t>
  </si>
  <si>
    <t>Aplicaciones Innovadoras en Recursos Energéticos, S.A. de C.V.</t>
  </si>
  <si>
    <t>Equipo de protección personal y para combate de incendios para la Brigada de Protección Civil de la Cámara de Senadores</t>
  </si>
  <si>
    <t xml:space="preserve">ADQ/DGRMSG/158/12/19
ADQ/DGRMSG/158-I/12/19
</t>
  </si>
  <si>
    <t>Comité 4a Sesión Extraordinaria celebrada el 06 dic de 2019</t>
  </si>
  <si>
    <t>Art 21 XVI y XVII</t>
  </si>
  <si>
    <t>Mavape, S.A.P.I. de C.V.</t>
  </si>
  <si>
    <t>Fortalecimiento de la Ciberseguridad en el Senado de la República</t>
  </si>
  <si>
    <t>SERV/DGRMSG/158-I/12/19</t>
  </si>
  <si>
    <t>Convenio de Finiquito (Cesión de derechos de cobro a PG Ranhtoe Servicios Administrativos, S.A. de C.V.)</t>
  </si>
  <si>
    <t>ADQ/DGRMSG/159/12/19</t>
  </si>
  <si>
    <t>PG Ajud Servicios Administrativos, S.A. de C.V.</t>
  </si>
  <si>
    <t>Infraestructura, Software y Servicios para la instrumentación de un Plan de Recuperación de Desatres (DRP) etapa 1</t>
  </si>
  <si>
    <t>SERV/DGRMSG/160/12/19</t>
  </si>
  <si>
    <t>Comité 12a Sesión Ordinaria celebrada el 16 dic de 2019</t>
  </si>
  <si>
    <t>Mal &amp; Jor, S.A. de C.V.</t>
  </si>
  <si>
    <t>Servicio de reubicación de la subestación compacta eléctrica en el edificio ubicado en Xicotécatl, Colonia Centro</t>
  </si>
  <si>
    <t>SERV/DGRMSG/160-I/12/19</t>
  </si>
  <si>
    <t>Corrección en la vigencia del 17 al 31 diciembre 2019</t>
  </si>
  <si>
    <t>ADQ/DGRMSG/161/12/19</t>
  </si>
  <si>
    <t xml:space="preserve">Art 21 XVI </t>
  </si>
  <si>
    <t>Ingeniería Operativa, S.A. de C.V.</t>
  </si>
  <si>
    <t>Dirección de Seguridad y Operación</t>
  </si>
  <si>
    <t>Venta, entrega y puesta a punto de 5 equipos de arcos detectores de metales, 3 máquinas de inspección de rayos X con banda, 1 detector de explosivos portátil y 10 detectores de metales portátil</t>
  </si>
  <si>
    <t>SERV/DGRMSG/162/12/19</t>
  </si>
  <si>
    <t>Adjudicación Directa, Derivada INV 033 Desierta</t>
  </si>
  <si>
    <t>Servicio de mantenimiento preventivo y correctivo a bienes informáticos propiedad de la Cámara de Senadores</t>
  </si>
  <si>
    <t>SERV/DGRMSG/163/12/19</t>
  </si>
  <si>
    <t>Licitación Pública SEN/DGRMSG/L050/2019</t>
  </si>
  <si>
    <t>Acertar Consultoría y Servicios Profesionales, S.C.</t>
  </si>
  <si>
    <t>Dirección General de Programación, Presupuesto y Finanzas</t>
  </si>
  <si>
    <t>Fortalecimiento del Modelo de Evaluación del Desempeño</t>
  </si>
  <si>
    <t>SERV/DGRMSG/164/12/19</t>
  </si>
  <si>
    <t>Autorizado por la JUCOPO Oficio SGSA/LXIV/1588/19</t>
  </si>
  <si>
    <t>Ediciones con Valor, S.A. de C.V.</t>
  </si>
  <si>
    <t>Servicio de impresión de diversas obras deniminadas: 1) Prevención de Embarazo y Violencia Infantil para niños de 6 a 8 años; 2) Prevención de Embarazo y Violencia Infantil para niños de 9 a 12 años; 3) Prevención de Embarazo y Violencia Infantil para padres</t>
  </si>
  <si>
    <t>SERV/DGRMSG/165/12/19</t>
  </si>
  <si>
    <t>Art 21 II y XVII</t>
  </si>
  <si>
    <t>Detecno, S.A. de C.V.</t>
  </si>
  <si>
    <t>Servicios de consultoría y configuración de una aplicación WEB para el análisis, compulsa y mineria de datos para la conciliación del Impuesto sobre la Renta (ISR) retenido y enterado al Sistema de Administración Triutaria (SAT), referentes al pago de dietas, sueldos, salarios y honorarios asimilados de los años 2015 al 2019, de la Cámara de Senadores, así como la descarga y compulsa de la información del Ejercicio Fiscal 2020</t>
  </si>
  <si>
    <t>Fianza C 15%
Fianza Anticipo 100%</t>
  </si>
  <si>
    <t>ADQ/DGRMSG/166/12/19</t>
  </si>
  <si>
    <t>Soler &amp; Palau, S.A. de C.V.</t>
  </si>
  <si>
    <t>Mantenimiento y renovación de equipos de extracción de aire, ubicados en los sótanos del edificio Sede, para eliminar niveles de  ruido y vibración</t>
  </si>
  <si>
    <t>SERV/DGRMSG/167/12/19</t>
  </si>
  <si>
    <t>Adjudicación Directa, Derivada de L030 Desierta</t>
  </si>
  <si>
    <t>Servicio de instalación , configuración y puesta en operación de la plataforma digital de señales internas de televisión</t>
  </si>
  <si>
    <t xml:space="preserve">SERV/DGRMSG/168/12/19 </t>
  </si>
  <si>
    <t>Servicio de Instalación de 6 elevadores nuevos panorámicos, 7 elevadores de sustitución , transformación de 2 elevadores en el edificio del Senado de la República ubicado en Av. Reforma 135; y reinstalación de 2 elevadores en el Edificio ubicado en Madrid No. 62, Colonia Tabacalera</t>
  </si>
  <si>
    <t xml:space="preserve">Firmó proveedor modificatorio 11/03/21
</t>
  </si>
  <si>
    <t>Enviado 23-03</t>
  </si>
  <si>
    <t>SERV/DGRMSG/169/12/19</t>
  </si>
  <si>
    <t>Autorizado por la JUCOPO Oficio de fecha 11 de diciembre</t>
  </si>
  <si>
    <t>Servicio de impresión de la obra denominada: 1) "Fármacos homeopáticos. Su esfera de acción y fisiopatología", de Octavio Ramírez Vargas</t>
  </si>
  <si>
    <t>SERV/DGRMSG/170/12/19</t>
  </si>
  <si>
    <t>Servicio de guarda, custodia, conservación y administración de los expedientes que conforman los Juicios de Amparo y Controversias Constitucionales de la Dirección General de Asuntos Jurídicos de la Cámara de Senadores</t>
  </si>
  <si>
    <t xml:space="preserve">SERV/DGRMSG/170-I/12/19 </t>
  </si>
  <si>
    <t>Cambio de Administrador y Supervisor</t>
  </si>
  <si>
    <t>SERV/DGRMSG/171/12/19</t>
  </si>
  <si>
    <t>Licitación Pública SEN/DGRMSG/L002/2020</t>
  </si>
  <si>
    <t>Grupo México Tecnoindustrial, S.A. de C.V.</t>
  </si>
  <si>
    <t>Servicio de mantenimiento preventivo y correctivo a los 421 equipos elevautos marca Bendpak, Modelos PL7000 y PL7000X, instalados en los cuatro niveles de estacionamiento de la Nueva Sede</t>
  </si>
  <si>
    <t>Fianza C 15%
Resp Civ 30%</t>
  </si>
  <si>
    <t>SERV/DGRMSG/171-I/12/19</t>
  </si>
  <si>
    <t>Ampliación 16.67% Monto y Vigencia (al 28 de febrero de 2021)</t>
  </si>
  <si>
    <t>Endosos 05-03-21</t>
  </si>
  <si>
    <t>Modificatorio Firmado 20/1/2021</t>
  </si>
  <si>
    <t>ADQ/DGRMSG/172/12/19</t>
  </si>
  <si>
    <t>Licitación Pública SEN/DGRMSG/L052/2019</t>
  </si>
  <si>
    <t>Dentadec, S.A. de C.V.</t>
  </si>
  <si>
    <t>Equipamiento médico, odontológico y material para los servicios médicos en el Senado de la República, partida 1</t>
  </si>
  <si>
    <t>ADQ/DGRMSG/173/12/19</t>
  </si>
  <si>
    <t>Nuel Enterprises, S.A. de C.V.</t>
  </si>
  <si>
    <t>Equipamiento médico( Rayos X), odontológico y material para los servicios médicos en el Senado de la República, partida 2</t>
  </si>
  <si>
    <t>ADQ/DGRMSG/174/12/19</t>
  </si>
  <si>
    <t>A.D.
Licitación SEN/DGRMSG/L051/2019 Declarada Desierta</t>
  </si>
  <si>
    <t>Tecnología Aplicada a los Negocios ESG, S.A. de C.V.</t>
  </si>
  <si>
    <t xml:space="preserve">Coordinación de Comunicación Social </t>
  </si>
  <si>
    <t>Equipo Fotográfico y Tecnológico para las funciones de la Coordinación de Comunicación Social</t>
  </si>
  <si>
    <t>Se dispoensó</t>
  </si>
  <si>
    <t>ADQ/DGRMSG/175/12/19</t>
  </si>
  <si>
    <t>Licitación Pública SEN/DGRMSG/L001/2020</t>
  </si>
  <si>
    <t>Adquisición de Papelería Impresa Oficial y Administrativa, Partida 1, primer lugar y Partida 2</t>
  </si>
  <si>
    <t>Endoso 16-02-21</t>
  </si>
  <si>
    <t>SERV/DGRMSG/176/12/19</t>
  </si>
  <si>
    <t>Servicio de mantenimiento preventivo y correctivo, con soporte técnico de los equipos hidráulicos de bombeo de los cuartos de máquinas y carcámos; así como a las bombas centrífugas sumergibles, verticales  cabezales y accesorios de la Sede de la Cámara de Senadores</t>
  </si>
  <si>
    <t>SERV/DGRMSG/177/12/19</t>
  </si>
  <si>
    <t>Servicio de mantenimiento preventivo y correctivo, con soporte técnico a los equipos de bombeo hidrónico, válvulas, intercambiadores de calor, Epac (Expansión, Presurización y Control de Aire) del sistema de aire acondicionado de la Sede de la Cámara de Senadores</t>
  </si>
  <si>
    <t>SERV/DGRMSG/178/12/19</t>
  </si>
  <si>
    <t>Servicio de mantenimiento preventivo y correctivo con refacciones del sistema de manejo de basura instalado en el edificio de Reforma 135 Nueva Sede del Senado</t>
  </si>
  <si>
    <t>SERV/DGRMSG/179/12/19</t>
  </si>
  <si>
    <t>SEN/DGRMSG/INV041/19</t>
  </si>
  <si>
    <t>Grupo Mexicano de Tecnoindustrial, S.A. de C.V.</t>
  </si>
  <si>
    <t>Aseguramiento de bienes patrimoniales de la Cámara de Senadores para el ejercicio 2020 (Partida 2)</t>
  </si>
  <si>
    <t>Formalizados endosos 05-03-21</t>
  </si>
  <si>
    <t>SERV/DGRMSG/180/12/19</t>
  </si>
  <si>
    <t>Licitación Pública SEN/DGRMSG/L006/2020</t>
  </si>
  <si>
    <t>Cableado categoría 5e y 7a de nodos de red de voz y datos en unidades parlamentarias, técnicas y administrativas en las instalaciones de la Cámara de Senadores</t>
  </si>
  <si>
    <t>SERV/DGRMSG/180-I/12/19
Terminación por mutuo consentimiento</t>
  </si>
  <si>
    <t>Incremento del 25% al monto máximo/ Terminación del objeto del contrato</t>
  </si>
  <si>
    <t>19/03/2020
14/10/2020</t>
  </si>
  <si>
    <t>ADQ/DGRMSG/181/12/19</t>
  </si>
  <si>
    <t>Quinta Sesión Extraordinaria Comité de Adquisiones, Obras y Servicios</t>
  </si>
  <si>
    <t>Adquisición e instalación de dos plataformas salvaescaleras supra en línea</t>
  </si>
  <si>
    <t>Fianza A 100%
Fianza C 15%
PRC 10%</t>
  </si>
  <si>
    <t>SERV/DGRMSG/182/12/19</t>
  </si>
  <si>
    <t>Licitación Pública SEN/DGRMSG/L005/2020</t>
  </si>
  <si>
    <t>Actualización, mejora y mantenimiento de la solución tecnológica conocida como "Storage"</t>
  </si>
  <si>
    <t>SERV/DGRMSG/183/12/19</t>
  </si>
  <si>
    <t>Pólizas de seguro de vida e incapacidad total y permanente para los Senadores de la República, trabajadores de la Cámara de Senadores y jubilados del ISSSTE, cuya última actividad laboral fue desempeñada en el Senado de la República, para el ejercicio 2020</t>
  </si>
  <si>
    <t>SERV/DGRMSG/184/12/19</t>
  </si>
  <si>
    <t>Seguros Afirme, S.A. de C.V., Afirme Grupo Financiero</t>
  </si>
  <si>
    <t>Póliza del seguro de bienes patrimoniales propiedad de la Cámara de Senadores por el ejercicio 2020 (Seguro de automóviles, camiones y motocicletas)</t>
  </si>
  <si>
    <t>ADQ/DGRMSG/185/12/19</t>
  </si>
  <si>
    <t>Autorización JUCOPO 05 diciembre</t>
  </si>
  <si>
    <t>Vales de despensa</t>
  </si>
  <si>
    <t>ADQ/DGRMSG/186/12/19</t>
  </si>
  <si>
    <t>A.D.
Licitación SEN/DGRMSG/L052/2019 Declarada Desierta</t>
  </si>
  <si>
    <t>Adquisición y puesta en marcha de equipamiento médico, odontológico y material para los servicios médicos en el Senado de la Rpública (Partida 3, subpartidas 6, 8, 9, 10 y 11; Partida 6, subpartidas 1 y 2; Partida 7, subpartidas 1, 2, 3, 8, 9; Partida 11, subpartida 12)</t>
  </si>
  <si>
    <t>ADQ/DGRMSG/187/12/19</t>
  </si>
  <si>
    <t>Adquisición y puesta en marcha de equipamiento médico, odontológico y material para los servicios médicos en el Senado de la República (Partida 3, subpartidas 1, 2, 3, 5 y 7)</t>
  </si>
  <si>
    <t>ADQ/DGRMSG/188/12/19</t>
  </si>
  <si>
    <t>PRW Medical, S.A. de C.V.</t>
  </si>
  <si>
    <t>Adquisición y puesta en marcha de equipamiento médico, odontológico y material para los servicios médicos en el Senado de la Rpública (Partida 5, subpartidas 1, 2, 3,4, 5, 6, 7, 8, 9, 10, 11, 12,13, 14, 15, 16, 17, 18, 19, 20, 21, 22, 23, 24, 25, 26 y 27; Partida 7, subpartidas 5 Y 6; Partida 11, subpartidas 1, 2, 3, 4, 5, 6, 7, 8, 9, 10 y 11)</t>
  </si>
  <si>
    <t>ADQ/DGRMSG/189/12/19</t>
  </si>
  <si>
    <t>Sirona Dental México, S. DE R.L. de C.V.</t>
  </si>
  <si>
    <t>Adquisición de un “Sistema Cad Cam Odontológico” para los servicios médicos en el Senado de la República</t>
  </si>
  <si>
    <t>ADQ/DGRMSG/190/12/19</t>
  </si>
  <si>
    <t>Multisistemas BVC, S.A. de C.V.</t>
  </si>
  <si>
    <t>Sistema de microfonía digital y procesamiento de audio digital para las salas de juntas de comisiones</t>
  </si>
  <si>
    <t>ADQ/DGRMSG/191/12/19</t>
  </si>
  <si>
    <t>Adquisición de seis unidades enforcer 10 de 10 galones de solución de espuma fireade 2000 afff-ar al 6% con un cilindro de nitrógeno a 2,000 psi de precisión y mangueras de 21 m de long. para el Almacén General</t>
  </si>
  <si>
    <t>ADQ/DGRMSG/192/12/19</t>
  </si>
  <si>
    <t>Unidad de Mastografía Digital</t>
  </si>
  <si>
    <t>ADQ/DGRMSG/193/12/19</t>
  </si>
  <si>
    <t>Centro de Diagnóstico Ortopédico de México, S.A. DE C.V.</t>
  </si>
  <si>
    <t xml:space="preserve">Adquisición de Baropodómetro Freemed </t>
  </si>
  <si>
    <t>CONSE 2020</t>
  </si>
  <si>
    <t>FIANZAS</t>
  </si>
  <si>
    <t>PARTIDAS</t>
  </si>
  <si>
    <t>FIRMA PROVEEDOR</t>
  </si>
  <si>
    <t xml:space="preserve">
OP/DGRMSG/140-I/11/19</t>
  </si>
  <si>
    <t>I.- Solicitan ampliación de vigencia al 15 de abril de 2022</t>
  </si>
  <si>
    <t>Comité</t>
  </si>
  <si>
    <t>SERV/DGRMSG/001/01/20</t>
  </si>
  <si>
    <t>Desarrolladora de Estacionamientos Privados, S.A. de C.V.</t>
  </si>
  <si>
    <t>Servicio de estacionamiento, en los estacionamientos conocidos como "Plaza Monumento a la Madre", ubicado en la Calle Manuel Villalongín s/n esquina Av. Insurgentes, colonia Cuauhtémoc, y el denominado "Reforma-Colón", localizado en Avenida Morelos esquina Av. Paseo de la Reforma s/n, Glorieta Colón, Colonia Juárez, ambos en la Ciudad de México</t>
  </si>
  <si>
    <t>Tesoreria
4/02/20</t>
  </si>
  <si>
    <t>SERV/DGRMSG/002/01/20</t>
  </si>
  <si>
    <t>Comité 11a Sesión Comité de Adquisiciones, Obras y Servicios</t>
  </si>
  <si>
    <t>Servicio de mantenimiento preventivo y correctivo al sistema neumático de envíos, Marca Aerocom, Modelo AC-3000, en 160 mm. de diámetro, instalado en el edificio de la Nueva Sede de la Cámara de Senadores</t>
  </si>
  <si>
    <t>Tesorería 16/04/20</t>
  </si>
  <si>
    <t>SERV/DGRMSG/003/01/20</t>
  </si>
  <si>
    <t>Servicio de seguridad y vigilancia las 24 horas del día, todos los días del año, intra yextramuros, de los inmuebles que ocupa el Senado para el ejercicio 2020</t>
  </si>
  <si>
    <t>Tesoreria 25/6/20</t>
  </si>
  <si>
    <t>SERV/DGRMSG/004/01/20</t>
  </si>
  <si>
    <t>Servicios integrales a la red telefónica nacional e internacional con servicios 01800 e internet de banda ancha inalámbrico, para la continuidad de los servicios de comunicaciones con los que actualmente cuenta la Cámara de Senadores</t>
  </si>
  <si>
    <t>Tesorería 09/04/20</t>
  </si>
  <si>
    <t>SERV/DGRMSG/005/01/20</t>
  </si>
  <si>
    <t>Comité 12a Sesión Comité de Adquisiciones, Obras y Servicios</t>
  </si>
  <si>
    <t xml:space="preserve">Teléfonos de México, S.A.B. de C.V.  </t>
  </si>
  <si>
    <t>Servicio de internet a 1 Gbps, enlaces dedicados para servicios de voz y datos en los onmuebles de Nueva Sede (Reforma Núm. 135), Donceles Núm. 14, Allende Núm. 23, Xicoténcatl Núm. 9 y Madrid Núm. 62, así como un enlace dedicado de internet simétrico para las instalaciones de Xicoténcatl Núm. 9</t>
  </si>
  <si>
    <t>SERV/DGRMSG/006/01/20</t>
  </si>
  <si>
    <t>Tesorería
05/03/20</t>
  </si>
  <si>
    <t>SERV/DGRMSG/007/01/20</t>
  </si>
  <si>
    <t xml:space="preserve">Servicio de operación, mantenimiento y soporte de los sistemas Emas, Argos, Tritón, Hera y Carmen </t>
  </si>
  <si>
    <t>Si
Enviada a Tesorería el 19-02-21</t>
  </si>
  <si>
    <t>Tesorería 05/03/20</t>
  </si>
  <si>
    <t>ADQ/DGRMSG/008/01/20</t>
  </si>
  <si>
    <t>Invitación SEN/DGRMSG/INV001/2020</t>
  </si>
  <si>
    <t>Bienes informáticos bajo demanda correspondientes a las partidas 1, 2, 3, 4, 5, 6, 7, 8, 9, 10, 11, 12, 14, 15, 16, 17, 18, 19, 20, 21, 22, 23, 24, 25, 26, 27, 28 y 29</t>
  </si>
  <si>
    <t>Tesorería 19/02/20</t>
  </si>
  <si>
    <t>SERV/DGRMSG/009/01/20</t>
  </si>
  <si>
    <t>Servicios de Accesibilidad Web para el Canal del Congreso</t>
  </si>
  <si>
    <t>Tesorería 18/03/20</t>
  </si>
  <si>
    <t xml:space="preserve">SERV/DGRMSG/010/01/20
SERV/DGRMSG/010-I/01/20
</t>
  </si>
  <si>
    <t>Licitación Pública SEN/DGRMSG/L008/2020</t>
  </si>
  <si>
    <t xml:space="preserve">Caja Electrónica, S.A. </t>
  </si>
  <si>
    <t>Servicio de mantenimiento preventivo del equipo de edición, copiado y sistemas portátiles de audio y video de la Coordinación de Comunicación Social (Partida 2)</t>
  </si>
  <si>
    <t>31/12/2020
31/03/2021</t>
  </si>
  <si>
    <t>Moficiatorio. Fecha Especial del 31 de diciembre de recibió el 19 de enero</t>
  </si>
  <si>
    <t>endoso 
16-02-21
Enviado a Tesorería 19-02-21</t>
  </si>
  <si>
    <t>SERV/DGRMSG/010-I/01/20</t>
  </si>
  <si>
    <t>Incremento en monto y vigencia (Al 31 de marzo de 2021)</t>
  </si>
  <si>
    <t>MUERTO</t>
  </si>
  <si>
    <t>Entregado a tesorería el 18-02-21</t>
  </si>
  <si>
    <t xml:space="preserve">SERV/DGRMSG/016/01/20
SERV/DGRMSG/016-I/01/20
</t>
  </si>
  <si>
    <t>Servicios complementarios para cubrir las necesidades en las instalaciones del circuito cerrado de TV del Senado (Partida 1)</t>
  </si>
  <si>
    <t>Endoso 16-02-21
Enviado a Tesorería 19-02-21</t>
  </si>
  <si>
    <t>Endoso No cumple 9/2/21
Enviado a Tesorería 19-02-21</t>
  </si>
  <si>
    <t>SERV/DGRMSG/016-/01/20</t>
  </si>
  <si>
    <t>Modificatorio Firma Proveedor
Para envío a Tesorería 18-02-21</t>
  </si>
  <si>
    <t xml:space="preserve">SERV/DGRMSG/017/01/20
SERV/DGRMSG/017-I/01/20
</t>
  </si>
  <si>
    <t>Servicio de mantenimiento preventivo del circuito cerrado de televisión y distribución de señales en las instalaciones de la Coordinación de Comunicación Social (Partida 3)</t>
  </si>
  <si>
    <t>Endoso No cumple 9/2/21
Enviado a Tesorería 49-02-21</t>
  </si>
  <si>
    <t>SERV/DGRMSG/017-/01/20</t>
  </si>
  <si>
    <t>ADQ/DGRMSG/019/01/20</t>
  </si>
  <si>
    <t>Licitación Pública SEN/DGRMSG/L014/2020</t>
  </si>
  <si>
    <t>Zaira Lizbeth</t>
  </si>
  <si>
    <t>Laurel</t>
  </si>
  <si>
    <t>Materiales de limpieza (Partida 2: aerosoles, cremas, pastas y polvos; partida 7: discos abrasivos)</t>
  </si>
  <si>
    <t>ADQ/DGRMSG/019-I/01/20</t>
  </si>
  <si>
    <t>Cambio de Anexo (sustitución de bien)</t>
  </si>
  <si>
    <t xml:space="preserve">Tesorería
05/03/20 </t>
  </si>
  <si>
    <t>ADQ/DGRMSG/020/01/20</t>
  </si>
  <si>
    <t>Materiales de limpieza (Partidas 1, 4, 5 y 6)</t>
  </si>
  <si>
    <t>Tesorería 13/02/20</t>
  </si>
  <si>
    <t>SERV/DGRMSG/021/01/20
SERV/DGRMSG/021-I/01/20</t>
  </si>
  <si>
    <t xml:space="preserve">Aureliano </t>
  </si>
  <si>
    <t xml:space="preserve">Contreras </t>
  </si>
  <si>
    <t>Servicio de mantenimiento de equipos de audio de la Coordinación de Comunicación Social, ubicados en diversas áreas del Seando de la República (Partida 4)</t>
  </si>
  <si>
    <t>Endoso FC 
No cumple 09/02/21 DGAJ
Endoso cumple 16-02-21
Enviado a Tesorería 19-02-21</t>
  </si>
  <si>
    <t>Enviado a Tesorería 19-02-21</t>
  </si>
  <si>
    <t>SERV/DGRMSG/021-I/01/20</t>
  </si>
  <si>
    <t>Modificatorio
Notiffación a Proveedor para firma
Para envío a Tesorería 18-02-21</t>
  </si>
  <si>
    <t>ADQ/DGRMSG/022/01/20</t>
  </si>
  <si>
    <t>Sanipap de México, S.A. de C.V.</t>
  </si>
  <si>
    <t>Materiales de limpieza (Partida 3 papel higiénico, dispensadores y/o despachadores)</t>
  </si>
  <si>
    <t>SERV/DGRMSG/025/01/20</t>
  </si>
  <si>
    <t>Licitación Pública SEN/DGRMSG/L010/2020</t>
  </si>
  <si>
    <t>C.T.C. de México, S.A. de C.V.</t>
  </si>
  <si>
    <t>Abastecimiento y distribución de periódicos y revistas</t>
  </si>
  <si>
    <t>SERV/DGRMSG/025-I/01/20</t>
  </si>
  <si>
    <t>Cambio de Anexo, aumentar 25% ejemplares</t>
  </si>
  <si>
    <t>Tesorería</t>
  </si>
  <si>
    <t>SERV/DGRMSG/031/01/20</t>
  </si>
  <si>
    <t>Licitación Pública SEN/DGRMSG/L013/2020</t>
  </si>
  <si>
    <t>Servicios de mantenimiento correctivo del sistema de voz y datos con servicio Smartnet a quipo de la Marca Cisco</t>
  </si>
  <si>
    <t>ADQ/DGRMSG/032/01/20</t>
  </si>
  <si>
    <t>Licitación Pública SEN/DGRMSG/L012/2020</t>
  </si>
  <si>
    <t>Farvisan Insumos Institucionales, S.A. de C.V.</t>
  </si>
  <si>
    <t>Insumos de cafetería y café (Partida 4)</t>
  </si>
  <si>
    <t>Tesorería 06/03/20</t>
  </si>
  <si>
    <t>ADQ/DGRMSG/033/01/20</t>
  </si>
  <si>
    <t>Maria Bertha Guillermina Patricia</t>
  </si>
  <si>
    <t>Insumos de cafetería y café (Partida 3)</t>
  </si>
  <si>
    <t>ADQ/DGRMSG/033-I/01/20</t>
  </si>
  <si>
    <t>Cambio de Anexo, Cambio del bien consecutio 1</t>
  </si>
  <si>
    <t>Modificatorio Firmado
Pendiente Envio a Tesorería</t>
  </si>
  <si>
    <t>ADQ/DGRMSG/038/02/20</t>
  </si>
  <si>
    <t>Invitación SEN/DGRMSG/INV005/2020</t>
  </si>
  <si>
    <t>Suministro de agua purificada envasada en garrafón de 20 litros para los inmuebles del Senado de la República</t>
  </si>
  <si>
    <t>31/12/2020
15/03/2021</t>
  </si>
  <si>
    <t>Se recibió el 19/1/21. Fecha de Sello 31 de diciembre. Jurídico lo detuvo, solictaba cambio de oficio de solicitud porque requiere una justificación Atención 18/1/21</t>
  </si>
  <si>
    <t>27/04/2020
Endoso Jurídico 28/1/21</t>
  </si>
  <si>
    <t>ADQ/DGRMSG/038-I/02/20</t>
  </si>
  <si>
    <t>Ampliación de vigencia al 15 de marzo de 2021</t>
  </si>
  <si>
    <t>Formalizado 11-03-21</t>
  </si>
  <si>
    <t>SERV/DGRMSG/039/02/20</t>
  </si>
  <si>
    <t>Licitación Pública SEN/DGRMSG/L019/2020</t>
  </si>
  <si>
    <t>Issa Edificaciones, S.A. de C.V.</t>
  </si>
  <si>
    <t>Servicio especializado de atención y soporte a la pantalla led del Salón de Sesiones, Partidas 1, 2 y 3</t>
  </si>
  <si>
    <t>Tesorería 12/03/20</t>
  </si>
  <si>
    <t>SERV/DGRMSG/041/02/20</t>
  </si>
  <si>
    <t>SGSA/LXIV/126/20</t>
  </si>
  <si>
    <t xml:space="preserve">Ortíz </t>
  </si>
  <si>
    <t>Servicios profesionales consistentes en la conducción para la serie Incursionando</t>
  </si>
  <si>
    <t>Se dispensa</t>
  </si>
  <si>
    <t>Tesorería 27/02/20</t>
  </si>
  <si>
    <t>SERV/DGRMSG/042/02/20</t>
  </si>
  <si>
    <t xml:space="preserve">Leonardo Antonio </t>
  </si>
  <si>
    <t>SERV/DGRMSG/043/02/20</t>
  </si>
  <si>
    <t xml:space="preserve">Solórzano </t>
  </si>
  <si>
    <t>Servicios profesionales consistentes en la conducción para la serie Mesa de Diálogo</t>
  </si>
  <si>
    <t>Tesorería 13/03/20</t>
  </si>
  <si>
    <t>SERV/DGRMSG/044/02/20</t>
  </si>
  <si>
    <t>SGSA/LXIV/162/20</t>
  </si>
  <si>
    <t xml:space="preserve">Alejandra </t>
  </si>
  <si>
    <t xml:space="preserve">Sánchez </t>
  </si>
  <si>
    <t>Salazar</t>
  </si>
  <si>
    <t>Servicio consistente en la interpretación de Lengua de Señas Mexicanas, durante las transmisiones en vivo de las sesiones ordinarias de la comisión permanente y eventos especiales de las actividades legislativas del Congreso de la Unión, así como la transmisión del noticiario "Noticias del Congreso"</t>
  </si>
  <si>
    <t>Firmado 
Pendiente Envio a Tesorería</t>
  </si>
  <si>
    <t>SERV/DGRMSG/045/02/20</t>
  </si>
  <si>
    <t>Invitación SEN/DGRMSG/INV007/2020</t>
  </si>
  <si>
    <t>Servicios de analítica digital del Canal del Congreso</t>
  </si>
  <si>
    <t>31/12/2020
28/02/2021</t>
  </si>
  <si>
    <t>Modificatorio Fecha Especial Se recibió el 8 de enero con sello 31 de diciembre. Jurídico solicitó cambiar el oficio de solicitud</t>
  </si>
  <si>
    <t>Endoso FC 9/02/20</t>
  </si>
  <si>
    <t>SERV/DGRMSG/045-I/02/20</t>
  </si>
  <si>
    <t>Ampliación de monto y vigencia al 28 de febrero de 2021</t>
  </si>
  <si>
    <t>Endoso de Fianza de Cumplimiento 09/2/21 validada DGAJ</t>
  </si>
  <si>
    <t>ADQ/DGRMSG/046/02/20</t>
  </si>
  <si>
    <t>Invitación SEN/DGRMSG/INV010/2020</t>
  </si>
  <si>
    <t>Suscripción y adquisición de software bajo demanda (Partidas 1, 2, 3, 4, 5, 6, 7, 8, 9, 10, 11, 12, 13, 14, 15, 16, 17, 18, 19, 20, 21, 22, 23, 24, 25, 26, 27, 28, 29, 30, 31, 32, 33, 34, 35, 36, 37, 38 y 39)</t>
  </si>
  <si>
    <t>SERV/DGRMSG/046/02/20</t>
  </si>
  <si>
    <t>Adjudicación Directa, Derivado de la Invitación Desierta SEN/DGRMSG/INV006/2020</t>
  </si>
  <si>
    <t>Estación de Gas Xochimilco, S.A. de C.V..</t>
  </si>
  <si>
    <t>Servicio de suminstro de gas L.P. para la recarga de dos tanques estacionarios de 5000 litros instalados en la Sede de la Cámara de Senadores</t>
  </si>
  <si>
    <t>El modificatorio no se ha firmado, la empresa comunicó el fallecimiento del representante legal. Se envió oficio al administrador para que se pronunciara
DGAJ solicitó evidencia documental del deceso así como información adicional para continuar con el trámite. Se solicitó a Mantenimiento el 16-02-21, remitir información adicional para continuar con el trámite.</t>
  </si>
  <si>
    <t>SERV/DGRMSG/046-I/02/20</t>
  </si>
  <si>
    <t>Modificatorio
Se va a cancelar por fallecimiento Apoderado Legal</t>
  </si>
  <si>
    <t>SERV/DGRMSG/047/02/20</t>
  </si>
  <si>
    <t>ADQ/DGRMSG/049/03/20</t>
  </si>
  <si>
    <t>Licitación Pública SEN/DGRMSG/L011/2020</t>
  </si>
  <si>
    <t>ADQ/DGRMSG/050/03/20</t>
  </si>
  <si>
    <t>Adquisición de tarjetas electrónicas de gasolina de amplia cobertura (Partida 2)</t>
  </si>
  <si>
    <t>Tesorería 25/05/20</t>
  </si>
  <si>
    <t>ADQ/DGRMSG/051/03/20</t>
  </si>
  <si>
    <t>Interamericana CMH, S.A.de C.V.</t>
  </si>
  <si>
    <t>Adquisición e instalación de bienes para las mejoras del sistema de extacción de aire del Salón de Sesiones del Pleno de la Nueva Sede</t>
  </si>
  <si>
    <t>ADQ/DGRMSG/052/03/20</t>
  </si>
  <si>
    <t>Licitación Pública SEN/DGRMSG/L020/2020</t>
  </si>
  <si>
    <t>Adquisición de Papelería Impresa y oficial administrativa (Segundo Lugar de la Partida 1)</t>
  </si>
  <si>
    <t>Tesorería 24/03/20</t>
  </si>
  <si>
    <t>SERV/DGRMSG/053/03/20</t>
  </si>
  <si>
    <t>Servicio de mantenimiento preventivo y/o correctivo menor y servicios generales para los inmuebles ocupados por la Cámara de Senadores</t>
  </si>
  <si>
    <t>Tesorería 20/03/20</t>
  </si>
  <si>
    <t>ADQ/DGRMSG/054/03/20</t>
  </si>
  <si>
    <t>Comité 1a Sesión Extraordinaria Comité de Adquisiciones, Obras y Servicios</t>
  </si>
  <si>
    <t>Solución antibacterial, Marca Germstar en presentación de 946 ml. y botellas de 16 oz y dispensadores</t>
  </si>
  <si>
    <t>ADQ/DGRMSG/055/03/20</t>
  </si>
  <si>
    <t>Adquisición de Papelería Impresa oficial administrativa (Primer Lugar de la Partida 1)</t>
  </si>
  <si>
    <t>20/03/2020
Endoso 16-02-21</t>
  </si>
  <si>
    <t>Firma Lic. Dávla 19-02-21</t>
  </si>
  <si>
    <t>Tesorería 04/1/21
En proceso de envío a tesorería 18-02-21</t>
  </si>
  <si>
    <t>CD/DGRMSG/056/03/20</t>
  </si>
  <si>
    <t>Cesión de Derechos</t>
  </si>
  <si>
    <t>Comité 2a Sesión Comité de Adquisiciones, Obras y Servicios</t>
  </si>
  <si>
    <t xml:space="preserve">Parra </t>
  </si>
  <si>
    <t>Derechos patrimoniales de autor que ostenta, particularmente los audiovisuales, así como la producción sobre la obra audiovisual denominada "MISIÓN BAJA" la cual consta de 10 programas documentales en formato Full HD, con una duración de 27 minutos cada uno</t>
  </si>
  <si>
    <t>Tesorería 19/03/20</t>
  </si>
  <si>
    <t>SERV/DGRMSG/057/03/20</t>
  </si>
  <si>
    <t>Acuerdo de JUCOPO Garantizar estabilidad y condiciones salariales 28/02/20</t>
  </si>
  <si>
    <t>Compañía Operadora de Estacionamientos Mexicanos, S.A. de C.V.</t>
  </si>
  <si>
    <t>Servicio de operación de los cuatro niveles de estacionamiento de la Nueva Sede y los cuatro sótanos del inmueble de Donceles No. 14 de la Cámara de Senadores</t>
  </si>
  <si>
    <t>31/12/2020
31/01/2021</t>
  </si>
  <si>
    <t>21/04/20
30/11/20
Renovación de Póliza
Cumple 31-03-21</t>
  </si>
  <si>
    <t>Ampliación de Monto y Vigencia (Al 31 de enero de 2021)</t>
  </si>
  <si>
    <t>Modificatorio Trámite de Endosos por parte del proveedor</t>
  </si>
  <si>
    <t>ADQ/DGRMSG/058/03/20</t>
  </si>
  <si>
    <t>9 Once Distribuidora, S.A. de C.V.</t>
  </si>
  <si>
    <t>Material y Equipo Médico</t>
  </si>
  <si>
    <t>ADQ/DGRMSG/059/03/20</t>
  </si>
  <si>
    <t>Comercializadora Eurogrup, S.A. de C.V.</t>
  </si>
  <si>
    <t>10,000 respiradores contra partículas</t>
  </si>
  <si>
    <t>SERV/DGRMSG/060/03/20</t>
  </si>
  <si>
    <t>Servicios consistentes en la instalación en la nube, configuración y puesta en operación del servicio denominado "Portal Recepción" para la recepción y validación de facturas electrónicas CFDI, así como un monitor automático de cancelaciones de estas, que incluya soporte técnico y mantenimiento</t>
  </si>
  <si>
    <t>14/04/2020
Endoso 21/1/21</t>
  </si>
  <si>
    <t>SERV/DGRMSG/060-I/03/20</t>
  </si>
  <si>
    <t>Incremento en Monto y Vigencia
(Al 28 de febrero de 2021)</t>
  </si>
  <si>
    <t>Tesorería 02/02/21</t>
  </si>
  <si>
    <t>SERV/DGRMSG/061/03/20</t>
  </si>
  <si>
    <t>Teletec de México, S.A.P.I. de C.V.</t>
  </si>
  <si>
    <t>Servicio de mantenimiento preventivo y correctivo al sistema de control de iluminación arquitectónica instalado en el edificio de la Nueva Sede de la Cámara, ubicada en Av. Paseo de la Reforma No. 135, Colonia Tabacalera, C.P: 06030, Alcaldía Cuauhtémoc, Ciudad de México</t>
  </si>
  <si>
    <t>SERV/DGRMSG/063/03/20</t>
  </si>
  <si>
    <t>Capacitación del idioma inglés en línea</t>
  </si>
  <si>
    <t>Tesorería 23/03/20</t>
  </si>
  <si>
    <t>ADQ/DGRMSG/064/03/20</t>
  </si>
  <si>
    <t>Mipra, S.A. de C.V.</t>
  </si>
  <si>
    <t>15,000 respiradores contra particulas</t>
  </si>
  <si>
    <t>SERV/DGRMSG/065/03/20</t>
  </si>
  <si>
    <t>SGSA/LXIV/0219/20</t>
  </si>
  <si>
    <t>Comisión de Educación</t>
  </si>
  <si>
    <t>Impresión y entrega de 1500 ejemplares del Libro "La Reforma Educativa. Un reporte desde el Senador"</t>
  </si>
  <si>
    <t>SERV/DGRMSG/066/03/20</t>
  </si>
  <si>
    <t>Johnson Controls BE Operations México, S. de R.L. de C.V.</t>
  </si>
  <si>
    <t>Mantenimiento preventivo y correctivo con refacciones del equipo del sistemas de automatización y control de la Marca Metasys, instalado en el inmueble de Av. Paseo de la Reforma No. 135 de la Cámara de Senadores</t>
  </si>
  <si>
    <t>SERV/DGRMSG/067/03/20</t>
  </si>
  <si>
    <t>Mantenimiento preventivo y correctivo con refacciones del equipo de aire acondicionado marca York, instalado en el inmueble de Av. Paseo de la Reforma No. 135 de la Cámara de Senadores</t>
  </si>
  <si>
    <t>SERV/DGRMSG/067-I/03/20</t>
  </si>
  <si>
    <t>Ampliación Monto y Vigencia (Al 28 de febrero 2021)</t>
  </si>
  <si>
    <t>Firma 25-03
Entregado 26-03</t>
  </si>
  <si>
    <t>Modificatorio
Trámite de Proveedor Endosos</t>
  </si>
  <si>
    <t>SERV/DGRMSG/068/03/20</t>
  </si>
  <si>
    <t>Invitación SEN/DGRMSG/INV009/2020</t>
  </si>
  <si>
    <t>Segudirecto, Agente de Seguros y de Fianzas, S.A. de C.V.</t>
  </si>
  <si>
    <t>Servicios de asesoría externa en materia de administración de riesgos y seguros de la Cámara de Senadores</t>
  </si>
  <si>
    <t>ADQ/DGRMSG/069/03/20</t>
  </si>
  <si>
    <t>Licitación Pública SEN/DGRMSG/L024/2020</t>
  </si>
  <si>
    <t>Insumos de cafetería y café (Partidas 1 y 2)</t>
  </si>
  <si>
    <t>ADQ/DGRMSG/070/03/20</t>
  </si>
  <si>
    <t>Invitación SEN/DGRMSG/INV014/2020</t>
  </si>
  <si>
    <t>Papel para plotter para el Departamento de Diseño de la Unidad de Eventos, para el ejercicio 2020</t>
  </si>
  <si>
    <t>Tesorería 04/05/20</t>
  </si>
  <si>
    <t>SERV/DGRMSG/072/03/20</t>
  </si>
  <si>
    <t>Invitación SEN/DGRMSG/INV013/2020</t>
  </si>
  <si>
    <t>Inmobiliaria y Constructora Mal &amp; Jor, S.A. de C.V.</t>
  </si>
  <si>
    <t>Servicios de adecuación del comedor del salón de apoyo a senadores, ubicado en el piso 1, del edificio sede del Senado de la República (Partida 1)</t>
  </si>
  <si>
    <t>SERV/DGRMSG/073/03/20</t>
  </si>
  <si>
    <t>Cubyservicios Industriales, S.A. de C.V.</t>
  </si>
  <si>
    <t>Servicio de adecuación de oficinas en las instalaciones del inmueble de Reforma No. 135 (Partida 2)</t>
  </si>
  <si>
    <t>SERV/DGRMSG/074/03/20</t>
  </si>
  <si>
    <t>Licitación Pública SEN/DGRMSG/L029/2020</t>
  </si>
  <si>
    <t>Servicio de impresión digital y fotocopiado por medio de equipos de impresión y multifuncionales con equipos de terminado fuera de línea en las instalaciones de "EL SENADO". El servicio incluye mantenimientos preventivos y correctivos y suministro de insumos con tóner, pegamento, refacciones, accesorios y cualquier otro, necesario para el correcto funcionamiento y desempeño de los equipos</t>
  </si>
  <si>
    <t>Fianza C 15%
Resp Civ 25%</t>
  </si>
  <si>
    <t>13/55/20</t>
  </si>
  <si>
    <t>$7,083,333.34
$1,333,333.34</t>
  </si>
  <si>
    <t>$8,500,000.00
$1,600,000.00</t>
  </si>
  <si>
    <t>$1,416,666.66
$266,666.66</t>
  </si>
  <si>
    <t>SERV/DGRMSG/075/03/20</t>
  </si>
  <si>
    <t>RCM Seguridad Privada, S.A. de C.V.</t>
  </si>
  <si>
    <t>Servicio de seguridad y vigilancia las 24 horas del día, todos los días del año, intramuros, para el inmueble Teatro de la República del Estado de Querétaro</t>
  </si>
  <si>
    <t>Tesorería 28/04/20</t>
  </si>
  <si>
    <t>SERV/DGRMSG/076/03/20</t>
  </si>
  <si>
    <t>Servicio de Operación y mantenimiento preventivo y correctivo a la planta de tratamiento de aguas residuales (PTAR), 3 plantas de Osmosis Inversa y el monitoreo del agua de las 2 cisternas de agua potables</t>
  </si>
  <si>
    <t>ADQ/DGRMSG/077/03/20</t>
  </si>
  <si>
    <t>0477/LXIV/DMBMI/20 y Dictamen</t>
  </si>
  <si>
    <t>Solución antibacterial, Marca Germstar en presentación de 946 ml y botella de 59 y 474 ml con dosificador</t>
  </si>
  <si>
    <t>Tesorería 23/04/20</t>
  </si>
  <si>
    <t>SERV/DGRMSG/078/04/20</t>
  </si>
  <si>
    <t>Acuerdo JUCOPO y Mesa Directiva 12 marzo</t>
  </si>
  <si>
    <t>Aquí se Esta Mejor, S.A. de C.V.</t>
  </si>
  <si>
    <t>Servicios de alimentación intra o extramuros para la Cámara de Senadores, correspondiente al ejercicio 2020, (Partida 1 y 2)</t>
  </si>
  <si>
    <t>Fianza C 15%
Resp Civ 25%
Fianza Desocupación $600,000.00</t>
  </si>
  <si>
    <t>Cumplió con fianza de desocupación y Endoso 21/1/21</t>
  </si>
  <si>
    <t>06/05/2020
Endoso 21/1/21</t>
  </si>
  <si>
    <t>13/05/2020
Endoso 21/1/21</t>
  </si>
  <si>
    <t>SERV/DGRMSG/078-I/04/20</t>
  </si>
  <si>
    <t>Modificatorio Tesorería 25/01/2</t>
  </si>
  <si>
    <t>ADQ/DGRMSG/079/04/20</t>
  </si>
  <si>
    <t>Invitación SEN/DGRMSG/INV016/2020</t>
  </si>
  <si>
    <t>Grupo Antda, S.A. de C.V.</t>
  </si>
  <si>
    <t>Suministro de material recurrente (Partidas 1, 2, 3, 4, 5, 6 y 7)</t>
  </si>
  <si>
    <t>31/12/2020
09/03/2021</t>
  </si>
  <si>
    <t>27/04/2020
Endoso 22/01/2021</t>
  </si>
  <si>
    <t>ADQ/DGRMSG/079-I/04/20
ADQ/DGRMSGI/079-II/04/20</t>
  </si>
  <si>
    <t>30/12/2020
01-03-21</t>
  </si>
  <si>
    <t>SERV/DGRMSG/080/04/20</t>
  </si>
  <si>
    <t>Servicios de mantenimiento preventivo y correctivo sin refacciones y soporte técnicoa 15 equipos UPS/baterías: 1 de 160 KVA, 3 de 225 KVA, 2 de 300 KVA, 1 de 30 KVA, 1 de 10 KVA, 3 de 6 KVA mod Ip 11 y 4 de 10 KVA mod Ip11</t>
  </si>
  <si>
    <t>SERV/DGRMSG/080-I/04/20</t>
  </si>
  <si>
    <t>Incremento del 15% al monto máximo</t>
  </si>
  <si>
    <t>SERV/DGRMSG/081/04/20</t>
  </si>
  <si>
    <t>Acuerdo JUCOPO y Mesa Directiva 12 marzo Cancelación Licitación L017</t>
  </si>
  <si>
    <t>Tecnologías Digitales Alternas de México, S.A. de C.V.</t>
  </si>
  <si>
    <t>Servicio de internet dedicado de fibra óptica 2 gbps para la Coordinación de Comunicación Social</t>
  </si>
  <si>
    <t>SERV/DGRMSG/082/04/20</t>
  </si>
  <si>
    <t xml:space="preserve">Acuerdo JUCOPO y Mesa Directiva 12 marzo </t>
  </si>
  <si>
    <t>Servicio de mantenimiento preventivo a los equipos contra incendios de los cuartos de bombas y mantenimiento mensual a red PCI</t>
  </si>
  <si>
    <t>SERV/DGRMSG/083/04/20</t>
  </si>
  <si>
    <t>Servicios de alimentación intra o extramuros para la Cámara de Senadores, correspondiente al ejercicio 2020, Partida 3</t>
  </si>
  <si>
    <t>Fianza C 15%
Resp Civ 25%
Fianza Desocupación $800,000.00</t>
  </si>
  <si>
    <t>Tesorería 15/05/20</t>
  </si>
  <si>
    <t>SERV/DGRMSG/084/04/20</t>
  </si>
  <si>
    <t>Autorización al Programa Integral de Capacitación LXIV/MD/ST/MFB/287/20 19 marzo</t>
  </si>
  <si>
    <t>Centro de Capacitación y Formación Permanente</t>
  </si>
  <si>
    <t>Programa especial para el aprendizaje del idioma inglés en línea para posgrados</t>
  </si>
  <si>
    <t>Tesorería 07/05/20</t>
  </si>
  <si>
    <t>SERV/DGRMSG/086/04/20</t>
  </si>
  <si>
    <t>Autorización del 7 abril integrantes JUCOPO</t>
  </si>
  <si>
    <t>Coordinación Técnica SGSA</t>
  </si>
  <si>
    <t>Servicio de impresión de las obras denominadas "Justicia Penal Adversarial" y "Adolfo Ruíz Cortines"</t>
  </si>
  <si>
    <t>Tesorería 26/05/20</t>
  </si>
  <si>
    <t>SERV/DGRMSG/087/04/20</t>
  </si>
  <si>
    <t>Autorización JUCOPO 20 marzo</t>
  </si>
  <si>
    <t>Servicio de monitoreo del uso y aprovechamiento de los tiempos oficiales en radio y televisión a nivel nacional otorgados al Senado de la República</t>
  </si>
  <si>
    <t>Tesorería 08/05/20</t>
  </si>
  <si>
    <t>SERV/DGRMSG/089/04/20</t>
  </si>
  <si>
    <t>Servicio de mantenimiento preventivo y correctivo al sistema de 17 elevadores de pasajeros instalados en la Cámara de Senadores</t>
  </si>
  <si>
    <t>Tesorería 04/20</t>
  </si>
  <si>
    <t>SERV/DGRMSG/091/05/20</t>
  </si>
  <si>
    <t>Howfa, S.A. de C.V.</t>
  </si>
  <si>
    <t>Servicio integral de mantenimiento, fumigación y sanitización para preservar la salud de todos los ocupantes, a todos los inmuebles que ocupa el Senado de la República</t>
  </si>
  <si>
    <t>Dispensa
PRC</t>
  </si>
  <si>
    <t xml:space="preserve">No aplica </t>
  </si>
  <si>
    <t>ADQ/DGRMSG/092/05/20</t>
  </si>
  <si>
    <t>Licenciamiento e infraestructura en nube de ElasticSearch sobre Google Platform</t>
  </si>
  <si>
    <t>Tesorería 17/06/20</t>
  </si>
  <si>
    <t>SERV/DGRMSG/093/06/20</t>
  </si>
  <si>
    <t>Servicio de reubicación, cancelación y/o adecuación, de los aspersores o tuberías del Sistema de Protección contra Incendios; Pisos 1 al 14 de la Torre de Comisiones y; sótano 1 y planta baja del Hemiciclo lado norte</t>
  </si>
  <si>
    <t>SERV/DGRMSG/093-I/06/20</t>
  </si>
  <si>
    <t>Incremento en el monto</t>
  </si>
  <si>
    <t>SERV/DGRMSG/094/06/20</t>
  </si>
  <si>
    <t>Servicio de análisis, monitoreo y alertas de información relativa al Senado de la República en medios impresos, electrónicos y redes sociales a través de uns sistema multiplataforma (Dispositivo móvil y página web)</t>
  </si>
  <si>
    <t>31/12/2020
15/02/2021</t>
  </si>
  <si>
    <t>22/06/2020
Endoso Jurídico 28/1/21</t>
  </si>
  <si>
    <t>SERV/DGRMSG/094-I/02/20</t>
  </si>
  <si>
    <t>Ampliación de monto y vigencia al 15 de febrero de 2021</t>
  </si>
  <si>
    <t>Tesorería 
Formalizado 3/2/21
Ofcio 439</t>
  </si>
  <si>
    <t>SERV/DGRMSG/095/06/20</t>
  </si>
  <si>
    <t>Póliza de soporte de la infraestructura de virtualización del Centro de Datos de la Cámara de Senadores</t>
  </si>
  <si>
    <t>ADQ/DGRMSG/097/06/20</t>
  </si>
  <si>
    <t>LXIV/MD/ST/MFB/0292/2020 y SGSA/LXIV/0518/20</t>
  </si>
  <si>
    <t>Adquisición de 350,000.00 cubrebocas y 3,500 caretas de mica transparente</t>
  </si>
  <si>
    <t>ADQ/DGRMSG/098/06/20</t>
  </si>
  <si>
    <t>Impulsora de Artículos y Servicios Mexicanos, S.A. de C.V.</t>
  </si>
  <si>
    <t>Adquisición e instalación de mamparas en acrílico transparente de 3 mm de espesor en escritorios y estaciones de trabajo ubicadas en las oficinas del Senado de la república</t>
  </si>
  <si>
    <t>Fianza C Dispensa
PRC 15%</t>
  </si>
  <si>
    <t>Tesorería 25/06/20</t>
  </si>
  <si>
    <t>SERV/DGRMSG/099/06/20</t>
  </si>
  <si>
    <t>31/12/2020
14/02/2021</t>
  </si>
  <si>
    <t>SERV/DGRMSG/099-I/06/20</t>
  </si>
  <si>
    <t>Incremento del 25% en el monto y amplicación de vigencia al 14 de febrero de 2021.</t>
  </si>
  <si>
    <t>Tesorería 20/08/20
Modificatorio Tesorería 15/1/21</t>
  </si>
  <si>
    <t>SERV/DGRMSG/101/07/20</t>
  </si>
  <si>
    <t>oficio JUCOPO S/N 20 julio</t>
  </si>
  <si>
    <t>Coordinación Técnica de la SGSA</t>
  </si>
  <si>
    <t>Unidad de Transparencia de la Coordinación Técnica de la SGSA</t>
  </si>
  <si>
    <t>Servicio de impresión de las obras denominadas: 1) "Del TLCANal T-MEC. Retos y Perspectivas" y 2) "Madero y la apuesta por la democracia"</t>
  </si>
  <si>
    <t xml:space="preserve">Agosto </t>
  </si>
  <si>
    <t>SERV/DGRMSG/101-I/07/20</t>
  </si>
  <si>
    <t>Corrección en el objeto del contrato: Servicio de impresión de las obras denominadas: "1) Del TLCAN al T-MEC. Retos y pesrpectivas" y 2) "Madero. Una experiencia inacabada"</t>
  </si>
  <si>
    <t>SERV/DGRMSG/102/08/20</t>
  </si>
  <si>
    <t>24/08/2020
Endoso 28/01/21 No cumple
Endoso cumple 16-02-21</t>
  </si>
  <si>
    <t>SERV/DGRMSG/102-I/08/20</t>
  </si>
  <si>
    <t xml:space="preserve">Ampliación de monto y Vigencia (Al 31 de enero de 2021) </t>
  </si>
  <si>
    <t>Modificatorio Falta Endoso PRC
En proceso de envío a Tesorería 18-02-21
PRC cumple 16-03-21</t>
  </si>
  <si>
    <t>SERV/DGRMSG/103/08/20</t>
  </si>
  <si>
    <t xml:space="preserve">Servicio de mantenimiento preventivo y correctivo sin refacciones y soporte técnico a 14 equipos UPS/baterías: 3 de 225 KVA, 2 de 300 KVA, 1 de 30 KVA, 1 de 10 KVA, 3 de 6KVA mod Ip11 y 4 de 10KVA mod Ip11  </t>
  </si>
  <si>
    <t>Tesorería 20/08/20</t>
  </si>
  <si>
    <t>SERV/DGRMSG/105/08/20</t>
  </si>
  <si>
    <t xml:space="preserve">Segunda Sesión Extraordinaria Comité </t>
  </si>
  <si>
    <t>Servicio de mantenimiento preventivo y correctivo sin refacciones para los SALVA-ESCALERAS SUPRA 15 instalados en el edificio de la Nueva Sede de la Cámara de Senadores; la desinstalación e instalación por sustitución de un equipo SUPRA 15 en la Escalinata de Reforma; y mantenimiento preventivo a dos plataformas verticales supra línea del salón de sesiones</t>
  </si>
  <si>
    <t>Tesorería 08/09/20</t>
  </si>
  <si>
    <t>ADQ/DGRMSG/106/08/20</t>
  </si>
  <si>
    <t>Licenciamiento de uso de software para reuniones en línea Cisco Webex</t>
  </si>
  <si>
    <t>Fianza C 15%
Vicios ocultos 10%</t>
  </si>
  <si>
    <t>Tesorería 27/11/20</t>
  </si>
  <si>
    <t>SERV/DGRMSG/108/08/20</t>
  </si>
  <si>
    <t>Rayuela Digital, S.A. de C.V.</t>
  </si>
  <si>
    <t xml:space="preserve">Dirección de Producción y Programación </t>
  </si>
  <si>
    <t>Servicio de producción de 13 programas para la serie "Legisladores del México Contemporáneo"</t>
  </si>
  <si>
    <t>Tesorería 21/09/20</t>
  </si>
  <si>
    <t>CD/DGRMSG/110/08/20</t>
  </si>
  <si>
    <t>Derechos patrimoniales de autor que ostenta, particularmente los audiovisales, así como la producción sobre la obra audiovisual denominada "TRADICIÓN ES MÉXICO SEGUNDA PARTE" la cual consta de 20 programas documentales en formato Full HD, con una duración de 24 minutos cada uno y 2 cápsulas de duración de 2 a 3 minutos</t>
  </si>
  <si>
    <t>Dispensa
La cesión de drechos será por un periodo de 5 años, contaos a partir de la entrega de los materiales audiovisuales</t>
  </si>
  <si>
    <t>SERV/DGRMSG/111/08/20</t>
  </si>
  <si>
    <t>Servicio de mantenimiento preventivo y correctivo a elevadores Schindler ubicados dentro de los inmuebles ocupados por la Cámara de Senadores</t>
  </si>
  <si>
    <t>31/08/2020
Endoso 28/1/21</t>
  </si>
  <si>
    <t>SERV/DGRMSG/111-I/08/20</t>
  </si>
  <si>
    <t>Ampliación en monto y vigencia (Al 31 de enro de 2021)</t>
  </si>
  <si>
    <t>Modificatorio Pendiente Endoso Proveedor</t>
  </si>
  <si>
    <t>ADQ/DGRMSG/112/08/20</t>
  </si>
  <si>
    <t>Mamparas frontal y/o lateral, fabricadas en acrílico transparente de 3 mm de espesor en escritorios y estaciones de trabajo, ubicadas en las oficinas de las instalaciones del Senado de la República</t>
  </si>
  <si>
    <t>ADQ/DGRMSG/113/08/20</t>
  </si>
  <si>
    <t>Acuerdo JUCOPO 8 julio</t>
  </si>
  <si>
    <t>Farmacéuticos Tenorio, S.A. de C.V.</t>
  </si>
  <si>
    <t>Adquisición de pruebas rápidas COVID-19</t>
  </si>
  <si>
    <t>SERV/DGRMSG/114/08/20</t>
  </si>
  <si>
    <t>Programma Comunicación, S.A. de C.V.</t>
  </si>
  <si>
    <t>Servicios de la producción audiovisual de la revista informativa para televisión "Cámara Alta"</t>
  </si>
  <si>
    <t>Tesorería 15/09/20</t>
  </si>
  <si>
    <t>SERV/DGRMSG/115/08/20</t>
  </si>
  <si>
    <t>Elsa Iveth</t>
  </si>
  <si>
    <t xml:space="preserve">Valenzuela </t>
  </si>
  <si>
    <t>Rojas</t>
  </si>
  <si>
    <t>Producción de 7 programas para la serie denominada "Programas de la Frontera Norte"</t>
  </si>
  <si>
    <t>Fianza C 15%
Fianza de Anticipo 100%</t>
  </si>
  <si>
    <t>SERV/DGRMSG/115-I/08/20</t>
  </si>
  <si>
    <t>Ampliación de vigencia al 31-diciembre-2020</t>
  </si>
  <si>
    <t>Tesorería 18/09/20
Modificatorio Tesorería 28/12/20</t>
  </si>
  <si>
    <t>SERV/DGRMSG/116/08/20</t>
  </si>
  <si>
    <t>Segivan, S.A. de C.V.</t>
  </si>
  <si>
    <t>Servicio de colocación de ventanas corredizas en las oficinas de la fachada interior del edificio denominado Hemiciclo de la Sede del Senado de la República</t>
  </si>
  <si>
    <t>Fianza C 15%
Resp Civ 10%
VO 10%</t>
  </si>
  <si>
    <t>Tesorería 29/09/20</t>
  </si>
  <si>
    <t>SERV/DGRMSG/117/08/20</t>
  </si>
  <si>
    <t>Servicio de reubicación de acceso de personal y visitantes "Louis Pasteur" al acceso senatorial "Motor Lobby" ubicado en la calle de Madrid</t>
  </si>
  <si>
    <t>Tesorería 02/10/20</t>
  </si>
  <si>
    <t>SERV/DGRMSG/119/09/20</t>
  </si>
  <si>
    <t>Invitación SEN/DGRMSG/INV024/2020</t>
  </si>
  <si>
    <t>Servicio de mantenimiento preventivo y correctivo del sistema de traducción simultánea para el ejercicio 2020</t>
  </si>
  <si>
    <t>Pendiente Fianza de Vicios Ocultos</t>
  </si>
  <si>
    <t>SERV/DGRMSG/120/09/20</t>
  </si>
  <si>
    <t>Invitación SEN/DGRMSG/INV023/2020</t>
  </si>
  <si>
    <t>Servivio de mantenimiento preventivo y correctivo del sistema de audio y video para el ejercico 2020</t>
  </si>
  <si>
    <t>SERV/DGRMSG/121/09/20</t>
  </si>
  <si>
    <t>Invitación SEN/DGRMSG/INV021/2020</t>
  </si>
  <si>
    <t>Advanced Engineering Solutions and Control, S.A. de C.V.</t>
  </si>
  <si>
    <t>Puesta a punto, mantenimiento preventivo y correctivo con refaccionamiento menor a los diversos elevadores y salva-escaleras (Roby)</t>
  </si>
  <si>
    <t>Trámite</t>
  </si>
  <si>
    <t>SERV/DGRMSG/122/09/20</t>
  </si>
  <si>
    <t>Invitación SEN/DGRMSG/INV025/2020</t>
  </si>
  <si>
    <t>Director de Seguridad y Operación</t>
  </si>
  <si>
    <t>Servicios de mantenimiento preventivo y correctivo de 26 arcos detectores de metales y 15 máquinas de inspección por rayos "X" con bandas ubicados en distintos edificios de la Cámara de Senadores</t>
  </si>
  <si>
    <t>Tesorería 12/10/20</t>
  </si>
  <si>
    <t>ADQ/DGRMSG/123/09/20</t>
  </si>
  <si>
    <t>Licitación 
SEN/DGRMSG/L031/2020</t>
  </si>
  <si>
    <t>Corporativo Coneltec, S.A. de C.V.</t>
  </si>
  <si>
    <t>Bienes consumibles de cómputo partida 13</t>
  </si>
  <si>
    <t>ADQ/DGRMSG/124/09/20</t>
  </si>
  <si>
    <t>Abastecedora Aragonesa, S.A. de C.V.</t>
  </si>
  <si>
    <t>Bienes de papelería y/o artículos de oficina correspondientes a la partida 2</t>
  </si>
  <si>
    <t>SERV/DGRMSG/125/09/20</t>
  </si>
  <si>
    <t>Invitación SEN/DGRMSG/INV019/2020</t>
  </si>
  <si>
    <t>Roka Instalaciones y Equipos, S.A. de C.V.</t>
  </si>
  <si>
    <t>31/12/2020
24/01/2021</t>
  </si>
  <si>
    <t>SERV/DGRMSG/125-I/09/20</t>
  </si>
  <si>
    <t xml:space="preserve">Ampliación de monto y Vigencia (Al 24 de enero de 2021) </t>
  </si>
  <si>
    <t>Tesorería 22/10/20</t>
  </si>
  <si>
    <t>ADQ/DGRMSG/126/09/20</t>
  </si>
  <si>
    <t>Bienes de papelería y/o artículos de oficina y/o consumibles de cómputo correspondientes a las partidas 1, 3, 4, 5, 6, 7, 9 y 12</t>
  </si>
  <si>
    <t>ADQ/DGRMSG/127/09/20</t>
  </si>
  <si>
    <t>Bienes de papelería y/o artículos de oficina correspondientes a la partida 8</t>
  </si>
  <si>
    <t>Tesorería 26/10/20</t>
  </si>
  <si>
    <t>ADQ/DGRMSG/128/09/20</t>
  </si>
  <si>
    <t>Invitación 
SEN/DGRMSG/INV028/2020</t>
  </si>
  <si>
    <t>Material de grabación y reproducción para el Canal del Congreso</t>
  </si>
  <si>
    <t>Tesorería 23/10/20</t>
  </si>
  <si>
    <t>ADQ/DGRMSG/129/10/20</t>
  </si>
  <si>
    <t>Invitación 
SEN/DGRMSG/INV030/2020</t>
  </si>
  <si>
    <t>Bienes recurrentes (Partidas 3, 4, 6 y 7)</t>
  </si>
  <si>
    <t>Tesorería 05/11/20</t>
  </si>
  <si>
    <t>ADQ/DGRMSG/130/10/20</t>
  </si>
  <si>
    <t>Consultores en Iluminación Arquitectónica y Automatización, S.A. de C.V.</t>
  </si>
  <si>
    <t>Bienes para la implementación de lámparas emisoras de luz ultravioleta UV y filtros MERV-13 (electrostático) derivado de la contingencia del coronavirus Covid-19, en llos equipo del sistema de aire acondicionado (HVAC), de la Torre de Comisiones y Hemiciclo de la Sende de la Cámara de Senadores</t>
  </si>
  <si>
    <t>Fianza C 15%
Fianza de Anticipo 100%
PRC 15%</t>
  </si>
  <si>
    <t>Enviada a Tesorería 19-02-21</t>
  </si>
  <si>
    <t>SERV/DGRMSG/131/10/20</t>
  </si>
  <si>
    <t xml:space="preserve">Tercera Sesión Extraordinaria Comité </t>
  </si>
  <si>
    <t>Universidad del Desarrollo Profesional, S.C.</t>
  </si>
  <si>
    <t>Programa de licenciaturas y posgrados ON LINE, para las y los servidores públicos del Senado de la República</t>
  </si>
  <si>
    <t>SERV/DGRMSG/131-I/10/20</t>
  </si>
  <si>
    <t>Indicación de que los Montos no causan IVA</t>
  </si>
  <si>
    <t>Tesorería 28/10/20
Modificatorio 
Tesorería 31/12/20</t>
  </si>
  <si>
    <t>NO CAUSA IVA</t>
  </si>
  <si>
    <t>SERV/DGRMSG/132/10/20</t>
  </si>
  <si>
    <t>Invitación 
SEN/DGRMSG/INV029/2020</t>
  </si>
  <si>
    <t>Punto en Tecnologías de la Información, S.A. de C.V.</t>
  </si>
  <si>
    <t>Sistema de datos y archivos de gran tamaño para el Canal del Congreso</t>
  </si>
  <si>
    <t>Tesorería 28/10/20</t>
  </si>
  <si>
    <t>SERV/DGRMSG/133/10/20</t>
  </si>
  <si>
    <t>Licitación 
SEN/DGRMSG/L033/2020</t>
  </si>
  <si>
    <t xml:space="preserve">CF + GAB Construcción, S.A. de C.V. </t>
  </si>
  <si>
    <t>Servicios de: sustitución de bombas válvulas y difusores del sistema de aire acondicionado en el aire acondicionado en el inmueble de Reforma 135; sustitución de válvulas eliminadoras de aire que alivian la presión de los sistemas de agua potable y tratada, y; sustitución de mangueras tramadas en las tuberías de agua helada de los equipos de aire acondicionado de Reforma 135</t>
  </si>
  <si>
    <t>ADQ/DGRMSG/134/10/20</t>
  </si>
  <si>
    <t>Novena Sesión Ordinaría Comité</t>
  </si>
  <si>
    <t>SERV/DGRMSG/135/10/20</t>
  </si>
  <si>
    <t>Licitación 
SEN/DGRMSG/L034/2020</t>
  </si>
  <si>
    <t>Diseño e Innovación Tecnológica Sustentable, S. de R.L. de C.V.</t>
  </si>
  <si>
    <t>Sustitución e instalación y puesta en marcha de un equipo de energía ininterrumpible USO, Así como la reubicación de 4 equipos UPS y acondicionamiento de un cuarto para alojamiento. Adecuación del nuevo cuarto UPS, considerando la reubicación de 3 sistemas de energía ininterrumpible existentes ups del sótano 4 subestación eléctrica de Torre de Comisiones, además del suministro e instalación y puesta en marcha de 1 equipo de energía ininterrumpible nuevo de 160 KW, 480/480 Volts, a bodega ubicada en sótano 4 edificio Pleno, que se instalará en el inmueble de Avenida Paseo de la Reforma No. 135, de la Cámara de Senadores</t>
  </si>
  <si>
    <t>SERV/DGRMSG/136/10/20</t>
  </si>
  <si>
    <t>Art 21 XVI Y XVII</t>
  </si>
  <si>
    <t>Gobist, S.A. de C.V.</t>
  </si>
  <si>
    <t>Servicio de análisis de vulnerabilidades operativas de ciberseguridad del Senado de la República</t>
  </si>
  <si>
    <t>Tesorería 06/11/20</t>
  </si>
  <si>
    <t>SERV/DGRMSG/137/10/20</t>
  </si>
  <si>
    <t>Tesorería 03/11/20</t>
  </si>
  <si>
    <t>SERV/DGRMSG/138/10/20</t>
  </si>
  <si>
    <t>Invitación 
SEN/DGRMSG/INV032/2020</t>
  </si>
  <si>
    <t>Servicio de mantenimiento preventivo-correctivo al sistema de detección de alarma de incendios 2020</t>
  </si>
  <si>
    <t>SERV/DGRMSG/139/10/20</t>
  </si>
  <si>
    <t>Autorización Mesa Directiva 28 Octubre</t>
  </si>
  <si>
    <t>Laboratorios Diagnomol, S.A. de C.V.</t>
  </si>
  <si>
    <t>Servicio de Toma de Muestras  SARS-COV-2 (Covid-19)</t>
  </si>
  <si>
    <t>NOVIEMBRE</t>
  </si>
  <si>
    <t>Tesorería 29/12/20</t>
  </si>
  <si>
    <t>SERV/DGRMSG/141/11/20</t>
  </si>
  <si>
    <t xml:space="preserve">Décima Sesión Ordinaria Comité </t>
  </si>
  <si>
    <t>Victor Entrique</t>
  </si>
  <si>
    <t>Servicio de producción de 12 nuevos programas con duración aproximada de 30 minutos cada uno para la serie denominada "EN DRONDE SE LEGISLA"</t>
  </si>
  <si>
    <t>ADQ/DGRMSG/142/11/20</t>
  </si>
  <si>
    <t>Licitación 
SEN/DGRMSG/L032/2020</t>
  </si>
  <si>
    <t>Equipos portátiles y fijos contra incendios a base de espuma mecánica AR-AFFF apta para fuegos de las clases A, B, C, D y K, para la Cámara de Senadores</t>
  </si>
  <si>
    <t>12/11/2020
Endoso 20/1/21</t>
  </si>
  <si>
    <t>17/11/2020
Endoso Jurídico  27/01/2021</t>
  </si>
  <si>
    <t>ADQ/DGRMSG/142-I/11/20</t>
  </si>
  <si>
    <t>Incremento en el monto máximo</t>
  </si>
  <si>
    <t>Modificatorio
Tesorería 3/2/21</t>
  </si>
  <si>
    <t>SERV/DGRMSG/143/11/20</t>
  </si>
  <si>
    <t xml:space="preserve">Jorce </t>
  </si>
  <si>
    <t>Orcelli</t>
  </si>
  <si>
    <t>Carranco</t>
  </si>
  <si>
    <t>Servicio de porducción de 13 programas con duración aproximada de 24 minutos de cadaa uno para la serie denominada "LOS SONIDOS DE LA CALLE"</t>
  </si>
  <si>
    <t>Tesorería 23/11/20</t>
  </si>
  <si>
    <t>SERV/DGRMSG/144/11/20</t>
  </si>
  <si>
    <t>Servicio de producción de 10 nuevos programas con duración aproximada de 27 minutos cada uno para la serie denominada "Cámaras en Acción"</t>
  </si>
  <si>
    <t>Tesorería 20/11/20</t>
  </si>
  <si>
    <t>SERV/DGRMSG/145/11/20</t>
  </si>
  <si>
    <t>Servicio de limpieza y sanitización de ductos de inyección y retorno de los equipos de aire acondicionado y extracción, instalados en el inmueble del Hemiciclo y Torre de Comisiones de la Sede de Avenida Paseo de la Reforma No. 135</t>
  </si>
  <si>
    <t>Dipensa</t>
  </si>
  <si>
    <t xml:space="preserve">Especial. Se recibió el 31 de diciembre con sello de fecha 5 de octubre </t>
  </si>
  <si>
    <t>Tesorería 4/1/21</t>
  </si>
  <si>
    <t>ADQ/DGRMSG/146/11/20</t>
  </si>
  <si>
    <t>Invitación 
SEN/DGRMSG/INV037/2020</t>
  </si>
  <si>
    <t>Bienes recurrentes correspondientes a la partida 12</t>
  </si>
  <si>
    <t>Tesorería 17/11/20</t>
  </si>
  <si>
    <t>ADQ/DGRMSG/147/11/20</t>
  </si>
  <si>
    <t>Pruebas rápidas COVID-19, complemento</t>
  </si>
  <si>
    <t>ADQ/DGRMSG/148/11/20</t>
  </si>
  <si>
    <t>Invitación 
SEN/DGRMSG/INV039/2020</t>
  </si>
  <si>
    <t>Material y Equipo de Video</t>
  </si>
  <si>
    <t>ADQ/DGRMSG/148-I/11/20</t>
  </si>
  <si>
    <t>Reemplazo de 5 piezas de la partida 16, base movil para pantallas</t>
  </si>
  <si>
    <t>SERV/DGRMSG/149/11/20</t>
  </si>
  <si>
    <t>Licitación 
SEN/DGRMSG/L036/2020</t>
  </si>
  <si>
    <t>Silent4Business, S.A. de C.V.</t>
  </si>
  <si>
    <t>Servicio de Mejora Continua de Gobierno</t>
  </si>
  <si>
    <t>Tesorería 03/12/20</t>
  </si>
  <si>
    <t>SERV/DGRMSG/150/11/20</t>
  </si>
  <si>
    <t>Licitación 
SEN/DGRMSG/L037/2020</t>
  </si>
  <si>
    <t>Servicio de cableado e instalaciones adecuadas de nodos de voz y datos para servicios de tecnologías de información y comunicaciones en las instalaciones de la Nueva Sede y edificios alternos</t>
  </si>
  <si>
    <t>Falta Fianza de Vicios Ocultos</t>
  </si>
  <si>
    <t>SERV/DGRMSG/151/11/20</t>
  </si>
  <si>
    <t>Invitación 
SEN/DGRMSG/INV036/2020</t>
  </si>
  <si>
    <t>ICKROM, S.A. de C.V.</t>
  </si>
  <si>
    <t>Servicio de Instalación y puesta en marcha del "Sistema de microfonía y procesamiento de audio digital" en las salas de reunión, ubicadas en la planta baja del Hemiciclo de la Cámara de Senadores</t>
  </si>
  <si>
    <t>SERV/DGRMSG/152/11/20</t>
  </si>
  <si>
    <t>Licitación 
SEN/DGRMSG/L040/2020</t>
  </si>
  <si>
    <t>Servicio de suministro e instalación de transformador de pedestal de 750KVA, 23,000 V/230/127 V, considerando alimentación de media tensión, medición y adecuaciones al sistema de distribución de baja tensión</t>
  </si>
  <si>
    <t>SERV/DGRMSG/153/11/20</t>
  </si>
  <si>
    <t>Invitación 
SEN/DGRMSG/INV035/2020</t>
  </si>
  <si>
    <t>Servicio de Mantenimiento Preventivo para Equipos de Telecomunicaciones Partida 1</t>
  </si>
  <si>
    <t>Tesorería 09/12/20</t>
  </si>
  <si>
    <t>OP/DGRMSG/154/11/20</t>
  </si>
  <si>
    <t>Licitación 
SEN/DGRMSG/L038/2020</t>
  </si>
  <si>
    <t>Fabricación, e instalación de escalera de emergencia externa para edificio de Torre de comisiones de la Sede del Senado de la República.</t>
  </si>
  <si>
    <t>Fianza Anticipo 100%
Fianza C 15%
Resp Civ 15%
VO 10%</t>
  </si>
  <si>
    <t>ADQ/DGRMSG/156/11/20</t>
  </si>
  <si>
    <t>Invitación 
SEN/DGRMSG/INV038/2020</t>
  </si>
  <si>
    <t>Antena automatizada para bajar señales satelitales (partida 1, mantenimiento preventivo para el transmisor TDT), para ampliar la infraestructura técnico operativa en el control maestro, ubicado en Xicoténcatl No. 9</t>
  </si>
  <si>
    <t>Terminación Anticipada nov 2020</t>
  </si>
  <si>
    <t>SERV/DGRMSG/157/11/20</t>
  </si>
  <si>
    <t>Autorización MD 28 Agosto 2020 Sen. Mónica Fernández Balboa</t>
  </si>
  <si>
    <t>Distribución de Libros Miguel Ángel Porrúa, S.A. de C.V.</t>
  </si>
  <si>
    <t>Servicio de edición e impresión del libro: "Mujeres en el Senado de la República LXIV Legislatura"</t>
  </si>
  <si>
    <t>SERV/DGRMSG/158/11/20
SERV/DGRMSG/158-I/11/20
SERV/DGRMSG/158-II/11/20</t>
  </si>
  <si>
    <t>Autorización JUCOPO 08 Julio</t>
  </si>
  <si>
    <t>Servicio de instalación de un sistema de protección contra incendio en el Teatro de la República, Queretáro; catalogado como un inmueble de valor histórico por el INAH; a base de agua nebulizada, y el sistema auxiliar a base de extintores de CO2 y Sistema de Detección de humos y alarmas inalámbrico. Todo conforme a las normas NFPA (National Fire Protection Association) y las normas mexicanas NOM, así como lo dictaminado por el INAH.</t>
  </si>
  <si>
    <t>07/07/2021
28/07/2021</t>
  </si>
  <si>
    <t>Fianza Anticipo 100%
Fianza C 15%
Resp Civ 10%
VO 10%</t>
  </si>
  <si>
    <t>SERV/DGRMSG/158-I/11/20
SERV/DGRMSG/158-II/11/20</t>
  </si>
  <si>
    <t>I. Incremento del 10.9% del monto= $1,888,687.22 incluye iva y 15 días hábiles, es decir para concluir 28 de julio de 2021
Julio corroborará el % ya que no cuadra con la cantidad solicitada 04/05
II. Incremento  al monto por $1,205,351.85 más iva y ampliación de vigencia al 17/08/21
se deduce $396,569.85 por concepto de trabjos no realizables especificados en anexo.... 17,279036.55 más iva</t>
  </si>
  <si>
    <t>04/05/2021
27/07/21</t>
  </si>
  <si>
    <t>M. 13/05/21
Formalizado Modif FC Y PRC 07/06/21
II M. formalizado en tesoreria, endoso de fc y prc 18/08/21</t>
  </si>
  <si>
    <t>2do modificatorio firmado 10/08/21 se envia a jurídico debidamente firmado copia así como al administrador</t>
  </si>
  <si>
    <t>ADQ/DGRMSG/159/11/20</t>
  </si>
  <si>
    <t>Adjudicación Directa Antecedente SEN/DGRMSG/INV041/2020 declarada desierta</t>
  </si>
  <si>
    <t>Cadgráfics, S.A. de C.V.</t>
  </si>
  <si>
    <t>Suscripción de software de la Marca Adobe</t>
  </si>
  <si>
    <t>Tesorería 18/12/20</t>
  </si>
  <si>
    <t>SERV/DGRMSG/160/12/20</t>
  </si>
  <si>
    <t>Adjudicación Directa Antecedente SEN/DGRMSG/L043/2020 declarada desierta</t>
  </si>
  <si>
    <t>Servicio de Solución de Mesa Ayuda</t>
  </si>
  <si>
    <t>ADQ/DGRMSG/161/12/20</t>
  </si>
  <si>
    <t>Licitación 
SEN/DGRMSG/L035/2020</t>
  </si>
  <si>
    <t>Sistema de microondas para las Cámaras portátiles, correspondientes a la partida 3</t>
  </si>
  <si>
    <t>Tesorería 16/12/20</t>
  </si>
  <si>
    <t>SERV/DGRMSG/162/12/20</t>
  </si>
  <si>
    <t>11° Sesión Comité de Adquisiciones, Obras y Servicios</t>
  </si>
  <si>
    <t>Cristian Selene</t>
  </si>
  <si>
    <t xml:space="preserve">Briseño </t>
  </si>
  <si>
    <t>Rodríguez</t>
  </si>
  <si>
    <t>Servicio de producción de 13 programas con duración aproximada de 27 minutos cada uno, de la serie denominada "A TRAVÉS DE LA LENTE"</t>
  </si>
  <si>
    <t>Tesorería 22/12/20</t>
  </si>
  <si>
    <t>ADQ/DGRMSG/163/12/20</t>
  </si>
  <si>
    <t>Adjudicación Directa Antecedente SEN/DGRMSG/INV033/2020 declarada desierta</t>
  </si>
  <si>
    <t>Men´s International Collection, S.A. de C.V.</t>
  </si>
  <si>
    <t>Ropa y equipo de trabajo para personal de diversas áreas de la Cámara de Senadores</t>
  </si>
  <si>
    <t>SERV/DGRMSG/164/12/20</t>
  </si>
  <si>
    <t>31/12/2021
31/03/2022</t>
  </si>
  <si>
    <t>29/12/2020
Enviado a Tesorería 19-02-21</t>
  </si>
  <si>
    <t>16/02/2021
Enviado a Tesorería 19-02-21</t>
  </si>
  <si>
    <t>28/12 Adm solicita incremento del 25% y ampliación de vigencia al 31/03/2022</t>
  </si>
  <si>
    <t>Solicitud de  incremento del 25% y ampliación de vigencia al 31/03/2022</t>
  </si>
  <si>
    <t>1er Modif con endosos de FC yPRC formalizado en tesoreria 23/02/22</t>
  </si>
  <si>
    <t>Enviaron 3 tantos de 1er modificatorio 04/01/22  
07/01/22 firmó proveedor modificatorio, se le envia al adm para sus firmas
12/01 Debidamente firmados</t>
  </si>
  <si>
    <t>Falta Póliza de Responsabilidad Civil. Correcciones 8/1/21
En proceso de envío a Tesorería 18-02-21</t>
  </si>
  <si>
    <t>ADQ/DGRMSG/165/12/20</t>
  </si>
  <si>
    <t>Adjudicación Directa Antecedente SEN/DGRMSG/INV031/2020 declarada desierta</t>
  </si>
  <si>
    <t>Hugo José</t>
  </si>
  <si>
    <t>Juárez</t>
  </si>
  <si>
    <t>Material recurrente para el edificio de Reforma No.135</t>
  </si>
  <si>
    <t>31/12/2020
08/01/2021</t>
  </si>
  <si>
    <t>18/12/2020
Endoso 09/02/2020</t>
  </si>
  <si>
    <t>ADQ/DGRMSG/165-I/12/20</t>
  </si>
  <si>
    <t>Ampliación en monto y vigencia al 8 de enero de 2021</t>
  </si>
  <si>
    <t>Preparar para enviar a Tesorería</t>
  </si>
  <si>
    <t>SERV/DGRMSG/166/12/20</t>
  </si>
  <si>
    <t>Servicios de mantenimiento preventivo y correctivo, con soporte técnico a los sistemas de manejo de basura de la Sede de la Cámara de Senadores</t>
  </si>
  <si>
    <t xml:space="preserve">
31/12/2021
31/03/2022</t>
  </si>
  <si>
    <t>18/12/2020
Enviado a Tesorería 19-02-21</t>
  </si>
  <si>
    <t>22/12/21 Solicita el área incremento del 25% y ampliación de vigencia al 31/03/2022, sustituyendo el anexo
29/12/21 Se solicita a la DGAJ modificatorio</t>
  </si>
  <si>
    <t xml:space="preserve"> Solicita el área incremento del 25% y ampliación de vigencia al 31/03/2022, sustituyendo el anexo
</t>
  </si>
  <si>
    <t>1er Modif, endosos de FC y PRC 03/02/22</t>
  </si>
  <si>
    <t>ADQ/DGRMSG/168/12/20</t>
  </si>
  <si>
    <t>Merkatus Distribuidora, S.A. de C.V.</t>
  </si>
  <si>
    <t>Generadores de niebla y bolsas purifog para la preservación de la salud en los inmuebles de la Cámara de Senadores</t>
  </si>
  <si>
    <t>Tesorería
Firmado por área 16-03-21</t>
  </si>
  <si>
    <t>SERV/DGRMSG/169/12/20</t>
  </si>
  <si>
    <t>Vidriera y Herrajes San Martín, S.A. de C.V.</t>
  </si>
  <si>
    <t>Servicio para la estructuración de ventanales en los edificios de Reforma No. 135 y Madrid No. 62, del Senado de la República</t>
  </si>
  <si>
    <t>Falta fianza Vicios Ocultos</t>
  </si>
  <si>
    <t>SERV/DGRMSG/170/12/20</t>
  </si>
  <si>
    <t>Suministro e instalación eléctrica para el sistema de protección contra incendio a base de agente limpio (GAS NOVEC). Desmantelamiento y reubicación de los sistemas de protección contra incendio y detección de humos y alarma por remodelación del área de informática en planta baja, reubicación en proyecto e instalación de línea de escape para bomba de combustión del sistema P.C.I., del inmueble ubicado en Madrid 62</t>
  </si>
  <si>
    <t>Tesorería 24/12/20</t>
  </si>
  <si>
    <t>SERV/DGRMSG/171/12/20</t>
  </si>
  <si>
    <t>Servicio de adecuaciones en el módulo de regaderas y vestidores existentes en el sótano S04 del Edificio Sede</t>
  </si>
  <si>
    <t>ADQ/DGRMSG/172/12/20</t>
  </si>
  <si>
    <t>Adjudicación Directa Antecedente SEN/DGRMSG/INV034/2020 declarada desierta</t>
  </si>
  <si>
    <t>Productos y Equipos Kitflat, S.A. de C.V.</t>
  </si>
  <si>
    <t>Medicamentos, material dental, reactivos de laboratorio y cad cam odontológico para los servicios médicos correspondientes a las partidas 1, 3, 4, 5, 8 y 9</t>
  </si>
  <si>
    <t>Tesorería 12/01/21</t>
  </si>
  <si>
    <t>SERV/DGRMSG/173/12/20</t>
  </si>
  <si>
    <t>Megarquitectos, S.A. de C.V.</t>
  </si>
  <si>
    <t>Servicio de restauración de vitrales adosasos en puertas, biombos y domo vitral centro de la antigua Sede de la Cámara de Senadores, ubicado en Xicoténcatl No. 9</t>
  </si>
  <si>
    <t>Si
$106,698.29</t>
  </si>
  <si>
    <t>SERV/DGRMSG/174/12/20</t>
  </si>
  <si>
    <t>Impermeabilizantes y Mantenimiento de Inmuebles, S.A. de C.V.</t>
  </si>
  <si>
    <t>Servicio de impermeabilización en la azotea del Pleno de la Nueva Sede, impermeabilización de losas de azotea e impermeabilización y sanitización de cisternas y tanque de tormentas en las Sedes del Senado de la República</t>
  </si>
  <si>
    <t>Fianza Anticipo 100%
Fianza C 15%
Resp Civ 30%
VO 10%</t>
  </si>
  <si>
    <t>Para su envío a Tesorería V.O. Cumplió 18/01/21</t>
  </si>
  <si>
    <t>ADQ/DGRMSG/176/12/20</t>
  </si>
  <si>
    <t>Licitación 
SEN/DGRMSG/L044/2020</t>
  </si>
  <si>
    <t>Archiveros tipo gaveta deslizable tamaño oficio alta para carpeta lefort</t>
  </si>
  <si>
    <t>SERV/DGRMSG/177/12/20</t>
  </si>
  <si>
    <t>Servicio de remozamiento de fachada de la antigua sede de la Cámara de Senadores ubicada en Xicoténcatl No. 9</t>
  </si>
  <si>
    <t>SERV/DGRMSG/178/12/20</t>
  </si>
  <si>
    <t>Autorización Secretario SGSA/LXIV/1277/20 16 octubre 20</t>
  </si>
  <si>
    <t>Ricardo Javier</t>
  </si>
  <si>
    <t>Servicio de revisión estructural con base en el reglamento de construcción del Distrito Federal, hoy Ciudad de México, para que se emita el dictamen de estabilidad y seguridad estructural y habitabilidad de los inmuebles del Senado de la República</t>
  </si>
  <si>
    <t>Tesorería 04/01/21</t>
  </si>
  <si>
    <t>SERV/DGRMSG/179/12/20</t>
  </si>
  <si>
    <t>Acuerdo 08 Julio JUCOPO</t>
  </si>
  <si>
    <t>Tetl Restauraciones, S.A. de C.V.</t>
  </si>
  <si>
    <t>Restauración de fachada del inmueble ubicado en la calle de Allende No. 23</t>
  </si>
  <si>
    <t>ADQ/DGRMSG/180/12/20</t>
  </si>
  <si>
    <t>Licitación 
SEN/DGRMSG/L045/2020</t>
  </si>
  <si>
    <t>Cámaras profesionales de estudio de alta definición con accesorios para transmitir en vivo o grabar en cabinas. Actualizable a 4K y UHD (ultra alta definición). Compatibles con las que actualmente tiene el Canal del Congreso</t>
  </si>
  <si>
    <t>ADQ/DGRMSG/182/12/20</t>
  </si>
  <si>
    <t>Licitación 
SEN/DGRMSG/L006/2021</t>
  </si>
  <si>
    <t>Insumos de cafetería y café correspondientes a la partida 4</t>
  </si>
  <si>
    <t>Tesorería 06/01/21</t>
  </si>
  <si>
    <t>SERV/DGRMSG/183/12/20</t>
  </si>
  <si>
    <t>Licitación 
SEN/DGRMSG/L001/2021</t>
  </si>
  <si>
    <t>Servicio de guarda, custodia, conservación y administración de los expedientes que conforman los Juicios de Amparo, Controversias Constitucionales y Acciones de Inconstitucionalidad de la Dirección de Amparos y Controversias Constitucionales de la Dirección General de Asuntos Jurídicos de la Cámara de Senadores</t>
  </si>
  <si>
    <t>Ya cumplió con sus fianzas. El administrador firmó el 19 de enero porque se encontraba de vacaciones, retrasando la formalización</t>
  </si>
  <si>
    <t>En firma del Lic. Miguel Ángel Dávila</t>
  </si>
  <si>
    <t>SERV/DGRMSG/184/12/20</t>
  </si>
  <si>
    <t>Invitación 
SEN/DGRMSG/INV043/2020</t>
  </si>
  <si>
    <t>Acertar, Consultoría y Servicios Profesional, S.C.</t>
  </si>
  <si>
    <t>Servicio relativo al Diseño y Construcción de Indicadores para la Evaluación del Desempeño</t>
  </si>
  <si>
    <t>SERV/DGRMSG/185/12/20</t>
  </si>
  <si>
    <t>Adjudicación Directa Antecedente SEN/DGRMSG/INV040/2020 declarada desierta</t>
  </si>
  <si>
    <t>Ap Automatización y Control Eléctrico, S.A. de C.V.</t>
  </si>
  <si>
    <t>Servicio de mantenimiento preventivo y correctivo con refacciones a 3 plantas generadoras de emergencia marca Caterpillar de 2000 KW de capacidad c/u, ubicadas en la azotea del nivel 7 del Hemiciclo norte (2) y en la azotea del nivel 6 de la Cuña (1)</t>
  </si>
  <si>
    <t>Tesorería 30/12/20</t>
  </si>
  <si>
    <t>SERV/DGRMSG/186/12/20
Terminación por mutuo consentimiento</t>
  </si>
  <si>
    <t>Licitación 
SEN/DGRMSG/L004/2021</t>
  </si>
  <si>
    <t>EL 12 de julio se elaboró oficio mediante el cual se solicita realice la justificación para que la Dirección de Adquisiciones esté en condiciones de elaborar el Dictamen de terminación de mutuo acuerdo (art. 129 Normas), se encuentra en firma de DGRMSG.</t>
  </si>
  <si>
    <t>EL 9 de julio solicitan realice Dictamen de terminación de mutuo acuerdo (art. 129 Normas)
Se envió a jurídico  para su consideración 19/08</t>
  </si>
  <si>
    <t>09/07/2021
09/08/2021</t>
  </si>
  <si>
    <t>TERMINACIÓN POR MUTUO ACUERDO</t>
  </si>
  <si>
    <t>Convenio de Terminación por Mutuo Consentiemiento formalizado en tesoreria 01/09/21</t>
  </si>
  <si>
    <t>El 27 de agosto del presente, se recibió el convenio para la terminación por mutuo consentimiento, se envia al área para su firma 30/08</t>
  </si>
  <si>
    <t>Formalizado Tesorería 20/01/2021</t>
  </si>
  <si>
    <t>ADQ/DGRMSG/187/12/20</t>
  </si>
  <si>
    <t>Natural Aesthetics, S.A. de C.V.</t>
  </si>
  <si>
    <t>500,000 cubrebocas para suministro a Senadoras, Senadores y del personal que labora en las instalaciones de los inmuebles del Senado</t>
  </si>
  <si>
    <t>SERV/DGRMSG/188/12/20</t>
  </si>
  <si>
    <t>Cuarta Sesión Extraordinaria Comité de Adquisiciones celebrada el 11 de diciembre de 2020</t>
  </si>
  <si>
    <t>Servicios integrales de ciberseguridad y Noc/soc en el Senado de la República</t>
  </si>
  <si>
    <t>ADQ/DGRMSG/189/12/20</t>
  </si>
  <si>
    <t>Art 21 XVI, XXIII y XXV</t>
  </si>
  <si>
    <t>Scontinuidad Latam, S.A. de C.V.</t>
  </si>
  <si>
    <t xml:space="preserve">Equipamiento tecnológico (sustitución del equipamiento tecnológico dañado del centro de datos del Senado de la República) </t>
  </si>
  <si>
    <t>ADQ/DGRMSG/193/12/20  ADQ/DGRMSG/193-I/12/20</t>
  </si>
  <si>
    <t>Insumos de cafetería y café correspondientes a la partidas 1 y 3</t>
  </si>
  <si>
    <t>10/11 Proveedor solicita sustitución de los bienes de la partida 3 consecutivo 12, clave 2028, se solicita opinión mediante oficio al administrador 11/11
Administrador autorizó sustitución del Anexo Técnico sin que ello modifique monto total pactado ni vigencia</t>
  </si>
  <si>
    <t xml:space="preserve">Solicitan sustitución de los bienes de la partida 3, consecutivo 12, clave 2028, (vaso papel térmico desechable)por lo que se sustituyo el Anexo Técnico </t>
  </si>
  <si>
    <t xml:space="preserve">1er Modificatorio formalizado en tesorería 06/12 </t>
  </si>
  <si>
    <t>Firmó proveedor modificatorio 25/11, se envia para firmas al adm. 26/11
07/12 debidamente firmado, se envía copia a áreas.</t>
  </si>
  <si>
    <t>Tesorería 25/01/21</t>
  </si>
  <si>
    <t>SERV/DGRMSG/194/12/20</t>
  </si>
  <si>
    <t>Licitación 
SEN/DGRMSG/L047/2020</t>
  </si>
  <si>
    <t>Debug Experts, S.A. de C.V.</t>
  </si>
  <si>
    <t>Servicio de licenciamiento con soporte para dotar de protección a los portales y aplicaciones WEB con equipo AWAF F5, mantener el acceso a internet con Balanceador F5 y aplicativos con el sistema de monitoreo AppDynamics, asimismo mantener el monitoreo de los sensores de humedad, temperatura, energía eléctrica y videovigilancia del Centro de Datos (Partidas 1,2,3,4,5 y 6)</t>
  </si>
  <si>
    <t>Tesorería
Formalizado 20/1/21
DGRMSG/219/21</t>
  </si>
  <si>
    <t>ADQ/DGRMSG/195/12/20</t>
  </si>
  <si>
    <t>Acuerdo JUCOPO S/N 7 diciembre</t>
  </si>
  <si>
    <t>Vales de Despensa</t>
  </si>
  <si>
    <t>Lo tiene RH para firma del proveedor. No se presenta el representante legal por COVID</t>
  </si>
  <si>
    <t>Tesorería
Formalizado 22/1/21</t>
  </si>
  <si>
    <t>SERV/DGRMSG/196/12/20</t>
  </si>
  <si>
    <t>Adjudicación Directa Antecedente SEN/DGRMSG/INV045/2020 declarada desierta</t>
  </si>
  <si>
    <t>Stagemen, S.A. de C.V.</t>
  </si>
  <si>
    <t>Servicios de mantenimiento preventivo para mejorar las condiciones de operación de equipos de telecomunicaciones del Canal del Congreso</t>
  </si>
  <si>
    <t>Tesorería 14/01/21</t>
  </si>
  <si>
    <t>ADQ/DGRMSG/197/12/20</t>
  </si>
  <si>
    <t>Equipo de sistema de cámara videograbadora portátil con accesorios para grabar en interiores y exteriores marca Sony correspondiente a la Partida 1 de la Licitación Pública No. SEN/DGRMSG/L035/2020 denominada "Fortalecimiento de la infraestructura técnica del Canal del Congreso por patida" (Partida 1)</t>
  </si>
  <si>
    <t>Fianza Anticipo 100%
Fianza C 15%</t>
  </si>
  <si>
    <t>ADQ/DGRMSG/198/12/20</t>
  </si>
  <si>
    <t>Eseotres Pharma, S.A.P.I. de C.V.</t>
  </si>
  <si>
    <t>Pruebas de antígeno para detección covid-19 FIA SARS COV-2</t>
  </si>
  <si>
    <t>El modifcatorio se encuentra detenido por Jurídico. Solicitó cambio en el oficio de solicitud con justificación. Se bajó el 19 de enero.</t>
  </si>
  <si>
    <t>ADQ/DGRMSG/198-I/12/20</t>
  </si>
  <si>
    <t>Aumento en el monto</t>
  </si>
  <si>
    <t>Tesorería
Modificatorio Tesorería 27/1/21</t>
  </si>
  <si>
    <t>ADQ/DGRMSG/199/12/20</t>
  </si>
  <si>
    <t>Adjudicación Directa Antecedente SEN/DGRMSG/L046/2020 declarada desierta</t>
  </si>
  <si>
    <t>Infraestructura de la Red de Voz y Datos</t>
  </si>
  <si>
    <t>SERV/DGRMSG/200/12/20</t>
  </si>
  <si>
    <t>12° Sesión Comité de Adquisiciones, Obras y Servicios</t>
  </si>
  <si>
    <t>Plan de recuperación de desastres (DRP)</t>
  </si>
  <si>
    <t>SERV/DGRMSG/201/12/20
SERV/DGRMSG/201-I/12/20
SERV/DGRMSG/201-II/12/20</t>
  </si>
  <si>
    <t>Licitación 
SEN/DGRMSG/L048/2020</t>
  </si>
  <si>
    <t>Ingenieros Mafur, S.A. de C.V.</t>
  </si>
  <si>
    <t>Solución sistematizada para la gestión del levantamiento físico del inventario, control de bienes instrumentales, inventario de bienes controlados por el Almacen General, con tecnología de radiofrecuencia</t>
  </si>
  <si>
    <t>31/05/2021
10/07/2021</t>
  </si>
  <si>
    <t>Fianza Anticipo 100%
Fianza C 15%
Resp Civ 20 %
V.O. 10%</t>
  </si>
  <si>
    <t>Firmó II modificatorio proveedor 7/06/21</t>
  </si>
  <si>
    <t>Solicitud de convenio modificatorio 15/04/21, sustituyen un bien del anexo. se solicita a DGAJ</t>
  </si>
  <si>
    <t xml:space="preserve">I.Solicitan sustitución de un bien del anexo y anexo I
II.Solicitan ampliación de vigencia al 10 de julio de 2021
III. Solicitaron cambios, en espera si es nuevo modificatorio
</t>
  </si>
  <si>
    <t>15/04/2021
19/05/2021
28/05/2021</t>
  </si>
  <si>
    <t>1er Modificatorio 27/04/21
2do. Modific formalizado en tesorería 14/06/21
V. O. 05/10/21</t>
  </si>
  <si>
    <t>II Mod. 25/05/21</t>
  </si>
  <si>
    <t>M. 24/05/21</t>
  </si>
  <si>
    <t>ADQ/DGRMSG/202/12/20</t>
  </si>
  <si>
    <t>5° Sesión Extraordinaria Comité de Adquisiciones, Obras y Servicios</t>
  </si>
  <si>
    <t>Corporativo BDG, S.A. de C.V.</t>
  </si>
  <si>
    <t>Equipo de Comedor</t>
  </si>
  <si>
    <t>SERV/DGRMSG/206/12/20</t>
  </si>
  <si>
    <t>Licitación 
SEN/DGRMSG/L003/2020</t>
  </si>
  <si>
    <t>Servicio de mantenimiento correctivo del Sistema de Voz Datos con servicio de Smartnet a equipos de la Marca Cisco</t>
  </si>
  <si>
    <t>SERV/DGRMSG/208/12/20</t>
  </si>
  <si>
    <t>Invitación 
SEN/DGRMSG/INV042/2020</t>
  </si>
  <si>
    <t>Pólizas del seguro de vida e incapacidad total y permanente para los Senadores de la República así como para los trabajadores de base, confianza, servicio técnico de carrera y personal de mando de la Cámara de Senadores, así como de los jubilados y/o pensionados por el ISSSTE, cuya última actividad laboral fue desempeñada en el Senado de la República</t>
  </si>
  <si>
    <t>SERV/DGRMSG/209/12/20</t>
  </si>
  <si>
    <t>Invitación 
SEN/DGRMSG/INV001/2021</t>
  </si>
  <si>
    <t>Servicio de mantenimineot preventivo y correctivo para la solución tecnológica de almacenamiento "Storage" corespondiente a la Partida 1</t>
  </si>
  <si>
    <t>SERV/DGRMSG/210/12/20
SERV/DGRMSG/210-I/12/20</t>
  </si>
  <si>
    <t>Adjudicación Directa Antecedente SEN/DGRMSG/L009/2021 declarada desierta</t>
  </si>
  <si>
    <t>Comtelsat, S.A. de C.V.</t>
  </si>
  <si>
    <t>Proyecto Integral de Comunicaciones en Medios Electrónicos para el Canal del Congreso</t>
  </si>
  <si>
    <t>07/05 solicita administradora modificatorio para sustitución de anexo
01/12 Adm solicita 25% incremento sobre el monto y ampliación de vigencia
02/12 se le envía oficio a la adm. Para que se pronuncie sobre la fecha de la nueva vigencia, el monto específico del incremento y anexo técnico actualizado</t>
  </si>
  <si>
    <t>I.- Sustitución de Anexo
II.- Incremento del 25 % y ampliacón de vigencia               pendiente</t>
  </si>
  <si>
    <t>11/05/2021
07/12/2021</t>
  </si>
  <si>
    <t>Tesorería Formalizado 3/2/21 
Firmó proveedor 13/05/21….Formalizado en tesorería 18/05</t>
  </si>
  <si>
    <t>SERV/DGRMSG/211/12/20</t>
  </si>
  <si>
    <t>Licitación 
SEN/DGRMSG/L008/2020</t>
  </si>
  <si>
    <t>Servicio de mantenimiento preventivo y correctivo, con refacciones al sistema de Audio y Video del Senado de la República, en sus diferentes áreas del inmueble ubicado en Av. Paseo de la Reforma No. 135, Col. Tabacalera, Alcaldía Cuauhtémoc, C.P. 06030, en la Ciudad de México</t>
  </si>
  <si>
    <t>SERV/DGRMSG/213/12/20</t>
  </si>
  <si>
    <t xml:space="preserve">Aseguramiento de bienes patrimoniales propiedad de la Cámara de Senadores </t>
  </si>
  <si>
    <t>ADQ/DGRMSG/214/12/20</t>
  </si>
  <si>
    <t>Magnum Audio Digital, S.A. de C.V.</t>
  </si>
  <si>
    <t>Adquisición de Instrumental para la adecuación, ampliación y equipamiento de la cabina de radio y televisión</t>
  </si>
  <si>
    <t>Dispensa Fianza</t>
  </si>
  <si>
    <t>Contrato de fecha especial. 28 de diciembre. Se bajó a Jurídico la Información hasta el 19/1/21. Faltaba la documentación soporte de CCS</t>
  </si>
  <si>
    <t>Formalizado Tesorería 5/2/21</t>
  </si>
  <si>
    <t>SERV/DGRMSG/215/12/20</t>
  </si>
  <si>
    <t>América en Triunfo, S.A. de C.V.</t>
  </si>
  <si>
    <t>Servicio de Aplicación de retardante en sólidos combustibles en el inmueble de Reforma 135</t>
  </si>
  <si>
    <t>Especial. Se recibió con el 8 de enero con sello de fecha 29 de diciembre</t>
  </si>
  <si>
    <t>SERV/DGRMSG/216/12/20</t>
  </si>
  <si>
    <t>Adjudicación Directa Antecedente SEN/DGRMSG/INV042/2020 declarada desierta</t>
  </si>
  <si>
    <t>Seguro de Automóviles, Camiones y Motocicletas de la Cámara de Senadores para el ejercicio fiscal 2021</t>
  </si>
  <si>
    <t>ADQ/DGRMSG/225/12/20</t>
  </si>
  <si>
    <t>Licitación 
SEN/DGRMSG/L005/2021</t>
  </si>
  <si>
    <t>Bienes de papelería, artículos de oficina y consumibles de cómputo correspondientes a las partidas 3 y 12</t>
  </si>
  <si>
    <t>En firma del Administrador 19/01/21 Solicta aumentar hojas al anexo</t>
  </si>
  <si>
    <t>SERV/DGRMSG/226/12/20</t>
  </si>
  <si>
    <t>Servicio de internet a 1 Gbps, enlaces dedicados para servicios de voz y datos en los onmuebles de Nueva Sede (Reforma Núm. 135), Donceles Núm. 14, Allende Núm. 23, Xicoténcatl Núm. 9 y Madrid Núm. 62, así como un enlace dedicado de internet simétrico para las instalaciones de Xicoténcatl Núm 9.</t>
  </si>
  <si>
    <t>ADQ/DGRMSG/227/12/20</t>
  </si>
  <si>
    <t>Bienes de papelería, artículos de oficina y consumibles de cómputo correspondientes a la partida 8</t>
  </si>
  <si>
    <t>Correcciones 18/1/21</t>
  </si>
  <si>
    <t>Tesorería Formalizado 3/2/21 Oficio 436</t>
  </si>
  <si>
    <t>SERV/DGRMSG/228/12/20</t>
  </si>
  <si>
    <t xml:space="preserve">Servicios integrales de acceso a la red telefónica nacional e internacional con servicios 01800 e internet de banda ancha inalámbrico, para la continuidad de los servicios de comunicaciones con los que actualmente cuenta la Cámara de Senadores </t>
  </si>
  <si>
    <t>En firma del Administrador 15/01/21</t>
  </si>
  <si>
    <t>SERV/DGRMSG/229/12/20</t>
  </si>
  <si>
    <t>Servicio de estacionamiento y pensión para 250 unidades vehiculares como mínimo y 450 como máximo en los inmuebles: "Plaza Monumento a la Madre", Calle Manuel Villalongín s/n esquina Av. Insurgentes, colonia Cuauhtémoc, y "Reforma-Colón", Avenida Morelos esquina Av. Paseo de la Reforma s/n, Glorieta de Colón, Colonia Juárez, ubicados en la Ciudad de México</t>
  </si>
  <si>
    <t xml:space="preserve">
31/12/2021
31/01/2022</t>
  </si>
  <si>
    <t>Fecha especial. Se recibió el 8 de enero con fecha de sello 31 de diciembre</t>
  </si>
  <si>
    <t>27/12 Se solicita a DGAJ modificatorio por ampliación de vigencia al 31/01/2022</t>
  </si>
  <si>
    <t>Ampliación de vigencia al 31/01/22</t>
  </si>
  <si>
    <t>Modif formalizad 14/01/22</t>
  </si>
  <si>
    <t>28/12 Enviaron 3 tantos de 1er modificatorio, 
11/01  Se le envia oficio 201, enviando 3 tantos para recabar firma del proveedor, toda vez que no contesta ni acude a formalizar.</t>
  </si>
  <si>
    <t>Tesorería Formalizado 21/01/2021</t>
  </si>
  <si>
    <t>ADQ/DGRMSG/230/12/20</t>
  </si>
  <si>
    <t>Licitación 
SEN/DGRMSG/L002/2021</t>
  </si>
  <si>
    <t>03/12 El Adm solicita incremento de $2,479,560.00 no causa iva al monto máximo
06/12 se envia solicitud de modificatorio a DGAJ</t>
  </si>
  <si>
    <t>solicita incremento de $2,479,560.00 no causa iva al monto máximo</t>
  </si>
  <si>
    <t>09/02/2021
1er modificatorio formalizado 30/12/21</t>
  </si>
  <si>
    <t>Firmó proveedor 1er modificatorio 15/12 y se envia al administrador para sus firmas</t>
  </si>
  <si>
    <t>09/12 Modif</t>
  </si>
  <si>
    <t>Firmado por Administrador y Proveedor 21/01/2021</t>
  </si>
  <si>
    <t>ADQ/DGRMSG/231/12/20 ADQ/DGRMSG/231-I/12/20</t>
  </si>
  <si>
    <t>Tarjetas de vales de despensa de amplia cobertura</t>
  </si>
  <si>
    <t xml:space="preserve">Se realizo el cambio del Supervisor del Contrato. </t>
  </si>
  <si>
    <t>No ha firmado proveedor. No se localiza
Firmado proveedor 16-03-21</t>
  </si>
  <si>
    <t>SERV/DGRMSG/232/12/20</t>
  </si>
  <si>
    <t>Acuerdo JUCOPO 23 noviembre 2020</t>
  </si>
  <si>
    <t>Especialidades Comerciales Reyes, S.A. de C.V.</t>
  </si>
  <si>
    <t>Servicios de alimentación intra o extramuros para la Cámara de Senadores, correspondiente al ejercicio 2021 (Partida 3)</t>
  </si>
  <si>
    <t>Fianza C 15%
PRC 15%
Fianza de Desocupación $800,000.00</t>
  </si>
  <si>
    <t>Contrato Fecha Especial se recibió el 8 de enero con sello del 31 de diciembre</t>
  </si>
  <si>
    <t>En firma Lic. Dávila 19/01/21</t>
  </si>
  <si>
    <t>ADQ/DGRMSG/233/12/20</t>
  </si>
  <si>
    <t>Bienes de Papeleria, Artículos de Oficina y Consumibles de Cómputo (Partidas 1, 2, 4, 5, 6, 7 y 9)</t>
  </si>
  <si>
    <t>Tesorería 9/2/21</t>
  </si>
  <si>
    <t>SERV/DGRMSG/234/12/20</t>
  </si>
  <si>
    <t>Servicio de mantenimiento preventivo y correctivo a los equipos hidráulicos de bombeo de los cuartos de máquinas y cárcamos; así como las bombas centrífugas sumergibles, verticales cabezales y accesorios, con refacciones menores de la Nueva Sede de la Cámara de Senadores</t>
  </si>
  <si>
    <t>Fianza C 15%
PRC 15%</t>
  </si>
  <si>
    <t>Jurídico 14/1/21</t>
  </si>
  <si>
    <t>Tesorería Formalizado 4/2/21
Oficio 449</t>
  </si>
  <si>
    <t>SERV/DGRMSG/235/12/20</t>
  </si>
  <si>
    <t>Servicio de mantenimiento preventivo y correctivo con refacciones del equipo de bombeo hidrónico, válvulas, intercambiadores de calor, EPAC (Expansión, Presurización y Control de Aire) del sistema de aire acondicionado instalado en el inmueble de la Nueva Sede ubicado en Avenida Paseo de la Reforma No. 135 de la Cámara de Senadores</t>
  </si>
  <si>
    <t>Enviado a Tesorería 18-02-21</t>
  </si>
  <si>
    <t>SERV/DGRMSG/236/12/20</t>
  </si>
  <si>
    <t>Servicio de mantenimiento preventivo y correctivo con refacciones de los equipos del sistema de automatización y control de la marca Metasys, instalado en el inmueble de Avenida Paseo de la Reforma No. 135 de la Cámara de Senadores</t>
  </si>
  <si>
    <t>Preparando para envio a las áreas 18/1/20</t>
  </si>
  <si>
    <t>SERV/DGRMSG/239/12/20</t>
  </si>
  <si>
    <t>Fecha especial. Se recibieron 12/01/21, fecha de sello 31 Dic
Jurídico los envió sin firma de su Directora</t>
  </si>
  <si>
    <t>Tesorería 28/1/21</t>
  </si>
  <si>
    <t>SERV/DGRMSG/240/12/20</t>
  </si>
  <si>
    <t>CONSE 2021</t>
  </si>
  <si>
    <t>ÁREA   SOLICITANTE</t>
  </si>
  <si>
    <t>ADMINISTRADOR DEL CONTRATO /ÁREA SOLICITANTE</t>
  </si>
  <si>
    <t>TOTAL (MAXIMO)</t>
  </si>
  <si>
    <t>ABIERTO MÍN ANTES DE /IVA</t>
  </si>
  <si>
    <t>OBSERVACIONES PARA SOLICITUD DE MODIFICATORIO</t>
  </si>
  <si>
    <t>OFICIO FORMALIZACIÓN DE CONTRATO A TESORERÍA CON FIANZAS</t>
  </si>
  <si>
    <t>COMPROMISO</t>
  </si>
  <si>
    <t>FECHA SOLICITUD DE CONTRATO A JURIDICO</t>
  </si>
  <si>
    <t>ENVÍAN DE JURÍDICO EL CONTRATO</t>
  </si>
  <si>
    <t>ENVÍO DE CONTRATO FORMALIZADO AL AREA SOLICIT</t>
  </si>
  <si>
    <t>FIRMA PROVEEDOR CONTRATO</t>
  </si>
  <si>
    <t>2020 Importe con IVA</t>
  </si>
  <si>
    <t>2021 Importe con IVA</t>
  </si>
  <si>
    <t>2022 Importe con IVA</t>
  </si>
  <si>
    <t>2023 Importe con IVA</t>
  </si>
  <si>
    <t>2024 Importe con IVA</t>
  </si>
  <si>
    <t xml:space="preserve">
OP/DGRMSG/140-II/11/19</t>
  </si>
  <si>
    <t>Licitación Desierta</t>
  </si>
  <si>
    <t xml:space="preserve">
II.- 08/12/21  Solicita ampliación al 31 de octubre de 2022 y sustitución de Anexo Técnico.
</t>
  </si>
  <si>
    <t xml:space="preserve">SERV/DGRMSG/168-I/12/19 </t>
  </si>
  <si>
    <t xml:space="preserve">I.- Solicitan ampliar la vigencia del contrato para concluir los trabajos al 24/09/22 
</t>
  </si>
  <si>
    <t>ADQ/DGRMSG/001/01/21
Rescisión de contrato</t>
  </si>
  <si>
    <t>Licitación Pública SEN/DGRMSG/L013/2021</t>
  </si>
  <si>
    <t>Materiales de Limpieza correspondientes a las partidas 1 y 5</t>
  </si>
  <si>
    <t>FC 15%</t>
  </si>
  <si>
    <t>CUMPLE 22/01/2021</t>
  </si>
  <si>
    <t>Si
$98,275.86</t>
  </si>
  <si>
    <t xml:space="preserve">14/06/21 se concluye por medio de rescisión de contrato (inhabilitado 15/06/21)
</t>
  </si>
  <si>
    <t xml:space="preserve">Rescisión de contrato por incumplimiento </t>
  </si>
  <si>
    <t>Rescisión de Contrato</t>
  </si>
  <si>
    <t>Formalizado 03/02/2021
Formalizado Conv Terminación en tesorería 22/6</t>
  </si>
  <si>
    <t>09/06 21 se dio la resolución del procedimento de rescición del contrato
06/08/21 la DGAJ presentó reclamación y requerimiento de pago de la poliza para garantizar el cumplimiento de las obligaciones del contrato a la aseguradora
06/10/21 se remite a la Tesorería cheque $88,595.69, emitido por la afianzadora para los tramites y efectos conducentes.</t>
  </si>
  <si>
    <t>MALZ880926KW6</t>
  </si>
  <si>
    <t>SERV/DGRMSG/002-I/01/21</t>
  </si>
  <si>
    <t>Servicio de mantenimiento preventivo y correctivo sin refacciones y soporte a 14 UPS/BATERÍA, 3 de 225 KVA, 2 de 300 KVA, 1 de 30 KVA y de 10KVA, 3 de 6KVA MOD LP, 4 10KVA MOD. LP11, para la Nueva Sede de la Cámara de Senadores</t>
  </si>
  <si>
    <t>CUMPLE 16/02/2021</t>
  </si>
  <si>
    <t>CUMPLE 22/02/21</t>
  </si>
  <si>
    <t>Si
FC $504,205.20
PRC $504,205.20</t>
  </si>
  <si>
    <t>30/12/21 Se solicita a la DGAJ 1er Modificatorio por incremento del 25% al monto máximo del contrato, ampliación de vigencia al 31/03/2022 y sustitución del anexo</t>
  </si>
  <si>
    <t xml:space="preserve"> Se solicita a 1er Modificatorio por incremento del 25% al monto máximo del contrato, ampliación de vigencia al 31/03/2022 y sustitución del anexo</t>
  </si>
  <si>
    <t>Formalizado 24/02/2021
1er  Modif co endosos FC y PRC formalizado 26/01/22</t>
  </si>
  <si>
    <t>64, PROG. 2</t>
  </si>
  <si>
    <t>22/12/2020
30/12/2021</t>
  </si>
  <si>
    <t>31/12/2020
30/12/2021</t>
  </si>
  <si>
    <t>15/01/2021
04/01/2022</t>
  </si>
  <si>
    <t>02/02/2021
10/01/2022</t>
  </si>
  <si>
    <t>02/02/21
04/01/22</t>
  </si>
  <si>
    <t>SERV/DGRMSG/003/01/21</t>
  </si>
  <si>
    <t>Invitación 
SEN/DGRMSG/INV011/2021</t>
  </si>
  <si>
    <t>Servipro de México, S.A. de C.V.</t>
  </si>
  <si>
    <t>Servicio de fumigación y erradicación de fauna nociva para los inmuebles ocupados por la Cámara de Senadores ejercicio 2021 (Partida 1)</t>
  </si>
  <si>
    <t>CUMPLE 12/02/2021</t>
  </si>
  <si>
    <t>Si
FC $109,913.79
PRC $109,913.80</t>
  </si>
  <si>
    <t>Formalizado 02/02/2021</t>
  </si>
  <si>
    <t>65, PROG 2</t>
  </si>
  <si>
    <t>SERV/DGRMSG/004/01/21</t>
  </si>
  <si>
    <t>Licitación Pública SEN/DGRMSG/L010/2021</t>
  </si>
  <si>
    <t>Servicio de mantenimiento preventivo y correctivo a los elevadores y salva-escaleras (Roby); a tres salva-escaleras (Roby); a tres salva-escaleras Supra 15 y dos plataformas verticales (Partida 2)</t>
  </si>
  <si>
    <t>CUMPLE 08/02/2021</t>
  </si>
  <si>
    <t xml:space="preserve">FC $159,300
PRC $159,300
</t>
  </si>
  <si>
    <t>Formalizado 12/02/2021</t>
  </si>
  <si>
    <t>6,PROG 2</t>
  </si>
  <si>
    <t xml:space="preserve">SERV/DGRMSG/005/01/21
Terminación Anticipada
</t>
  </si>
  <si>
    <t>Mantenimientos Godupe, S.A. de C.V.</t>
  </si>
  <si>
    <t xml:space="preserve">Mantenimiento preventivo y correctivo con refaccionamiento a los Elevadores y Salva-escaleras (Roby), correspondiente a la partida 1 </t>
  </si>
  <si>
    <t>CUMPLE 10/02/2021</t>
  </si>
  <si>
    <t>CUMPLE 16/01/2021</t>
  </si>
  <si>
    <t xml:space="preserve">FC $201,726.00
PRC $201,726.00
</t>
  </si>
  <si>
    <t>Solicitud de terminación anticipada por imposibilidad de continuar prestando el servicio</t>
  </si>
  <si>
    <t>Formalizado 19/02/2021
Terminación Anticipada  en tesoreria 20/10/21</t>
  </si>
  <si>
    <t>07/09/21  *El área no ha solicitado la rescisión y retirado la primer solicitud.</t>
  </si>
  <si>
    <t>MGO190321U41</t>
  </si>
  <si>
    <t>8, PROG 1</t>
  </si>
  <si>
    <t>18/02/2021
19/10/2021</t>
  </si>
  <si>
    <t>18/02/21
14/10/21</t>
  </si>
  <si>
    <t xml:space="preserve">
ADQ/DGRMSG/006-I/01/21</t>
  </si>
  <si>
    <t>Materiales de Limpieza correspondientes a la partida 3</t>
  </si>
  <si>
    <t>Jurídico los envió sin firma de su Directora</t>
  </si>
  <si>
    <t>CUMPLE 28/01/2021</t>
  </si>
  <si>
    <t xml:space="preserve">FC $258,620.00
</t>
  </si>
  <si>
    <t>Solicitan modificación</t>
  </si>
  <si>
    <t>Sustitución de supervisor del contrato antes C.P. Diana Rosiles, por la Lic. Lucero Estrella Martínez Mtz</t>
  </si>
  <si>
    <t>Formalizado C. 03/02/2021
M. formalizado 25/05/2021</t>
  </si>
  <si>
    <t>62, PROG 2</t>
  </si>
  <si>
    <t>03/02/2021
M 24/05/21</t>
  </si>
  <si>
    <t>C. 03/02/2021
M. 19/03/2021</t>
  </si>
  <si>
    <t xml:space="preserve">
ADQ/DGRMSG/007-I/01/21</t>
  </si>
  <si>
    <t>Máquilas Plásticas Poliducto "C", S.A. de C.V.</t>
  </si>
  <si>
    <t>Materiales de Limpieza correspondientes a la partida 4</t>
  </si>
  <si>
    <t>CUMPLE 15/02/21</t>
  </si>
  <si>
    <t>Si
 $64,655.18</t>
  </si>
  <si>
    <t>Formalizado 19/02/2021
M. formalizado 25/05/2021</t>
  </si>
  <si>
    <t>MPP9003051M6</t>
  </si>
  <si>
    <t>68,PROG 2</t>
  </si>
  <si>
    <t>13/01/2021M 24/05/21</t>
  </si>
  <si>
    <t xml:space="preserve">C. 13/01/2021
M. 18/01/22021
</t>
  </si>
  <si>
    <t xml:space="preserve">
ADQ/DGRMSG/008-I/01/21</t>
  </si>
  <si>
    <t>Materiales de Limpieza correspondientes a la partida 2</t>
  </si>
  <si>
    <t>CUMPLE 28/01/2020</t>
  </si>
  <si>
    <t>Si
 $67,241.38</t>
  </si>
  <si>
    <t>Formalizado 03/02/2021
M 21/05/21</t>
  </si>
  <si>
    <t>69, PROG 2</t>
  </si>
  <si>
    <t>C. 18/01/2021
M. 17/05/2021</t>
  </si>
  <si>
    <t xml:space="preserve">
ADQ/DGRMSG/009-I/01/21</t>
  </si>
  <si>
    <t>Materiales de Limpieza correspondientes a la partida 6</t>
  </si>
  <si>
    <t>CUMPLE 10/02/21</t>
  </si>
  <si>
    <t>Si
 $2,068.97</t>
  </si>
  <si>
    <t>Formalizado 16/02/2021
M.  21/05/021</t>
  </si>
  <si>
    <t>ABA121025PZ0</t>
  </si>
  <si>
    <t>72, PROG 2</t>
  </si>
  <si>
    <t>05/02/2021
M. 18/05/21</t>
  </si>
  <si>
    <t>SERV/DGRMSG/010/01/21</t>
  </si>
  <si>
    <t>Invitación 
SEN/DGRMSG/INV002/2021</t>
  </si>
  <si>
    <t xml:space="preserve">Unidad de Eventos </t>
  </si>
  <si>
    <t>Servicio de mantenimiento preventivo y correctivo del sistema de traducción simultánea para el ejercicio 2021</t>
  </si>
  <si>
    <t>Si
FC $142,500
PRC $190,000</t>
  </si>
  <si>
    <t>Formalizado 18/02/2021</t>
  </si>
  <si>
    <t>SERV/DGRMSG/011/01/21
Convenio de Terminación por mutuo acuerdo</t>
  </si>
  <si>
    <t>Acuerdo JUCOPO 26 de noviembre 2020</t>
  </si>
  <si>
    <t>Servicios de Monitoreo del uso y aprovechamiento de los tiempos oficiales en radio y televisión a nivel nacional, otorgados al Senado de la República</t>
  </si>
  <si>
    <t>CUMPLE 09/02/2021</t>
  </si>
  <si>
    <t>Si
 $2,684,482.76</t>
  </si>
  <si>
    <t>(15/06/21) fecha real de recepción de oficio 1689BIS</t>
  </si>
  <si>
    <t xml:space="preserve">A partir del 15 de mayo de 2021 queda sin efecto por Convenio de Terminación por Mutuo Consentimiento </t>
  </si>
  <si>
    <t>GAI070620SX1</t>
  </si>
  <si>
    <t>SERV/DGRMSG/012/01/21</t>
  </si>
  <si>
    <t>12° Sesión Ordinaria Comité de Adquisiciones, Obras y Servicios 18 diciembre 2020</t>
  </si>
  <si>
    <t>Servicio de mantenimiento preventivo y correctivo al sistema de control de iluminación arquitectónica instalado en el edificio de la Nueva Sede de la Cámara, ubicada en Av. Paseo de la Reforma No. 135, Colonia Tabacalera, C.P. 06030, Alcaldía Cuauhtémoc, Ciudad de México</t>
  </si>
  <si>
    <t>CUMPLE 25/01/21</t>
  </si>
  <si>
    <t>Si
FC $663,337.07
PRC $663,337.07</t>
  </si>
  <si>
    <t>Formalizado 04/02/2021</t>
  </si>
  <si>
    <t>66 PROG 2</t>
  </si>
  <si>
    <t>SERV/DGRMSG/014/01/21</t>
  </si>
  <si>
    <t>Autorización SGSA/LXIV/1784/20</t>
  </si>
  <si>
    <t>Zínser</t>
  </si>
  <si>
    <t>Servicios profesionales como conductor para la serie "Mesa de Diálogo"</t>
  </si>
  <si>
    <t>Formalizado 05/02/2021</t>
  </si>
  <si>
    <t>SOZJ520118QR3</t>
  </si>
  <si>
    <t>17, PROG 1</t>
  </si>
  <si>
    <t>SERV/DGRMSG/015/01/21
Convenio de Terminación Anticipada</t>
  </si>
  <si>
    <t>Autorización SGSA/LXIV/1786/20</t>
  </si>
  <si>
    <t>Claudia Selene</t>
  </si>
  <si>
    <t xml:space="preserve">Ávila </t>
  </si>
  <si>
    <t>Servicios profesionales como conductor para la serie "Retrospectiva" y de "Programas Especiales" para el Canal del Congreso"</t>
  </si>
  <si>
    <t>Solicitan terminación anticipada con la finalidad de evitar conflictos de interés por el proceso electoral 2021, toda vez que fue Diputada electa el 23/08, se le realizaron pagos correspondientes a los meses de enero, febrero y marzo 2021
08/10/21 Se ingesa a  Jurídico solicitud de convenio de terminación anticipada
20/10 en espera de que firmen convenio</t>
  </si>
  <si>
    <t>Solicitan convenio de terminación anticipada</t>
  </si>
  <si>
    <t>Formalizado 05/02/2021
Terminación Anticipada 26/10/21 (fecha especial de 06/09/21)</t>
  </si>
  <si>
    <t>AIFC760707JK4</t>
  </si>
  <si>
    <t>18, PROG 1</t>
  </si>
  <si>
    <t>04/02/2021
21/10/2021</t>
  </si>
  <si>
    <t>SERV/DGRMSG/016/01/21</t>
  </si>
  <si>
    <t>SGSA/DGRP/LXIV/388/20</t>
  </si>
  <si>
    <t>Servicio de seguridad y vigilancia las 24 horas del día, todos los días del año, intramuros, del inmueble Teatro de la República del Estado de Queretáro</t>
  </si>
  <si>
    <t>Si
FC $1249,749.79
PRC $500,000</t>
  </si>
  <si>
    <t>Formalizado 03/03/2021</t>
  </si>
  <si>
    <t>RSP150929J63</t>
  </si>
  <si>
    <t>07, PROG 1</t>
  </si>
  <si>
    <t xml:space="preserve">
SERV/DGRMSG/018-II/01/21</t>
  </si>
  <si>
    <t>Invitación 
SEN/DGRMSG/INV014/2021</t>
  </si>
  <si>
    <t>Proyectos de Ingeniería SDS, S.A. de C.V.</t>
  </si>
  <si>
    <t>Servicio de mantenimiento preventivo y correctivo a elevadores y montacargas Schindler</t>
  </si>
  <si>
    <t>CUMPLE 24/02/21</t>
  </si>
  <si>
    <t>CUMPLE 03/03/12</t>
  </si>
  <si>
    <t>Si
FC $192,672.41
PRC $200,000.00</t>
  </si>
  <si>
    <t>Solicitan modificación
30/11 Adm. Solicita incremento del 7.617449664%al monto máximo  
09/12 se informa al administrador que la DGAJ solicita la justificación del incremento
15/12 ADMINISTRADOR ENVÍA OFICIO 868 CON JUSTIFIC
21/12 MEDIANTE OFICIO 1898 DEBE REMITIR INFORMACIÓN QUE SE SOLICITA PARA ATENDER SUS SOLICITUD DE MODIFICATORIO
29/12 Se solicita a la DGAJ 2DO MODIFICATORIO</t>
  </si>
  <si>
    <t>I.- Rectificación en el monto:
Máximo $1'490,000.00
Mínimo $700,000.00
Ambas más IVA
II.- Incremento del 7.617449664% al monto máximo $113,500.00 más IVA  y sustitución de Anexo</t>
  </si>
  <si>
    <t>16/02/2021
31/12/2021</t>
  </si>
  <si>
    <t>Formalizado 05/03/2021
2do Modif formalizado con endosos FC y PRC 26/01/22</t>
  </si>
  <si>
    <t>PIS180216185</t>
  </si>
  <si>
    <t>2, PROG 1</t>
  </si>
  <si>
    <t>21/01/2021
16/02/2021
29/12/2021</t>
  </si>
  <si>
    <t>21/01/2021
16/02/2021
04/01/2022</t>
  </si>
  <si>
    <t>04/02/2021
10/01/2022</t>
  </si>
  <si>
    <t>04/02/21
07/01/22</t>
  </si>
  <si>
    <t>SERV/DGRMSG/019-I/01/21</t>
  </si>
  <si>
    <t>Servicio de Operación de los 4 niveles de estacionamiento de la Nueva Sede y los 4 sótanos del inmueble de Donceles No. 14 de "El Senado"</t>
  </si>
  <si>
    <t>31/12/2021
28/02/2022</t>
  </si>
  <si>
    <t>CUMPLE 30/03/21
23/11/21 endoso por renovación de PRC</t>
  </si>
  <si>
    <t>Si
FC $610,945.29
PRC $1,221,890.56</t>
  </si>
  <si>
    <t>29/12/21 Se solicita a la DGAJ Incremento del 19.05% al monto máximo, ampliación de vigencia al 28/02/2022 y sustitución de anexo</t>
  </si>
  <si>
    <t>Solicitud de incremento del 19.05% al monto máximo, ampliación de vigencia al 28/02/2022 y sustitución de anexo</t>
  </si>
  <si>
    <t>Formalizado 08/04/2021
23/11/21 endoso por renovación de PRC
09/02/22 1er Modif formalizado con endosos de FC y PRC</t>
  </si>
  <si>
    <t>Firma Lic. Dávila 19-02-21</t>
  </si>
  <si>
    <t>OEM920612B67</t>
  </si>
  <si>
    <t>88, PROG 2</t>
  </si>
  <si>
    <t>25/01/2021
29/12/2021</t>
  </si>
  <si>
    <t>28/01/2021
29/12/2021</t>
  </si>
  <si>
    <t>03/02/2021
04/01/20222</t>
  </si>
  <si>
    <t>08/02/2021
11/01/2022</t>
  </si>
  <si>
    <t>05/02/2021
04/01/2022</t>
  </si>
  <si>
    <t>SERV/DGRMSG/020/02/21</t>
  </si>
  <si>
    <t>1° Sesión Comité de Adquisiciones, Obras y Servicios 29/01/21</t>
  </si>
  <si>
    <t>Elevadores Schindler, S. A. de C.V.</t>
  </si>
  <si>
    <t>Servicio de Mantenimiento Preventivo y Correctivo a 16 elevadores de la marca Schindler, ubicados en el inmueble de Av. Paseo de la reforma no. 135 del Senado de la República</t>
  </si>
  <si>
    <t>CUMPLE 26/02/2021</t>
  </si>
  <si>
    <t>FC $533,634.69
PRC $533,634.69</t>
  </si>
  <si>
    <t>Incremento del 25% y prórroga de vigencia al 28/02/2022</t>
  </si>
  <si>
    <t>Formalizado C, FC y PRC  02/03/21
1er Modif formalizado 24/02/22</t>
  </si>
  <si>
    <t>ESC8911081Q8</t>
  </si>
  <si>
    <t>84, prog 2</t>
  </si>
  <si>
    <t>05/02/2021
23/12/2021</t>
  </si>
  <si>
    <t>01/03/2021
10/01/2022</t>
  </si>
  <si>
    <t>15/02/2021
10/01/2022</t>
  </si>
  <si>
    <t xml:space="preserve">
ADQ/DGRMSG/021-I-02/21  TMA
</t>
  </si>
  <si>
    <t>1° Sesión Comité de Adquisiciones, Obras y Servicios 29 enero 2021</t>
  </si>
  <si>
    <t>Solución antibacterial marca Germstar en presentación de 946 ml y accesorios</t>
  </si>
  <si>
    <t>FC $ 129,310.35</t>
  </si>
  <si>
    <t>I.- Solicitan Sustitución de supervisor del contrato antes C.P. Diana Rosiles, por la Lic. Lucero Estrella Martínez Mtz.
02/09/21.- Se solicitó a la DGAJ terminación del contrato por haber dado cumplimiento al objeto del mismo. (0011/LXV/DMBMI/2021)</t>
  </si>
  <si>
    <t>I.- Solicitan Sustitución de supervisor del contrato antes C.P. Diana Rosiles, por la Lic. Lucero Estrella Martínez Mtz.
II. -Terminación de contrato por cumplimiento del objeto</t>
  </si>
  <si>
    <t>12/05/2021
02/09/21</t>
  </si>
  <si>
    <t>Formalizado 13/02/2021
Modif  21/05/21
Convenio de Terminación por Mutuo 22/09</t>
  </si>
  <si>
    <t>INT170605BN4</t>
  </si>
  <si>
    <t>85, prog. 2</t>
  </si>
  <si>
    <t>C.05/02/202
M.17/05/2021
Terminación 21/09</t>
  </si>
  <si>
    <t>SERV/DGRMSG/022/02/21</t>
  </si>
  <si>
    <t>Invitación 
SEN/DGRMSG/INV015/2021</t>
  </si>
  <si>
    <t>Jessica</t>
  </si>
  <si>
    <t>Pérez</t>
  </si>
  <si>
    <t>Servicio de Cerrajería para los inmuebles ocupados por la Cámara de Senadores</t>
  </si>
  <si>
    <t>CUMPLE 23/03/2021</t>
  </si>
  <si>
    <t>FC $111,004.46
PRC $111,004.46</t>
  </si>
  <si>
    <t>Formalizado C, FC y PRC 26/04/2021</t>
  </si>
  <si>
    <t>19,prog 2</t>
  </si>
  <si>
    <t>SERV/DGRMSG/023/02/21</t>
  </si>
  <si>
    <t>0156/DMBMI/2021</t>
  </si>
  <si>
    <t xml:space="preserve">Blue &amp; Green Servicios y Soluciones al Medio Ambiente, S.A. de C.V.  </t>
  </si>
  <si>
    <t>Servicio de operación, mantenimiento preventivo y correctivo a la Planta de Tratamiento de Aguas Residuales (PTAR), 3 plantas de ósmosis inversa marca AQUA TECNOLOGÍA AMBIENTAL y, el monitoreo y dosificación de cloro de 2 cisternas de agua potable ubicadas en la Sede de la Cámara de Senadores</t>
  </si>
  <si>
    <t>febrero</t>
  </si>
  <si>
    <t>CUMPLE 11/03/21</t>
  </si>
  <si>
    <t>CUMPLE 16/03/21</t>
  </si>
  <si>
    <t>PRC $633,404.72
FC $633,404.72</t>
  </si>
  <si>
    <t>Formalizado
 C, FC y PRC 18-03-21</t>
  </si>
  <si>
    <t xml:space="preserve">
SERV/DGRMSG/024-I/02/21</t>
  </si>
  <si>
    <t>1° Sesión Extraordinaria del Comité de Adquisiciones, Obras y Servicios 09 febrero 2021</t>
  </si>
  <si>
    <t xml:space="preserve">Dhimex Ciudad de México, S.A. de C.V.  </t>
  </si>
  <si>
    <t>Servicio de mantenimiento preventivo a los equipos contra incendios de los cuartos de bombas y mantenimiento mensual a red PCI, el sistema integral PCI, que está dividido en dos partes principales, el cuarto de máquinas y la red de distribución, ubicado en Paseo de la Reforma No. 135</t>
  </si>
  <si>
    <t>Cumple 05/03/21</t>
  </si>
  <si>
    <t>Cumple 05/03/32</t>
  </si>
  <si>
    <t>FC $391,881.44
PRC $391,881.44</t>
  </si>
  <si>
    <t>20/12 se le envía oficio al administrador sobre su petición de modificación
22/12 se envia oficio para solicitar modificatorio a la DGAJ</t>
  </si>
  <si>
    <t>Incremento del 25% y ampliación de vigencia al 21/03/2022</t>
  </si>
  <si>
    <t>Formalizado C, FC y PRC
10-03-21
1er Modif formalizado con endoso de FC y PRC 15/02/22</t>
  </si>
  <si>
    <t>17/02/2021
24/12/2021</t>
  </si>
  <si>
    <t xml:space="preserve">05/03/2021
06/01/2022
</t>
  </si>
  <si>
    <t>04/03/2021
29/12/2021</t>
  </si>
  <si>
    <t>SERV/DGRMSG/025/02/21</t>
  </si>
  <si>
    <t>SEN/DGRMSG/L019/2021</t>
  </si>
  <si>
    <t xml:space="preserve">Audio Video &amp; Control, S.A. de C.V.  </t>
  </si>
  <si>
    <t>Servicio especializado de atención y soporte a la pantalla led del Salón de Sesiones</t>
  </si>
  <si>
    <t>CUMPLE 04/03/21</t>
  </si>
  <si>
    <t>Cumple 01/03/32</t>
  </si>
  <si>
    <t>Formalizado
 10-03-21</t>
  </si>
  <si>
    <t>AV&amp;060117UX0</t>
  </si>
  <si>
    <t>SERV/DGRMSG/026/02/21</t>
  </si>
  <si>
    <t>LXIV/SGSA/DGIT/0070/21</t>
  </si>
  <si>
    <t>ACCASI, S.A. de C.V.</t>
  </si>
  <si>
    <t>Solución para la asistencia y votacion biométrica a distancia dentro y fuera de las oficinas de los Senadores</t>
  </si>
  <si>
    <t>CUMPLE 25/03/21</t>
  </si>
  <si>
    <t>FC $3,509,910
PRC $3,509,910</t>
  </si>
  <si>
    <t>Formalizado C, FC y PRC 30/03/21</t>
  </si>
  <si>
    <t>SERV/DGRMSG/027/02/21</t>
  </si>
  <si>
    <t>SGSA/DGRP/LXIV/389/20</t>
  </si>
  <si>
    <t>Policía Auxiliar de la CDMX</t>
  </si>
  <si>
    <t>Servicio de vigilancia las 24 horas del día, todos los días del año, intra y extra muros, de los inmuebles que ocupa el Senado, para el ejercicio 2021</t>
  </si>
  <si>
    <t>No aplica
INST PÚB</t>
  </si>
  <si>
    <t>Formalizado C 03/05</t>
  </si>
  <si>
    <t>22/02/2021
corrección 19-03</t>
  </si>
  <si>
    <t>SERV/DGRMSG/028/02/21</t>
  </si>
  <si>
    <t>SGSA/DGRH/URLS/SPE/LXIV/0052/2021</t>
  </si>
  <si>
    <t>IDIOMAS IZTAPALAPA, S.C.</t>
  </si>
  <si>
    <t>Unidad de Relaciones Laborales y Servicios</t>
  </si>
  <si>
    <t>Curso de inglés en línea, dirigido a los servidores públicos del Senado de la República</t>
  </si>
  <si>
    <t>Formalizado C 03/03/21</t>
  </si>
  <si>
    <t>SERV/DGRMSG/029/03/21</t>
  </si>
  <si>
    <t>Acuerdo JUCOPO 01 de marzo 2021</t>
  </si>
  <si>
    <t>Servicio de alimentación intra o extramuros para la Cámara de Senadores, correspondientes al ejercicio 2021, partidas 1 y 2</t>
  </si>
  <si>
    <t>01/03/2021
02/12/2021</t>
  </si>
  <si>
    <t>Fianza C 15%
Resp Civ 25%
Póliza Desocup $600 mil</t>
  </si>
  <si>
    <t>Cumple 26/04</t>
  </si>
  <si>
    <t>Desocupación Cumple 26/04</t>
  </si>
  <si>
    <t>FC $ 577,500
PRC $ 962,500
DESOCUP $ 600,000</t>
  </si>
  <si>
    <t>El 24 de agosto del presente, se recibió solicitud de la Unidad de Eventos para un “ajuste de precios” (7%) del contrato SERV/DGRMSG/029/03/21, celebrado con Aquí se esta Mejor.
Se remitió a Bety (Departamento de Programas y Comité).
25/11 Solicitó administrador el 25% incremento del monto máximo partida 1</t>
  </si>
  <si>
    <t>Solicitud de incremento del 25% de la partida 1 por $462,500 más IVA</t>
  </si>
  <si>
    <t>Formalizado C, FC, PR y FD 28/04/2021
Modificatorio y endosos de FC y PRC 27/12/21</t>
  </si>
  <si>
    <t>1er Modif 13/12/21</t>
  </si>
  <si>
    <t>1er Modif 07/12/2021</t>
  </si>
  <si>
    <t>SERV/DGRMSG/030/03/21</t>
  </si>
  <si>
    <t>SEN/DGRMSG/L015/2021</t>
  </si>
  <si>
    <t xml:space="preserve">Corporate Accon en Conocimientos e Ingeniería, S.A. de C.V.  </t>
  </si>
  <si>
    <t>Servicio de mantenimiento rpeventivo y correctivo a los 421 equipos elevautos marca Bendpak modelo PL7000 y PL7000X, instalados en los cuatro niveles de estacionamiento de la nueva sede e "El Senado" del H. Congreso de la Unión.</t>
  </si>
  <si>
    <t>CUMPLE 05/03/21</t>
  </si>
  <si>
    <t>CUMPLE 30/03/21</t>
  </si>
  <si>
    <t xml:space="preserve">FC $311,013.75
PRC $622,027.5
</t>
  </si>
  <si>
    <t>Formalizado C, FC y PRC  05/04/21</t>
  </si>
  <si>
    <t>26/02/2021
solicitud corrección 12-03-21</t>
  </si>
  <si>
    <t>01/03/2021
solicitud corrección 17-03-21</t>
  </si>
  <si>
    <t>ADQ/DGRMSG/031/03/21</t>
  </si>
  <si>
    <t>SEN/DGRMSG/L025/2021</t>
  </si>
  <si>
    <t>CICOVISA, S.A. de C.V.</t>
  </si>
  <si>
    <t>Adquisición de papelería, artículos de oficina y consumibles de cómputo correspondientes a las partidas 10, 11  y 13.</t>
  </si>
  <si>
    <t>Cumple 19/03/21</t>
  </si>
  <si>
    <t>FC $354,733.49</t>
  </si>
  <si>
    <t>21101
21401</t>
  </si>
  <si>
    <t>Formalizado C y FC 23/03/21</t>
  </si>
  <si>
    <t>ADQ/DGRMSG/032/03/21</t>
  </si>
  <si>
    <t>2° Sesión Ordinaria CAOS 26/02/21</t>
  </si>
  <si>
    <t>ART 21
XXIII y XXV</t>
  </si>
  <si>
    <t>TECHNOLOGIT GROUP DE MÉXICO, S.A. DE C.V.</t>
  </si>
  <si>
    <t>Adquisición del equipo portátil para la implementación de la asistencia y votación biométrica a distancia dentro y fuera de las oficinas de los Senadores (140 equipos)</t>
  </si>
  <si>
    <t>CUMPLE 18/03/21</t>
  </si>
  <si>
    <t>FC $388,379.48</t>
  </si>
  <si>
    <t>SERV/DGRMSG/033-I/03/21</t>
  </si>
  <si>
    <t>SEN/DGRMSG/INV008/2021</t>
  </si>
  <si>
    <t>Servicio de Mantenimiento preventivo y correctivo para el Sistema de Audio y Voceo General (incluyendo el sistema de alerta sísmica y el sistema emergente de voceo del parque Louis Pasteur)</t>
  </si>
  <si>
    <t xml:space="preserve">
28/02/2022</t>
  </si>
  <si>
    <t>CUMPLE 12/03/2021</t>
  </si>
  <si>
    <t>CUMPLE 26/03/21</t>
  </si>
  <si>
    <t>08/12 SE LE SOLICITA AL ÁREA DE PRESUPUESTOS INCREMENTO DEL $ 120,250.00 Y AMPLIACION DE VIGENCIA AL 28/02/2022
09/12 SE ENVIA SOLICITUD A DGAJ</t>
  </si>
  <si>
    <t>Solicitan incremento de $ 120,250.00 y ampliación de vigencia al 28/02/2022</t>
  </si>
  <si>
    <t>Formalizado 31/03/2021
1er Modific formalizado con endoso FC y PRC en tesorería 13/01/22</t>
  </si>
  <si>
    <t>01/03/2021
17/12/2021</t>
  </si>
  <si>
    <t>17/03/2021
10/01/2022</t>
  </si>
  <si>
    <t>17/03/21
29/12/21</t>
  </si>
  <si>
    <t>SERV/DGRMSG/034/03/21</t>
  </si>
  <si>
    <t>sgsa/dgrmsg/lxiv/074/2020</t>
  </si>
  <si>
    <t>Art 21
XIII</t>
  </si>
  <si>
    <t>PROVETECNIA, S.A. DE C.V.</t>
  </si>
  <si>
    <t>Servicio de mantenimiento preventivo y correctivo de 31 arcos detectores de metales, 18 máquinas de inspección por rayos X con banda y 1 detector de explosivos portátil, ubicado sen distinos edificios de la Cámara de Senadores</t>
  </si>
  <si>
    <t>CUMPLE 17/03/21</t>
  </si>
  <si>
    <t>SERV/DGRMSG/035/03/21</t>
  </si>
  <si>
    <t>SGSA/DGRMSG/LXIV/0836/21</t>
  </si>
  <si>
    <t>Servicio de mantenimiento preventivo y correctivo con refacciones de los equipos HVAC así como la sanitización y limpieza de ductos de aire acondicionado, instalados en los inmuebles de la Cámara de Senadores</t>
  </si>
  <si>
    <t>Cumple 18/03/21</t>
  </si>
  <si>
    <t>25/11 Solicitó Adm. Ampliación del monto $2,673,411.5 más iva y vigencia al 28/02/22, se solicitó suficiencia a DSA 26/11
07/12 SE SOLICITA AL ADM ATIENDA LAS OBSERVACIONES DE LA DGAJ PARA PROCEDER CON SU SOLICITUD
14/12 se solicita al administrador atienda expresar la justificación en el incremento y la prórroga como lo sollicita la DGAJ
29/12/21 se solicita a la DGAJ 1er modificatorio</t>
  </si>
  <si>
    <t>Solicitud de incremento de l 25%   $2,673,411 y vigencia  al 28/02/2022 y sustitución de anexo</t>
  </si>
  <si>
    <t>Formalizado 23/03/2021
Modific con endoso de FC y PRC 01/02/22</t>
  </si>
  <si>
    <t>01/03/2021
29/11/2021</t>
  </si>
  <si>
    <t>02/03/2021
31/12/2021</t>
  </si>
  <si>
    <t>03/03/2021
04/01/2022</t>
  </si>
  <si>
    <t xml:space="preserve">08/03/2021
13/01/2022
</t>
  </si>
  <si>
    <t xml:space="preserve">08/03/2021
05/01/2022
</t>
  </si>
  <si>
    <t>SERV/DGRMSG/036/03/21</t>
  </si>
  <si>
    <t>SGSA/DGRMSG/LXIV/0816/2021</t>
  </si>
  <si>
    <t>DETECNO, S.A. DE .C.V.</t>
  </si>
  <si>
    <t>Subdirección de Enlace Funcional</t>
  </si>
  <si>
    <t>Instalación en la nube, configuración y puesta en operac ión del servicio denominado "Portal de Recepción" para la recepción y validación de facturas electrónicas CFDI, así como un monitor automático de cancelaciones de éstas, que incluye soporte técnico y mantenimiento.</t>
  </si>
  <si>
    <t>CUMPLE 19/03/21</t>
  </si>
  <si>
    <t>01/12 solicita adm. Incremento de $263,952 más iva y vigencia al 28/02/22
03/12 se realiza oficio para presupuestos para solicitar recursos
14/12 se solicita a la DGAJ modificatorio
Se envío al área para recabar firma del proveedor
09/02 solicita el Adm incremento de $50,000 más iva, se envia solicitud a jurídico
15/02 se le informa al área que debe enviar justificación para poder realizar II modificatorio</t>
  </si>
  <si>
    <t>I.- Incremento de $263,952.00 más iva y vigencia al 28/02/22
II.-Incremento de $50,000 más iva y sustitución del anexo</t>
  </si>
  <si>
    <t xml:space="preserve">16/12/2021
24/02/2022
</t>
  </si>
  <si>
    <t>Formalizado 23/03/2021
Modificatorio 06/01/2022 y endoso de FC</t>
  </si>
  <si>
    <t>05/03/2021
17/12/2021
25/02/2022</t>
  </si>
  <si>
    <t>23/03/21
04/01/22</t>
  </si>
  <si>
    <t xml:space="preserve">ADQ/DGRMSG/038/03/21  
ADQ/DGRMSG/038-I/03/21   
ADQ/DGRMSG/038-II/03/21
</t>
  </si>
  <si>
    <t>SEN/DGRMSG/L024/2021</t>
  </si>
  <si>
    <t>Adquisición de papelería impresa oficial y administrativa (partida1, primer lugar)</t>
  </si>
  <si>
    <t>Si
$196,689.39</t>
  </si>
  <si>
    <t>Solicita incremento del 25% equivalente a $327,815.65 más iva , se le envia correo solicitando funde y motive las razones y enviar documento parte del anexo en la cual consta la ampliación 22/07/21
se sustituya al Administrador del contrato Ahedo por la Lic. Cristal Pelayo Rgz
17/11  solicita la DSA terminación anticipada</t>
  </si>
  <si>
    <t>I.- Incremento del 25% y sustitución del administrador del contrato
II.- Solicitan terminación anticipada por cumplir con el objeto del contrato</t>
  </si>
  <si>
    <t>23/08/2021
22/11/2021</t>
  </si>
  <si>
    <t xml:space="preserve">Formalizado 19/04/2021
Modif y endoso 13/09
Terminación formalizada en tesorería 08/12/21
</t>
  </si>
  <si>
    <t>21-102091COM00043</t>
  </si>
  <si>
    <t>10/03/2021
26/08
Modif  26/08</t>
  </si>
  <si>
    <t>18/03/2021
26/11 Terminación</t>
  </si>
  <si>
    <t>22/03/2021
Modif 06/09/21
Term. 06/12/21</t>
  </si>
  <si>
    <t>22/03/2021
Modif 03/09/21
Term. 29/11/21</t>
  </si>
  <si>
    <t>ADQ/DGRMSG/039/03/21</t>
  </si>
  <si>
    <t>Adquisición de papelería impresa oficial y administrativa (Partida 2)</t>
  </si>
  <si>
    <t>PENDIENTE</t>
  </si>
  <si>
    <t>Formalizado 19/04/2021</t>
  </si>
  <si>
    <t>ADQ/DGRMSG/040/03/21</t>
  </si>
  <si>
    <t>SEN/DGRMSG/L023/2021</t>
  </si>
  <si>
    <t>Adquisición de Bienes Recurrentes Partida 14</t>
  </si>
  <si>
    <t>Formalizado 26/04/2021</t>
  </si>
  <si>
    <t>regresó
22/03/2021</t>
  </si>
  <si>
    <t>SERV/DGRMSG/041/03/21</t>
  </si>
  <si>
    <t>2a Sesión Extraordinaria del comité 05/03/21</t>
  </si>
  <si>
    <t>Art 21
II</t>
  </si>
  <si>
    <t>Proyecto de Tecnologías y Servicios de Ciberseguridad gestionada (Grupo de Expertos de Respuesta, Prevención de Incidente de la Seguridad, Operación, Mantenimiento y Soporte d elos Sistemas Emas, Argos, Tritón, Hera y Carmen</t>
  </si>
  <si>
    <t>FC $ 1,761,957.50
PRC $ 1,761,957.50</t>
  </si>
  <si>
    <t>Formalizado FC, C y PRC26/04/2021</t>
  </si>
  <si>
    <t>ADQ/DGRMSG/042/03/21</t>
  </si>
  <si>
    <t>Equipos Carlin de Morelos, S.A. de C.V.</t>
  </si>
  <si>
    <t>Adquisición de Bienes Recurrentes</t>
  </si>
  <si>
    <t>CUMPLE 29/03/21</t>
  </si>
  <si>
    <t>Si $35,754.74</t>
  </si>
  <si>
    <t>I.- 22/12/21 Solicitud de cambio en los bienes adjudicados en la partida 8, se sustituye anexo técnico</t>
  </si>
  <si>
    <t>21101
22301
24901</t>
  </si>
  <si>
    <t>Formalizado C y FC 31/03/21
1er Modif formalizado en tesoreria 13/01/22</t>
  </si>
  <si>
    <t>123. PROG 2</t>
  </si>
  <si>
    <t>16/03/2021
28/12/2021</t>
  </si>
  <si>
    <t xml:space="preserve">25/03/2021
10/01/2022
</t>
  </si>
  <si>
    <t>23/03/2021
29/12/2021</t>
  </si>
  <si>
    <t>ADQ/DGRMSG/043/03/21</t>
  </si>
  <si>
    <t>SEN/DGRMSG/INV018/2021</t>
  </si>
  <si>
    <t>Café 1810, S.A. de C. V.</t>
  </si>
  <si>
    <t>Café correspondiente a la partida 2</t>
  </si>
  <si>
    <t>Si $84,326.40</t>
  </si>
  <si>
    <t>Formalizado C y FC 22/04/2021</t>
  </si>
  <si>
    <t>21-102091COM00042</t>
  </si>
  <si>
    <t>ADQ/DGRMSG/044/03/21</t>
  </si>
  <si>
    <t>Adquisición de Bienes Recurrentes Partidas 4, 11 y 18)</t>
  </si>
  <si>
    <t>29/07/21 Penalización por atraso $11,406.51</t>
  </si>
  <si>
    <t>FC $ 97,053.58</t>
  </si>
  <si>
    <t>21101
22301
29301
29401
51901</t>
  </si>
  <si>
    <t>Formalizado C y FC 26/04/2021</t>
  </si>
  <si>
    <t>17/03/2021
corrección 19-03</t>
  </si>
  <si>
    <t>ADQ/DGRMSG/045/03/21
ADQ/DGRMSG/045-I/03/21
ADQ/DGRMSG/045-II/03/21</t>
  </si>
  <si>
    <t>CUMPLE 06/04/21</t>
  </si>
  <si>
    <t>ADQ/DGRMSG/045-I/03/21
21/10/21 solicita sustitución de los bienes referentes a la partida 1, se envia oficio para que se pronuncie sobre petición el administrador del contrato
29/10/21 Se solicita a jurídico segundo convenio modificatorio, toda vez que acepta propuesta del proveedor el administrador del contrato</t>
  </si>
  <si>
    <t>solicitan el incremento del 25% del monto máximo de la partida 17 
Solicitan sustitución de los bienes de la partida 1, no se modifican montos</t>
  </si>
  <si>
    <t>27/04/2021
28/10/2021</t>
  </si>
  <si>
    <t>Formalizado 09/04
I.- Formalizado 11/05
II .- Formalizado 09/11</t>
  </si>
  <si>
    <t>21-102091COM00117-005-1</t>
  </si>
  <si>
    <t>17/03/2021
06/05</t>
  </si>
  <si>
    <t>22/03/2021
04/05/2021</t>
  </si>
  <si>
    <t>22/03/2021
04/05/2021
05/11/2021</t>
  </si>
  <si>
    <t>SERV/DGRMSG/046/03/21</t>
  </si>
  <si>
    <t>SEN/DGRMSG/L022/2021</t>
  </si>
  <si>
    <t>SR &amp; FRIENDS, S.A. DE C.V.</t>
  </si>
  <si>
    <t>Coordinación de Comunicación social</t>
  </si>
  <si>
    <t>Dirección de Información</t>
  </si>
  <si>
    <t>Servicio de Análisis, monitoreo y alertas de información en medios impresos, electrónicos, digitales y en redes sociales</t>
  </si>
  <si>
    <t>Formalizado C y FC 08/4/21</t>
  </si>
  <si>
    <t>21-108091COM00003</t>
  </si>
  <si>
    <t>ADQ/DGRMSG/047/03/21  
ADQ/DGRMSG/047-I/03/21 
ADQ/DGRMSG/047-II/03/21</t>
  </si>
  <si>
    <t>Adquisición de papelería impresa oficial y administrativa (partida 1, segundo lugar</t>
  </si>
  <si>
    <t>Si
$118,013.63</t>
  </si>
  <si>
    <t>Solicita incremento del 25% equivalente a $196,689.39 más iva, se le envia correo solicitando funde y motive las razones y enviar documento parte del anexo en la cual consta la ampliación 22/07/21
Se sustituye Adm de contrato Ahedo por Lic. Cristal Pelayo Rgz
17/11  solicita la DSA terminación anticipada</t>
  </si>
  <si>
    <t>I.- Incremento del 25%
II.- Solicitan terminación anticipada por cumplir con el objeto del contrato</t>
  </si>
  <si>
    <t>Formalizado C y FC 31/03/21
Modif en tesorería 03/09/21
Terminación formalizada en tesorería 08/12/21</t>
  </si>
  <si>
    <t>COGM540920186</t>
  </si>
  <si>
    <t>21-102091COM00056</t>
  </si>
  <si>
    <t>10/03/2021
m 26/08</t>
  </si>
  <si>
    <t>31/03/2021
03/09/2021
07/12/2021</t>
  </si>
  <si>
    <t>22/03/2021
31/08/2021
25/11/2021</t>
  </si>
  <si>
    <t>SERV/DGRMSG/049-II/03/21</t>
  </si>
  <si>
    <t>SEN/DGRMSG/INV007/2021</t>
  </si>
  <si>
    <t>Ambiente, Paisajismo y Ojo de Agua, S. de R.L. de C.V.</t>
  </si>
  <si>
    <t>Servicio de Mantenimiento, reforestación, fumigación, limpieza de plantas de ornato y suminitro de plantas de ornato y macetas</t>
  </si>
  <si>
    <t xml:space="preserve">PRC $113,420.89
FC $113,420.89
</t>
  </si>
  <si>
    <t>06/12 SE SOLICITA A DGAJ MODIFICACIÓN POR SUSTITUCIÓN DEL ANEXO TÉCNICO SOLICITADO POR ADM
21/12 SE SOLICITA A DGAJ AMPLIACIÓN DE VIGENCIA Y MOT¿NTO QUE SOLICITO ADM</t>
  </si>
  <si>
    <t>i.- Solicitud de sustitución de anexo técnico por modificación
II.- Ampliación de vigencia al 28/02/22 e incremento de $186,448.61 más iva</t>
  </si>
  <si>
    <t>08/12/2021
22/12/2021</t>
  </si>
  <si>
    <t>Formalizado C, FC y PRC  31/03
1er Modificatorio 15/12
2do Modif. Y ambos endosos formalizados 19/01/22</t>
  </si>
  <si>
    <t>118, PROG 2</t>
  </si>
  <si>
    <t>16/03/2021
06/12/2021</t>
  </si>
  <si>
    <t>18/03/2021
1er Modif 09/12/2021
2do Modif 24/12/2021</t>
  </si>
  <si>
    <t>02/03/2021
1ER MODIF 14/12/21
2DO MODIF 04/01/22</t>
  </si>
  <si>
    <t>02/03/2021
1er Modif  09/12/21
2do Modif 28/12/21</t>
  </si>
  <si>
    <t>SERV/DGRMSG/050/03/21</t>
  </si>
  <si>
    <t>SEN/DGRMSG/L016/2021</t>
  </si>
  <si>
    <t>Dirección de Radio y Televisión</t>
  </si>
  <si>
    <t>Servicios complementarios para cubrir necesidades de audio y video, mantenimiento a equipos de edición, audio, sistemas de audio y vIdeo, manteniendo a equipos de edición, audio, sistemas de audio y video y circuito cerrado de televisión existentes de la Coordinación de Comunicación Social, (Partida 2 y 4)</t>
  </si>
  <si>
    <t>FC  $97,065.39
PRC $64,710.26</t>
  </si>
  <si>
    <t>14/12 Administrador solicita modificatorio
15/12 se le solicita al administrador documentos para continuar con solicitud de modificatorio
30/12/21 se solicitó modiificatorio a la DGAJ</t>
  </si>
  <si>
    <t>Solicitud de incremento de un 22.22%,     quedando la partida 2 en $297,000.00, partida 4 en $ 493,903.15  y ampliación de vigencial al 28/02/22 y sustitución de anexo</t>
  </si>
  <si>
    <t>Formalizado C, FC y PRC 08/04
1er Modif con endosos de FC y PRC formalizado 26/01/22</t>
  </si>
  <si>
    <t>21-108091COM00004</t>
  </si>
  <si>
    <t>25/03/2021
12/01/2022</t>
  </si>
  <si>
    <t>22/03/2021
06/01/2022</t>
  </si>
  <si>
    <t>SERV/DGRMSG/051/03/21</t>
  </si>
  <si>
    <t>Servicios complementarios para cubrir necesidades de audio y vdeo, mantenimiento a equipos de edición, audio, sistemas de audio y vIdeo, manteniendo a equipos de edición, audio, sistemas de audio y video ycircuito cerrado de televisión existentes de la Coordinación de Comunicación Social, (Partida 1)</t>
  </si>
  <si>
    <t>FC  $106,563.91
PRC $71,042.61</t>
  </si>
  <si>
    <t>28/12 mediante oficio 2080, se le solicita al administrador que para poder atender la solicitud de modificatorio, deberá remitir el REPSE</t>
  </si>
  <si>
    <t>No se realizó modificatorio</t>
  </si>
  <si>
    <t>Formalizado C, FC y PRC 19/04/2021</t>
  </si>
  <si>
    <t>MUHA53072547A</t>
  </si>
  <si>
    <t>SERV/DGRMSG/052/03/21</t>
  </si>
  <si>
    <t>Servicios complementarios para cubrir necesidades de audio y video, mantenimiento a equipos de edición, audio, sistemas de audio y video, manteniendo a equipos de edición, audio, sistemas de audio y video y circuito cerrado de televisión existentes de la Coordinación de Comunicación Social, (Partida 3)</t>
  </si>
  <si>
    <t>FC  $56,025
PRC $37,350</t>
  </si>
  <si>
    <t>Formalizado C, FC y PRC 22/04/2021</t>
  </si>
  <si>
    <t>SERV/DGRMSG/055/03/21
TERMINACIÓN  POR CUMPLIMIENTO DEL OBJETO</t>
  </si>
  <si>
    <t>SEN/DGRMSG/INV017/202021</t>
  </si>
  <si>
    <t>Andoni</t>
  </si>
  <si>
    <t>Sagües</t>
  </si>
  <si>
    <t>Zamora</t>
  </si>
  <si>
    <t>Servicio de mantenimiento a mobiliario de madera y metálico para los inmuebles ocupados por la Cámara de Senadores</t>
  </si>
  <si>
    <t>FC $156,548
PRC $104,365.33</t>
  </si>
  <si>
    <t>06/12 Se solicita a la DGAJ terminación por cumplimiento de objeto, solicitado por el adm</t>
  </si>
  <si>
    <t>Solicitud de terminación por objeto</t>
  </si>
  <si>
    <t>Formalizado C, FC y PRC 04/05
Terminación 23/12</t>
  </si>
  <si>
    <t>121, PROG 2</t>
  </si>
  <si>
    <t>25/03/2021
15/12/2021</t>
  </si>
  <si>
    <t>25/03/2021
Term. 22/12/21</t>
  </si>
  <si>
    <t>25/03/2021
Term. 17/12</t>
  </si>
  <si>
    <t>ADQ/DGRMSG/056/03/21</t>
  </si>
  <si>
    <t>DGSM*083*2021</t>
  </si>
  <si>
    <t>ESEOTRES PHARMA, S.A.P.I. DE C.V.</t>
  </si>
  <si>
    <t>Adquisición de pruebas rápidas COVID-19 IgG/IgM y pruebas de antígeno de COVID-19 inmunoensayo cromatográfico rápido (Tipo de muestra: sangre entera o suero y Nasofaríngea/orogaríngeo) para las y los Senadores, trabajadores  y personas que necesiten acudir a las isntalaciones del Senado</t>
  </si>
  <si>
    <t>Formalizado C 09/04/2021</t>
  </si>
  <si>
    <t>EPH161215NS9</t>
  </si>
  <si>
    <t>21-102091COM00116</t>
  </si>
  <si>
    <t>ADQ/DGRMSG/057/03/21</t>
  </si>
  <si>
    <t>SEN/DGRMSG/INV021/2021</t>
  </si>
  <si>
    <t>Bebidas Purificadas, S. de R.L. de  C.V.</t>
  </si>
  <si>
    <t>Suministro de agua purificada envasada en garrafón de 20 litros.</t>
  </si>
  <si>
    <t>Cumple 09/04/2021</t>
  </si>
  <si>
    <t>Si
$101,025</t>
  </si>
  <si>
    <t>Formalizado C y FC 15/04/2021</t>
  </si>
  <si>
    <t>21-102091COM0087</t>
  </si>
  <si>
    <t>SERV/DGRMSG/058/03/21</t>
  </si>
  <si>
    <t>3a Sesión Ordinaria del Comité de Adq 26/03/21</t>
  </si>
  <si>
    <t>Servicio de mensajería y paquetería Local, Nacional e Internacional para la Cámara de Senadores</t>
  </si>
  <si>
    <t>Cumple 19/04/21
28/07/21</t>
  </si>
  <si>
    <t>PRC $257,245.71
FC PEND</t>
  </si>
  <si>
    <t>17/12 solicita incremento y ampliación de vigencia Adm.
21/12 se le informa al adm que precise la fecha de nueva vigencia y el monto a aumentar mediante oficio 1897
27/12 se le solicitó a la DGAJ modificatorio</t>
  </si>
  <si>
    <t>Solicitud de ampliación al 28/02/2022</t>
  </si>
  <si>
    <t>Formalizado C, FC y PRC  29/04</t>
  </si>
  <si>
    <t>Se envia a jurídico 26/07/21 endoso de la prc multimempresarial para cubrir periodo de vigencia faltante 
28/07/21 se formalizó en tesoreria póliza de resp. Civil y endoso</t>
  </si>
  <si>
    <t>20/04/2021
11/01/2022</t>
  </si>
  <si>
    <t>07/04/2021
28/12/2021</t>
  </si>
  <si>
    <t>SERV/DGRMSG/060/03/21</t>
  </si>
  <si>
    <t>Canal del Congreso</t>
  </si>
  <si>
    <t>Servicio de producción de 12 nuevos programas para la serie denominada "EN DRONDE SE LEGISLA"</t>
  </si>
  <si>
    <t>Cumple 16/04/21</t>
  </si>
  <si>
    <t>Si
$180,000</t>
  </si>
  <si>
    <t>SERV/DGRMSG/060-I/03/21</t>
  </si>
  <si>
    <t>Solicitan sustitución de anexo técnico</t>
  </si>
  <si>
    <t>Formalizado C y FC 19/04/2021
Modificatorio Formalizado  19/08</t>
  </si>
  <si>
    <t>Firmo proveedor 1er modificatorio 16/08/21 se envia a administrador</t>
  </si>
  <si>
    <t>GUHV581108KB8</t>
  </si>
  <si>
    <t>29/03/2021
M. 06/08</t>
  </si>
  <si>
    <t>31/03/2021
M. 11/08</t>
  </si>
  <si>
    <t>C. 19/04/2021
M. 16/08/2021</t>
  </si>
  <si>
    <t>CD/DGRMSG/061/03/21</t>
  </si>
  <si>
    <t>Cesión de los derechos patrimoniales de autor que ostenta, particulamente los audiovisuales, así como la producción sobre la obra audiovisual denominada " MISIÓN BAJA SEGUNDA PARTE"</t>
  </si>
  <si>
    <t xml:space="preserve">Si
$275,962.50
</t>
  </si>
  <si>
    <t>Formalizado C y FC 19/04/2021</t>
  </si>
  <si>
    <t>PAOC570218HD9</t>
  </si>
  <si>
    <t>CD/DGRMSG/062/03/21</t>
  </si>
  <si>
    <t>Cesión de los derechos patrimoniales de autor que ostenta, particularmente los audiovisuales, así como la producción  sobre la obra audiovisual denominada "MÉXICO SAGRADO".</t>
  </si>
  <si>
    <t>Si
$255,000</t>
  </si>
  <si>
    <t>SERV/DGRMSG/063/03/21</t>
  </si>
  <si>
    <t>Gabriel</t>
  </si>
  <si>
    <t>Mora</t>
  </si>
  <si>
    <t>Servicios de Produccion de 12 nuevos programas para la serie "Web 3.0"</t>
  </si>
  <si>
    <t>Cumple 20/04/21</t>
  </si>
  <si>
    <t>Si
$75,600</t>
  </si>
  <si>
    <t>VEMG780623Q53</t>
  </si>
  <si>
    <t>SERV/DGRMSG/064/03/21   SERV/DGRMSG/064-I/03/21</t>
  </si>
  <si>
    <t>Servicios de producción de 13 nuevos programas para la serie "LEGISLADORES DEL MÉXICO CONTEMPORÁNEO"</t>
  </si>
  <si>
    <t>Si $195,000</t>
  </si>
  <si>
    <t>11/10/21 Solicitan sustitución del anexo por cambios (en Legisladores) por medio de oficio DAP/LXV/1125/21</t>
  </si>
  <si>
    <t>Sustitución de anexo</t>
  </si>
  <si>
    <t>Formalizado C y FC 11/05
Modificatorio   19/10/21</t>
  </si>
  <si>
    <t>29/03/2021
11/10/2021</t>
  </si>
  <si>
    <t>31/03/2021
13/10/2021</t>
  </si>
  <si>
    <t>19/04/2021
15/10/2021</t>
  </si>
  <si>
    <t>19/04/2021
14/10/2021</t>
  </si>
  <si>
    <t xml:space="preserve">ADQ/DGRMSG/065/04/21
ADQ/DGRMSG/065-I/04/21
</t>
  </si>
  <si>
    <t>SEN/DGRMSG/INV022/2021</t>
  </si>
  <si>
    <t>Adquisición de material de grabación y reproducción para el Canal del Congreso (Partida 1)</t>
  </si>
  <si>
    <t>Si
$109,160.40</t>
  </si>
  <si>
    <t>ADQ/DGRMSG/065-I/04/21</t>
  </si>
  <si>
    <t>Solicita prórroga de 12 días para la entrega de los bienes
Quedando a más tardar el 12/05/21 y  el 15/07/21</t>
  </si>
  <si>
    <t xml:space="preserve">Formalizado C y FC 21/04/2021
Formalizado Modif 14/05
</t>
  </si>
  <si>
    <t>21-110091COM00024</t>
  </si>
  <si>
    <t>14/04/2021
12/05/2021</t>
  </si>
  <si>
    <t>SERV/DGRMSG/066/04/21</t>
  </si>
  <si>
    <t>Crece y Actúa, S.A. de C.V.</t>
  </si>
  <si>
    <t>Servicios de producción de la serie denominada "Frontera Sur"</t>
  </si>
  <si>
    <t>Si $150,000</t>
  </si>
  <si>
    <t>Formalizado C y FC  26/04/2021</t>
  </si>
  <si>
    <t>CAA180427GY1</t>
  </si>
  <si>
    <t>SERV/DGRMSG/067/04/21</t>
  </si>
  <si>
    <t>Servicios de producción de la serie denominada "Cámara Alta"</t>
  </si>
  <si>
    <t>Si
$684,000</t>
  </si>
  <si>
    <t>SERV/DGRMSG/067-I/04/21</t>
  </si>
  <si>
    <t>Solicitan incremento del monto total correspondiente a la cantidad de $1,140,000 más iva  (25%)</t>
  </si>
  <si>
    <t>Formalizado C y FC 21/04/2021
Modificatorio Formalizado con endoso de FC 19/08</t>
  </si>
  <si>
    <t>Firmo proveedor 1er modificatorio 09/08/21 se envia a administrador</t>
  </si>
  <si>
    <t>14/04/2021
11/08/21</t>
  </si>
  <si>
    <t>14/04/2021
09/08/21</t>
  </si>
  <si>
    <t>SERV/DGRMSG/068/04/21</t>
  </si>
  <si>
    <t>SEN/DGRMSG/INV019/2021</t>
  </si>
  <si>
    <t>Gas Licuado de México, S.A. de C.V.</t>
  </si>
  <si>
    <t>Servicio de suministro de gas L.P. licuado para la recarga de dos tanques de almacenamiento estacionario de 5,000 litros cada uno instalados en la Cámara de Senadores en Reforma 135, que incluye soporte técnico de emergencias</t>
  </si>
  <si>
    <t>14/05/2021
20/08/21</t>
  </si>
  <si>
    <t>Solicita incremento del 25% en monto y ampliación de vigencia al 28/02/22</t>
  </si>
  <si>
    <t>FormalizadoC, FC y PRC en tesorería 17/05/2021</t>
  </si>
  <si>
    <t>GLM4608019P3</t>
  </si>
  <si>
    <t>SERV/DGRMSG/069/04/21</t>
  </si>
  <si>
    <t>LXIV/CCS/034/2021</t>
  </si>
  <si>
    <t>Art 21 
XIII</t>
  </si>
  <si>
    <t>C.T.C. DE MÉXICO, S.A. DE C.V.</t>
  </si>
  <si>
    <t>Fianza C 15%
Resp Civ 2%</t>
  </si>
  <si>
    <t>FC $174,393.30
PRC $23,254.44</t>
  </si>
  <si>
    <t>No hay en carpeta</t>
  </si>
  <si>
    <t>Formalizado C, FC y PRC 07/05</t>
  </si>
  <si>
    <t xml:space="preserve">SERV/DGRMSG/070/04/21
</t>
  </si>
  <si>
    <t>SGSA/LXIV/0369/21</t>
  </si>
  <si>
    <t>Secretaría Técnica del Grupo Parlamentario de MORENA.</t>
  </si>
  <si>
    <t>Servicio de impresión de 3,000 ejemplares de la obra denominada "Las grandes Reformas para el cambio de régimen. A dos años de trabajados legislativos". Autor: Ricardo Monrreal Ávila.</t>
  </si>
  <si>
    <t>Formalizado 22/04
Corregido 15/06/21</t>
  </si>
  <si>
    <t>DLM8904077E9</t>
  </si>
  <si>
    <t>21-104091ADP00016</t>
  </si>
  <si>
    <t>C. 16/04/2021
Corregido 8/06/2021</t>
  </si>
  <si>
    <t>ADQ/DGRMSG/071-II/04/21</t>
  </si>
  <si>
    <t>SEN/DGRMSG/INV023/2021</t>
  </si>
  <si>
    <t>Suministro de material eléctrico , hidrosanitario y de tablaroca para los inmuebles de Madrid y Centro histórico 2021, partidas: 1,2,3,4,5,6 y 7.</t>
  </si>
  <si>
    <t xml:space="preserve">31/12/2021
</t>
  </si>
  <si>
    <t>Si $124,000</t>
  </si>
  <si>
    <t>Solicitan ampliación del 25% del monto de la partida 2, que equivale a $25,000 más iva
16/11 Solicitan incremento del 25% del monto de las partidas: 1,3,4,5,6 y 7, se solicita suficiencia a DSA
24/11/21 se solicita modificatorio a DGAJ</t>
  </si>
  <si>
    <t>Incremento del 25% para la partida 2 por $25,000 más iva
Incremento del 25% para las partidas 1,3,4,5,6 y 7 $ 182,500 mas iva</t>
  </si>
  <si>
    <t xml:space="preserve">31/08/2021
25/11/2021
</t>
  </si>
  <si>
    <t>24601
24301
24401
24701
24901
29201</t>
  </si>
  <si>
    <t>Formalizado C Y FC 13/05
Modif y endoso 13/09
II modificatorio formalizado y endoso en tesorería 10/12/21</t>
  </si>
  <si>
    <t>21-102091COM00090</t>
  </si>
  <si>
    <t>20/04/2021
26/11/2021</t>
  </si>
  <si>
    <t>27/04/2021
07/09/21
30/11/21</t>
  </si>
  <si>
    <t>23/04/2021
I.Modif 03/09/21
II Modif 29/11/21</t>
  </si>
  <si>
    <t>ADQ/DGRMSG/072/04/21</t>
  </si>
  <si>
    <t>SEN/DGRMSG/L026/2021</t>
  </si>
  <si>
    <t>Corporativo Giormar de México, S.A. de C.V.</t>
  </si>
  <si>
    <t>Adquisición de medicamentos, material de curación, material dental, material de RX, reactivos de laboratorio y Cad Cam odontológico para los servicios médicos. Partida 10 y 12</t>
  </si>
  <si>
    <t>Si $78,000</t>
  </si>
  <si>
    <t>Formalizado  C y FC 07/05</t>
  </si>
  <si>
    <t>CGM071011QB3</t>
  </si>
  <si>
    <t>ADQ/DGRMSG/073/04/21</t>
  </si>
  <si>
    <t>Medisalud MLR,  S. de R.L. de C.V.</t>
  </si>
  <si>
    <t>Adquisición de medicamentos, material de curación, material dental, material de RX, reactivos de laboratorio y Cad Cam odontológico para los servicios médicos. Partida 1</t>
  </si>
  <si>
    <t>Si $120,000</t>
  </si>
  <si>
    <t>Formalizado C y FC  04/05</t>
  </si>
  <si>
    <t>MML171003SV9</t>
  </si>
  <si>
    <t>ADQ/DGRMSG/074/04/21</t>
  </si>
  <si>
    <t>Adquisición de medicamentos, material de curación, material dental, material de RX, reactivos de laboratorio y Cad Cam odontológico para los servicios médicos. Partida 8</t>
  </si>
  <si>
    <t>Si $ 73,500</t>
  </si>
  <si>
    <t>Formalizado C y FC 13/05</t>
  </si>
  <si>
    <t>SERV/DGRMSG/077/05/21</t>
  </si>
  <si>
    <t>4a. Sesión Ordinaria Comité 30 abril 2021</t>
  </si>
  <si>
    <t>Imaginación y Mass, S. de RL. De C.V.</t>
  </si>
  <si>
    <t>Servicios de Producción de la Serie "Vivas, libres y sin miedo"</t>
  </si>
  <si>
    <t>Si $167,700</t>
  </si>
  <si>
    <t>Formalizado C y FC 31/05/21</t>
  </si>
  <si>
    <t>IMAI120507P85</t>
  </si>
  <si>
    <t>SERV/DGRMSG/078/05/21</t>
  </si>
  <si>
    <t>Oscar Ricardo</t>
  </si>
  <si>
    <t>Servicios de Producción de la Serie "En un Click… EL Medio Ambiente en un Instante"</t>
  </si>
  <si>
    <t>Si $157,500</t>
  </si>
  <si>
    <t>Formalizado C y FC 21/05</t>
  </si>
  <si>
    <t>LOGO620514BF5</t>
  </si>
  <si>
    <t xml:space="preserve">
SERV/DGRMSG/079-I/05/21</t>
  </si>
  <si>
    <t>Briseño</t>
  </si>
  <si>
    <t>Servicios de Producción de la Serie "¡No disparen, Soy Monero!"</t>
  </si>
  <si>
    <t>Si $ 187,200</t>
  </si>
  <si>
    <t>SERV/DGRMSG/079-I/05/21</t>
  </si>
  <si>
    <t>(sustituir propuesta técnica)</t>
  </si>
  <si>
    <t>Formalizado C y FC 20/05
Formalizado Modif 13/07/21</t>
  </si>
  <si>
    <t>BIRC480912AG3</t>
  </si>
  <si>
    <t>07/05/21
12/07/21</t>
  </si>
  <si>
    <t>07/05/2021
08/07/21</t>
  </si>
  <si>
    <t>SERV/DGRMSG/080/05/21</t>
  </si>
  <si>
    <t xml:space="preserve">Jorge </t>
  </si>
  <si>
    <t>Occelli</t>
  </si>
  <si>
    <t>Servicios de Producción de la Serie "Consonantes y Más"</t>
  </si>
  <si>
    <t>Si $ 139,500</t>
  </si>
  <si>
    <t>OECJ7302038R6</t>
  </si>
  <si>
    <t>ADQ/DGRMSG/082/05/21</t>
  </si>
  <si>
    <t>3a. Sesión Extraordinaria del Comité 07 mayo 2021</t>
  </si>
  <si>
    <t>Adquisición de 500,000 mascarillas KN95 para el suministro a Senadoras, Senadores y a todo el personal que labora en las instalaciones de los inmuebles de la Cámara de Senadores.</t>
  </si>
  <si>
    <t>Formalizado C y24/05/21</t>
  </si>
  <si>
    <t>MIC100415435</t>
  </si>
  <si>
    <t>ADQ/DGRMSG/083/05/21</t>
  </si>
  <si>
    <t>Licitación Pública
SEN/DGRMSG/L024/2021</t>
  </si>
  <si>
    <t>Adquisición de papelería impresa oficial y administrativa" (Partida 1, tercer lugar)</t>
  </si>
  <si>
    <t>FC $69,934</t>
  </si>
  <si>
    <t>Solicita incremento del 25% equivalente a $116,556.67 más iva , se le envia correo solicitando funde y motive las razones y enviar documento parte del anexo en la cual consta la ampliación 22/07/21
Se sustituye Adm del contrato Ahedo por la Lic. Cristal Pelayo Rgz</t>
  </si>
  <si>
    <t>Incremento del 25%</t>
  </si>
  <si>
    <t>Formalizado C y FC 28/05/21
Modif formalizado en tesorería y endoso 09/09/21</t>
  </si>
  <si>
    <t>MASC720702QY8</t>
  </si>
  <si>
    <t>12/05/2021
M 26/08</t>
  </si>
  <si>
    <t>18/05/2021
M. 07/09/21</t>
  </si>
  <si>
    <t>18/05/2021
M. 01/09/21</t>
  </si>
  <si>
    <t>ADQ/DGRMSG/084/05/21</t>
  </si>
  <si>
    <t>Art. 21 XXIII</t>
  </si>
  <si>
    <t>Adquisición de bolsas Purifog generación de niebla c/4000 ml capacidad de cobertura 12,000 m3 líquido sanitizante Purifog.</t>
  </si>
  <si>
    <t>Formalizado C, 25/05/21</t>
  </si>
  <si>
    <t>MDI1004166B7</t>
  </si>
  <si>
    <t>SERV/DGRMSG/087/06/21</t>
  </si>
  <si>
    <t>T/DGPS/233/21</t>
  </si>
  <si>
    <t>Art. 21 XX</t>
  </si>
  <si>
    <t>Servicio de suministro de boletos de avión para la reservación, entrega y/o radicación de boletos de transportación aérea para viajes de trabajo y comisiones de los C.C. Senadores y personal de la Cámara de Senadores</t>
  </si>
  <si>
    <t>37104
37106</t>
  </si>
  <si>
    <t>Formalizado en tesoreria 01/09/21</t>
  </si>
  <si>
    <t>SERV/DGRMSG/088/06/21</t>
  </si>
  <si>
    <t>Servicio de reservación, expedición, cancelaciones y entrega de boletos para transportación  aérea para viajes de trabajo y comisiones de los las y los Legisladores y Personal de la Cámara de Senadores.</t>
  </si>
  <si>
    <t>Formalizado en tesorería 14/06/21</t>
  </si>
  <si>
    <t>SERV/DGRMSG/089/06/21</t>
  </si>
  <si>
    <t>Formalizado en tesorería 9/6</t>
  </si>
  <si>
    <t>VHE860804S78</t>
  </si>
  <si>
    <t>SERV/DGRMSG/090/06/21</t>
  </si>
  <si>
    <t>G-TRAVEL EXPRESS, S.A. DE C.V.</t>
  </si>
  <si>
    <t>GEX1201104W6</t>
  </si>
  <si>
    <t>SERV/DGRMSG/091/06/21</t>
  </si>
  <si>
    <t>SEN/DGRMSG/L027/2021</t>
  </si>
  <si>
    <t>Art. 45</t>
  </si>
  <si>
    <t>Kertec Corporation, S.A. de C.V.</t>
  </si>
  <si>
    <t>FC 15%
PRC 15%</t>
  </si>
  <si>
    <t>35301
29401</t>
  </si>
  <si>
    <t>Formalizado en tesorería 28/6</t>
  </si>
  <si>
    <t>KCO180322Q21</t>
  </si>
  <si>
    <t>ADQ/DGRMSG/093/06/21</t>
  </si>
  <si>
    <t>SEN/DGRMSG/INV028/2021</t>
  </si>
  <si>
    <t>Art. 67</t>
  </si>
  <si>
    <t>Adquisición de equipamiento especializado de videoconferencia marca Cisco para sesiones a distancia"</t>
  </si>
  <si>
    <t>22/06/2021
06/07/21</t>
  </si>
  <si>
    <t>51501
29401
35301</t>
  </si>
  <si>
    <t>JUNIO</t>
  </si>
  <si>
    <t>Formalizado en tesorería 07/07/21</t>
  </si>
  <si>
    <t>UNE0908244L6</t>
  </si>
  <si>
    <t>SERV/DGRMSG/094/06/21</t>
  </si>
  <si>
    <t>SEN/DGRMSG/L028/2021</t>
  </si>
  <si>
    <t>Comercializadora de Medios Escritos, S.A. de C.V.</t>
  </si>
  <si>
    <t>Contratación del servicio de abastecimiento y distribución de periódicos y revistas del 1 de junio al 31 de diciembre de 2021</t>
  </si>
  <si>
    <t>FC 15%
PRC 25%</t>
  </si>
  <si>
    <t>Formalizado en tesorería 28/06/21</t>
  </si>
  <si>
    <t>CME061103A95</t>
  </si>
  <si>
    <t>SERV/DGRMSG/096/06/21</t>
  </si>
  <si>
    <t>SEN/DGRMSG/INV024/2021</t>
  </si>
  <si>
    <t>Vilo Arquitectos, S. de R.L. de C.V.</t>
  </si>
  <si>
    <t>Adecuación de la bóveda de Contraloría Interna, ubicada en la planta baja del inmueble de Madrid No. 62, consistente en el suministro y adecuación  de cancelería y herrería, así como la adecuación de oficinas en la Subdirección de almacenes e Inventarios ubicada en la planta alta del inmueble de Madrid No. 37, consistente en el suministro e instalación  de mobiliario, persianas, cancelería de acuerdo con las partidas que se detallan en el Anexo técnico, de la invitación citada  en la declaración I3 que antecede. Partida 1 y 2</t>
  </si>
  <si>
    <t>FC 15%
PRC 10%</t>
  </si>
  <si>
    <t>35101
51101</t>
  </si>
  <si>
    <t>JULIO</t>
  </si>
  <si>
    <t>Formalizado en tesorería 27/07/21</t>
  </si>
  <si>
    <t>VAR180627DJ6</t>
  </si>
  <si>
    <t>ADQ/DGRMSG/098/06/21</t>
  </si>
  <si>
    <t>LXIV/SGSA/DGIT/0341/21
Inv. Desierta
SEN/DGRMSG/INV027/2021</t>
  </si>
  <si>
    <t>21  XIV</t>
  </si>
  <si>
    <t>Amarello Tecnologías de Información, S.A. de C.V</t>
  </si>
  <si>
    <t>Licenciamiento e Infraestructura en Nube de Elasticsearch sobre Google Cloud Plataform</t>
  </si>
  <si>
    <t>Formalizado en tesoreria y FC 08/07/21</t>
  </si>
  <si>
    <t>ATI110906IG6</t>
  </si>
  <si>
    <t>SERV/DGRMSG/100/07/21</t>
  </si>
  <si>
    <t>SEN/DGRMSG/INV026/2021</t>
  </si>
  <si>
    <t>Servicio de adecuaciones en módulo de regaderas y vestidores en edificio de Reforma 135 Sótano No. 2</t>
  </si>
  <si>
    <t>FC 15%
PRC 10%
V.O. 10%</t>
  </si>
  <si>
    <t>35101
51901
51101
24101
24501
24601
24701
24801</t>
  </si>
  <si>
    <t>Formalizado en tesorería 26/07/21</t>
  </si>
  <si>
    <t>CIN131219D62</t>
  </si>
  <si>
    <t>SERV/DGRMSG/101/07/21</t>
  </si>
  <si>
    <t>SGSA/LXIV/0841/21</t>
  </si>
  <si>
    <t>Coordinación Técnica de la Secretaría General de Servicios Administrativos</t>
  </si>
  <si>
    <t>Impresión de 3,000 ejemplares de la obra "Inversión y Comercio para la región América del Norte: Los beneficios del T-MEC". Autor: Ricardo Monreal Ávila</t>
  </si>
  <si>
    <t>ADQ/DGRMSG/103/07/21</t>
  </si>
  <si>
    <t>5ta. Sesión Extraordinaria  Comité 14 de julio</t>
  </si>
  <si>
    <t>Adquisición de pruebas de antígeno para la detección de COVID-19 FIA SARS COV-2, pruebas de antígeno de COVID 19 y pruebas rápidas COVID 19 IgG/IgM</t>
  </si>
  <si>
    <t>Formalizado en Tesoreria 26/07/21</t>
  </si>
  <si>
    <t>ADQ/DGRMSG/104-I/07/21</t>
  </si>
  <si>
    <t>SEN/DGRMSG/L031/2021</t>
  </si>
  <si>
    <t>Suministro de Material Recurrente para el edificio de Reforma No. 135 (Partidas 1,3,5,6,7,8,10,14,16,19,20,22,23,24,25,27,29 y 30).</t>
  </si>
  <si>
    <t>31/12/2021
31/01/2022</t>
  </si>
  <si>
    <t>20/12 ADM SOLICITA INCREMENTO DE $473,550 Y AMPLIACIÓN DE VIGENCIA AL 31/01/2022
22/12 SE SOLICITA MODIFICATORIO A DGAJ</t>
  </si>
  <si>
    <t>Solicita incremento de $473,550 más iva y ampliación de vigencia al 31/01/22</t>
  </si>
  <si>
    <t>AGOSTO</t>
  </si>
  <si>
    <t>Formalizado contrato y FC en tesoreria 13/08/21
Formalizado Convenio Modificatorio 28/01/22</t>
  </si>
  <si>
    <t>20/07/2021
28/12/2021</t>
  </si>
  <si>
    <t>05/08/2021
10/01/2022</t>
  </si>
  <si>
    <t>26/07/2021
03/01/2022</t>
  </si>
  <si>
    <t>ADQ/DGRMSG/105-I/07/21</t>
  </si>
  <si>
    <t>Roberto Carlos</t>
  </si>
  <si>
    <t>Blanco</t>
  </si>
  <si>
    <t>Senties</t>
  </si>
  <si>
    <t>Suministro de Material Recurrente para el edificio de Reforma No. 135 (Partidas 4,11,12,15,17,18 y 26).</t>
  </si>
  <si>
    <t>17/12 solicita administrador incremento del 25% y ampliación de vigencia al 31/01/22.
20/12 se envía oficio al administrador para que se pronuncie sobre el monto especificamente
27/12 se solicita a la DGAJ 1ER MODIFICATORIO</t>
  </si>
  <si>
    <t>solicita administrador incremento del 25% y ampliación de vigencia al 31/01/22.</t>
  </si>
  <si>
    <t>Formalizado en tesoreria Contrato y FC 06/08/21
1ER MODIF. FORMALLIZADO CON ENDOSO DE FC EN TESORERÍA 19/01/22</t>
  </si>
  <si>
    <t>05/08/2021
18/01/2022</t>
  </si>
  <si>
    <t>22/07/2021
04/01/2022</t>
  </si>
  <si>
    <t>ADQ/DGRMSG/106-I/07/21</t>
  </si>
  <si>
    <t>Brenda</t>
  </si>
  <si>
    <t>Aranda</t>
  </si>
  <si>
    <t>Suministro de Material Recurrente para el edificio de Reforma No. 135 (Partidas 9,13,21 y 28).</t>
  </si>
  <si>
    <t>solicita administrador incremento del 25%   y ampliación de vigencia al 31/01/22.</t>
  </si>
  <si>
    <t>Formalizado en tesorería 28/07/21
1er Modifi y endoso de FC 13/01/22</t>
  </si>
  <si>
    <t>ROAB880511EQ0</t>
  </si>
  <si>
    <t>20/07/2021
04/01/2022</t>
  </si>
  <si>
    <t>27/07/2021
07/01/2022</t>
  </si>
  <si>
    <t>ADQ/DGRMSG/107/07/21</t>
  </si>
  <si>
    <t>Juan Antonio</t>
  </si>
  <si>
    <t>Cruz</t>
  </si>
  <si>
    <t>Adquisición de 150 agendas de bolsillo, 150 porta credenciales, 150 carpetas y 150 maletines porta laptop en piel genuina de bovino, insumos que serán entregados a los Senadores en apoyo al trabajo legislativo</t>
  </si>
  <si>
    <t>SERV/DGRMSG/108/07/21</t>
  </si>
  <si>
    <t>SGSA/LXIV/0922/21</t>
  </si>
  <si>
    <t>Art. 21 XXII.</t>
  </si>
  <si>
    <t>Impresión de 3,000 ejemplares de la obra "Las Grandes Reformas para el cambio de régimen. Tres años de trabajo legislativo. Volúmen II". Autor: Ricardo Monteal Ávila</t>
  </si>
  <si>
    <t>Formalizado en Tesoreria 27/07/21</t>
  </si>
  <si>
    <t>OP/DGRMSG/109/07/21</t>
  </si>
  <si>
    <t>Obra</t>
  </si>
  <si>
    <t>Restauración y conservación consistente en la intervención de limpieza de cantera en fachada, consolidación y tratamiento de cantera, reintegración de piezas de cantera, limpieza de azulejo y tratamiento de juntas, tratamiento de metales, colocación de duelas de madera, limpieza y pulido de letras de bronce, tratamiento de la bóveda escarzana del inmueble ubicado en la calle Xicoténcatl No. 9.</t>
  </si>
  <si>
    <t>FC 15%
PRC 10%
V.O. 10%
Anticipo 100%</t>
  </si>
  <si>
    <t>Anticipo del 25%  del monto total, previa presentación de fianza $2,099,998.05 iva incluido</t>
  </si>
  <si>
    <t>Formalizado contrato y f anticipo en tesoreria 13/08/21</t>
  </si>
  <si>
    <t>MEG850104II4</t>
  </si>
  <si>
    <t>OP/DGRMSG/110/07/21</t>
  </si>
  <si>
    <t>Sackbé, S.A. de C.V.</t>
  </si>
  <si>
    <t>Conservación y restauración de murales de Xicoténcatl 9, así como la restauración y conservación, consistente en la intervención de cantera y de azulejo en fachada, reintegración de piezas de cantera, piso y escaleras de patio interior, y tratamiento de metales del inmueble ubicado en la calle de Allende 23.</t>
  </si>
  <si>
    <t>Anticipo del 25%  del monto total, previa presentación de fianza $1,073,978.41 iva incluido</t>
  </si>
  <si>
    <t>27/10 solicita administrador ampliación de vigencia al 22/11/21</t>
  </si>
  <si>
    <t>Ampliación de vigencia al 22 de noviembre de 2021</t>
  </si>
  <si>
    <t>Formalizado Contrato y Fianza de Anticipo 05/08/21
FC y PRC 17/08
1er Modif con endoso de FC y PRC en tesorería 19/11</t>
  </si>
  <si>
    <t>SAC920610S38</t>
  </si>
  <si>
    <t>05/08/2021
09/11/21</t>
  </si>
  <si>
    <t>29/07/2021
05/11/2021</t>
  </si>
  <si>
    <t>SERV/DGRMSG/112/08/21</t>
  </si>
  <si>
    <t>7a. Sesión Extraordinaria Comité 27 de julio</t>
  </si>
  <si>
    <t>Art, 21 XVI</t>
  </si>
  <si>
    <t>Cristales, Aluminios y Herrajes de Iguala, S.A. de C.V.</t>
  </si>
  <si>
    <t>Servicio de sustitución de selladores y viniles en cristales de la fachada sur de la Torre de Comisiones de la Sede del Senado de la República de la Avenida de la Reforma 135.</t>
  </si>
  <si>
    <t xml:space="preserve">FC 15%
PRC 10%
V.O. 10%
</t>
  </si>
  <si>
    <t>Formalizado en tesoreria 20/08</t>
  </si>
  <si>
    <t>CAH121212DT6</t>
  </si>
  <si>
    <t>OP/DGRMSG/113-I/08/21</t>
  </si>
  <si>
    <t>Acuerdo de la JUCOPO 26 de abril 2021</t>
  </si>
  <si>
    <t>Art, 21 XXII</t>
  </si>
  <si>
    <t>Subdirección de Mantenimiento</t>
  </si>
  <si>
    <t>Restauración integral del "Teatro de la República" ubicado en el Centro de Querétaro, en Calle Benito Juárez, esquina Ángela Peralta, Centro Histórico, Santiago de Querétaro, C.P. 76008, conforme al catálogo de actividades de Obra Pública</t>
  </si>
  <si>
    <t>FC 15%
PRC 15%
V.O. 10%
Anticipo 100%</t>
  </si>
  <si>
    <t>Anticipo del 25% del monto total, previa presentación de fianza $12,993,946.10 iva incluido</t>
  </si>
  <si>
    <t>17/11 El administrador solicita ampliación de vigencia y liberación de $6,596,852.95, de trabajos que no se llevarán acabo y que se consideren para el ejercicio 2022, se realiza oficio solicitando a DSA verifique suficiencia presupuestal y si procede</t>
  </si>
  <si>
    <t>Solicitud de ampliación de vigencia al 31/01/22 y liberación de $6,596,852.95 más iva de trabajos que no se llevarán acabo y que se consideren para el ejercicio 2022</t>
  </si>
  <si>
    <t>Formalizado en tesoreria con F.A. 19/08
Modificatorio, Endoso de FC y PRC 27/12/21</t>
  </si>
  <si>
    <t>VIN0506162Y0</t>
  </si>
  <si>
    <t>11/08/2021
01/12/2021</t>
  </si>
  <si>
    <t>13/08/2021
08/12/2021</t>
  </si>
  <si>
    <t>11/08/2021
03/12/2021</t>
  </si>
  <si>
    <t>SERV/DGRMSG/114/08/21</t>
  </si>
  <si>
    <t>SEN/DGRMSG/L032/2021</t>
  </si>
  <si>
    <t>Servicio de mantenimiento mayor del sistema de bombeo, así como la actualización de la red de protección contra incendio del inmueble de Reforma N°. 135 de la Cámara de Senadores. (Partidas 1, 2, 3, 4, y 5)</t>
  </si>
  <si>
    <t>FC 15%
PRC 15%.
V.O. 10%</t>
  </si>
  <si>
    <t>Formalizado contrato, PRC y FC en tesorería 22/09/21</t>
  </si>
  <si>
    <t>DCM060704I30</t>
  </si>
  <si>
    <t>SERV/DGRMSG/115-II/08/21</t>
  </si>
  <si>
    <t>8va Sesión Extraordinaria del Comité 12 agosto</t>
  </si>
  <si>
    <t>Art. 21-XVII y XXIII</t>
  </si>
  <si>
    <t xml:space="preserve">Dirección de Control Patrimonial </t>
  </si>
  <si>
    <t>Servicios profesionales de un Director Responsable de Obra (DRO), de un Corresponsable en Seguridad Estructura (CSE), y  de un Corresponsable de Instalaciones (CI), (Ingeniero Arquitecto o Ingeniero Civil con autorización y registro otorgado por la Secretaría de Desarrollo Urbano y Vivienda),para la revisión general del inmueble y sus instalaciones de Allende 23 y Reforma 135, para que éstos cumplan con el Reglamento de Construcciones para el Distrito Federal, y emita el Dictamen respectivo, su responsiva para la Constancia de Seguridad Estructural y para el Aviso de Visto Bueno de Seguridad y Operación y su registro ante la autoridad competente (Alcaldía Cuauhtémoc)</t>
  </si>
  <si>
    <t>13/10/21 la DGRMSG autorizó la modificación por prorroga de 15 días naturales debido a los atrasos
29/10/21  Solicitan ampliación al 31 de diciembre de 2021</t>
  </si>
  <si>
    <t>I.-Ampliación de vigencia al 29 de octubre de 2021  
II.-Solicitan ampliación al 31 de diciembre de 2021</t>
  </si>
  <si>
    <t>14/10/2021
29/10/2021</t>
  </si>
  <si>
    <t>Formalizado contrato y FC en tesorería 02/09
2do Modif con endoso de FC en tesorería 19/11  
22/11 SE FORMALIZA EN TESORERÍA  ENDOSO DE LA FC DEL 1ER Y 2DO MODIFICATORIO</t>
  </si>
  <si>
    <t>24/08/2021
11/11/2021</t>
  </si>
  <si>
    <t>19/08/2021
10/11/2021</t>
  </si>
  <si>
    <t>SERV/DGRMSG/116/08/21</t>
  </si>
  <si>
    <t>LXIV/CECAFP/340/2021
Autorizado por M.D</t>
  </si>
  <si>
    <t>Art. 21 XI</t>
  </si>
  <si>
    <t>Proporcionar la enseñanza del idioma ingles a estudiantes de nivel licenciatura y posgrado, incorporando un lenguaje parlamentario-legislativo-normativo</t>
  </si>
  <si>
    <t>Formalizado Contrato y FC en tesorería 20/09</t>
  </si>
  <si>
    <t>SERV/DGRMSG/117/08/21</t>
  </si>
  <si>
    <t>SGSA/LXIV/1038/21</t>
  </si>
  <si>
    <t>Centro de Estudios para un Proyecto Nacional Alternativo, S.C</t>
  </si>
  <si>
    <t>Dirección General de Recursos Materiales y Servicios Generales</t>
  </si>
  <si>
    <t>Servicio de asesoría, estudios e investigaciones sobre iniciativas, proyectos de decreto, dictámenes, minutas, así como en general, consultoría en materia parlamentaria y legislativa que coadyuven al mejor conocimiento de las materias que abordan los y las legisladores que integran la Cámara de Senadores y faciliten la construcción de acuerdos entre los diferentes grupos parlamentarios</t>
  </si>
  <si>
    <t>Formalizado en tesorería con FC 22/09/21</t>
  </si>
  <si>
    <t>7/09 me paso datos de este contrato Julio</t>
  </si>
  <si>
    <t>SERV/DGRMSG/118/08/21</t>
  </si>
  <si>
    <t>SEN/DGRMSG/L037/2021</t>
  </si>
  <si>
    <t>Suministro, instalación y puesta en servicio de equipos UPS (Unidad de Respaldo de Energía), plantas de emergencia y sistema de bombeo para el manejo de aguas residuales y potable, en inmuebles del Senado de la República, correspondiente a la partida 1 de la Licitación referida en el inciso 1.3 de las declaraciones</t>
  </si>
  <si>
    <t>FC 15%
PRC 15%
FVO 10%</t>
  </si>
  <si>
    <t>Formalizado en tesorería 10/09/21</t>
  </si>
  <si>
    <t>DPE990630Q13</t>
  </si>
  <si>
    <t>SERV/DGRMSG/119/08/21</t>
  </si>
  <si>
    <t>SGSA/LXIV/1094/21 18/08 ctsgsa
JUCOPO 05/08/21</t>
  </si>
  <si>
    <t>Nuevo Horizonte Editores, S.A. de C.V.</t>
  </si>
  <si>
    <t>Impresión de 500 ejemplares del "Directorio del Congreso Mexicano, LXV Legislatura 2021-2024"</t>
  </si>
  <si>
    <t>Formalizado contrato en tesoreria 02/09/21</t>
  </si>
  <si>
    <t>ADQ/DGRMSG/120/08/21</t>
  </si>
  <si>
    <t>SEN/DGRMSG/L041/2021</t>
  </si>
  <si>
    <t xml:space="preserve">Suministro e instalación de cañones de halógeno  a través de la adquisición  de cañones de led y de una consola de iluminación para su operación dentro del salón de sesiones del inmueble de Xicoténcatl No. 9 </t>
  </si>
  <si>
    <t>Formalizado contrato, FC y PRC 26/10/21
Formaliza V.O. 07/12/21</t>
  </si>
  <si>
    <t>SERV/DGRMSG/121/09/21</t>
  </si>
  <si>
    <t>8va Sesión Ordinaria del Comité 27 agosto</t>
  </si>
  <si>
    <t>Servicios de Producción de la serie "Cámara Alta"</t>
  </si>
  <si>
    <t>Formalizado contrato en tesorería 10/09/21</t>
  </si>
  <si>
    <t>SERV/DGRMSG/123/09/21</t>
  </si>
  <si>
    <t>21 XXIII</t>
  </si>
  <si>
    <t>Ultrasist, S.A. de C.V.</t>
  </si>
  <si>
    <t>Servicio de Internet dedicado de fibra óptica 2Gbps para la Coordinación de Comunicación Social</t>
  </si>
  <si>
    <t xml:space="preserve">31/12/2022
</t>
  </si>
  <si>
    <t>25/11/22 Adm solicita incremento del 25% al monto total y ampliación de vigencia
05/12  Adm solicita dejar sin efectos el convenio modificatorio</t>
  </si>
  <si>
    <t>Formalizado contrato, FC y PrC en tesorería 13/10/21</t>
  </si>
  <si>
    <t>ULT940623AG0</t>
  </si>
  <si>
    <t>SERV/DGRMSG/124/09/21</t>
  </si>
  <si>
    <t>SEN/DGRMSG/L042/2021</t>
  </si>
  <si>
    <t>Diseño e Innovación Tecnológica Sustentable, S. de RL. De C.V.</t>
  </si>
  <si>
    <t>Segunda etapa de elaboración y colocación de ventanales en los edificios de Madrid No. 62, Donceles 14, Reforma 135 y aquellos inmuebles propiedad del Senado de la Repúblicas que así lo requieran</t>
  </si>
  <si>
    <t>$3,387,072.63 INCLUYE IVA</t>
  </si>
  <si>
    <t>11/11/21 Solicitan incremento del 25%, se envía oficio a DSA
24/11 se solicita modificatorio a DGAJ</t>
  </si>
  <si>
    <t>Incremento del 25% y ampliación de vigencia al 20/12/21</t>
  </si>
  <si>
    <t>Formalizado contrato y F.Anticipo        13/09
20/09 FC y PRC
1er Modificatorio formalizado con endoso de PRC 20/12</t>
  </si>
  <si>
    <t>DIT161230L68</t>
  </si>
  <si>
    <t>01/09/2021
03/12/2021</t>
  </si>
  <si>
    <t>07/09/2021
08/12/2021</t>
  </si>
  <si>
    <t>02/09/2021
06/12/2021</t>
  </si>
  <si>
    <t>SERV/DGRMSG/126/09/21</t>
  </si>
  <si>
    <t>SGSA/DGRMSG/LXIV/2880/21
SEN/DGRMSG/L040/2021 DESIERTA</t>
  </si>
  <si>
    <t>Art. 21 XIII</t>
  </si>
  <si>
    <t>Sustittución de tuberías y conexiones hidrónicas de elementos de medición (telemetría) del inmueble de Reforma N° 135</t>
  </si>
  <si>
    <t>30/12/21 Solicitan incremento en el monto total
12/01/22 SE ENVIAN MONTOS CORRECTOS A LA DGAJ… AMPLIACIÓN DEL MONTO TOTAL A $11,054,599.50 MÁS IVA</t>
  </si>
  <si>
    <t>Incremento del 25% del monto total y sustitución de anexo  para quedar en $12,124,823.20 más iva</t>
  </si>
  <si>
    <t xml:space="preserve">35101
56601
59701
</t>
  </si>
  <si>
    <t>Formalizado en tesorería, contrato, FC, FA y PRC 28/09/21
1ER Modif y endosos formalizados en tesoreria 27/01/22</t>
  </si>
  <si>
    <t>07/09/2021
31/12/2021</t>
  </si>
  <si>
    <t>13/09/2021
19/01/2022</t>
  </si>
  <si>
    <t>08/09/2021
18/01/2022</t>
  </si>
  <si>
    <t>OP/DGRMSG/128/09/21</t>
  </si>
  <si>
    <t>SEN/DGRMSG/L039/2021</t>
  </si>
  <si>
    <t>Corporación de Servicios Nacionales, S.A. de C.V.</t>
  </si>
  <si>
    <t>Elaborar la adecuación del proyecto integral y la ejecución de los trabajos para el acceso peatonal Louis Pasteur  del edificio Sede del Senado de la República del inmueble ubicado en Av. Paseo de la Reforma No.  135, Col. Tabacalera, Alcaldía Cuauhtémoc</t>
  </si>
  <si>
    <t>FC 15%
PRC 10%
FVO 10%</t>
  </si>
  <si>
    <t>Formalizado contrato, FC y PRC en tesorería 24/09</t>
  </si>
  <si>
    <t>CSN9907012U0</t>
  </si>
  <si>
    <t>SERV/DGRMSG/131/09/21</t>
  </si>
  <si>
    <t>SEN/DGRMSG/INV033/2021</t>
  </si>
  <si>
    <t>Art. 21 XIV</t>
  </si>
  <si>
    <t>Palmersa Solutions, S.A. de C.V.</t>
  </si>
  <si>
    <t>Servicio de desarrollo, diseño e implementación de una aplicación web para la operación del Departamento de Correspondencia, Mensajería y Oficialía de Partes de la Cámara de Senadores</t>
  </si>
  <si>
    <t xml:space="preserve">FC 15%
PRC 10%
</t>
  </si>
  <si>
    <t>Formalizado en tesoreria con FC y PRC 05/10</t>
  </si>
  <si>
    <t>PSO140408AM7</t>
  </si>
  <si>
    <t>SERV/DGRMSG/133/09/21</t>
  </si>
  <si>
    <t>SEN/DGRMSG/INV/031/2021</t>
  </si>
  <si>
    <t>Publi Premier México, S.A. de C.V.</t>
  </si>
  <si>
    <t>Elaboración de un Sistema Informático para realizar la Evaluación Integral para las y los trabajadores del Servicio Civil de Carrera y del Servicio Técnico de Carrera</t>
  </si>
  <si>
    <t>Formalizado en Tesorería, FC Y PRC 12/10/21</t>
  </si>
  <si>
    <t>PPM130314RC6</t>
  </si>
  <si>
    <t>ADQ/DGRMSG/134/09/21</t>
  </si>
  <si>
    <t>SEN/DGRMSG/INV/035/2021</t>
  </si>
  <si>
    <t>Asesores de Negocios SYB, S.A. de C.V.</t>
  </si>
  <si>
    <t>Adquisición de material y equipo para el Departamento de Audio en la Unidad de Eventos</t>
  </si>
  <si>
    <t xml:space="preserve">FC 15%
</t>
  </si>
  <si>
    <t>Formalizado en tesorería y FC 14/10/21</t>
  </si>
  <si>
    <t>ANS121012N58</t>
  </si>
  <si>
    <t>ADQ/DGRMSG/135/09/21</t>
  </si>
  <si>
    <t>SEN/DGRMSG/L043/2021</t>
  </si>
  <si>
    <t>Power Systems Service, S.A. de C.V.</t>
  </si>
  <si>
    <t>Suministro e instalación del sistema de aire acondicionado de precisión para el centro de datos de informática y CCTV, partidas 1 y 2</t>
  </si>
  <si>
    <t>Formalizado en tesorería con fianza de anticipo 05/10
FC y PRC en Tesoreria 27/10/21</t>
  </si>
  <si>
    <t>ADQ/DGRMSG/137/09/21</t>
  </si>
  <si>
    <t>9a Sesión Ordinaria del Comité 24 de septiembre</t>
  </si>
  <si>
    <t>Art. 21 II</t>
  </si>
  <si>
    <t>Adquisición de Solución Antibacterial marca Germstar en presentación de 946 ml, 1008 piezas</t>
  </si>
  <si>
    <t xml:space="preserve">Dispensa </t>
  </si>
  <si>
    <t>Formalizado en tesorería 05/10</t>
  </si>
  <si>
    <t>INT160705BN4</t>
  </si>
  <si>
    <t>ADQ/DGRMSG/139/10/21</t>
  </si>
  <si>
    <t>SEN/DGRMSG/L044/2021</t>
  </si>
  <si>
    <t>Sustituir y suministrar el sistema de bombeo para el manejo de aguas residuales y potable (incluye 1 sistema hidroneumático), en inmuebles del Senado de la República (Xicoténcatl 9, Madrid 62, Donceles 14 y Allende 23) (2da vuelta)</t>
  </si>
  <si>
    <t xml:space="preserve">FC 15%
PRC 15%
V.O. 10%
</t>
  </si>
  <si>
    <t>Formalizado contrato, FC y PRC 03/11/21</t>
  </si>
  <si>
    <t>SERV/DGRMSG/141/10/21</t>
  </si>
  <si>
    <t>SEN/DGRMSG/L047/2021</t>
  </si>
  <si>
    <t>Software Express, S.A. de C.V.</t>
  </si>
  <si>
    <t>Servicio de protección y soporte en seguridad informática a través de la solución de antivirus para equipos de cómputo y entorno virtual VMWARE</t>
  </si>
  <si>
    <t xml:space="preserve">FC 15%
PRC 15%
</t>
  </si>
  <si>
    <t>32701
33304</t>
  </si>
  <si>
    <t>Formalizado en tesorería, Contrato, FC y PRC  04/11/21</t>
  </si>
  <si>
    <t>SEX010917SJ8</t>
  </si>
  <si>
    <t>SERV/DGRMSG/143/10/21</t>
  </si>
  <si>
    <t>10a. Sesión Extraordinaria de Comité 12 de octubre</t>
  </si>
  <si>
    <t>Servicios de producción de nuevos programas para la serie denominada ¡No disparen, Soy Monero!</t>
  </si>
  <si>
    <t>Formalizado en tesorería Contrato y FC 27/10/21</t>
  </si>
  <si>
    <t>BIRC840912AG3</t>
  </si>
  <si>
    <t>ADQ/DGRMSG/144/10/21</t>
  </si>
  <si>
    <t>Art. 21 XVI</t>
  </si>
  <si>
    <t>Provetecnia, S.A. de C.V.</t>
  </si>
  <si>
    <t>Suministro e instalación de refacciones para reparación y mantenimiento mayor a los equipos de seguridad de la Cámara de Senadores</t>
  </si>
  <si>
    <t>V.O. 10%</t>
  </si>
  <si>
    <t>Pend</t>
  </si>
  <si>
    <t>Formalizado en Tesorería 26/10/21
V.O. 09/11/21</t>
  </si>
  <si>
    <t>PRO840815V20</t>
  </si>
  <si>
    <t>ADQ/DGRMSG/146/10/21</t>
  </si>
  <si>
    <t>SEN/DGRMSG/L048/2021</t>
  </si>
  <si>
    <t>Adquisición de equipos de aire acondicionado  tipo VRF, que serán instalados en  Xicoténcatl 9, que incluye la desinstalación de equipos existentes y la instalación del nuevo sistema</t>
  </si>
  <si>
    <t>Formalizado contrato y fianza de anticipo en tesorería 03/11/21
FC y PRC formalizados en tesorería 09/11/21</t>
  </si>
  <si>
    <t>SERV/DGRMSG/148/11/21</t>
  </si>
  <si>
    <t>SEN/DGRMSG/INV039/21</t>
  </si>
  <si>
    <t>Mantenimiento preventivo y correctivo a dos calderas, tanques de agua potable caliente, paneles solares y sustitución de 3 bombas recirculadoras de agua caliente instalados en sótano 4 del cuarto de máquinas de la Torre de Comisiones y en el nivel 7 del Hemiciclo lado sur en la Sede de la Cámara de Senadores</t>
  </si>
  <si>
    <t>Formalizado contrato , FC y PRC en tesorería 30/11</t>
  </si>
  <si>
    <t>SERV/DGRMSG/149/11/21</t>
  </si>
  <si>
    <t>SEN/DGRMSG/INV034/21
Desierta</t>
  </si>
  <si>
    <t>Enforcer Units Fire Pluse México, S.A. de C.V.</t>
  </si>
  <si>
    <t xml:space="preserve">Dirección de Protección Civil </t>
  </si>
  <si>
    <t>Servicio de mantenimiento preventivo y correctivo a los equipos y accesorios que componen el sistema de detección de alarma de incendios instalado en la Sede de la Cámara de Senadores, ubicada en Av. Paseo de la Reforma número 135, Colonia Tabacalera, Alcaldía Cuauhtémoc, Ciudad de México, C.P. 06030</t>
  </si>
  <si>
    <t>Contrato formalizado en tesorería con FC y PRC 24/11</t>
  </si>
  <si>
    <t>EUF110124C4A</t>
  </si>
  <si>
    <t>SERV/DGRMSG/150/11/21</t>
  </si>
  <si>
    <t>SEN/DGRMSG/L054/21</t>
  </si>
  <si>
    <t>Cen Systems, S,A, de C.V.</t>
  </si>
  <si>
    <t>Licenciamiento y soporte a usuarios del uso de software para realizar reuniones de trabajo en línea con Cisco Webex</t>
  </si>
  <si>
    <t>CSY100128PK5</t>
  </si>
  <si>
    <t>SERV/DGRMSG/152/11/21</t>
  </si>
  <si>
    <t>SEN/DGRMSG/L045/21</t>
  </si>
  <si>
    <t>Servicio Integral que contribuya a dar continuidad al desarrollo, operación y digitalización de documentos del Sistema Institucional de Archivos de la Cámara de Senadores</t>
  </si>
  <si>
    <t>FC 15%
PRC 15%
V.O 10%</t>
  </si>
  <si>
    <t>25/11/21 se envío oficio 1229 al Subcontralor de Resp, quejas y denuncias, derivado de que la DGAJ informó que tiene conociiento de 2 inconformidades presentadas antre contraloria.</t>
  </si>
  <si>
    <t xml:space="preserve">Formaización de contraato con FC y PRC en tesorería 08/12
</t>
  </si>
  <si>
    <t>SERV/DGRMSG/153/11/21</t>
  </si>
  <si>
    <t>LXV/SGSA/DGIT/0164/21</t>
  </si>
  <si>
    <t>Optimiti Network, S.A. de C.V.</t>
  </si>
  <si>
    <t>Servicios de Fortalecimiento de los Procesos de Seguridad</t>
  </si>
  <si>
    <t>32701
33303</t>
  </si>
  <si>
    <t xml:space="preserve">Formalizado en tesorería con FC y PRC 09/12/21
</t>
  </si>
  <si>
    <t>ONE110318PH8</t>
  </si>
  <si>
    <t>OP/DGRMSG/154/11/21</t>
  </si>
  <si>
    <t>SEN/DGRMSG/L049/21</t>
  </si>
  <si>
    <t>Adecuación de módulos sanitarios en los niveles 3 al 6 del Hemiciclo en edificio de Reforma 135.</t>
  </si>
  <si>
    <t>FC 15%
PRC 10%
V.O 10%</t>
  </si>
  <si>
    <t>23/12 administrador solicita incremento al monto 3.146534739%  $89,546.60 más iva.
24/12 se solicita modificatorio a la DGAJ</t>
  </si>
  <si>
    <t>Solicita incremento al monto 3.146534739%  $89,546.60 más iva.  $89,546.60 más iva</t>
  </si>
  <si>
    <t>Formalizado contrato, FC y PRC 28/12
1ER Modif y ambos endosos 18/01/22</t>
  </si>
  <si>
    <t>JMC091027213</t>
  </si>
  <si>
    <t>24/11/2021
28/12/2021</t>
  </si>
  <si>
    <t>09/12/2021
06/01/2022</t>
  </si>
  <si>
    <t>29/11/2021
28/12/2021</t>
  </si>
  <si>
    <t>SERV/DGRMSG/155/11/21</t>
  </si>
  <si>
    <t>SEN/DGRMSG/L002/2022</t>
  </si>
  <si>
    <t>Servicio de guarda, custodia, conservación y administración de los expedientes que conforman los juicios de Amparo, Controversias Constitucionales y Acciones de Inconstitucionalidad de la Dirección de Amparos y Controversias Constitucionales de la Dirección General de Asuntos Jurídicos de la Cámara de Senadores</t>
  </si>
  <si>
    <t>AU-07/22
CI 102</t>
  </si>
  <si>
    <t>Formalizado contrato, FC y PRC 15/12</t>
  </si>
  <si>
    <t xml:space="preserve">ADQ/DGRMSG/156-I/11/21
</t>
  </si>
  <si>
    <t>10a. Sesión Ordinaria de Comité 29 de octubre</t>
  </si>
  <si>
    <t>Art. 21 II y XVI</t>
  </si>
  <si>
    <t>Microsoft México, S. de R.L. de C.V.</t>
  </si>
  <si>
    <t>Productos de licenciamiento Microsoft bajo un esquema de suscripción</t>
  </si>
  <si>
    <t>06/12 hizo comentarios proveedor por lo que no firma contrato, se envía a jurídico para saber de su procedencia
08/12  DGAJ solicita se remitan los 3 tantos originales del contrato
15/12 se envía oficio 1718 a DGAJ, con 3 tantos de originales para que realice la modificación pertinente
22/12  Se solicita 1er modificatorio a la DGAJ
$60,775,862.07</t>
  </si>
  <si>
    <t>Solicitan Montos en dolares</t>
  </si>
  <si>
    <t>Contrato y 1er Mod. Formalizado en  tesoreria con endoso deFC  17/01/22</t>
  </si>
  <si>
    <t>MME910620Q85</t>
  </si>
  <si>
    <t>22/12/2021
24/12/2021</t>
  </si>
  <si>
    <t>27/12/21
27/12/21</t>
  </si>
  <si>
    <t>SERV/DGRMSG/157/11/21</t>
  </si>
  <si>
    <t>SGSA/DGRP/LXV/083/21</t>
  </si>
  <si>
    <t>Art. 22</t>
  </si>
  <si>
    <t>Servicio de seguridad y vigilancia las 24 horas del día, todos los días del año, intramuros, del inmueble Teatro de la República del Estado de Querétaro</t>
  </si>
  <si>
    <t xml:space="preserve">09/11/21 Se envía al administrador para que haga adecuaciones en el fundamento de acuerdo a las observaciones hechas por la DGAJ </t>
  </si>
  <si>
    <t>Formalizado en tesorería contrato, FC y PRC 15/12/21</t>
  </si>
  <si>
    <t>01/11/2021
18/11/2021</t>
  </si>
  <si>
    <t>ADQ/DGRMSG/158/11/21</t>
  </si>
  <si>
    <t>SEN/DGRMSG/L001/2022</t>
  </si>
  <si>
    <t>Tarjetas electrónicas de gasolina de amplia cobertura, ejercicio fiscal 2022 partida 2</t>
  </si>
  <si>
    <t>Formalizado en tesorería Contrato y FC 14/12</t>
  </si>
  <si>
    <t>PUN9810229R0</t>
  </si>
  <si>
    <t>ADQ/DGRMSG/159/11/21</t>
  </si>
  <si>
    <t>Adquisición de vales de despensa de amplia cobertura, ejercicio fiscal 2022 partida 1</t>
  </si>
  <si>
    <t>08/06 Se solicita a la DGAJ amplialción del monto máximo
13/06 la DGRH solicita cancelación del modificatorio
14/11 ADM SOLICITA MODIFICATORIO POR INCREMENTO EN EL MONTO TOTAL POR $700,059.36</t>
  </si>
  <si>
    <t>I.- Solicita ampliación por $700,059.36 (no causa IVA)
II.- Ampliación al monto máximo por $5,176,620 (no causa IVA)</t>
  </si>
  <si>
    <t>15/11/2022
22/12/2022</t>
  </si>
  <si>
    <t xml:space="preserve">Dic 2022
</t>
  </si>
  <si>
    <t>Formalizado en tesorería Contrato y FC 29/12
Modif formalizado con endoso 01/12/22
2do Modif formalizado con endoso 16/01/23</t>
  </si>
  <si>
    <t>25/11/2021
23/12/2022</t>
  </si>
  <si>
    <t>06/12/2021
24/11/2022
29/12/2022</t>
  </si>
  <si>
    <t>29/11/2021
24/11/2022
23/12/2022</t>
  </si>
  <si>
    <t>OP/DGRMSG/160/11/21</t>
  </si>
  <si>
    <t>SEN/DGRMSG/L055/21</t>
  </si>
  <si>
    <t>Adecuación del proyecto integral y la ejecución de los trabajos para el Canal del Congreso del Senado de la República, del inmueble ubicado en Av. Reforma 135, sótano 3, Colonia Tabacalera, Alcaldía Cuauhtémoc (2da vuelta).</t>
  </si>
  <si>
    <t xml:space="preserve">16/05 se solicita a la DGAJ ajuste del desglose de presupuesto
31/08 el área solicita 2do modificatorio por decremento de </t>
  </si>
  <si>
    <t>I. -Ajuste del desglose presupuestal para quedar:  $7,082,364.56 más IVA 2021), $22,354,574.47 MÁS iva 2022, y ampliación de vigencia al 31/08/2022 
II. - Decremento de monto por el 1.09% del monto total ( $323,724.42 más iva) ,sustituyendo anexo</t>
  </si>
  <si>
    <t>16/05/2022
31/08/2022</t>
  </si>
  <si>
    <t>Lo ingresará en Sept 2022</t>
  </si>
  <si>
    <t xml:space="preserve">Formalizado contrato, FC Y PRC 21/12/21
Modif formalizado con endosos de FC y PRC 10/06/22
2do Modif formalizado con endosos 30/09/22
</t>
  </si>
  <si>
    <t>23/12/2021
02/06/2022
09/09/2022</t>
  </si>
  <si>
    <t>06/12/2021
19/05/2022
06/09/2022</t>
  </si>
  <si>
    <t>OP/DGRMSG/161/11/21</t>
  </si>
  <si>
    <t>SEN/DGRMSG/INV042/2021</t>
  </si>
  <si>
    <t>Trabajos de Sustitución de techumbre en área de Mantenimiento e Instalaciones en el Edificio de la Antigua Sede del Senado, Xicoténcatl 9.</t>
  </si>
  <si>
    <t>Formalizado contrato, FC y PRC 28/12</t>
  </si>
  <si>
    <t>ICM171121E48</t>
  </si>
  <si>
    <t xml:space="preserve">                                                                        </t>
  </si>
  <si>
    <t>SERV/DGRMSG/162/11/21</t>
  </si>
  <si>
    <t>SEN/DGRMSG/INV041/2021</t>
  </si>
  <si>
    <t>Suministro e instalación de W.C., llaves papeleras, dispensadores de jabón, seca manos y sus accesorios de los inmuebles Donceles 14, Allende 23, Xicoténcatl 9 y Madrid 62</t>
  </si>
  <si>
    <t>ADQ/DGRMSG/163/11/21</t>
  </si>
  <si>
    <t>SEN/DGRMSG/L056/21</t>
  </si>
  <si>
    <t>Adquisición de Infraestructura de la Red de Voz y Datos</t>
  </si>
  <si>
    <t>Formalizado contrato y FC 09/12/21</t>
  </si>
  <si>
    <t>SERV/DGRMSG/166/12/21</t>
  </si>
  <si>
    <t>10a. 1ra Sesión Ordinaria de Comité 26 de nov</t>
  </si>
  <si>
    <t>Desarrollo de un sistema de bóveda digital, desarrollo de un sistema de administración de tareas y desarrollo de procesos operativos, móviles y web.</t>
  </si>
  <si>
    <t>FC 15%
PRC 20%</t>
  </si>
  <si>
    <t>Formalizado contrato y FC 21/12/21</t>
  </si>
  <si>
    <t>IMA1605069V2</t>
  </si>
  <si>
    <t>SERV/DGRMSG/167/12/21</t>
  </si>
  <si>
    <t>Catorce días, S.A. de C.V.</t>
  </si>
  <si>
    <t>Servicios de Producción de la serie "Los retratos con Patsy Carrillo"</t>
  </si>
  <si>
    <t>Formalizado contrato con fc 20/12</t>
  </si>
  <si>
    <t>CDI110830GR1</t>
  </si>
  <si>
    <t>SERV/DGRMSG/168/12/21</t>
  </si>
  <si>
    <t>SGSA/DGRP/LXV/084/21</t>
  </si>
  <si>
    <t>Servicio de seguridad y vigilancia las 24 horas del día, todos los días del año, intra y extramuros, de los inmuebles que ocupa el Senado para el ejercicio 2022</t>
  </si>
  <si>
    <t xml:space="preserve">N/A </t>
  </si>
  <si>
    <t>Formalizado contrato 29/12/21</t>
  </si>
  <si>
    <t>GDF9712054NA</t>
  </si>
  <si>
    <t>SERV/DGRMSG/169/12/21</t>
  </si>
  <si>
    <t>11a. 1ra Sesión Ordinaria de Comité 26 de nov</t>
  </si>
  <si>
    <t>Art. 21 XVII</t>
  </si>
  <si>
    <t>Deloitte Asesoría en Riesgos, S.C.</t>
  </si>
  <si>
    <t>Servicio para diseñar una estrategía de Ciberseguridad</t>
  </si>
  <si>
    <t>Contrato, FC y PRC 13/01/22</t>
  </si>
  <si>
    <t>DAR180101NV0</t>
  </si>
  <si>
    <t>ADQ/DGRMSG/170/12/21</t>
  </si>
  <si>
    <t>Adquisición de 237 abrigos, 237 trajes (saco y pantalón), 17 pares de botas, 17 playeras tipo polo, y 17 pantalones para el personal de seguridad y protección civil asignados a la Dirección General de Resguardo Parlamentario</t>
  </si>
  <si>
    <t>Formalizado contrato y FC 30/12/21</t>
  </si>
  <si>
    <t>SERV/DGRMSG/171/12/21</t>
  </si>
  <si>
    <t>720/LXV/DMBMI/21
SEN/DGRMSG/INV043/2021 DESIERTA</t>
  </si>
  <si>
    <t>Servicio consistente en adecuaciones en móduo de regaderas y vestidores existentes en el sótano No. 3 del inmueble de reforma 135.</t>
  </si>
  <si>
    <t>Formalizado contrato, FC y PRC 06/01/22</t>
  </si>
  <si>
    <t>ADQ/DGRMSG/175/12/21</t>
  </si>
  <si>
    <t>SEN/DGRMSG/L059/2021</t>
  </si>
  <si>
    <t>TVMDIGITAL, S. DE R.L. DE C.V.</t>
  </si>
  <si>
    <t>Adquisición de Equipo para la operación de  "Radio Congreso" (Partidas 1,2 y 3)</t>
  </si>
  <si>
    <t>Formalizado contrato y fc  23/12</t>
  </si>
  <si>
    <t>TVM151204R70</t>
  </si>
  <si>
    <t>ADQ/DGRMSG/176/12/21</t>
  </si>
  <si>
    <t>Servicio de operación, mantenimiento preventivo y correctivo a la Planta de Tratamiento de Aguas Residuales (PTAR), 3 plantas de osmosis inversa marca AQUA TECNOLOGÍA AMBIENTAL y, el monitoreo y dosificación de cloro de 2 cisternas de agua potable ubicadas en la Sede de la Cámara de Senadores</t>
  </si>
  <si>
    <t>14/06 la DMBMI sollicita ampliación al monto máximo, se envia oficio a la DGAJ
14/12 adm solicita incemento del 9% al monto y ampliación de vigencia al 31/01/23
14/12 se le informa al adm que los montos que establece estan erronéos, que corroboré el correcto</t>
  </si>
  <si>
    <t>Ampliación en el monto máximo por la cantidad de $703,602.85
II.- Incremento del 9% (459,100.85)y ampliación de vigencia al 31/01/23</t>
  </si>
  <si>
    <t>15/06/2022
30/12/2022</t>
  </si>
  <si>
    <t>Formalizado contrato, FC y PRC en tesorería 06/01/22
Modificatorio formalizado con ambos endosos 07/07
2do modif formalizado con ambos endosos 20/01/23</t>
  </si>
  <si>
    <t>BAG1106299U7</t>
  </si>
  <si>
    <t>10/12/2021
15/06/2022
30/12/2022</t>
  </si>
  <si>
    <t>16/12/2021
10/01/2023</t>
  </si>
  <si>
    <t>13/12/2021
30/12/2022</t>
  </si>
  <si>
    <t>ADQ/DGRMSG/179/12/21</t>
  </si>
  <si>
    <t>SEN/DGRMSG/L061/2021</t>
  </si>
  <si>
    <t>TQRA TU SALUD, S. DE R.L. DE C.V.</t>
  </si>
  <si>
    <t xml:space="preserve">Dirección General de Servicios Médicos </t>
  </si>
  <si>
    <t>Adquisición de pruebas de antígeno para detección de COVID-19 FIA SARS COV-2</t>
  </si>
  <si>
    <t>28/12 Se solicita a la DGAJ incremento</t>
  </si>
  <si>
    <t>Solicitud de incremento del 25%</t>
  </si>
  <si>
    <t>Formalizado contrato y FC en tesorería 28/12/21
Formalizado 1er Modif con endoso de FC 06/01/22</t>
  </si>
  <si>
    <t>TTU111006SY8</t>
  </si>
  <si>
    <t>17/12/2021
04/01/2022</t>
  </si>
  <si>
    <t>14/12/2021
29/12/2021</t>
  </si>
  <si>
    <t>ADQ/DGRMSG/180/12/21</t>
  </si>
  <si>
    <t>Adquisición de pruebas rápidas nasofaríngeas de antígenos SARS COV-2</t>
  </si>
  <si>
    <t>Formalizado contrato y FC 28/12/21
1er Modif con endoso formalizado 13/01/22</t>
  </si>
  <si>
    <t>16/12/2021
29/12/2021</t>
  </si>
  <si>
    <t>ADQ/DGRMSG/181/12/21</t>
  </si>
  <si>
    <t>Decima 1a. Sesión Ordinaria Comité 26 de noviembre</t>
  </si>
  <si>
    <t>Adquisición de equipos serpentin evaporadores para el edificio de Reforma 135 de la Cámara de Senadores</t>
  </si>
  <si>
    <t>Formalizado contrato y FC  28/12</t>
  </si>
  <si>
    <t>RIE0905269D9</t>
  </si>
  <si>
    <t>SERV/DGRMSG/182/12/21</t>
  </si>
  <si>
    <t>12a. Sesión Extraordinaria del Comité 10 de diciembre</t>
  </si>
  <si>
    <t>SOLUCIONES VHER QUERÉTARO, S.A. DE C.V.</t>
  </si>
  <si>
    <t>Servicio de tapizado en piel a salas de espera ubicadas en Hemiciclo, lado norte, en los pisos 1 al 6, ubicado en el inmueble de Reforma 135.</t>
  </si>
  <si>
    <t>Formalizado contrato y FC  13/01/22</t>
  </si>
  <si>
    <t>SVQ151020176</t>
  </si>
  <si>
    <t>SERV/DGRMSG/184/12/21</t>
  </si>
  <si>
    <t>SEN/DGRMSG/INV006/2022</t>
  </si>
  <si>
    <t>Grupo Nacional Provincial, S.A.B.</t>
  </si>
  <si>
    <t xml:space="preserve"> Seguros de automóviles, camiones y motocicletas de la Cámara de Senadores para el ejercicio 2022</t>
  </si>
  <si>
    <t>Contrato formalizado en tesoreria 23/12</t>
  </si>
  <si>
    <t>ADQ/DGRMSG/186/12/21</t>
  </si>
  <si>
    <t>SGSA/DGRH/URLS/SPS/LXV/325/2021
SGSA/LXIV/0738/21 CTSGSA</t>
  </si>
  <si>
    <t>Adquisición de Vales de Despensa (Tarjetas Electrónicas) para empleados de Limpieza, Mantenimiento y Resguardo</t>
  </si>
  <si>
    <t>DISPENSA</t>
  </si>
  <si>
    <t>Formalizado conttrato en tesorería 07/01/22</t>
  </si>
  <si>
    <t>SBR130327HU9</t>
  </si>
  <si>
    <t>SERV/DGRMSG/187/12/21</t>
  </si>
  <si>
    <t>SEN/DGRMSG/L004/2022</t>
  </si>
  <si>
    <t>Servicio de mantenimiento preventivo y correctivo a los 421 equipos elevautos Marca Bendpak, modelos PL7000 y PL7000X, instalados en los cuatro niveles de estacionamiento de la Nueva Sede de "El Senado" H. Congreso de la Unión</t>
  </si>
  <si>
    <t>FC 15%
PRC 30%</t>
  </si>
  <si>
    <t>12/12 adm solicita ampliación de vigencia al 31/03/23</t>
  </si>
  <si>
    <t>Ampliación de vigencia al 31/03/23</t>
  </si>
  <si>
    <t>Contrato, FC, PRC  formalizado 01/02/22
Modif formalizado con endosos 16/01/23</t>
  </si>
  <si>
    <t>12/01/2022
11/01/2023</t>
  </si>
  <si>
    <t>22/12/2021
21/12/2022</t>
  </si>
  <si>
    <t>SERV/DGRMSG/188/12/21</t>
  </si>
  <si>
    <t>LXV/SGSA/DGIT/0287/21</t>
  </si>
  <si>
    <t>GNR Apoyo Estratégico, S.A. de C.V.</t>
  </si>
  <si>
    <t>Licenciamiento y Póliza de soporte de la infraestructura de virtualización</t>
  </si>
  <si>
    <t>Contrato formalizado con FC y PRC 26/01/22</t>
  </si>
  <si>
    <t>GAE941027I76</t>
  </si>
  <si>
    <t>SERV/DGRMSG/190/12/21</t>
  </si>
  <si>
    <t>SEN/DGRMSG/INV005/2022</t>
  </si>
  <si>
    <t>Servicio de asesoría externa en materia de administración de riesgos y seguros que auxilie (asesor) a la Cámara de Senadores</t>
  </si>
  <si>
    <t>Contrato y FC formalizado en tesorería 04/01/22</t>
  </si>
  <si>
    <t>GCM940630U99</t>
  </si>
  <si>
    <t>ADQ/DGRMSG/191/12/21</t>
  </si>
  <si>
    <t>SEN/DGRMSG/L060/2021</t>
  </si>
  <si>
    <t>Art, 45</t>
  </si>
  <si>
    <t>Palo Tinto Networks, S.A. de C.V.</t>
  </si>
  <si>
    <t>Adquisición e instalación de equipo de almacenamiento 500TB Storage</t>
  </si>
  <si>
    <t>Contrato, FC y PRC formalizados en tesorería 19/01/22</t>
  </si>
  <si>
    <t>PTN120993GV6</t>
  </si>
  <si>
    <t>SERV/DGRMSG/193/12/21</t>
  </si>
  <si>
    <t>SEN/DGRMSG/L063/2021</t>
  </si>
  <si>
    <t>Servicio de licenciamiento del Centro de Datos</t>
  </si>
  <si>
    <t>Formalizado contrato y FC en tesorería 07/01/22</t>
  </si>
  <si>
    <t>SERV/DGRMSG/196/12/21</t>
  </si>
  <si>
    <t>SEN/DGRMSG/INV013/2022</t>
  </si>
  <si>
    <t>Seguro de Bienes Patrimoniales de la Cámara de Senadores para el ejercicio 2022</t>
  </si>
  <si>
    <t>Formalizado en Tesorería 18/01/22</t>
  </si>
  <si>
    <t>ADQ/DGRMSG/197/12/21</t>
  </si>
  <si>
    <t>Décima Cuarta Sesión Extraordinaria del Comité 29 de diciembre 2021</t>
  </si>
  <si>
    <t>Oscar Alonso</t>
  </si>
  <si>
    <t>Olguín</t>
  </si>
  <si>
    <t xml:space="preserve">Osnaya </t>
  </si>
  <si>
    <t>Mascarillas KN95 para las y los Senadores y todo el personal que labora en las Instalaciones del Senado de la República (250,000)</t>
  </si>
  <si>
    <t>Formalizado en Tesorería 03/01/22</t>
  </si>
  <si>
    <t>OUOO8803318I8</t>
  </si>
  <si>
    <t>CONSE 2022</t>
  </si>
  <si>
    <t>TOTAL / (MAXIMO)</t>
  </si>
  <si>
    <t>AUDITORIA</t>
  </si>
  <si>
    <t>FIRMADO POR TODOS</t>
  </si>
  <si>
    <t xml:space="preserve">
OP/DGRMSG/140-III/11/19</t>
  </si>
  <si>
    <t>OCTUBRE</t>
  </si>
  <si>
    <t>III. - Solicitud de incremento de $12,639,563.21 más IVA y adecuar los montos por ejercicio y ampliación de vigencia al 30/09/23</t>
  </si>
  <si>
    <t xml:space="preserve">SERV/DGRMSG/168-II/12/19 </t>
  </si>
  <si>
    <t xml:space="preserve">
</t>
  </si>
  <si>
    <t>II.- Modificación en los montos y ampliación de vigencia al 30/09/23</t>
  </si>
  <si>
    <t>SERV/DGRMSG/001/01/22</t>
  </si>
  <si>
    <t>Contratación de las Pólizas del seguro de  Vida e Incapacidad Total y Permanente para los Senadores de la República, Trabajadores de la Cámara de Senadores y Jubilados y/o Pensionados del ISSSTE cuya última actividad laboral fue desempeñada en el Senado de la República (Partidas 1A y 1B) para el ejercicio 2022.</t>
  </si>
  <si>
    <t xml:space="preserve">17/05 solicitan cambio de razon social </t>
  </si>
  <si>
    <t>Solicitud de cambio de razon social</t>
  </si>
  <si>
    <t>Contrato formalizado en tesorería 23/12
Modificatorio formalizado en tesorería 30/05/22</t>
  </si>
  <si>
    <t>06/12/2021
18/05/2022</t>
  </si>
  <si>
    <t>08/12/2021
18/05/2022</t>
  </si>
  <si>
    <t>23/12/2021
30/05/2022</t>
  </si>
  <si>
    <t>17/12/2021
20/05/2022</t>
  </si>
  <si>
    <t>SERV/DGRMSG/002/01/22</t>
  </si>
  <si>
    <t>Décima Primera Sesión Ordinaria Comité 26 de noviembre 2021</t>
  </si>
  <si>
    <t>Servicios integrales de acceso a la Red Telefónica Nacional e Internacional con servicios 800 e internet de banda ancha inalámbrico</t>
  </si>
  <si>
    <t>27/12 adm solicita ampliación en vigencia al 31/03/23 e incremento en el monto</t>
  </si>
  <si>
    <t>Incremento en el monto y ampliación de vigencia al 31/03/23</t>
  </si>
  <si>
    <t>Contrato formalizado con FC 20/01/22
Modificatorio formalizado con endoso 17/01/23</t>
  </si>
  <si>
    <t>TME840315KT6</t>
  </si>
  <si>
    <t>28/12/2021
02/01/2023</t>
  </si>
  <si>
    <t>04/01/2022
11/01/2023</t>
  </si>
  <si>
    <t>29/12/2021
11/01/2023</t>
  </si>
  <si>
    <t>SERV/DGRMSG/003/01/22</t>
  </si>
  <si>
    <t>12a. Sesión Extraordinaria del Comité 10 de diciembre 2021</t>
  </si>
  <si>
    <t>Servicio de Mantenimiento preventivo y correctivo, con soporte técnico a los equipos de bombeo hidráulico de los cuartos de máquinas y cárcamos; así como a las bombas centrífugas sumergibles y cabezales de la Sede de la Cámara de Senadores</t>
  </si>
  <si>
    <t>Contrato formalizado con FC y PRC 27/01/22</t>
  </si>
  <si>
    <t>SERV/DGRMSG/004/01/22</t>
  </si>
  <si>
    <t>Décima Segunda Sesión Ordinaria  del Comité 17 de diciembre 2021</t>
  </si>
  <si>
    <t>Mantenimiento preventivo y correctivo, con soporte técnico a los equipos de bombeo hidrónico, válvulas, intercambiadores de calor, EPAC (Expansión, Presurización, tratamiento químico al agua helada y Control del Aire) del Sistema de Aire Acondicionado de la Sede de la Cámara de Senadores</t>
  </si>
  <si>
    <t>Contratof formalizado con FC y PRC 28/01/22</t>
  </si>
  <si>
    <t>SERV/DGRMSG/006/01/22</t>
  </si>
  <si>
    <t>SEN/DGRMSG/L012/2022</t>
  </si>
  <si>
    <t>Servicio de cableado de nodos de video y nodos de red para voz y datos categoría 5e y 7a en Unidades Parlamentarias, Técnicas y Administrativas</t>
  </si>
  <si>
    <t>28/6  Solicita ampliación de monto
30/6 se le solicita a la DGITactualizar el anexo técnico
03/08 solicita el área sustituir el anexo por el supervisor y ampliación del monto</t>
  </si>
  <si>
    <t>Ampliación del monto máximo por el 25% y sustitución de anexo por cambio de supervisor</t>
  </si>
  <si>
    <t>Contrato, FC y PRC formalizado en tesorería 24/01/22
Modificatorio formalizado con endosos 29/08/22</t>
  </si>
  <si>
    <t>28/12/2021
10/08/2022</t>
  </si>
  <si>
    <t>04/01/2022
17/08/2022</t>
  </si>
  <si>
    <t>30/12/2021
12/08/2022</t>
  </si>
  <si>
    <t>ADQ/DGRMSG/007/01/22</t>
  </si>
  <si>
    <t>513/LXV/DMBMI/2021
INV 001 DESIERTA</t>
  </si>
  <si>
    <t>Bebidas Purificadas, S. de R.L. de C.V.</t>
  </si>
  <si>
    <t>Agua Purificada envasada en garrafón de 20 litros, para los inmuebles del Senado de la República, ejercicio fiscal 2022</t>
  </si>
  <si>
    <t xml:space="preserve">18/11 proveedor solicita incremento del 25% y ampliación de vigencia </t>
  </si>
  <si>
    <t>Incremento del 25% en monto y ampliación de vigencia al 31/03/23</t>
  </si>
  <si>
    <t xml:space="preserve">Formalizado contrato y FC 02/02/22
Modif formalizado con endoso 14/12/22
</t>
  </si>
  <si>
    <t>BPU7901018D4</t>
  </si>
  <si>
    <t>29/01/2021
28/11/2022</t>
  </si>
  <si>
    <t>06/01/2022
01/12/2022</t>
  </si>
  <si>
    <t>03/01/2022
01/12/2022</t>
  </si>
  <si>
    <t>SERV/DGRMSG/008/01/22</t>
  </si>
  <si>
    <t>Acuerdo JUCOPO 17 Nov 2021
SGSA/LXV/0715/21
SGSA/UE/LXV/170/21</t>
  </si>
  <si>
    <t>Servicios de alimentación intra o extramuros para la Cámara de Senadores correspondiente al ejercicio 2022 (Partida 3)</t>
  </si>
  <si>
    <t>FC 15%
PRC 25%
DESOCUPACIÓN $800,000</t>
  </si>
  <si>
    <t>14/02 Solicita proveedor cambio de domicilio fiscal
23/02 SE ENVIA A DGAJ ACUSE DE MOVIMIENTOS DE ACTUALIZACIÓN DE SITUACIÓN FISCAL PARA QUE PROCEDA AL 1ER MODIF</t>
  </si>
  <si>
    <t>Cambio de domicilio fiscal</t>
  </si>
  <si>
    <t>Contrato y convenio Modif Formalizado 18/03 con FC, PRC y Desocupación</t>
  </si>
  <si>
    <t>ECR920903K97</t>
  </si>
  <si>
    <t>10/01/2022
08/03/2022</t>
  </si>
  <si>
    <t>30/12/2021
03/03/2022</t>
  </si>
  <si>
    <t>SERV/DGRMSG/009/01/22</t>
  </si>
  <si>
    <t>SEN/DGRMSG/INV008/2022</t>
  </si>
  <si>
    <t>Servicio de fumigación y erradicación de fauna nociva para los inmuebles ocupados por la Cámara de Senadores</t>
  </si>
  <si>
    <t>9/12 adm solicita incremento del 25% al monto total y ampliación de vigencia al 31/03/23</t>
  </si>
  <si>
    <t>Solicitud de incremento del 25% al monto total y ampliación de vigencia al 31/03/23</t>
  </si>
  <si>
    <t>Contrato, FC y PRC formalizado en tesorería 24/01/22
Modific formalizado con endosos 27/01/23</t>
  </si>
  <si>
    <t>SME910904AE2</t>
  </si>
  <si>
    <t>06/01/2022
16/12/2022</t>
  </si>
  <si>
    <t>03/01/2022
15/12/2022</t>
  </si>
  <si>
    <t>SERV/DGRMSG/010/01/22</t>
  </si>
  <si>
    <t>SEN/DGRMSG/L005/2022</t>
  </si>
  <si>
    <t>Servicios de mantenimiento preventivo a diversos elevadores y salva-escaleras (Roby) (Partida 1) y los servicios de mantenimiento preventivo a tres salva-escaleras Supra 15 y a dos plataformas verticales Supra Línea (Partida 2)</t>
  </si>
  <si>
    <t>19/12 Adm solicita incremento en vigencia y monto
20/12 se solicita modicatorio a la DGAJ</t>
  </si>
  <si>
    <t>Incremento en monto y ampliación de vigencia al 31/03/2023</t>
  </si>
  <si>
    <t>Contrato, FC, PRC  formalizado 01/02/22
Modificatorio formalizado con endosos 17/01/23</t>
  </si>
  <si>
    <t>28/12/2021
26/12/2022</t>
  </si>
  <si>
    <t>13/01/2022
16/01/2023</t>
  </si>
  <si>
    <t>11/01/2022
16/01/2023</t>
  </si>
  <si>
    <t>SERV/DGRMSG/011/01/22</t>
  </si>
  <si>
    <t>Décima Primera Sesión Ordinaria y Tercera Sesión Extraordinaria del Comité 17 y 23 de diciembre 2021</t>
  </si>
  <si>
    <t>Servicio de mantenimiento preventivo y correctivo al Sistema de Control de Iluminación Arquitectónica instalado en el edificio de la Nueva Sede de la Cámara, ubicada en Av. Paseo de la Reforma No. 135, Col. Tabacalera, C.P. 06030, Alcaldía Cuauhtémoc, Ciudad de México.</t>
  </si>
  <si>
    <t>28/12 Adm solicitó ampliación de vigencia al 31/03/23 e incremento en el monto max</t>
  </si>
  <si>
    <t>Incremento en el monto máx y ampliación de vigencia al 31/03/23</t>
  </si>
  <si>
    <t>Contratof formalizado con FC y PRC 28/01/22
Modific formalizado con garantias 16/02/23</t>
  </si>
  <si>
    <t>SERV/DGRMSG/012/01/22</t>
  </si>
  <si>
    <t>SEN/DGRMSG/L009/2022</t>
  </si>
  <si>
    <t>Póliza de mantenimiento correctivo del sistema de Voz y Datos con servicio de Smarnet a equipo de la marca CISCO</t>
  </si>
  <si>
    <t>Formalizado contrato FC y PRC 13/01</t>
  </si>
  <si>
    <t>SERV/DGRMSG/015/01/22</t>
  </si>
  <si>
    <t>988/LXV/DMBMI/2021</t>
  </si>
  <si>
    <t>11/02/2022 solicita administrador modificatorio para la incorporación de la categoría "auxiliar administrativo" en el anexo técnico, 14/02 se envia solicitud a la DGAJ</t>
  </si>
  <si>
    <t xml:space="preserve">Sustitución de anexo técnico por incorporación de la categoría "auxiliar administrativo" </t>
  </si>
  <si>
    <t>Contrato formalizado en tesorería 24/01/22
1er Modif. Formalizado 22/02/22</t>
  </si>
  <si>
    <t>NHB770831BW3</t>
  </si>
  <si>
    <t>12/01/2022
16/02/2022</t>
  </si>
  <si>
    <t>SERV/DGRMSG/016/01/22</t>
  </si>
  <si>
    <t>989/LXV/DMBMI/2021</t>
  </si>
  <si>
    <t>Servicio de mantenimiento preventivo y correctivo menor y servicios generales para los imuebles ocupados por la Cámara de Senadores</t>
  </si>
  <si>
    <t>09/05 mediante oficio 1973 se solicita remita anexo completo para estar en condiciones de atender su solicitud de modificación
12/5 se solicita a DGAJ realizar cambios en el anexo del contrato numeral 2.6 material, herramienta y equipo
18/5 se remiten 3 originales del convenio a la DGAJ, a efectos de que sustituya el R.L</t>
  </si>
  <si>
    <t>Sustitución del anexo del contrato primigenio el cual consta de 179 hojas</t>
  </si>
  <si>
    <t>Contrato formalizado en tesorería 24/01/22
Modificat formalizado en tesoreria 02/06/22</t>
  </si>
  <si>
    <t>20/01/2022
02/06/2022</t>
  </si>
  <si>
    <t>12/01/2022
25/05/2022</t>
  </si>
  <si>
    <t>SERV/DGRMSG/017/01/22</t>
  </si>
  <si>
    <t>SEN/DGRMSG/L010/2022</t>
  </si>
  <si>
    <t>Efinfo, S.A.P.I. de C.V.</t>
  </si>
  <si>
    <t>Monitorear la información difundida en medios impresos, digitales y electrónicos</t>
  </si>
  <si>
    <t>Contrato, FC formalizado en tesoreria 01/02/22</t>
  </si>
  <si>
    <t>EFI030227P25</t>
  </si>
  <si>
    <t>SERV/DGRMSG/018/01/22</t>
  </si>
  <si>
    <t>DESIERTA
SEN/DGRMSG/L011/2022</t>
  </si>
  <si>
    <t>AC Global Suministradora General, S.A. de C.V.</t>
  </si>
  <si>
    <t>Servicio de abastecimiento y distribución de periódicos y revistas del 01 de enero al 31 de diciembre de 2022.</t>
  </si>
  <si>
    <t>FC 15%
PRC 05%</t>
  </si>
  <si>
    <t>31/01/22 El administrdor informa mediante oficio 26 que el proveedor encontro un error en el contrato, toda vez que es exento de IVA., se realiza oficio 397 de la DGRMSG, se le solicita a la tesorería devuelva los originales para la adecuación en DGAJ 31/01/22
02/02 SE ENVIA A DGAJ PARA QUE MODIFIQUEN MONTOS
10/02 regresan originales, solo se sustituyo la hoja 3, no se realizó modificatorio
23/11 se solicita a la DGAJ rescisión del contrato por proporcionar información falsa o haya actuad con dolo o mala fe en cualquiera de los procedimientos de contratación
01/12 DGAJ INFORMA MEDIANTE OFICIO 2010, QUE NO EXISTEN ELEMENTOS SUFICIENTES PARA LLEVAR ACABO UNA RESCISIÓN, NI PROCEDE LA CANCELACIÓN DE SU REGISTRO EN EL PADRÓN DE PROVEEDORES</t>
  </si>
  <si>
    <t>Contrato formalizado con FC y PRC 26/01/22
se solicitaron devuelvan originales para cambiar montos por estar excentos de IVA
11/02 se envió a tesorería con la hoja que contiene los montos correctos</t>
  </si>
  <si>
    <t>AGS110706TM3</t>
  </si>
  <si>
    <t>13/01/2022
11/02/2022</t>
  </si>
  <si>
    <t>SERV/DGRMSG/019/01/22</t>
  </si>
  <si>
    <t>Décima Tercera Sesión Extraordinaria del Comité 23 de diciembre 2021</t>
  </si>
  <si>
    <t>Johnson Controls BTS México, S.A. de C.V.</t>
  </si>
  <si>
    <t>Servicio de mantenimiento preventivo y correctivo con soporte técnico y refacciones para los equipos de sistema de automatización y control marca Metasys, de la Sede de Av. Paseo de la Reforma No. 135 de la Cámara de Senadores</t>
  </si>
  <si>
    <t>Contrato formalizado con FC y PRC 09/02</t>
  </si>
  <si>
    <t>SGR960715HK1</t>
  </si>
  <si>
    <t>SERV/DGRMSG/020/01/22</t>
  </si>
  <si>
    <t>14a. Sesión Extraordinaria del Comité 29 de diciembre 2021</t>
  </si>
  <si>
    <t>Servicio administrado de Ciberseguridad</t>
  </si>
  <si>
    <t>28/12 adm solicitó incremento en el monto y ampliación de vigencia al 15/01/23</t>
  </si>
  <si>
    <t>Incremento en el monto y ampliación de vigencia al 15/01/23</t>
  </si>
  <si>
    <t>Contrato formalizado con FC y PRC 09/02
Modificatorio formalizado con endosos 07/02/23</t>
  </si>
  <si>
    <t>SIL160727HV7</t>
  </si>
  <si>
    <t xml:space="preserve">
30/12/2022</t>
  </si>
  <si>
    <t>Modif 30/12/2022</t>
  </si>
  <si>
    <t>12/01/2022
12/01/2023</t>
  </si>
  <si>
    <t>10/01/2022
11/01/2023</t>
  </si>
  <si>
    <t>SERV/DGRMSG/021/01/22</t>
  </si>
  <si>
    <t>SEN/DGRMSG/L008/2022</t>
  </si>
  <si>
    <t xml:space="preserve">Servicio de Mantenimiento Preventivo y Correctivo con refacciones del Sistema de Audio y Video del Senado de la República </t>
  </si>
  <si>
    <t>Contrato formalizado con FC y PRC 08/02</t>
  </si>
  <si>
    <t>SERV/DGRMSG/022/01/22</t>
  </si>
  <si>
    <t>Servicio integral de Resiliencia</t>
  </si>
  <si>
    <t>28/12 adm solicitó incremento en el monto y ampliación de vigencia al 15/01/23, sustituyendo anexo técnico</t>
  </si>
  <si>
    <t>Contrato formalizado con FC y PRC 26/01/22
Modific formalizado con endosos 27/01/23</t>
  </si>
  <si>
    <t>SLA970110SB2</t>
  </si>
  <si>
    <t>03/01/2022
02/01/2023</t>
  </si>
  <si>
    <t>13/01/2022
11/01/2023</t>
  </si>
  <si>
    <t>SERV/DGRMSG/023/01/22</t>
  </si>
  <si>
    <t>Décima Segunda Sesión Ordinaria  del Comité 17 de diciembre</t>
  </si>
  <si>
    <t>Servicio de internet a 1 Gbps, enlaces dedicados para servicios de voz y datos en los inmuebles de: Nueva Sede (Reforma Núm. 135), Donceles núm. 14, Allende núm. 23, Xicoténcatl núm. 9 y Madrid núm. 62, así como un enlace  dedicado de internet simétrico para las instalaciones de Xicoténcatl núm. 9</t>
  </si>
  <si>
    <t>28/12 adm solicitó incremento en el monto y ampliación de vigencia al 31/03/23</t>
  </si>
  <si>
    <t>Incremento en el monto, ampliación de vigencia al 31/03/23, cambio de apoderado legal de la sociedad y sustituir anexo</t>
  </si>
  <si>
    <t>Contrato formalizado y FC en tesorería 24/01/22
14/02 se envió corrección de exento de IVA con endosos de FC y PRC
Modif for allizado con endoso de Fc 20/01/23</t>
  </si>
  <si>
    <t>10/01/2022
02/01/2023</t>
  </si>
  <si>
    <t>14/01/2022
11/01/2023</t>
  </si>
  <si>
    <t>SERV/DGRMSG/024/01/22</t>
  </si>
  <si>
    <t>Programas y Aplicaciónes Certificadas, S.A. de C.V.</t>
  </si>
  <si>
    <t>Servicios que integran el "Proyecto Integral de Comunicaciones en Medios Electrónicos, para el Canal del Congreso</t>
  </si>
  <si>
    <t>Contrato y FC formalizada 03/02/22</t>
  </si>
  <si>
    <t>PAC1608304I8</t>
  </si>
  <si>
    <t>SERV/DGRMSG/025/01/22</t>
  </si>
  <si>
    <t>SEN/DGRMSG/INV011/2022</t>
  </si>
  <si>
    <t>Dirección de Soporte Técnico de la DGIT</t>
  </si>
  <si>
    <t>Servicio especializado de soporte a la pantalla led de los salones del Pleno y Comisión Permanente</t>
  </si>
  <si>
    <t>Contrato, FC y PRC formalizado 16/02</t>
  </si>
  <si>
    <t>SERV/DGRMSG/029/01/22</t>
  </si>
  <si>
    <t>SGSA/LXV/0714/21
SGSA/UE/LXV/170/21 y 10/22
Acuerdo JUCOPO 10/11/21</t>
  </si>
  <si>
    <t>Aquí se está Mejor, S.A. de C.V.</t>
  </si>
  <si>
    <t>Servicios de alimentación intra o extramuros para la Cámara de Senadores correspondiente al ejercicio 2022 (Partidas 1 y 2)</t>
  </si>
  <si>
    <t>FC 15%
PRC 25%
DESOCUPACIÓN $600,000</t>
  </si>
  <si>
    <t>18/10 Adm solicita ampliación del monto máximo de la partida 1 por $200,000.00 más iva
13/12 ADM SOLICITA INCREMENTO EN LA PARTIDA 2 POR $750,000 MÁS IVA</t>
  </si>
  <si>
    <t>I. -Solicitud de ampliación del monto máxima de la partida 1 por $200,000.00 más IVA
II.- Solicitud de incremento al monto máximo de la partida 2 por $750,000 más IVA</t>
  </si>
  <si>
    <t xml:space="preserve">Formalizado con FC, PRC y DESOCUPACIÓN 22/02
Modificatorio formalizado 05/12/22
2do Modif formalizado con garantias 27/12/22
</t>
  </si>
  <si>
    <t>ASE131206DZ7</t>
  </si>
  <si>
    <t>15/12/2021
18/10/2022</t>
  </si>
  <si>
    <t>26/01/2022
19/01/2022</t>
  </si>
  <si>
    <t>30/0128/01
24/10/2022
14/12/2022</t>
  </si>
  <si>
    <t>02/02/2022
27/10/2022
21/12/2022</t>
  </si>
  <si>
    <t>30/01/2022
25/10/2022
16/12/2022</t>
  </si>
  <si>
    <t>SERV/DGRMSG/030/02/22</t>
  </si>
  <si>
    <t>T/DGPS/037/22</t>
  </si>
  <si>
    <t>Art. XX</t>
  </si>
  <si>
    <t>Dirección General de Pago a Senadores</t>
  </si>
  <si>
    <t>Reservación, expedición, cancelaciones y entrega de boletos para transportación aérea para viajes de trabajo y comisión de las y los Legisladores; así com del Personal de la Cámara de Senadores</t>
  </si>
  <si>
    <t>Contrato formalizado 16/02</t>
  </si>
  <si>
    <t>SERV/DGRMSG/031/02/22</t>
  </si>
  <si>
    <t>Viajes Helvetia, S.A de C.V.</t>
  </si>
  <si>
    <t>Reservación, expedición, cancelaciones y entrega de boletos para transportación aérea para viajes de trabajo y comisión de las y los Legisladores; así como del Personal de la Cámara de Senadores</t>
  </si>
  <si>
    <t>VES760311V75</t>
  </si>
  <si>
    <t>SERV/DGRMSG/032/02/22</t>
  </si>
  <si>
    <t>Formalizado en tesoreria 22/02</t>
  </si>
  <si>
    <t>SERV/DGRMSG/033/02/22</t>
  </si>
  <si>
    <t>DGRMSG/DSA/LXV/062/2022</t>
  </si>
  <si>
    <t>Art. 21 III</t>
  </si>
  <si>
    <t>Estrategia en Estacionamientos y Valet Parking, S.A. de C.V.</t>
  </si>
  <si>
    <t>Servicio de estacionamiento y pensión para 250 unidades vehiculares como mínimo y 450 como máximo en los inmuebles de 2MADIRD calle Madrid No. 18, Col. Tabacalera, Alcandía Cuauhtémoc, en la Ciudad de México, C.P. 06600, y "ROMA" calle Roma No. 39, Col. Juárez, Alcaldía Cuauhtémoc, en la Ciudad de México, C.P. 06600</t>
  </si>
  <si>
    <t>EEV1408229W8</t>
  </si>
  <si>
    <t>ADQ/DGRMSG/034/02/22</t>
  </si>
  <si>
    <t>SEN/DGRMSG/INV019/2022</t>
  </si>
  <si>
    <t>Cadgrafics, S.A. de C.V.</t>
  </si>
  <si>
    <t>Licenciamiento de Software de la marca Adobe bajo un esquema de suscripción (2da vuelta)</t>
  </si>
  <si>
    <t>FC 15%.</t>
  </si>
  <si>
    <t>Contrato formalizado con FC 03/03/22</t>
  </si>
  <si>
    <t>SERV/DGRMSG/035/02/22</t>
  </si>
  <si>
    <t>SEN/DGRMSG/L014/2022</t>
  </si>
  <si>
    <t>Servicios para el "Proyecto Integral de Comunicaciones en Medios Electrónicos para el Canal del Congreso"</t>
  </si>
  <si>
    <t>10/02 adm solicita incremento del 25% en monto y vigencia</t>
  </si>
  <si>
    <t>Incremento del 25% en monto y vigencia</t>
  </si>
  <si>
    <t>Contrato formalizado con FC 24/03
Modificatorio formalizado con FC 15/03/23</t>
  </si>
  <si>
    <t>16/02/2022
14/02/2023</t>
  </si>
  <si>
    <t>21/02/2022
22/02/2023</t>
  </si>
  <si>
    <t>17/02/2022
20/02/2023</t>
  </si>
  <si>
    <t>SERV/DGRMSG/036/03/22</t>
  </si>
  <si>
    <t>SGSA/DGRH/URLS/SPE/LXV/018/2022</t>
  </si>
  <si>
    <t>Idiomas Iztapalapa, S.C.</t>
  </si>
  <si>
    <t>Curso de Inglés en línea, dirigido a Servidores Públicos del Senado de la República</t>
  </si>
  <si>
    <t>Contrato formalizado 23/02</t>
  </si>
  <si>
    <t>IIZ030710FP7</t>
  </si>
  <si>
    <t>ADQ/DGRMSG/037/02/22</t>
  </si>
  <si>
    <t>SEN/DGRMSG/L015/2022</t>
  </si>
  <si>
    <t>Adquisición de bienes consistentes en papelería, artículos de oficina y consumibles de cómputo (partidas 4 y 11)</t>
  </si>
  <si>
    <t>Contrato formalizado con FC 18/03</t>
  </si>
  <si>
    <t>ADQ/DGRMSG/038/02/22</t>
  </si>
  <si>
    <t>Adquisición de bienes de papelería, artículos de oficina y consumibles de cómputo (partidas 1,7 y 8)</t>
  </si>
  <si>
    <t>ADQ/DGRMSG/039/02/22</t>
  </si>
  <si>
    <t>Miguel Ángel</t>
  </si>
  <si>
    <t>Gil</t>
  </si>
  <si>
    <t>Adquisición de bienes de papelería, artículos de oficina y consumibles de cómputo (partidas 2,3,5,6,9 y 10)</t>
  </si>
  <si>
    <t>Contrato formalizado con FC 15/03</t>
  </si>
  <si>
    <t>GUGM780726V36</t>
  </si>
  <si>
    <t>SERV/DGRMSG/040/03/22</t>
  </si>
  <si>
    <t>SGSA/LXV/0411/22 21 DE FEBRERO</t>
  </si>
  <si>
    <t>Centro de Estudios para un Proyecto Nacional Alternativo, S.C.</t>
  </si>
  <si>
    <t>Asesoría, estudios e investigaciones sobre iniciativas, proyectos de decreto, dictámenes, minutas, así como en general, consultoría en materia parlamentaria y legislativa que coadyuven al mejor conocimiento de las materias que abordan los y las legisladores que integran la Cámara de Senadores y faciliten la construcción de acuerdos entre diferentes grupos parlamentarios</t>
  </si>
  <si>
    <t>Contrato formalizado y FCen tesorería 25/03 (08/03)</t>
  </si>
  <si>
    <t>CEP900628LR3</t>
  </si>
  <si>
    <t>SERV/DGRMSG/041/03/22</t>
  </si>
  <si>
    <t>SEN/DGRMSG/INV012/2022</t>
  </si>
  <si>
    <t>Escalator, Elevator &amp; Electromechanics Enterprise, S.A. de C.V.</t>
  </si>
  <si>
    <t>Direccoón de Mantenimiento de Bienes Muebles e Inmuebles</t>
  </si>
  <si>
    <t>Servicio de mantenimiento preventivo y correctivo a 2 elevadores para pasajeros en el inmueble de Madrid 62 (marca Shindler), 3 elevadores para pasajeros, 2 elevautos y 1 montacargas en el inmueble de Donceles No. 14</t>
  </si>
  <si>
    <t>14/12 adm solicita ampliar vigencia y monto
20/12 se solicita a la DGAJ que sustituya al adm del contrato por instrucciones del Mtro Farah</t>
  </si>
  <si>
    <t>Ampliación de vigencia al 28/02/2023, e incremento del 2% al monto máximo</t>
  </si>
  <si>
    <t>Contrato formalizado con FC 16/03
Modific formalizado con endosos 30/01/23</t>
  </si>
  <si>
    <t>01/03/2022
22/12/2022</t>
  </si>
  <si>
    <t>07/03/2022
29/12/2022</t>
  </si>
  <si>
    <t>02/03/2022
27/12/2022</t>
  </si>
  <si>
    <t>SERV/DGRMSG/042/03/22</t>
  </si>
  <si>
    <t>SGSA/DGRP/LXV/081/22
SEN/DGRMSG/L007/2022 DESIERTA</t>
  </si>
  <si>
    <t>Servicio de mantenimiento preventivo y correctivo sin refacciones a 31 arcos detectores de metales, 17 máquinas de inspección por rayos" X" con banda y 1 detector de explosivos portátil, ubicados en distintos edificios de la Cámara de Senadores</t>
  </si>
  <si>
    <t>19 y 23/12 el adm solicita ampliación de vigencia y en monto</t>
  </si>
  <si>
    <t>Incremento en monto y ampliación de vigencia al 17/03/23</t>
  </si>
  <si>
    <t>Contrato formalizado con FC y PRC 15/03
Modific  formalizado con ambos endosos 20/01/23</t>
  </si>
  <si>
    <t>22/02/2022
23/12/2022</t>
  </si>
  <si>
    <t>23/02/2022
27/12/2022</t>
  </si>
  <si>
    <t>25/02/2022
29/12/2022</t>
  </si>
  <si>
    <t>03/03/2022
11/01/2023</t>
  </si>
  <si>
    <t>28/02/2022
11/01/2023</t>
  </si>
  <si>
    <t>ADQ/DGRMSG/043/03/22</t>
  </si>
  <si>
    <t>SEN/DGRMSG/L016/2022</t>
  </si>
  <si>
    <t>Violeta</t>
  </si>
  <si>
    <t>Córdoba</t>
  </si>
  <si>
    <t>Baeza</t>
  </si>
  <si>
    <t>Adquisición de bienes Recurrentes (Partidas 1,2,3,4,5,6,7,9,10,11,12,13,14,15 y 16)</t>
  </si>
  <si>
    <r>
      <t xml:space="preserve">29/3 se solicita a DGAJ se solicita previa autorización del área sustitución de los bienes adjudicados de las pardias 11,13 y 14
22/7 se solicita a DCP remita propuesta económica actualizada, justificación para la modificación, y porcentaje de incremento para atender su solicitud de 2do modificatorio
04/08 Adm solicita ampliar 25% del monto para las partidas 1,4,5,11,14 y15      (218,805.44 MÁS iva
</t>
    </r>
    <r>
      <rPr>
        <b/>
        <sz val="11"/>
        <color rgb="FFFF0000"/>
        <rFont val="Calibri"/>
        <family val="2"/>
        <scheme val="minor"/>
      </rPr>
      <t>11/08 proveedor se niega a firmar 2do modificatorio, toda vez que aumentaron los precios y no es posible mantener los mismos, se informa al administrador mediante oficio</t>
    </r>
    <r>
      <rPr>
        <sz val="11"/>
        <color theme="1"/>
        <rFont val="Calibri"/>
        <family val="2"/>
        <charset val="1"/>
        <scheme val="minor"/>
      </rPr>
      <t xml:space="preserve"> 3217 y se solictará a la DGAJ cancelación del 2do Modific
19/10 solicita adm terminación por mutuo consentimiento</t>
    </r>
  </si>
  <si>
    <t xml:space="preserve">I. -Sustitución de anexo técnico por sustitución de bienes de las partidas 11,13 y 14 
II. -Se solicita Terminación por mutuo consentimiento
</t>
  </si>
  <si>
    <t xml:space="preserve">31/03/2022
22/10/2022
</t>
  </si>
  <si>
    <t>Agosto
Octubre</t>
  </si>
  <si>
    <t>Contrato formalizad 25/03
1ER MODIFIC FORMALIZADO 06/04
TERMINACIÓN X MUTUO CONSENTIMIENTO FORMALIZADO 31/10/2022</t>
  </si>
  <si>
    <t>COBV8806138CA</t>
  </si>
  <si>
    <t>24/02/2022
19/10/2022</t>
  </si>
  <si>
    <t>28/02/2022
19/10/2022</t>
  </si>
  <si>
    <t>01/03/2022
24/10/2022</t>
  </si>
  <si>
    <t>16/03/2022
05/04/2022
22/10/2022</t>
  </si>
  <si>
    <t>02/03/2022
01/04/2022
26/10/2022</t>
  </si>
  <si>
    <t>ADQ/DGRMSG/044/03/22</t>
  </si>
  <si>
    <t>Adquisición de bienes Recurrentes (Partida 8)</t>
  </si>
  <si>
    <t>Contrato formalizado con FC 10/03</t>
  </si>
  <si>
    <t>SERV/DGRMSG/045/03/22</t>
  </si>
  <si>
    <t>Segunda Sesión Ordinaria del Comité 25 de febrero</t>
  </si>
  <si>
    <t>Servicio de operación de los 4 niveles de estacionamiento de la Nueva Sede y los 4 sótanos del inmueble de Donceles No. 14 de "EL SENADO", a través de operarios que manejen los equipos elevautos y elevador, así como brinden apoyo a los usuarios del estacionamiento para ubicar los vehículos</t>
  </si>
  <si>
    <t>Contrato formalizado con FC Y PRC 25/03</t>
  </si>
  <si>
    <t>ADQ/DGRMSG/047/03/22</t>
  </si>
  <si>
    <t>TQRA tusalud, S. de R.L. de C.V.</t>
  </si>
  <si>
    <t>Pruebas de antígeno para la detección de COVID-19 FIA SARS COV-2 y pruebas de detección de antígeno (Ag) de SARS COV-2  (50 cajas/25 pruebas y 450/25)</t>
  </si>
  <si>
    <t>Formalizado contrato y FC en tesorería 08/03</t>
  </si>
  <si>
    <t>ADQ/DGRMSG/048/03/22</t>
  </si>
  <si>
    <t>SEN/DGRMSG/L019/2022</t>
  </si>
  <si>
    <t>Suministro de materiales de limpieza, ejercicio 2022 (partida 2)</t>
  </si>
  <si>
    <t>Formalizado con FC 14/03</t>
  </si>
  <si>
    <t>SERV/DGRMSG/049/03/22</t>
  </si>
  <si>
    <t>Instalación en la nube, configuración y puesta en operación del servicio denominado "Portal de recepción", para la recepción y validación de facturas electrónicas CFDI, así como un monitor automático de cancelaciones de estas, que incluya soporte técnico y mantenimiento</t>
  </si>
  <si>
    <t xml:space="preserve">
28/02/2023</t>
  </si>
  <si>
    <t>04/11 administrador solicitó ampliación de vigencia y monto
07/11 se solicita a la DGAJ Modificatorio</t>
  </si>
  <si>
    <t>Ampliación de vigencia al 28/02/2023, e incremento en el monto por $364,000.10</t>
  </si>
  <si>
    <t>Formalizado con FC 14/03
Modif  formalizado 23/11/22</t>
  </si>
  <si>
    <t>DET080304395</t>
  </si>
  <si>
    <t>11/03/2022
16/11/2022</t>
  </si>
  <si>
    <t>SERV/DGRMSG/050/03/22</t>
  </si>
  <si>
    <t>Servicios de Producción de la serie denominada "Cámara Alta"</t>
  </si>
  <si>
    <t>19/10 Adm solicita ampliación del monto por $750,508.00 más IVA
22/11 Adm solicita terminación del contrato por cumplimiento del objeto</t>
  </si>
  <si>
    <t>I.- Incremento en el monto por $750,508.00 más IVA
II.- Terminación del contrato por cumplimiento del objeto</t>
  </si>
  <si>
    <t>24/10/2022
24/11/2022</t>
  </si>
  <si>
    <t>Octubre
Noviembre</t>
  </si>
  <si>
    <t>Contrato formalizado con FC 16/03
Modif formalizado con endoso de FC 09/11/22 
Convenio de terminación formalizado 05/12/22</t>
  </si>
  <si>
    <t>25/02/2022
19/10/2022</t>
  </si>
  <si>
    <t>01/03/2022
24/10/2022
28/11/2022</t>
  </si>
  <si>
    <t>07/03/2022
27/10/2022
30/11/2022</t>
  </si>
  <si>
    <t>03/03/2022
26/10/2022
29/11/2022</t>
  </si>
  <si>
    <t>SERV/DGRMSG/051/03/22</t>
  </si>
  <si>
    <t>SEN/DGRMSG/INV014/2022</t>
  </si>
  <si>
    <t>Ambiente Paisajismo y Ojo de Agua, S. de R.L. de C.V.</t>
  </si>
  <si>
    <t>Servicio de mantenimiento, reforestación, fumigación, limpieza, suministro de plantas y macetas para los inmuebles ocupados por la Cámara de Senadores</t>
  </si>
  <si>
    <t>12/12 administrador solicita ampliación de vigencia y monto</t>
  </si>
  <si>
    <t>Ampliación de vigencia al 28/02/2023, e incremento en el monto del 25%</t>
  </si>
  <si>
    <t>CONTRATO FORMALIZADO CON FC Y PRC 16/03
Modificatorio formalizado con endosos 17/01/23</t>
  </si>
  <si>
    <t>APO091016E94</t>
  </si>
  <si>
    <t>16/03/2022
21/12/2022</t>
  </si>
  <si>
    <t>10/03/2022
19/12/2022</t>
  </si>
  <si>
    <t>ADQ/DGRMSG/052/03/22</t>
  </si>
  <si>
    <t xml:space="preserve">Sergio </t>
  </si>
  <si>
    <t>Campos</t>
  </si>
  <si>
    <t>Arias</t>
  </si>
  <si>
    <t>Suministrto de materiales de limpieza, ejercicio 2022 (partidas 1, 3, 4 y 5)</t>
  </si>
  <si>
    <t>03/10 Se solicita a la DGAJ incremento del 25% para la partida 5</t>
  </si>
  <si>
    <t>Incremento del 25% para la partida 5 jarcieria</t>
  </si>
  <si>
    <t>Contrato formalizado con FC 24/03
26/10 Modificatorio formalizado con endosos en tesoreria 26/10</t>
  </si>
  <si>
    <t>CAAS8701164H6</t>
  </si>
  <si>
    <t>16/03/2022
18/10/2022</t>
  </si>
  <si>
    <t>10/03/2022
18/10/2022</t>
  </si>
  <si>
    <t>SERV/DGRMSG/053/03/22</t>
  </si>
  <si>
    <t>SEN/DGRMSG/INV016/2022</t>
  </si>
  <si>
    <t>ServicioS de mantenimiento preventivo mensuales para el sistema de audio y voceo general y el Sistema Emergente de voceo del Parque Luis Pasteur, así como la mano de obra de los mantenimientos correctivos sin refacciones que se llevarán a cabo en el edificio ubicado en Paseo de la Reforma No. 135, Col. Tabacalera, C.P. 06030, Alcaldía Cuauhtémoc, Ciudad de México (2da vuelta)</t>
  </si>
  <si>
    <t>19/12 adm solicita incremento en vigencia y monto
20/12 SSE SOLICITA MODIF A LA DGAJ</t>
  </si>
  <si>
    <t>Incremento del monto y ampliación de vigencia al 16/3/23</t>
  </si>
  <si>
    <t>contrato formalizado  con FC y PRC  04/04
Modific formalizado con garantías 16/02/23</t>
  </si>
  <si>
    <t>AV&amp;C060117UX0</t>
  </si>
  <si>
    <t>08/03/2022
26/12/2022</t>
  </si>
  <si>
    <t>17/03/2022
19/01/2023</t>
  </si>
  <si>
    <t>10/03/2022
18/01/2023</t>
  </si>
  <si>
    <t>SERV/DGRMSG/054/03/22</t>
  </si>
  <si>
    <t>1er. Sesión Extraordinaria Comité 04 de marzo</t>
  </si>
  <si>
    <t>Contrato formalizado con FC y PRC 21/4</t>
  </si>
  <si>
    <t>SERV/DGRMSG/055/03/22</t>
  </si>
  <si>
    <t>ATENTA NOTA NUM. DGRMSG/UAT/LXV/0228/22 22 FEB</t>
  </si>
  <si>
    <t>Gas Metropolitano, S.A. de C.V.</t>
  </si>
  <si>
    <t>Servicio de suministro de gas L.P. licuado para la recarga de dos tanques estacionarios de 5,000 litros cada uno instalados en el inmueble de la Sede de Av. Paseo de la Reforma 135, así como el de un tanque de 500 litros del Inmueble de Madrid # 35 de la Cámara de Senadores</t>
  </si>
  <si>
    <t>Contrato formalizado con FC Y PRC 06/04</t>
  </si>
  <si>
    <t>GME540707CD1</t>
  </si>
  <si>
    <t>ADQ/DGRMSG/056/03/22</t>
  </si>
  <si>
    <t>SEN/DGRMSG/INV017/2022</t>
  </si>
  <si>
    <t>Suministro de diversos materiales de esmaltes, selladores y recubrimientos especiales 2022 (Partidas 1,2,3,4,5,7,8 y 9)</t>
  </si>
  <si>
    <t xml:space="preserve">19/10 Adm, solicita ampliación del 25% en el monto máximo de las partidas 1,2,3,4,5,7,8 y 9 $156740.38 más iva
17 y 18 de Nov  Adm solicita Terminación por cumplimiento del objeto
29/11 se solicita a la DGAJ  Terminación
</t>
  </si>
  <si>
    <t>I.- Incremento del 25% en el monto máximo de las partidas: 1,2,3,4,5,7,8 y 9
II.- Convenio de Terminación por cumplimiento de objeto</t>
  </si>
  <si>
    <t>24/10/2022
05/12/2022</t>
  </si>
  <si>
    <t>Contrato formalizado con FC 24/03
Modif formalizado con endoso de FC 09/11/22
Convenio de Terminación formalizado 13/12/22</t>
  </si>
  <si>
    <t>04/03/2022
19/10/2022</t>
  </si>
  <si>
    <t>07/03/2022
19/10/2022</t>
  </si>
  <si>
    <t>10/03/2022
24/10/2022</t>
  </si>
  <si>
    <t>17/03/2022
31/10/2022
12/12/2022</t>
  </si>
  <si>
    <t>15/03/2022
26/10/2022
05/12/2022</t>
  </si>
  <si>
    <t>ADQ/DGRMSG/057/03/22</t>
  </si>
  <si>
    <t>SEN/DGRMSG/L017/2022</t>
  </si>
  <si>
    <t>Dirección de Control Patrimonial/ Unidad de Eventos</t>
  </si>
  <si>
    <t xml:space="preserve">Consumibles de cafetería, café y agua embotellada (Partida 3, del Apartado A)
y consumibles de cafetería, café y agua embotellada (Partida 1, del Apartado B) 
</t>
  </si>
  <si>
    <t>12/07 proveedor solicita sustitución de uno de los bienes adjudicados, se solicita se pronuncie administrador mediante oficio DA 2758</t>
  </si>
  <si>
    <t>Solicitud de cambio de anexo (11 hojas)</t>
  </si>
  <si>
    <t>Contrato formalizado con FC  06/04
Modificatorio formalizado 11/08</t>
  </si>
  <si>
    <t xml:space="preserve">16/03/2022
26/07/2022
</t>
  </si>
  <si>
    <t>ADQ/DGRMSG/058/03/22
Convenio de Terminación Anticipada</t>
  </si>
  <si>
    <t>Ricardo Sinuhé</t>
  </si>
  <si>
    <t>Macías</t>
  </si>
  <si>
    <t>Esteban</t>
  </si>
  <si>
    <t>Consumibles de cafetería, café y agua embotellada (Partida 4, del Apartado A)</t>
  </si>
  <si>
    <t>31/12/2022
15/09/2022</t>
  </si>
  <si>
    <r>
      <t xml:space="preserve">22/8 Se solicita a la DGAJ Rescisión  del contrato por incumplimiento
24/8 SE LE INFORMA AL ÁREA QUE DGAJ SOLICITA ELEMENTOS SUFICIENTES PARA EL PROCEDIMIENTO QUE SOLICITA
29/08 SE REMITE INFORMACIÓN SOLICITADA POR DGAJ, PARA PROCEDER CON MODIF.   
</t>
    </r>
    <r>
      <rPr>
        <sz val="11"/>
        <color rgb="FFFF0000"/>
        <rFont val="Calibri"/>
        <family val="2"/>
        <scheme val="minor"/>
      </rPr>
      <t>02/09 la DGAJ recomienda terminación  anticipada, por lo cual solicita remitir la aceptación del proveedor así como demás documentación de sustento.</t>
    </r>
    <r>
      <rPr>
        <sz val="11"/>
        <color theme="1"/>
        <rFont val="Calibri"/>
        <family val="2"/>
        <charset val="1"/>
        <scheme val="minor"/>
      </rPr>
      <t xml:space="preserve"> 
08/09 se remite a la DGAJ documentación que envia el adm del contrato para la terminación anticipada
13/09 se solicita nuevamente al adm indique si existen pagos pendientes, fecha de la T.A. y monto de pena convencional  Pena convencional de (el monto ejercido se verifico con Robert) 20/09</t>
    </r>
  </si>
  <si>
    <t>Convenio de Terminación Anticipada</t>
  </si>
  <si>
    <t>Contrato formalizado  con FC  29/03
26/09 Terminación Anticipada formalizada en tesorería</t>
  </si>
  <si>
    <t>MAER8407181K1</t>
  </si>
  <si>
    <t xml:space="preserve">22/03/2022
23/09/2022
</t>
  </si>
  <si>
    <t>22/03/2022
21/09/2022</t>
  </si>
  <si>
    <t>ADQ/DGRMSG/059/03/22</t>
  </si>
  <si>
    <t>Consumibles de cafetería, café y agua embotellada (Partidas 1 y 2, del Apartado A)</t>
  </si>
  <si>
    <t>contrato formalizado  con FC 04/04</t>
  </si>
  <si>
    <t>CMO111004CI3</t>
  </si>
  <si>
    <t>SERV/DGRMSG/060/03/22</t>
  </si>
  <si>
    <t>Servicio de mantenimiento preventivo a los equipos contra incendios de los cuartos de bombas y mantenimiento preventivo a red PCI</t>
  </si>
  <si>
    <t>contrato formalizado  con FC y PRC  04/04</t>
  </si>
  <si>
    <t>SERV/DGRMSG/061/03/22</t>
  </si>
  <si>
    <t>330/LXV/DMBMI/2022</t>
  </si>
  <si>
    <t>Soluciones y Suministros Frimar, S.A. de C.V.</t>
  </si>
  <si>
    <t>23/11 Adm solicita ampliación al monto máximo por un 25%
25/11 se solicita a la DGAJ modificatorio</t>
  </si>
  <si>
    <t>Incremento del 25% al monto maximo, sustituyendo anexo</t>
  </si>
  <si>
    <t>Contrato formalizado  con FC  29/03
Modificatorio formalizado con endosos 28/12/22</t>
  </si>
  <si>
    <t>SSF1602027M1</t>
  </si>
  <si>
    <t>24/03/2022
06/12/2022</t>
  </si>
  <si>
    <t>18/03/2022
01/12/2022</t>
  </si>
  <si>
    <t>ADQ/DGRMSG/063/03/22</t>
  </si>
  <si>
    <t>SEN/DGRMSG/INV022/2022</t>
  </si>
  <si>
    <t>Suministro de material eléctrico, hidrosanitario y de tablaroca para los inmuebles de Madrid y Centro Histórico 2022 (Partidas 1,2,3,4,5,6 y 7)</t>
  </si>
  <si>
    <t>18/10 Adm. Solicita 25% de incremento en el monto de las partidas 1,2,3,4,5,6,y 7</t>
  </si>
  <si>
    <t>Solicitud de incremento del 25% para las partidas 1,2,3,4,5,6 y 7</t>
  </si>
  <si>
    <t>Contrato formalizado con FC 07/04
Modif formalizado con endoso de FC 09/11/22</t>
  </si>
  <si>
    <t>11/03/2022
19/10/2022</t>
  </si>
  <si>
    <t>17/03/2022
24/10/22</t>
  </si>
  <si>
    <t>23/03/2022
27/10/2022</t>
  </si>
  <si>
    <t>18/03/2022
27/10/2022</t>
  </si>
  <si>
    <t>SERV/DGRMSG/065/03/22</t>
  </si>
  <si>
    <t>SGSA/LXV/0517/22 10 DE MARZO</t>
  </si>
  <si>
    <t>Editores - Libreros, S.A. de C.V.</t>
  </si>
  <si>
    <t>Impresión de 3,000 ejemplares de la obra "Constitución del pueblo de México: su actualidad y trayectoria 1917-2022"</t>
  </si>
  <si>
    <t>F. ANTICIPO 100%</t>
  </si>
  <si>
    <t>Contrato formalizado con FC 29/03</t>
  </si>
  <si>
    <t>EGL140814RDA</t>
  </si>
  <si>
    <t>SERV/DGRMSG/066/03/22</t>
  </si>
  <si>
    <t>421/LXV/DMBMI/2022</t>
  </si>
  <si>
    <t>MERCB2B, S.A. DE C.V.</t>
  </si>
  <si>
    <t>Servicio de mantenimiento preventivo y/o correctivo con refacciones a los equipos de oficina de los inmuebles del Senado de la República, ejercicio 2022</t>
  </si>
  <si>
    <t xml:space="preserve">FC 15%
PRC 15%
</t>
  </si>
  <si>
    <t>9/12 adm solicita ampliación al monto maximo del 6%</t>
  </si>
  <si>
    <t xml:space="preserve">Incremento del 6% al monto total </t>
  </si>
  <si>
    <t>Contrato formalizado con FC y PRC 21/4
Modif formalizado con endosos 16/01/23</t>
  </si>
  <si>
    <t>CME1704101X5</t>
  </si>
  <si>
    <t>25/03/2022
16/12/2022</t>
  </si>
  <si>
    <t>24/03/2022
15/12/2022</t>
  </si>
  <si>
    <t>OP/DGRMSG/067/03/22</t>
  </si>
  <si>
    <t>SEN/DGRMSG/L021/2022</t>
  </si>
  <si>
    <t>Desmantelamiento, demolición, carga y acarreo de escombro del inmueble ubicado en Plaza de los Ferrocarriles 11</t>
  </si>
  <si>
    <t>FC 15%
PRC 15%
ANTICIPO 100%</t>
  </si>
  <si>
    <t>Contrato formalizado con fianza de anticipo en tesorería 04/04  FC Y PRC 08/04</t>
  </si>
  <si>
    <t>CMO160413RT5</t>
  </si>
  <si>
    <t>SERV/DGRMSG/069/03/22</t>
  </si>
  <si>
    <t>SEN/DGRMSG/INV025/2022</t>
  </si>
  <si>
    <t xml:space="preserve">Servicio de mantenimiento preventivo y correctivo con refacciones del sistema de traducción simultánea de la marca Bosch del Senado de la República </t>
  </si>
  <si>
    <t xml:space="preserve">FC 15%
PRC 20%
</t>
  </si>
  <si>
    <t>Contrato formalizado con Fc y PRC 25/04</t>
  </si>
  <si>
    <t>SERV/DGRMSG/070/04/22</t>
  </si>
  <si>
    <t>SEN/DGRMSG/L018/2022</t>
  </si>
  <si>
    <t>Servicio de mantenimiento preventivo y correctivo a 15 elevadores en el inmueble de Av. Paseo de la Reforma No. 135</t>
  </si>
  <si>
    <t>20/12 adm solicita ampliación de vigencia e incremento en monto</t>
  </si>
  <si>
    <t>Incremento en monto y ampliación de vigencia al 28/02/2023</t>
  </si>
  <si>
    <t>Contrato formalizado con FC y PRC 18/04
Modificat formalizado con endosos 30/1/23</t>
  </si>
  <si>
    <t>30/03/2022
26/12/2022</t>
  </si>
  <si>
    <t>05/04/2022
29/12/2022</t>
  </si>
  <si>
    <t>30/03/2022
27/12/2022</t>
  </si>
  <si>
    <t>ADQ/DGRMSG/071/04/22</t>
  </si>
  <si>
    <t>DGRMSG/DSA/LXV/296/2022</t>
  </si>
  <si>
    <t>Art. 21 VI</t>
  </si>
  <si>
    <t xml:space="preserve">López </t>
  </si>
  <si>
    <t>Papelería impresa: tarjetas de presentación; tarjetas de atentos saludos, hojas, tarjetas y sobres de diferentes medidas; folder kromecote, folder especial y sobres tipo bolsa para Senadoras y Senadores, Órganos de Gobierno, Unidades Parlamentarias, Administrativas y Técnicas</t>
  </si>
  <si>
    <t>31/10 solicitan ampliación de vigencia
01/11 mediante oficio se le solicita remitir formato de requisición actualizado</t>
  </si>
  <si>
    <t>Ampliación de vigencia al 28/02/2023</t>
  </si>
  <si>
    <t>Contrato formalizado con FC 25/04
Modif formalizado con Endoso 23/11/22</t>
  </si>
  <si>
    <t>LOFC700602BX1</t>
  </si>
  <si>
    <t>07/04/2022
23/11/2022</t>
  </si>
  <si>
    <t>05/04/2022
23/11/2022</t>
  </si>
  <si>
    <t>SERV/DGRMSG/072/04/22</t>
  </si>
  <si>
    <t>Tercera Sesión Ordinaria del Comité 25 de marzo</t>
  </si>
  <si>
    <t>Servicio de mantenimiento preventivo, correctivo y soporte técnico a 15 equipos UPS/BATERÍAS.</t>
  </si>
  <si>
    <t>21/04 se solicita a la DGAJ modificación por decremento y señalar servicio a 14 equipos en lugar de 15 
26/04 Se le solicita al área remita el dictamen correspondiente, toda vez que desprende justificacion de otro contrato del año 2021
27/04 Se remite a DGAJ reporte y dictamen correspondiente del contrato para el modificatorio
19/12 adm solicita 25% de incremento al monto máximo y ampliación de vigencia al 28/02/23</t>
  </si>
  <si>
    <t>I.- Modificación en el objeto en el número de equipos UPS/BATERIAS y realiza un decremento en los montos pactados  para quedar en $ Monto mínimo$ 1,578,182.40 y Máximo $2,411,956.87, así como sustitución del anexo
II.- Incremento del 25% al monto máximo y ampliación de vigencia al 28/02/23</t>
  </si>
  <si>
    <t>28/04/2022
23/12/2022</t>
  </si>
  <si>
    <t>Contrato formalizado con FC y PRC 08/04
Convenio Modificatorio formalizado con endoso de FC y PRC 17/05
2do Modif formalizado con endosos 26/01/23</t>
  </si>
  <si>
    <t>LBS050426184</t>
  </si>
  <si>
    <t>31/03/2022
26/12/2022</t>
  </si>
  <si>
    <t>05/04/2022
03/05/2022
02/01/2023</t>
  </si>
  <si>
    <t>01/04/2022
02/05/2022
27/12/2022</t>
  </si>
  <si>
    <t>SERV/DGRMSG/073/04/22</t>
  </si>
  <si>
    <t>Segunda Sesión Extraordinaria del Comité 31 de marzo</t>
  </si>
  <si>
    <t>Servicios Profesionales de un Director Responsable de Obra (DRO), y un Corresponsable en Seguridad Estructural (CSE), Ingeniero Arquitecto o Ingeniero Civil con autorización y registro otorgado por la Secretaría de Desarrollo Urbano y Vivienda (SEDUVI), para la revisión general del inmueble 135, para que éste cumpla con el Reglamento de Construcciones para el Distrito Federal y emita el dictamen respectivo, su responsiva para la Constancia de Seguridad Estructural y su registro ante la autoridad competente (Alcaldía Cuauhtémoc).</t>
  </si>
  <si>
    <t>Contrato formalizado con FC y PRC 03/05</t>
  </si>
  <si>
    <t>SERV/DGRMSG/074/04/22</t>
  </si>
  <si>
    <t>Sístemas Neumáticos de Envíos, S.A. de C.V.</t>
  </si>
  <si>
    <t>Servicio de mantenimiento preventivo y correctivo con refacciones al sistema neumático de envíos, marca AEROCOM, modelo AC-3000, en 160 mm de diámetro, instalado en el edificio de la Nueva Sede de la Cámara de Senadores</t>
  </si>
  <si>
    <t xml:space="preserve">FC 15%
PRC 30%
</t>
  </si>
  <si>
    <t>SNE8902146C0</t>
  </si>
  <si>
    <t>SERV/DGRMSG/076/04/22</t>
  </si>
  <si>
    <t>SEN/DGRMSG/L022/2022</t>
  </si>
  <si>
    <t>Servicio de mantenimiento preventivo y correctivo con refacciones de los equipos HVAC así como la sanitización y limpieza de ductos de aire acondicionado, instalados en los inmuebles de la Cámara de Senadores (COVID)</t>
  </si>
  <si>
    <t>06/07 se envía oficio 2657 al adm informando que es improcedente su requerimiento de convenio modificatorio, toda vez que debio establecerlo desde las bases de la licitación en base a respuesta de la opinión jurídica de DGAJ
09/11 Adm solicita incremento del 25% en monto con sustitución de anexo
04/12  adm solicita modific
05/12 se le informa al adm que debe remitir el anexo t, debidamente integrado
20/12 se solicita a la DGAJ que sustituya al adm del contrato por instrucciones del Mtro Farah
22/12se le solicita al adm validar formato de requsición para los importes</t>
  </si>
  <si>
    <t>I.- Incremento del 25% del monto máximo y sustitución de anexo
II.- Sustitución de anexo técnico de acuerdo a las cláusulas que proceda</t>
  </si>
  <si>
    <t>11/11/2022
19/12/2022</t>
  </si>
  <si>
    <t>Noviembre
Diciembre</t>
  </si>
  <si>
    <t>Contrato formalizado con FC 06/05
Modif formalizado 05/12/22
2do modif formalizado 28/12/22</t>
  </si>
  <si>
    <t>2do modif 19/12/22</t>
  </si>
  <si>
    <t>18/04/2022
18/11/2022
27/12/2022</t>
  </si>
  <si>
    <t>11/04/2022
15/11/2022
26/12/2022</t>
  </si>
  <si>
    <t>ADQ/DGRMSG/077/04/22</t>
  </si>
  <si>
    <t>Adquisición de Solución Antibacterial marca Germstar y accesorios (COVID)</t>
  </si>
  <si>
    <t>18/10 solicita área ampliación del 25% (375,000) IVA incluido</t>
  </si>
  <si>
    <t>Incremento del 25% del monto máximo y sustitución de anexo</t>
  </si>
  <si>
    <t>Contrato formalizado con FC 25/04
Modificatorio formalizado con endosos 07/11/2022</t>
  </si>
  <si>
    <t>31/03/2022
18/10/2022</t>
  </si>
  <si>
    <t>05/04/2022
19/10/2022</t>
  </si>
  <si>
    <t>07/04/2022
24/10/2022</t>
  </si>
  <si>
    <t>13/04/2022
31/10/2022</t>
  </si>
  <si>
    <t>11/04/2022
26/10/2022</t>
  </si>
  <si>
    <t>ADQ/DGRMSG/080/04/22</t>
  </si>
  <si>
    <t>SEN/DGRMSG/L020/2022</t>
  </si>
  <si>
    <t>Licenciamiento de Seguridad Cisco</t>
  </si>
  <si>
    <t>Contrato formalizado con FC 10/05</t>
  </si>
  <si>
    <t>ADQ/DGRMSG/081/04/22</t>
  </si>
  <si>
    <t>SEN/DGRMSG/L023/2022</t>
  </si>
  <si>
    <t>Adquisición de material para Rayos X correspondiente a la partida 6</t>
  </si>
  <si>
    <t>Contrato formalizado con FC 27/04</t>
  </si>
  <si>
    <t>SERV/DGRMSG/083/04/22</t>
  </si>
  <si>
    <t>SEN/DGRMSG/INV026/2022</t>
  </si>
  <si>
    <t>Servicio de mantenimiento preventivo a los equipos y accesorios que componen el sistema de detección de alarma de incendios instalado en la Sede de la Cámara de Senadores, ubicada en Av. Paseo de la Reforma No. 135, Col. Tabacalera, Alcaldía Cuauhtémoc, Ciudad de México, C.p. 06030.</t>
  </si>
  <si>
    <t>16/12 solicita adm incremento en monto y ampliación de vigencia
22/12 se le informa al Adm que la DGAJ hace comentarios para atender para estar en posibilidades de atender modificatorio
26/12 se envia a la DGAJ EL PERIODO CORRECTO PARA LA AMPLIACIÓN DEL MODIFICATORIO SOLICITADO</t>
  </si>
  <si>
    <t>Incremento en el monto y ampliación de vigencia al 28/02/23
26/12 SE SOLICITA</t>
  </si>
  <si>
    <t>Contrato formalizado con FC Y PRC 27/05
Modific formalizado con endosos 27/01/23</t>
  </si>
  <si>
    <t>25/04/2022
28/12/2022</t>
  </si>
  <si>
    <t>04/05/2022
19/01/2023</t>
  </si>
  <si>
    <t>28/04/2022
02/01/2023</t>
  </si>
  <si>
    <t>SERV/DGRMSG/084/04/22</t>
  </si>
  <si>
    <t>SEN/DGRMSG/L024/2022</t>
  </si>
  <si>
    <t>Servicios de conversión a formato digital, clasificación y almacenamiento del material audiovisual y fotográfico de la Coordinación de Comunicación Social</t>
  </si>
  <si>
    <t xml:space="preserve">FC 15%
PRC 15%
FVO 10%
</t>
  </si>
  <si>
    <t>Contrato formalizado con FC Y PRC 25/05</t>
  </si>
  <si>
    <t>SERV/DGRMSG/086/05/22</t>
  </si>
  <si>
    <t>Cuarta Sesión Ordinaria del Comité de Adquisiciones, Obras y Servicios 29 de abril</t>
  </si>
  <si>
    <t>Servicio de mensajería y paquetería Local, Nacional e Internacional para los Senadores y Senadoras, Comisiones Legislativas y Unidades Parlamentarias, Administrativas y Técnicas de la Cámra de Senadores</t>
  </si>
  <si>
    <t>14/12  adm solicita ampliar la vigencia al 28/02/23</t>
  </si>
  <si>
    <t>Ampliación de vigencia al 28/02/23</t>
  </si>
  <si>
    <t>Contrato formalizado con FC, PRC 02/06
Modificatorio formalizado con endosos 02/01/23</t>
  </si>
  <si>
    <t>25/05/2022
22/12/2022</t>
  </si>
  <si>
    <t>18/05/2022
20/12/2022</t>
  </si>
  <si>
    <t>SERV/DGRMSG/087/05/22</t>
  </si>
  <si>
    <t>Catorce Dias, S.A. de C.V.</t>
  </si>
  <si>
    <t>Servicios de Producción de la Serie "Los retratos con Patsy Carrillo""</t>
  </si>
  <si>
    <t>26/08 Adm solicita ampliación de vigencia al 21/09</t>
  </si>
  <si>
    <t>Ampliación de vigencia del 09 de mayo al 21 de septiembre 2022, sustituyendo anexo</t>
  </si>
  <si>
    <t>Contrato formalizado con FC Y PRC 27/05
Modificatorio formalizado 12/09/22</t>
  </si>
  <si>
    <t>04/05/2022
29/08/2022</t>
  </si>
  <si>
    <t>13/05/2022
02/09/2022</t>
  </si>
  <si>
    <t>06/05/2022
30/08/2022</t>
  </si>
  <si>
    <t>SERV/DGRMSG/088/05/22</t>
  </si>
  <si>
    <t>SEN/DGRMSG/INV029/2022</t>
  </si>
  <si>
    <t>Promad Soluciones Computarizadas, S.A. de C.V.</t>
  </si>
  <si>
    <t>Mantenimiento preventivo y correctivo a bienes informáticos propiedad del Senado (Partidas 1,2 y 3)</t>
  </si>
  <si>
    <t>Contrato formalizado con FC y PRc 09/06</t>
  </si>
  <si>
    <t>PSC971108KP3</t>
  </si>
  <si>
    <t>SERV/DGRMSG/089/05/22</t>
  </si>
  <si>
    <t>SEN/DGRMSG/INV034/2022</t>
  </si>
  <si>
    <t>Servicio de mantenimiento, mensual y mayor anual a plantas generadoras de energía eléctrica (plantas de emergencia) ubicadas en los inmuebles propiedad de la Cámara de Senadores (Partidas 1 y 2)</t>
  </si>
  <si>
    <t>21/12 adm solicita incremento al monto y ampliación de vigencia al 27/02/23</t>
  </si>
  <si>
    <t>Incremento en el monto y ampliación de vigencia al 27/02/23</t>
  </si>
  <si>
    <t>Contrato formalizado con FC y PRC 25/05
Modif formalizado con endosos 27/01/23</t>
  </si>
  <si>
    <t>12/05/2022
26/12/2022</t>
  </si>
  <si>
    <t>17/05/2022
29/12/2022</t>
  </si>
  <si>
    <t>16/05/2022
27/12/2022</t>
  </si>
  <si>
    <t>SERV/DGRMSG/090/05/22</t>
  </si>
  <si>
    <t>ATENTA NOTA NUM. DGRMSG/UAT/LXV/0436/22 MAY</t>
  </si>
  <si>
    <t>Servicio de mantenimiento preventivo y correctivo con soporte técnico a los sistemas de manejo de basura de la Sede de la Cámara de Senadores</t>
  </si>
  <si>
    <t>16/12 adm solicita incremento en el monto y ampliación de vigencia al 26/02/23</t>
  </si>
  <si>
    <t>Incremento en el monto y ampliación de vigencia al 26/02/23 y sustitución del Adm del contrato</t>
  </si>
  <si>
    <t>Contrato formalizado co FC y PRC 21/06
Modific formalizado con endosos 02/02/23</t>
  </si>
  <si>
    <t>13/05/2022
23/12/2023</t>
  </si>
  <si>
    <t>23/05/2022
10/01/2023</t>
  </si>
  <si>
    <t>17/05/2022
10/01/2023</t>
  </si>
  <si>
    <t>ADQ/DGRMSG/092/05/22</t>
  </si>
  <si>
    <t>LXV/SGSA/DGIT/0238/22</t>
  </si>
  <si>
    <t>Maya Hermanos, S.A. de C.V.</t>
  </si>
  <si>
    <t>Adquisición de bienes informáticos bajo demanda</t>
  </si>
  <si>
    <t>Contrato formalizado co FC  21/06</t>
  </si>
  <si>
    <t>MHE940121QP4</t>
  </si>
  <si>
    <t>ADQ/DGRMSG/093/05/22</t>
  </si>
  <si>
    <t>LXV/SGSA/DGIT/0243/22</t>
  </si>
  <si>
    <t>Art. 21 XIV y 73</t>
  </si>
  <si>
    <t>Licenciamiento de Software bajo esquema de suscripción o perpetuo</t>
  </si>
  <si>
    <t>SERV/DGRMSG/094/06/22</t>
  </si>
  <si>
    <t>SGSA/LXV/1060/22 del 25 de mayo</t>
  </si>
  <si>
    <t>Impresión de 300 ejemplares de la obra "Poder Legislativo"</t>
  </si>
  <si>
    <t>Contrato formalizado en Tesorería 09/06</t>
  </si>
  <si>
    <t>SERV/DGRMSG/095/06/22</t>
  </si>
  <si>
    <t>Quinta Sesión Ordinaria Comité 27 de mayo</t>
  </si>
  <si>
    <t>Jorge</t>
  </si>
  <si>
    <t>Servicios de Producción de la serie "Consonantes y más"</t>
  </si>
  <si>
    <t>Contrato formalizado en tesoreria con FC 15/06</t>
  </si>
  <si>
    <t>SERV/DGRMSG/096/06/22</t>
  </si>
  <si>
    <t xml:space="preserve">Sharon </t>
  </si>
  <si>
    <t>Negrete</t>
  </si>
  <si>
    <t>Servicios de Producción de la serie "WEB 4.0"</t>
  </si>
  <si>
    <t>Formalizado en tesorería 01/07.. No me copiaron julio me comentó</t>
  </si>
  <si>
    <t>NECS750917Q9A</t>
  </si>
  <si>
    <t>SERV/DGRMSG/097/06/22</t>
  </si>
  <si>
    <t>Servicios de Producción de la serie "Legisladores del México Contemporáneo"</t>
  </si>
  <si>
    <t>Contrato formalizado con FC y PRC 24/06</t>
  </si>
  <si>
    <t>ADQ/DGRMSG/098/06/22</t>
  </si>
  <si>
    <t>SEN/DGRMSG/INV037/2022</t>
  </si>
  <si>
    <t>Medical Care Group Abe, S.A. de C.V.</t>
  </si>
  <si>
    <t>Medicamentos, material de curación y material dental (Partidas 4,5 y 7)</t>
  </si>
  <si>
    <t>21/7 mediante oficio 2858, se solicita al área solicitante remitir justificación, anexo tecnico y propuesta economica para atender su solicitud de modificatorio
04/08 se solicitó modificatorio a la DGAJ
13/09 se remite al adm petición de prórroga por parte del proveedor 
21/09 Adm. acepta prórroga, no así el cambio de los Kit, ni Jeringa desechable 
22/09 se le informa al adm que precise el tiempo de prorroga mediante oficio
29/09 adm informa que la prorroga sera has el 30/11/22
12/10 se remite anexo de 30 hojas a la DGAJ para continuar con la elaboración del 2do modificatorio
16/11 Adm solicita 3er modificatorio, se solicita mediante oficio que envie justificación</t>
  </si>
  <si>
    <t>I.- Sustitución de Anexto I (Productos en listados en las partidas 4 y 7, no causan IVA)
II.- Solicitud de prórroga en la entrega de bienes
III.- Solicitud de decremento en  partida 5 e incremento en partida 7
IV.- 21/12   Solicitud de incremento del monto</t>
  </si>
  <si>
    <t>09/08/2022
13/10/2022
12/12/2022
23/12/2022</t>
  </si>
  <si>
    <t>Diciembre
Agosto
Octubre</t>
  </si>
  <si>
    <t xml:space="preserve">Contrato formalizado con FC 14/06/22
Modificatorio formalizado 23/08/2022
2do Modif formalizado 07/11/22
3er Modif formalizado 20/12/22
4to Modif formalizado con endosos 26/01/23
</t>
  </si>
  <si>
    <t>MCG151019GM6</t>
  </si>
  <si>
    <t>03/06/2022
26/12/2022</t>
  </si>
  <si>
    <t>04/11/2022
20/12/2022
20/12/2022
10/01/2023</t>
  </si>
  <si>
    <t xml:space="preserve">06/06/2022
12/08/2022
20/12/2022
27/12/2022
</t>
  </si>
  <si>
    <t>SERV/DGRMSG/099/06/22</t>
  </si>
  <si>
    <t>Imaginación y Mass, S. de R.L. de C.V.</t>
  </si>
  <si>
    <t>Servicios de Producción de la serie "Vivas, Libres y sin Miedo"</t>
  </si>
  <si>
    <t>IMA120507P85</t>
  </si>
  <si>
    <t>SERV/DGRMSG/100/06/22</t>
  </si>
  <si>
    <t>Comercializadora Amezfier, S.A. de C.V.</t>
  </si>
  <si>
    <t>Servicios de Producción de la serie "Golfo de México Origen y Futuro"</t>
  </si>
  <si>
    <t>6/6 se remite copia simple de instrumento notarial que solicita la DGAJ para estar en posibilidades de continuar con la elaboración del contrato</t>
  </si>
  <si>
    <t>CAM210617T71</t>
  </si>
  <si>
    <t>ADQ/DGRMSG/102/06/22</t>
  </si>
  <si>
    <t>Axtro Medic, S.A. de C.V.</t>
  </si>
  <si>
    <t>Equipo de ultrasonido Doppler color para aplicaciones de mama, músculo esqueleto y vascular</t>
  </si>
  <si>
    <t>FC 15% 
PRC 10%</t>
  </si>
  <si>
    <t>Contrato formalizado con FC y PRC 26/07</t>
  </si>
  <si>
    <t>ADQ/DGRMSG/103/06/22</t>
  </si>
  <si>
    <t>SEN/DGRMSG/L026/2022</t>
  </si>
  <si>
    <t>Separadores de aire del bombeo hidrónico de los sistemas de aire acondicionado de los inmuebles de Av. Paseo de la Reforma N° 135. de la Licitación referida  en la declaración 1.3.-</t>
  </si>
  <si>
    <t xml:space="preserve">F. Anticipo 100%
FC 15%
PRC 15%
FVO 10%
</t>
  </si>
  <si>
    <t>20%
$1,343,488.93 IVA INCLUIDO</t>
  </si>
  <si>
    <t>ADQ/DGRMSG/104/06/22</t>
  </si>
  <si>
    <t>SEN/DGRMSG/L028/2022</t>
  </si>
  <si>
    <t>Arquisofv, S.A. de C.V.</t>
  </si>
  <si>
    <t>Reductores de presión en las columnas de las tuberías de suministro de agua helada a los equipos de aire acondicionado de los 15 sites de cómputo de la Torre de Comisiones de la Sede de Av. Paseo de la Reforma No. 135. de la Licitación referida en la declaración 1.3.-</t>
  </si>
  <si>
    <t>20%
 $ 4,443,890.16
IVA INCLUIDO</t>
  </si>
  <si>
    <t>Contrato formalizado con FC Y PRC 05/07</t>
  </si>
  <si>
    <t>ARQ170208BS7</t>
  </si>
  <si>
    <t>ADQ/DGRMSG/105/06/22</t>
  </si>
  <si>
    <t>SGSA/DGRH/URLS/SPS/LXV/309/22</t>
  </si>
  <si>
    <t>Fajillas de vales de despensa de papel para empleadas de limpieza, mantenimiento y resguardo</t>
  </si>
  <si>
    <t>Contrato formalizado 01/07</t>
  </si>
  <si>
    <t>SERV/DGRMSG/106/06/22</t>
  </si>
  <si>
    <t>LXV/CCS/104/2022</t>
  </si>
  <si>
    <t>Servicio de mantenimiento preventivo y correctivo a equipos de edición, audio, sistemas de audio y video, circuito de televisión. Servicios complementarios de instalación en sistemas de audio y video y circuito cerrado de televisión   de la Coordinación de Comunicación Social de la Cámara de Senadores</t>
  </si>
  <si>
    <t>28/12 adm solicitó ampliación de vigencia al 17/02/23 e incremento en el monto</t>
  </si>
  <si>
    <t>Ampliación de vigencia al 17/02/23 e incremento en el monto</t>
  </si>
  <si>
    <t>Contrato formalizado con FC y PRC 07/07</t>
  </si>
  <si>
    <t>15/06/2022
02/01/2023</t>
  </si>
  <si>
    <t>23/06/2022
10/01/2023</t>
  </si>
  <si>
    <t>16/06/2022
05/01/2023</t>
  </si>
  <si>
    <t>ADQ/DGRMSG/107/06/22</t>
  </si>
  <si>
    <t>SEN/DGRMSG/INV039/022</t>
  </si>
  <si>
    <t>AS TEAS, S. DE R.L. DE C.V.</t>
  </si>
  <si>
    <t>Ropa y equipo de trabajo, para personal de diversas áreas de la Cámara de senadores (Partidas 2,6,10,11,y 14. )</t>
  </si>
  <si>
    <t xml:space="preserve">FC 15%
</t>
  </si>
  <si>
    <t>Contrato formalizado con FC 12/07</t>
  </si>
  <si>
    <t>ATE140303FJ7</t>
  </si>
  <si>
    <t>ADQ/DGRMSG/108/06/22</t>
  </si>
  <si>
    <t>Comercialización Hawa Laredo, S.A. de C.V.</t>
  </si>
  <si>
    <t>Ropa y equipo de trabajo, para personal de diversas áreas de la Cámara de senadores (Partidas 1,3,4,7,8,9,12,13 y 15.)</t>
  </si>
  <si>
    <t>Contrato formalizado con FC 04/07</t>
  </si>
  <si>
    <t>CHL100330MS0</t>
  </si>
  <si>
    <t>ADQ/DGRMSG/109/06/22</t>
  </si>
  <si>
    <t>Ropa y equipo de trabajo, para personal de diversas áreas de la Cámara de senadores (Partidas 16 y 17.)</t>
  </si>
  <si>
    <t>Contrato formalizado con FC 29/06</t>
  </si>
  <si>
    <t>SERV/DGRMSG/110/06/22</t>
  </si>
  <si>
    <t>0826/LXV/DMBMI/2022</t>
  </si>
  <si>
    <t>Integración de Servicios Arquitectónicos y de Ingeniería Gama, S.A. de C.V.</t>
  </si>
  <si>
    <t>Servicio de mantenimiento preventivo con refacciones a 3 plantas generadoras eléctricas marca Caterpillar modelo 3516B de 2000 kw de capacidad c/u, ubicadas en la azotea del nivel 7 del Hemiciclo norte (2) y en la azotea del nivel 6 de la Cuña (1).</t>
  </si>
  <si>
    <t>Contrato formalizado con FC y PRC 08/07/22</t>
  </si>
  <si>
    <t>ISA130301294</t>
  </si>
  <si>
    <t>OP/DGRMSG/111/06/22</t>
  </si>
  <si>
    <t>SEN/DGRMSG/INV038/2022</t>
  </si>
  <si>
    <t>Smart Proyectos y Tecnología, S.A. de C.V.</t>
  </si>
  <si>
    <t>Trabajos de remodelación de núcleo de sanitarios en planta alta y planta baja en edificio Xicoténcatl No. 9</t>
  </si>
  <si>
    <t xml:space="preserve">FC 15%
PRC 10%
FVO 10%
</t>
  </si>
  <si>
    <t>a jurídico 28/6</t>
  </si>
  <si>
    <t>28/07/2022 se solicita a la DGAJ modificatorio</t>
  </si>
  <si>
    <t>Decremento de precio para quedar en 1408,239.13 más IVA Y sustitución de anexo</t>
  </si>
  <si>
    <t>Contrato formalizada con FC y PRC 01/07
Modific formalizado 05/08</t>
  </si>
  <si>
    <t>SPT170201981</t>
  </si>
  <si>
    <t>24/06/2022
02/08/2022</t>
  </si>
  <si>
    <t>20/06/2022
29/07/2022</t>
  </si>
  <si>
    <t>ADQ/DGRMSG/112/06/22</t>
  </si>
  <si>
    <t>SEN/DGRMSG/L025/2022</t>
  </si>
  <si>
    <t>Equipos ups (Unidad de Respaldo de Energía), plantas de emergencia, transformadores reductores de voltaje para iluminación e interrruptores de seguridad y protección para Schiller, en inmuebles del Senado de la República</t>
  </si>
  <si>
    <t>SERV/DGRMSG/113/06/22</t>
  </si>
  <si>
    <t>1066/LXV/DMBMI/2022</t>
  </si>
  <si>
    <t>Servicio de instalación de membrana arquitectónica (incluye membrana y accesorios) complementaria a velaria existente en terraza de pasos perdidos dentro de las instalaciones del Senado de la República (Reforma 135)</t>
  </si>
  <si>
    <t xml:space="preserve">26/8 en la 8va Sesión Ordinaria del COMITÉ, autorizaron el decremento en el monto total </t>
  </si>
  <si>
    <t>Decremento en el monto total por $872,580.72 IVA INCLUIDO</t>
  </si>
  <si>
    <t>Contrato formalizada con FC y PRC 01/07
Modificatorio formalizado con endosos 21/09</t>
  </si>
  <si>
    <t>24/06/2022
05/09/2022</t>
  </si>
  <si>
    <t>22/06/2022
02/09/2022</t>
  </si>
  <si>
    <t>ADQ/DGRMSG/114/06/22</t>
  </si>
  <si>
    <t>SEN/DGRMSG/L030/2022</t>
  </si>
  <si>
    <t>Abastecedora y Distribuidora del Sureste García Hnos, S.A. de C.V.</t>
  </si>
  <si>
    <t>Material Recurrente para el edificio de Reforma No. 135 (Partidas: 5, 8, 14, 20, 21, 22 y 23)</t>
  </si>
  <si>
    <t>04/11 solicita el área incremento del 25% en monto máximo, se solicita a DGAJ</t>
  </si>
  <si>
    <t>Incremento del 25% del monto máximo, se sustituye anexo</t>
  </si>
  <si>
    <t>Contrato formalizado con FC 12/07
Modif formalizado con endosos 05/12</t>
  </si>
  <si>
    <t>ADS150602359</t>
  </si>
  <si>
    <t>11/07/2022
18/11/2022</t>
  </si>
  <si>
    <t>06/07/2022
17/11/2022</t>
  </si>
  <si>
    <t>ADQ/DGRMSG/115/06/22</t>
  </si>
  <si>
    <t>Material Recurrente para el edificio de Reforma No. 135 (Partidas: 3,7,10,12,13,17,24,25,26,28 y 29)</t>
  </si>
  <si>
    <t>Contrato formalizado con FC 15/7
Modificatorio formalizado con endoso de FC 30/11/22</t>
  </si>
  <si>
    <t>ICM040519GR9</t>
  </si>
  <si>
    <t>14/07/2022
17/11/2022</t>
  </si>
  <si>
    <t>11/07/2022
15/11/2022</t>
  </si>
  <si>
    <t>ADQ/DGRMSG/116/06/22</t>
  </si>
  <si>
    <t>Material Recurrente para el edificio de Reforma No. 135 (Partidas: 1,2,4,6,9,11,15,16,18,19 y 27)</t>
  </si>
  <si>
    <t>Contrato formalizado con FC 12/07
Modific formalizado con endoso de FC 05/12/22</t>
  </si>
  <si>
    <t>BASR880428MF6</t>
  </si>
  <si>
    <t>12/07/2022
15/11/2022</t>
  </si>
  <si>
    <t>01/07/2022
10/11/2022</t>
  </si>
  <si>
    <t>SERV/DGRMSG/117/06/22</t>
  </si>
  <si>
    <t>SEN/DGRMSG/INV035/2022</t>
  </si>
  <si>
    <t>Servicio de impermeabilización a base del sistema elastomérico de poliuretano y resinas acrílicas para la azotea de Hemiciclo en el inmueble de Reforma N° 135</t>
  </si>
  <si>
    <t>Contrato formalizado con FC y PRC 14/07</t>
  </si>
  <si>
    <t>EAP0000106BW7</t>
  </si>
  <si>
    <t xml:space="preserve">  </t>
  </si>
  <si>
    <t>SERV/DGRMSG/119/07/22</t>
  </si>
  <si>
    <t>SEN/DGRMSG/L036/2022</t>
  </si>
  <si>
    <t>Servicio de automatización y mejora de procesos y herramienta para la operación de la mesa de servicios de la Dirección General de Informática y Telecomunicaciones</t>
  </si>
  <si>
    <t xml:space="preserve">FC 15%
PRC 10%
</t>
  </si>
  <si>
    <t>Contrato formalizado con garantías 08/08</t>
  </si>
  <si>
    <t>SERV/DGRMSG/120/07/22</t>
  </si>
  <si>
    <t>SEN/DGRMSG/L033/2022</t>
  </si>
  <si>
    <t>Sustitución de equipo paquete existente de aire acondicionado y suministro e instalación de equipo redundante de 15t.r. para la sala de UPS ubicada en el sótano 4 del hemiciclo lado norte en la sede de Av. Paseo de la Reforma 135 Colonia Tabacalera, C.P.06030, Alcaldía Cuauhtémoc, Ciudad de México</t>
  </si>
  <si>
    <t xml:space="preserve">FC 15%
PRC 15%
FVO 10%
F. ANTICIPO 100%
</t>
  </si>
  <si>
    <t>22/7 SE REMITIERON 3 TANTOS DE CONTRATO, TODA VEZ QUE EL OBJETO DEL CONTRATO DICE 1.5 T.R., DEBIENDO SER 15T.T.</t>
  </si>
  <si>
    <t>Contrato formalizado con garantías 09/08</t>
  </si>
  <si>
    <t>SERV/DGRMSG/121/07/22</t>
  </si>
  <si>
    <t>MD/UTIG/411/2022</t>
  </si>
  <si>
    <t>María Yuriria</t>
  </si>
  <si>
    <t>Álvarez</t>
  </si>
  <si>
    <t xml:space="preserve">Madrid  </t>
  </si>
  <si>
    <t>Unidad Técnica para la Igualdad de Género del Senado de la República</t>
  </si>
  <si>
    <t>Servicio consistente en desarrollar un proyecto de investigación denominado: Armonización legislativa para garantizar el derecho de las mujeres, las niñas y las adolecentes a una vida libre de violencia en las 32 Entidades Federativas de la República Mexicana: Análisis y Recomendaciones</t>
  </si>
  <si>
    <t>Contrato formalizado en tesorería 25/07</t>
  </si>
  <si>
    <t>ADQ/DGRMSG/122/07/22
Convenio de Terminación</t>
  </si>
  <si>
    <t>SEN/DGRMSG/INV043/2022</t>
  </si>
  <si>
    <t>Osnaya</t>
  </si>
  <si>
    <t>Adquisición de mascarillas KN95 y cubrebocas tres capas para las y los Senadores y todo el personal que labora en las instalaciones del Senado de la República</t>
  </si>
  <si>
    <t>FC 15%
SE EXIMIÓ AL REALIZAR EL CONVENIO DE TERMINACIÓN</t>
  </si>
  <si>
    <t>27/07 Adm. Solicita se exima la FC, toda vez que se recibió a entera satisfacción la adquisición, por ende quedó sin objeto la garantía de cumplimiento, mediante ofico 2516 se solicita a DGAJ solicitando modificatorio
DGAJ INFORMA QUE ES IMPROCEDENTE UN CONVENIO MODIFICATORIO, POR LO QUE REALIZA CONVENIO DE TERMINACIÓN EXIMIENDO GARANTÍA</t>
  </si>
  <si>
    <t>Convenio de Terminación del Contrato por Cumplimiento del objeto</t>
  </si>
  <si>
    <t>Contrato Formalizado y  Convenio de Terminación de Contrato 03/08</t>
  </si>
  <si>
    <t>27/07/2022
02/08/2022</t>
  </si>
  <si>
    <t>22/07/2022
02/08/2022</t>
  </si>
  <si>
    <t>SERV/DGRMSG/123/07/22</t>
  </si>
  <si>
    <t>SEN/DGRMSG/L039/2022</t>
  </si>
  <si>
    <t>Cryptex Seguridad Privada Mexicana, S.A. de C.V.</t>
  </si>
  <si>
    <t>Servicio de medición de audiencia de programación del Canal del Congreso</t>
  </si>
  <si>
    <t>Contrato formalizado con FC 12/08</t>
  </si>
  <si>
    <t>SERV/DGRMSG/124/07/22</t>
  </si>
  <si>
    <t>Quinta Sesión Extraordinaria del Comité 21 de julio</t>
  </si>
  <si>
    <t>Contraloría Interna</t>
  </si>
  <si>
    <t>Desarrollo e implementación del Sistema de Análisis y Seguimiento de Declaraciones Patrimoniales</t>
  </si>
  <si>
    <t xml:space="preserve">FC 15%
PRC 15%
FVO 10%
</t>
  </si>
  <si>
    <t>Contrato formalizado con FC y PRC 05/08</t>
  </si>
  <si>
    <t>ADQ/DGRMSG/125/07/22</t>
  </si>
  <si>
    <t>SEN/DGRMSG/L035/2022</t>
  </si>
  <si>
    <t>Enfriador (intercambiador de calor) nuevo para enfriamiento redundante para mantenimiento al equipo interceptor de presión del sistema de aire acondicionado ubicado en el piso 6 de la Torre de Comisiones en el inmueble de Av. Paseo de la Reforma No. 135</t>
  </si>
  <si>
    <t>637388.2
100%</t>
  </si>
  <si>
    <t>Contrato formalizado con Fianza de Anticipo 04/08</t>
  </si>
  <si>
    <t>SERV/DGRMSG/126/07/22</t>
  </si>
  <si>
    <t>SEN/DGRMSG/INV042/2022</t>
  </si>
  <si>
    <t>Sustitución de 8 Telas Barrisol nuevas y servicio de mantenimiento a 11 Telas Barrisol (plafones iluminados) para el inmueble de Reforma 135 de la Cámara de Senadores</t>
  </si>
  <si>
    <t xml:space="preserve">FC 15%
PRC 15%
</t>
  </si>
  <si>
    <t>Contrato formalizado con FC y PRc 11/08</t>
  </si>
  <si>
    <t>SERV/DGRMSG/128/08/22</t>
  </si>
  <si>
    <t>7a. Sesión Ordinaria del Comité 29 de julio 2022</t>
  </si>
  <si>
    <t>Servicio del Programa de Postgrados On Line para Las y Los Servidores Públicos del Senado de la República</t>
  </si>
  <si>
    <t>Contrato formalizado 29/08/22</t>
  </si>
  <si>
    <t>SERV/DGRMSG/129/08/22</t>
  </si>
  <si>
    <t>7a. Sesión Ordinaria del Comité 29 de julio 2022 OPINIÓN</t>
  </si>
  <si>
    <t>Epsilonpi Ingeniería en Sistemas Estructurales y Protección Civil, S.A. de C.V.</t>
  </si>
  <si>
    <t>Análisis, Revisión Física, Numérica y Dictamen de los Elementos Estructurales del Edificio Hemiciclo ubicado en la Sede del Senado de la República</t>
  </si>
  <si>
    <t>Contrato y FC Formalizado 24/08/22</t>
  </si>
  <si>
    <t>ADQ/DGRMSG/131/08/22</t>
  </si>
  <si>
    <t>SEN/DGRMSG/INV048/2022</t>
  </si>
  <si>
    <t>Licenciamiento Webex para eventos, para una capacidad de asistentes a un mismo evento de hasta 10,000 participantes</t>
  </si>
  <si>
    <t>Contrato formalizado con Fc 01/09</t>
  </si>
  <si>
    <t>ADQ/DGRMSG/132/08/22</t>
  </si>
  <si>
    <t>DGSM/ 541/ 22</t>
  </si>
  <si>
    <t>Medisalud MLR, S. de R.L. de C.V.</t>
  </si>
  <si>
    <t>Adquisición de medicamentos orales, óticos y otros</t>
  </si>
  <si>
    <t>ADQ/DGRMSG/133/08/22</t>
  </si>
  <si>
    <t>SEN/DGRMSG/INV049/2022</t>
  </si>
  <si>
    <t>Adquisición e instalación de una antena automatizada para bajar señales satelitales (segunda vuelta)</t>
  </si>
  <si>
    <t>Contrato formalizado con FC 19/09</t>
  </si>
  <si>
    <t>OP/DGRMSG/135/09/22</t>
  </si>
  <si>
    <t>7a Sesión Extraordinaria del Comité del 19 de agosto 2022</t>
  </si>
  <si>
    <t>Restaura Conservación Inmueble, S.A. de C.V.</t>
  </si>
  <si>
    <t>Segunda etapa restauración y conservación del interior de la antigua Sede del Senado del inmueble de Xicoténcatl No. 9 y restauración de fachadas, mural y cantera del vestíbulo en P.B. en el inmueble de Donceles No. 14.</t>
  </si>
  <si>
    <t xml:space="preserve">FC 15%
PRC 10%
ANTICIPO 100%
FVO 10%
</t>
  </si>
  <si>
    <t>21/12 SE SOLICITA MODIFICATORIO PARA INCREMENTO DEL MONTO Y CAMBIO DEL ADM DEL CONTRATO</t>
  </si>
  <si>
    <t>Incremento en el monto y sustitución de Adm</t>
  </si>
  <si>
    <t>Contrato formalizado con F.Anticipo 12/09
Modific formalizado con endosos 02/01/23</t>
  </si>
  <si>
    <t>01/09/2022
26/12/2022</t>
  </si>
  <si>
    <t>06/09/2022
29/12/2022</t>
  </si>
  <si>
    <t>06/09/2022
27/12/2022</t>
  </si>
  <si>
    <t>SERV/DGRMSG/136/09/22</t>
  </si>
  <si>
    <t>SEN/DGRMSG/L043/2022</t>
  </si>
  <si>
    <t>Servicio de implementación de la Oficina de Control de Proyectos (2da. Vulta)</t>
  </si>
  <si>
    <t>Contrato formaliza con FC y PRC</t>
  </si>
  <si>
    <t>SERV/DGRMSG/137/09/22</t>
  </si>
  <si>
    <t>8° Sesión Ordinaria COMITÉ 26 de agosto</t>
  </si>
  <si>
    <t>Dirección de Protección Civil de la DGRP</t>
  </si>
  <si>
    <t>Servicio de consultoría y asesoría para la actualización del programa interno de protección civil de los inmuebles de la Cámara de Senadores para el ejercicio 2023, así como la capacitación para las brigadas institucionales y elaboración de simulacros</t>
  </si>
  <si>
    <t>Contrato formalizado con FC y PRC 15/09</t>
  </si>
  <si>
    <t>SERV/DGRMSG/138/09/22</t>
  </si>
  <si>
    <t>Griselda</t>
  </si>
  <si>
    <t xml:space="preserve">Romero </t>
  </si>
  <si>
    <t>Servicios de producción de la serie "Las rápidas del Congreso"</t>
  </si>
  <si>
    <t>Solicitud de sustitución de anexo técnico</t>
  </si>
  <si>
    <t>Sustitución de anexo técnico</t>
  </si>
  <si>
    <t>Contrato formalizado con FC  15/09
Modificatorio formalizado en tesoreria 29/09</t>
  </si>
  <si>
    <t>06/09/2022
29/09/2022</t>
  </si>
  <si>
    <t>05/09/2022
27/09/2022</t>
  </si>
  <si>
    <t>SERV/DGRMSG/140/09/22</t>
  </si>
  <si>
    <t>SEN/DGRMSG/L045/2022</t>
  </si>
  <si>
    <t>Sistema de control de acceso para personal del Senado y visitantes (2da vuelta)</t>
  </si>
  <si>
    <t>Contrato formalizado con FC y PRC 23/09</t>
  </si>
  <si>
    <t>SERV/DGRMSG/141/09/22</t>
  </si>
  <si>
    <t>SEN/DGRMSG/L047/2022</t>
  </si>
  <si>
    <t>Sustitución de  tubería de PVC por acero al carbón en cabezales de chiller en nivel 7 de Hemiciclo en el inmueble de Reforma No. 135, 3ra vuelta.</t>
  </si>
  <si>
    <t xml:space="preserve">FA 100%
FC 15%
PRC 15%
FVO 10%
</t>
  </si>
  <si>
    <t>Contrato formalizado con FC y PRC 05/10/22</t>
  </si>
  <si>
    <t>ADQ/DGRMSG/143/10/222</t>
  </si>
  <si>
    <t>LXV/SGSA/DGIT/0512/22</t>
  </si>
  <si>
    <t>Art. 21 XIII y 97</t>
  </si>
  <si>
    <t>Soluciones Corporativas COMSUR, S.C.</t>
  </si>
  <si>
    <t>Adquisición de Servidores de Datos</t>
  </si>
  <si>
    <t>Contrato formalizado con fc y prc 07/11/2022</t>
  </si>
  <si>
    <t>SERV/DGRMSG/144/10/22</t>
  </si>
  <si>
    <t>9° Sesión Extraordinaria del Comité 06 de octubre</t>
  </si>
  <si>
    <t>Servicios Profesionales de un Director Responsable de Obra (DRO), de un Corresponsable en Seguridad Estructural (CSE) y de un Corresponsable en Instalaciónes (CI). (Ingeniero Arquitecto o Ingeniero Civil con autorización y registro otorgado por el Instituto para la Seguridad de las Construcciones de la Ciudad de México y por la Secretaría de Desarrollo Urbano y Vivienda), para la revisión general de los inmuebles y sus instalaciones del Teatro de la República y Cerro del Chiquihuite (Constancia de Seguridad Estructural y Aviso de Visto Bueno de Seguridad y Operación) y de Xicoténcatl 9, Donceles 27, Donceles 14, Madrid 37, Madrid 62, (Aviso de Visto Bueno de Seguridad y Operación, a fin de que los citados inmuebles cumplan con la Normatividad del Municipio de Querétaro respecto del Teatro de la República y con el Reglamento de Construcciones para el Distrito Federal para los inmuebles ubicados en la Ciudad de México, y se emita el dictamen respectivo, la responsiva para la Constancia de Seguridad Estructural y el Aviso de Visto Bueno de Seguridad y Operación y su registro ante la autoridad competente</t>
  </si>
  <si>
    <t>SERV/DGRMSG/145/10/22</t>
  </si>
  <si>
    <t>Servicio de mantenimiento preventivo y/o correctivo con refacciones a la unidad de mastografía digital marca Hologic de la Cámara de Senadores</t>
  </si>
  <si>
    <t>Contrato formalizado con garantías 01/11/22</t>
  </si>
  <si>
    <t>SERV/DGRMSG/147/10/22</t>
  </si>
  <si>
    <t>SGSA/DGRP/LXV/363/22</t>
  </si>
  <si>
    <t>Servicio de seguridad y vigilancia las 24 horas del día, todos los días  del año, intramuros, del inmueble Teatro de la República del Estado de Querétaro para el ejercicio 2023</t>
  </si>
  <si>
    <t>Contrato formalizado con garantías 20/01/23</t>
  </si>
  <si>
    <t>SERV/DGRMSG/148/11/22</t>
  </si>
  <si>
    <t>Décima Sesión Ordinaria del COMITÉ 28/10/22</t>
  </si>
  <si>
    <t>Administradora y Operadora de Beneficios, S.A. de C.V.</t>
  </si>
  <si>
    <t>Dirección General de recursos Humanos</t>
  </si>
  <si>
    <t>Servicio de apoyo en el análisis y verificación fiscal y administrativa de los importes del Impuesto Sobre la Renta contenidos en los comprobantes fiscales digitales de nómina (CFDI) correspondientes a los sueldos y salarios y por concepto de honorarios asimilados a salarios contra los importes del Impuesto Sobre la Renta contenidos en las delcaraciones de pago realizadas ante la autoridad Hacendaria</t>
  </si>
  <si>
    <t>Contrato formalizado con FC 14/11/22</t>
  </si>
  <si>
    <t>ADQ/DGRMSG/151/11/22</t>
  </si>
  <si>
    <t>SEN/DGRMSG/INV056/2022</t>
  </si>
  <si>
    <t>Archiveros tipo gaveta deslizable tamaño oficio alta para carpeta Lefort</t>
  </si>
  <si>
    <t>Contrato formalizado 23/11/22</t>
  </si>
  <si>
    <t>SERV/DGRMSG/152/11/22</t>
  </si>
  <si>
    <t>SEN/DGRMSG/INV051/2022</t>
  </si>
  <si>
    <t>Servicio de suministro e instalación de piso laminado en nivel 2, nivel 1 y mezanine en el  inmueble de Donceles No. 14, propiedad de la Cámara de Senadores</t>
  </si>
  <si>
    <t>Contrato formalizado 01/12/22</t>
  </si>
  <si>
    <t>ADQ/DGRMSG/153/11/22</t>
  </si>
  <si>
    <t>SEN/DGRMSG/L049/2022</t>
  </si>
  <si>
    <t>Dirección de Ingenieria y Operaciones del Canal del Congreso</t>
  </si>
  <si>
    <t>Sistema de cinco cámaras robóticas para el salón de Sesiones del Pleno del Senado de la República</t>
  </si>
  <si>
    <t>01/12 Adm solicita incremtno en el monto por $2,672,400 más iva
07/12 la DGAJ informa que es improcedente llevar acabo modificatorio por ser licitación</t>
  </si>
  <si>
    <t>Contrato formalizado con FC y PRC25/11/22</t>
  </si>
  <si>
    <t>SERV/DGRMSG/154/11/22</t>
  </si>
  <si>
    <t>SEN/DGRMSG/L001/2023</t>
  </si>
  <si>
    <t>Cen Systems, S.A. de C.V.</t>
  </si>
  <si>
    <t>Póliza de mantenimiento correctivo del Sistema de Voz, Datos y Videoconferencia con servicio de Smarnet a equipo de la marca CISCO 2023</t>
  </si>
  <si>
    <t>05/12/23 Se manda anexo a juridico</t>
  </si>
  <si>
    <t>21/11/23 se solicita modificatorio por cambio de adm del contrato                                     05/12/23 Se manda anexo a juridico</t>
  </si>
  <si>
    <t>Cambio de adm del contrato</t>
  </si>
  <si>
    <t>Contrato formalizado con fianzas 06/12/22                                 02/01/2024</t>
  </si>
  <si>
    <t>09/11/2022     21/11/2023</t>
  </si>
  <si>
    <t>11/11/2022   05/12/2023</t>
  </si>
  <si>
    <t>18/11/2022    18/12/2023</t>
  </si>
  <si>
    <t>16/11/2022     13/12/2023</t>
  </si>
  <si>
    <t>ADQ/DGRMSG/155/11/22</t>
  </si>
  <si>
    <t>Suministro e Instalación de Botoneras para reservación de los Elevadores del Pleno, Puertas y Sim Card para parada adicional del Piso 2 del Elevador Patio Madrid y Conmutador (Interfón) de llamadas de emergencia desde la Cabina</t>
  </si>
  <si>
    <t>USD $49,909.60
2,071,441.10 M.N.</t>
  </si>
  <si>
    <t xml:space="preserve">7,985.54 USD
331,430.58 MXN
</t>
  </si>
  <si>
    <t xml:space="preserve">USD $57,895.14
2,402,871.68 M.N.
</t>
  </si>
  <si>
    <t>F. ANTICIPO 100%
FC 15%
PRC 15%
F.V.O. 10%</t>
  </si>
  <si>
    <t>24,954.80 USD
309,000.00 MXN</t>
  </si>
  <si>
    <t>12/9 ÁREA SOLICITA AMPLIACIÓN DE VIGENCIA</t>
  </si>
  <si>
    <t>AMPLIACIÓN DE VIGENCIA AL 15/11/23</t>
  </si>
  <si>
    <t>Contrato formalizado con FC y PRc 26/12/22
Modificatorio formalizado con endoso 13/10</t>
  </si>
  <si>
    <t>28/10/2022
12/09/2023</t>
  </si>
  <si>
    <t>01/11/2022
13/09/2023</t>
  </si>
  <si>
    <t>16/11/2022
18/09/2023</t>
  </si>
  <si>
    <t>05/12/2022
03/10/2023</t>
  </si>
  <si>
    <t>05/12/2022
25/09/2022</t>
  </si>
  <si>
    <t>24,954.80 USD
1,762,441.10 MXN</t>
  </si>
  <si>
    <t>SERV/DGRMSG/156/11/22</t>
  </si>
  <si>
    <t>SEN/DGRMSG/L005/2023</t>
  </si>
  <si>
    <t>Servicio de guarda, custodia, conservación y administración de los expedientes que conforman los Juicios de Amparo, Controversias Constitucionales y Acciones de Inconstitucionalidad de la Dirección de Amparos y Controversias Constitucionales de la Dirección General de Asuntos Jurídicos de la Cámara de Senadores para el año 2023</t>
  </si>
  <si>
    <t>Contrato formalizado con garantías 21/12/22</t>
  </si>
  <si>
    <t>OP/DGRMSG/157/11/22</t>
  </si>
  <si>
    <t>2099/LXV/DMBMI/2022</t>
  </si>
  <si>
    <t>Trabajos de remodelación de núcleo de sanitarios, regaderas y vestidores en edificio Donceles No. 14 sótano 1, segunda vuelta</t>
  </si>
  <si>
    <t>Contrato formalizado con FC y PRC 12/12/22</t>
  </si>
  <si>
    <t>SERV/DGRMSG/158/11/22</t>
  </si>
  <si>
    <t>SEN/DGRMSG/L004/2023</t>
  </si>
  <si>
    <t>Aart. 45</t>
  </si>
  <si>
    <t>Licenciamiento y soporte a usuarios del uso de software para realizar reuniones de trabajo en línea con Cisco Webex 2023</t>
  </si>
  <si>
    <t>Contrato formalizado con FC y PRC 13/12/22                                              02/01/2024</t>
  </si>
  <si>
    <t>14/11/2022      21/11/2023</t>
  </si>
  <si>
    <t>16/11/2022    05/12</t>
  </si>
  <si>
    <t>01/12/2022   18/12/2023</t>
  </si>
  <si>
    <t>28/11/2022     15/12/2023</t>
  </si>
  <si>
    <t>SERV/DGRMSG/159/11/22</t>
  </si>
  <si>
    <t>LXV/CECAFP/0985/2022</t>
  </si>
  <si>
    <t>Proporcionar la enseñanza del idioma inglés a estudiantes de nivel licenciatura y postgrado, incorporando un lenguaje parlamentario-legislativo-normativo.</t>
  </si>
  <si>
    <t>Contrato formalizado con FC 13/12/22</t>
  </si>
  <si>
    <t>ADQ/DGRMSG/160/11/22</t>
  </si>
  <si>
    <t>SEN/DGRMSG/L003/2023</t>
  </si>
  <si>
    <t>Adquisición de vales de despensa de amplia cobertura para el ejercicio 2023</t>
  </si>
  <si>
    <t>4/9 EL ÁREA SOLICITA  INCREMENTO DEL MONTO MÁXIMO</t>
  </si>
  <si>
    <t>INCREMENTO  EN EL MONTO MÁXIMO SUSTITUYENDO ANEXO</t>
  </si>
  <si>
    <t>Contrato formalizado 12/12/22
Modificatorio formalizado 22/09</t>
  </si>
  <si>
    <t>11/11/2022
04/09/2023</t>
  </si>
  <si>
    <t>17/11/2022
04/09/2023</t>
  </si>
  <si>
    <t>22/11/2022
07/09/2023</t>
  </si>
  <si>
    <t>07/12/2022
19/09/2023</t>
  </si>
  <si>
    <t>24/11/2022
18/09/2023</t>
  </si>
  <si>
    <t>ADQ/DGRMSG/161/11/22</t>
  </si>
  <si>
    <t>SGSA/LXV/2369/22</t>
  </si>
  <si>
    <t>Secretario Técnico de la Junta de Coordinación Política</t>
  </si>
  <si>
    <t>1,000 ejemplares de la segunda edición de la obra: Errar es humano, rectificar es política</t>
  </si>
  <si>
    <t>F. ANTICIPO 100%.
FC. DISPENSA</t>
  </si>
  <si>
    <t>40% 
$800,000.00</t>
  </si>
  <si>
    <t>SERV/DGRMSG/162/11/22</t>
  </si>
  <si>
    <t>2138/LXV/D,B,O/2022</t>
  </si>
  <si>
    <t>Interamericana CMH, S.A de C.V.</t>
  </si>
  <si>
    <t>Sustitución de dos tanques metálicos de agua potable, en el sistema de agua caliente, incluye el mantenimiento preventivo y correctivo con refacciones de dos calderas, paneles solares, bombas recirculadoras de la Sede de la Cámara de Senadores de Avenida Paseo de la Reforma No. 135</t>
  </si>
  <si>
    <t>SERV/DGRMSG/163/11/22</t>
  </si>
  <si>
    <t>SGSA/DGRP/LXV/381/22 Y SGSA/DGRP/LXV/414/2022</t>
  </si>
  <si>
    <t>Servicio de seguridad y vigilancia las 24 horas del día, todos los días del año, intra y extramuros de los inmuebles que ocupa el Senado para el ejercicio 2023</t>
  </si>
  <si>
    <t>FC SE DISPENSA</t>
  </si>
  <si>
    <t>22/12 el Adm solicitó cambios en la hoja 1 y 5 del contrato, para estar en posibilidades de firmar proveedor</t>
  </si>
  <si>
    <t>Contrato formalizado 12/01/23</t>
  </si>
  <si>
    <t>ADQ/DGRMSG/165/12/22</t>
  </si>
  <si>
    <t>Décimo Primera Sesión Ordinaria Comité 25 de noviembre 2022</t>
  </si>
  <si>
    <t>Suministro e instalación de equipo de Aire Acondicionado tipo VRE, que  será instalado en el patrio del edificio de Xicoténcatl No. 9.</t>
  </si>
  <si>
    <t>Contrato formalizado con garantía  16/12/22</t>
  </si>
  <si>
    <t>ADQ/DGRMSG/166/12/22</t>
  </si>
  <si>
    <t>2014 y 2162/LXV/DMBMI/22</t>
  </si>
  <si>
    <t>Proyectos de Optimización y Sistemas Automáticos, S.A. de C.V.</t>
  </si>
  <si>
    <t>Equipos para la automatización de cinco puertas corredizas en la reja perimetral de la Sede del Senado de la República</t>
  </si>
  <si>
    <t>Contrato formalizado con FC y PRC  22/12/22</t>
  </si>
  <si>
    <t>SERV/DGRMSG/167/12/22</t>
  </si>
  <si>
    <t>2109/LXV/DMBMI/2022 Y 2096/LXV/DMBMI/2022</t>
  </si>
  <si>
    <t>CF + GAB Construcciones, S.A. de C.V.</t>
  </si>
  <si>
    <t>Servicio de sustitución de sellado y mantenimiento de accesorios de fijación de cristales y sujeción de rotulas y anclas sueltas en la fachada de Torre de Comisiones, hacia parque Louis Pasteur de la Sede del Senado de la República</t>
  </si>
  <si>
    <t>22/12 ADM INFORMA QUE HAY ERRORES EN LOS CONTRATOS, POR LOS QUE SE REMITEN A LA DGAJ PARA SU MODIFICACIÓN
27/12 se le informa al adm que debera sustituir el anexo el nombre del administrador</t>
  </si>
  <si>
    <t>Sustitución del nombre del administrador</t>
  </si>
  <si>
    <t>Contrato formalizado  03/01/23
Modificatorio formalizado 10/01/22</t>
  </si>
  <si>
    <t>SERV/DGRMSG/001/01/2023</t>
  </si>
  <si>
    <t>05/12/2022
02/01/2023</t>
  </si>
  <si>
    <t>SERV/DGRMSG/168/11/22</t>
  </si>
  <si>
    <t>SEN/DGRMSG/L006/2023</t>
  </si>
  <si>
    <t>Servicio de mantenimiento preventivo y correctivo con refacciones del Sistema de Audio y Video del Senado de la República (Partida 1) y el Servicio de mantenimiento preventivo y correctivo con refacciones al Sistema de Traducción Simultánea de la marca Bosch del Senado de la República (Partida 2)</t>
  </si>
  <si>
    <t>Nov/Dic  por el 11 del contrato</t>
  </si>
  <si>
    <t>Contrato formalizado con garantías 02/02/23</t>
  </si>
  <si>
    <t>ADQ/DGRMSG/001/01/2023</t>
  </si>
  <si>
    <t>SERV/DGRMSG/169/12/22</t>
  </si>
  <si>
    <t>SEN/DGRMSG/L007/2023</t>
  </si>
  <si>
    <t>Global Boga, S.A. de C.V.</t>
  </si>
  <si>
    <t>Dirección de Infraestructura Informática y Comunicaciones</t>
  </si>
  <si>
    <t>Servicio de protección y soporte en seguridad informática a través de la solución de antivirus para equipos de cómputo y entorno virtual WMWARE 2023</t>
  </si>
  <si>
    <t>Solicitud de cambio del administrador y domicilio</t>
  </si>
  <si>
    <t>Contrato formalizado con garantías 30/1/23           24/01/2024</t>
  </si>
  <si>
    <t>24/11/2022     05/12/2023</t>
  </si>
  <si>
    <t>SERV/DGRMSG/002/01/2023</t>
  </si>
  <si>
    <t>09/12/2022     15/12/2023</t>
  </si>
  <si>
    <t>SERV/DGRMSG/170/12/22</t>
  </si>
  <si>
    <t>SEN/DGRMSG/INV001/2023</t>
  </si>
  <si>
    <t>Servicio de asesoría externa en materia de Administración de riesgos y seguros (Asesor) que auxilie a la Cámara de Senadores</t>
  </si>
  <si>
    <t>Contrato formalizado con FC 22/12/22</t>
  </si>
  <si>
    <t>7/12, se regresa por que la fecha esta mal</t>
  </si>
  <si>
    <t>SERV/DGRMSG/003/01/2023</t>
  </si>
  <si>
    <t>ADQ/DGRMSG/171/12/22</t>
  </si>
  <si>
    <t>SEN/DGRMSG/INV004/2023</t>
  </si>
  <si>
    <t>Tarjetas electrónicas de gasolina de amplia cobertura, ejercicio fiscal 2023</t>
  </si>
  <si>
    <t>Contrato formalizado con FC 26/12/22</t>
  </si>
  <si>
    <t>SERV/DGRMSG/004/01/2023</t>
  </si>
  <si>
    <t>ADQ/DGRMSG/172/12/22</t>
  </si>
  <si>
    <t>Décima Sesión Extraordinaria del Comité 5 de diciembre</t>
  </si>
  <si>
    <t>Adquisición de 236 zapatos, 472 trajes (saco, camisa y pantalón o falda), 20 pares de botas, 20 playeras tipo polo y 20 pantalones  para el personal de Seguridad y Protección Civil asignados a la DGRP</t>
  </si>
  <si>
    <t>SERV/DGRMSG/005/01/2023</t>
  </si>
  <si>
    <t>SERV/DGRMSG/173/12/22</t>
  </si>
  <si>
    <t>SERV/DGRMSG/006/01/2023</t>
  </si>
  <si>
    <t>SERV/DGRMSG/174/12/22</t>
  </si>
  <si>
    <t>SEN/DGRMSG/L009/2023</t>
  </si>
  <si>
    <t>Servicio de mantenimiento preventivo y correctivo a pantallas leds marca ABSEN</t>
  </si>
  <si>
    <t>Contrato formalizado 04/01/23</t>
  </si>
  <si>
    <t>SERV/DGRMSG/007/01/2023</t>
  </si>
  <si>
    <t>ADQ/DGRMSG/175/12/22</t>
  </si>
  <si>
    <t>SGSA/DGRH/URLS/SPS/LXV/728/2022</t>
  </si>
  <si>
    <t>Vales de Despensa (Tarjetas Electrónicas) para empleados de limpieza, mantenimiento y empelados de la policia auxiliar (Resguardo)</t>
  </si>
  <si>
    <t>Contrato formalizado 22/12/22</t>
  </si>
  <si>
    <t>SERV/DGRMSG/008/01/2023</t>
  </si>
  <si>
    <t>ADQ/DGRMSG/176/12/22</t>
  </si>
  <si>
    <t>Décima Primera Sesión Extraordinaria del COMITË 8 de diciembre 2022</t>
  </si>
  <si>
    <t>Grupo IDSEC, S.A.P.I. de C.V.</t>
  </si>
  <si>
    <t>Adquisición de un Video Wall y un UPS para el centro de monitoreo del circuito cerrado de televisión con instalación</t>
  </si>
  <si>
    <t xml:space="preserve">22/12 ADM INFORMA QUE HAY ERRORES EN LOS CONTRATOS, POR LOS QUE SE REMITEN A LA DGAJ PARA SU MODIFICACIÓN
</t>
  </si>
  <si>
    <t>Contrato formalizado con garantías 13/01/23</t>
  </si>
  <si>
    <t>SERV/DGRMSG/009/01/2023</t>
  </si>
  <si>
    <t>SERV/DGRMSG/177/12/22</t>
  </si>
  <si>
    <t>LXV/SGSA/DGIT/0678/22 Y LXV/SGSA/DGIT/0706/22</t>
  </si>
  <si>
    <t>Criptex Seguridad Privada Mexicana, S.A. de C.V.</t>
  </si>
  <si>
    <t>Servicios para la transmisión de contenido multimedia a través de las redes sociales de la Coordinación de Comunicación Social que incluye el suministro de equipos</t>
  </si>
  <si>
    <t>Cambio de Adm de contrato</t>
  </si>
  <si>
    <t>Contrato formalizado con garantías 28/12/22</t>
  </si>
  <si>
    <t>19/12/2022     05/12/2022</t>
  </si>
  <si>
    <t>SERV/DGRMSG/010/01/2023</t>
  </si>
  <si>
    <t>20/12/2022        11/12/2023</t>
  </si>
  <si>
    <t>SERV/DGRMSG/178/12/22</t>
  </si>
  <si>
    <t>SEN/DGRMSG/INV007/2023</t>
  </si>
  <si>
    <t>Seguro de Bienes Patrimoniales de la Cámara de Senadores para el ejercicio 2023 (Partida 2)</t>
  </si>
  <si>
    <t>Contrato formalizado 21/12/22</t>
  </si>
  <si>
    <t>SERV/DGRMSG/011/01/2023</t>
  </si>
  <si>
    <t>SERV/DGRMSG/179/12/22</t>
  </si>
  <si>
    <t>SEN/DGRMSG/L012/2023</t>
  </si>
  <si>
    <t>Servicio de abastecimiento y distribución de periódicos y revistas para el ejercicio 2023</t>
  </si>
  <si>
    <t>15/12 Solicita la ampliacion del 25% y vigencia</t>
  </si>
  <si>
    <t>ampliacion y vigencia 31 de marzo 2024</t>
  </si>
  <si>
    <t>Contrato formalizado con FC y PRC 05/01/23</t>
  </si>
  <si>
    <t>15/12/2022   18/12/2023</t>
  </si>
  <si>
    <t>SERV/DGRMSG/012/01/2023                    26/12/2023</t>
  </si>
  <si>
    <t>21/12/2022       22/12/2024</t>
  </si>
  <si>
    <t>SERV/DGRMSG/180/12/22</t>
  </si>
  <si>
    <t>Servicio de suscripción a la plataforma BMC Remedy para la gestión de servicios de tecnologías de la información</t>
  </si>
  <si>
    <t>Contrato formalizado con FC 13/01/23</t>
  </si>
  <si>
    <t>SERV/DGRMSG/013/01/2023</t>
  </si>
  <si>
    <t>SERV/DGRMSG/181/12/22</t>
  </si>
  <si>
    <t>Décima Segunda Sesión Ordinaria del Comité 16 de diciembre</t>
  </si>
  <si>
    <t>Contraloría Interna de la Cámara de Senadores</t>
  </si>
  <si>
    <t>Subcontraloría de Auditoria</t>
  </si>
  <si>
    <t>Servicios Profesionales de desarrollo de sistemas para llevar a cabo la construcción e implementación del "Sistema de Gestión y Operación de Actividades de la Contraloría Interna del Senado de la República". Mediante la automatización de los procesos, subprocesos, procedimientos,  funciones y actividades  de procesos de la Contraloría Interna del Senado de la República,  considerando las etapas de análisis, diseño, estandarización, optimización  y transmisión de conocimientos</t>
  </si>
  <si>
    <t>SERV/DGRMSG/014/01/2023</t>
  </si>
  <si>
    <t>ADQ/DGRMSG/184/12/22</t>
  </si>
  <si>
    <t>Décima Segunda Sesión Extraordinaria del Comité del 21 de diciembre</t>
  </si>
  <si>
    <t xml:space="preserve">Art. 21 XVII </t>
  </si>
  <si>
    <t>Licenciamiento de equipo Seguridad Cisco Firepower 4125</t>
  </si>
  <si>
    <t>Contrato formalizado 29/12/22</t>
  </si>
  <si>
    <t>SERV/DGRMSG/017/01/2023</t>
  </si>
  <si>
    <t>SERV/DGRMSG/185/12/22</t>
  </si>
  <si>
    <t>Art. 21 XVII y XXIII</t>
  </si>
  <si>
    <t>Servicio de administración de identidades digitales</t>
  </si>
  <si>
    <t>Contrato formalizado con fianzas 16/01/23</t>
  </si>
  <si>
    <t>SERV/DGRMSG/018/01/2023</t>
  </si>
  <si>
    <t>ADQ/DGRMSG/186/12/22</t>
  </si>
  <si>
    <t>SGSA/DGRH/URLS/SPS/LXV/756/2022</t>
  </si>
  <si>
    <t>Vales de Despensa (Tarjetas Electrónicas) para empleados de Honorarios de Comisiones, Honorarios Administrativos y Asesores</t>
  </si>
  <si>
    <t>SERV/DGRMSG/019/01/2023</t>
  </si>
  <si>
    <t>ADQ/DGRMSG/187/12/22</t>
  </si>
  <si>
    <t>SEN/DGRMSG/L051/2023</t>
  </si>
  <si>
    <t>Licenciamiento de Software F5 del Centro de Datos</t>
  </si>
  <si>
    <t>Contrato formalizdo con FC 18/01/23</t>
  </si>
  <si>
    <t>SERV/DGRMSG/020/01/2023</t>
  </si>
  <si>
    <t>CONSE 2023</t>
  </si>
  <si>
    <t xml:space="preserve">ADMINISTRADOR DEL CONTRATO </t>
  </si>
  <si>
    <t>SUPERVISOR DEL CONTRATO</t>
  </si>
  <si>
    <t>2025 Importe con IVA</t>
  </si>
  <si>
    <t>2026 Importe con IVA</t>
  </si>
  <si>
    <t>2027 Importe con IVA</t>
  </si>
  <si>
    <t>SERV/DGRMSG/092-I/06/19</t>
  </si>
  <si>
    <t>I.- Cambio de Domicilio fiscal</t>
  </si>
  <si>
    <t xml:space="preserve">
OP/DGRMSG/140-IV/11/19</t>
  </si>
  <si>
    <t>licitación Desierta</t>
  </si>
  <si>
    <t>V.- Incremento de $8,973,999.19 más IVA y ampliación de vigecia al 30/04/2024</t>
  </si>
  <si>
    <t xml:space="preserve">SERV/DGRMSG/168-III/12/19 </t>
  </si>
  <si>
    <t>Comite</t>
  </si>
  <si>
    <t>III.- Modificación en montos y ampliación de vigencia al 31/05/24</t>
  </si>
  <si>
    <t>SEN/DGRMSG/L026/2023</t>
  </si>
  <si>
    <t>Jefatura del Departamento de Soporte Técnico a los Sistemas Parlamentarios de Asistencia, Votación y Audio Automatizado</t>
  </si>
  <si>
    <t>Licenciamiento de Software de la marca Adobe bajo esquema de suscripción</t>
  </si>
  <si>
    <t>Contrato formalizado con FC 20/01/23</t>
  </si>
  <si>
    <t>19/01/2023                    08/12/2023</t>
  </si>
  <si>
    <t>ADQ/DGRMSG/002/02/2023</t>
  </si>
  <si>
    <t>Segunda Sesión Extraordinaria del Comité 10 de febrero 2023</t>
  </si>
  <si>
    <t>Videodepot, S.A. de C.V.</t>
  </si>
  <si>
    <t>Un Equipo de Producción de Audio y Video para Noticias del Congreso</t>
  </si>
  <si>
    <t>Contrato formalizado  16/02</t>
  </si>
  <si>
    <t>ADQ/DGRMSG/003/02/2023</t>
  </si>
  <si>
    <t>SEN/DGRMSG/L030/2023</t>
  </si>
  <si>
    <t>Bienes recurrentes (Partidas: 2,6,7,10 y 13)</t>
  </si>
  <si>
    <t>12/07 escrito de proveedor solicitando sustitución de bienes de partida 13
13/07 mediante oficio 3335 se le solicita al Adm, se pronuncie respecto la petición
18/07 adm acepto el cambio a Ventilador de Torre lasko Ultra Air 4 modelo T48339M
25/07 el Adm. regresó el modificatorio por haber un errro en lugar de Ing Ahedo, es Lic.
15/11 PROVEEDOR SOLICITA CAMBIO DE PRODUCTO PARTIDA 7, ASÍ COMO PRÓRROGA, SE LE PIDE AL ADM SE PRONUNCIE</t>
  </si>
  <si>
    <t>I.- Sustitución de los bienes de la partida 13, sustitución de anexo
II.- Sustitución de producto de partida 7 y prórroga</t>
  </si>
  <si>
    <t>18/07/2023
15/11/2023</t>
  </si>
  <si>
    <t>Contrato formalizado con fc 13/03
Modificatorio formalizado con endoso 31/07</t>
  </si>
  <si>
    <t>16/02/2023
18/07/2023</t>
  </si>
  <si>
    <t>23/02/2023
31/07/2023</t>
  </si>
  <si>
    <t>20/02/2023
26/07/2023</t>
  </si>
  <si>
    <t>ADQ/DGRMSG/004/02/2023</t>
  </si>
  <si>
    <t>Grupo CO. VOG, S.A. de C.V.</t>
  </si>
  <si>
    <t>Bienes recurrentes (Partidas: 11 y 17)</t>
  </si>
  <si>
    <t>Contrato formalizado con garantías 02/03</t>
  </si>
  <si>
    <t>ADQ/DGRMSG/005/02/2023</t>
  </si>
  <si>
    <t>Adquisición de bienes recurrentes (Partidas: 4 y 14)</t>
  </si>
  <si>
    <t>Contrato formalizado 07/03</t>
  </si>
  <si>
    <t>ADQ/DGRMSG/006/02/2023</t>
  </si>
  <si>
    <t>Adquisición de bienes recurrentes (Partidas: 1,3,5,8,9,12,15 y 16)</t>
  </si>
  <si>
    <t>18/09 SE LE SOLICITA  AL ÁREA SE PRONUNCIE SOBRE PETICIÓN DEL PROVEEDOR DE LA SUSTITUCIÓN DE BIENES DE LA PARTIDA 15
05/10 se solicita modificatorio a la DGAJ</t>
  </si>
  <si>
    <t>SUSTITUCIÓN DE BIENES DE LA PARTIDA 15</t>
  </si>
  <si>
    <t>OCT</t>
  </si>
  <si>
    <t>Contrato formalizado con FC 28/02
Modificatorio formalizado 16/10</t>
  </si>
  <si>
    <t>13/02/2023
05/10/2023</t>
  </si>
  <si>
    <t>14/02/2023
05/10/2023</t>
  </si>
  <si>
    <t>17/02/2023
09/10/2023</t>
  </si>
  <si>
    <t>24/02/2023
16/10/2023</t>
  </si>
  <si>
    <t>21/02/2023
12/10/2023</t>
  </si>
  <si>
    <t>ADQ/DGRMSG/007/02/2023</t>
  </si>
  <si>
    <t>SEN/DGRMSG/L028/2023</t>
  </si>
  <si>
    <t>Adquisición de Bienes de Papelería, Artículos de Oficina y Consumibles de Cómputo (Partidas 3 y10)</t>
  </si>
  <si>
    <t>Contrato formalizado con FC 13/03</t>
  </si>
  <si>
    <t>ADQ/DGRMSG/008/02/2023</t>
  </si>
  <si>
    <t>Bienes de Papelería, artículos de oficina y consumibles de Cómputo (Partidas 1,2,4,5,6,7,8 y 9)</t>
  </si>
  <si>
    <t>Incremento 17% para partida 8 y 25% para partida 9, sustituyendo anexo</t>
  </si>
  <si>
    <t>Contrato formalizado con garantías 02/03
Modificatorio formalizado con endoso 02/10</t>
  </si>
  <si>
    <t>15/02/2023
11/09/2023</t>
  </si>
  <si>
    <t>16/02/2023
12/09/2023</t>
  </si>
  <si>
    <t>21/02/2023
14/09/2023</t>
  </si>
  <si>
    <t>24/02/2023
22/09/2023</t>
  </si>
  <si>
    <t>21/02/2023
20/09/2023</t>
  </si>
  <si>
    <t>ADQ/DGRMSG/009/02/2023</t>
  </si>
  <si>
    <t>SEN/DGRMSG/L029/2023</t>
  </si>
  <si>
    <t>Consumibles de cafetería, café y agua embotellada (partidas 1, 2  y 3 del apartado A)</t>
  </si>
  <si>
    <t>Contrato formalizado con FC 17/03</t>
  </si>
  <si>
    <t>ADQ/DGRMSG/010/02/2023</t>
  </si>
  <si>
    <t>Insumos de cafetería para el ejercicio 2023 ( partida única del Apartado B)</t>
  </si>
  <si>
    <t xml:space="preserve">I. Incremento del monto maximo del 25% </t>
  </si>
  <si>
    <t>incremento del monto del 25%</t>
  </si>
  <si>
    <t>Contrato formalizado con FC 15/03                    29/12/2023                    22/01/2024</t>
  </si>
  <si>
    <t>28/02/2023   22/12/2023.</t>
  </si>
  <si>
    <t>24/02/2023  21/12/2023</t>
  </si>
  <si>
    <t>ADQ/DGRMSG/011/02/2023</t>
  </si>
  <si>
    <t>Consumibles de Cafetería, Café y Agua Embotellada (partida 4 del apartado A)</t>
  </si>
  <si>
    <t>29/08 se solicita a la DGAJ MODIFICATORIO por incremento del 25% al monto maximo que solicita el área</t>
  </si>
  <si>
    <t>Incremento del 25% al monto máximo y sustitución de anexo técnico</t>
  </si>
  <si>
    <t>Contrato formalizdo con FC 23/03
Modif formalizado con endoso 03/10</t>
  </si>
  <si>
    <t>21/02/2023
29/08/2023</t>
  </si>
  <si>
    <t>24/02/2023
30/08/2023</t>
  </si>
  <si>
    <t>01/03/2023
05/09/2023</t>
  </si>
  <si>
    <t>24/02/2023
31/08/2023</t>
  </si>
  <si>
    <t>ADQ/DGRMSG/012/03/2023</t>
  </si>
  <si>
    <t>Segunda Sesión Ordinaria del Comité 24 de febrero 2023</t>
  </si>
  <si>
    <t>Art. 21 XVI.</t>
  </si>
  <si>
    <t>Subdirección Operativa de la Unidad de Apoyo Técnico</t>
  </si>
  <si>
    <t>Suministro de 1 equipo de energía ininterrumpida (UPS) de 225 KVA para allimentar la corriente regulada del Pleno en el inmueble de Reforma No. 135</t>
  </si>
  <si>
    <t>USD $146,750.00</t>
  </si>
  <si>
    <t>USD $ 23,480.00</t>
  </si>
  <si>
    <t>USD $170,230.00</t>
  </si>
  <si>
    <t>Contrato formalizado con FC 14/03</t>
  </si>
  <si>
    <t>ADQ/DGRMSG/013/03/2023</t>
  </si>
  <si>
    <t>SEN/DGRMSG/L031/2023</t>
  </si>
  <si>
    <t>Subdirección de Administración de Contratos y Servicios y Encargado de despacho de la Jefatura de Departamento de Administración de Servicios</t>
  </si>
  <si>
    <t>Suministro de materiales de limpieza, partida 1, 4 y 5</t>
  </si>
  <si>
    <t>26/09 área solicita incremento del 25%
27/09 se solicita modificatorio a la DGAj
30/10 SE SOLICITA T. ANTICIPADA POR CUMPLIMIENTO DE OBJETO</t>
  </si>
  <si>
    <t>Incremento del 25% del monto máximo de las partidas 1 y 4
TERMINACIÓN ANTICIPADA POR CUMPLIMIENTO DE OBJETO</t>
  </si>
  <si>
    <t>28/09/2023
01/11/2023</t>
  </si>
  <si>
    <t>NOV</t>
  </si>
  <si>
    <t>Contrato formalizado con garantía 21/03</t>
  </si>
  <si>
    <t>08/03/2023                 
26/09/2023
30/10/2023</t>
  </si>
  <si>
    <t>09/03/2023
26/09/2023
30/10/2023</t>
  </si>
  <si>
    <t>13/03/2023
29/09/2023
06/11/2023</t>
  </si>
  <si>
    <t>15/03/2023
06/10/2023
16/11/2023</t>
  </si>
  <si>
    <t xml:space="preserve">14/03/2023
05/10/2023
14/11/2023
</t>
  </si>
  <si>
    <t>ADQ/DGRMSG/014/03/2023</t>
  </si>
  <si>
    <t>Materiales de limpieza correspondientes a la partida 3</t>
  </si>
  <si>
    <t>19/09 solicita el área incremento del 25% de la partida 3
30/10 SE SOLICITA T. ANTICIPADA POR CUMPLIMIENTO DE OBJETO</t>
  </si>
  <si>
    <t>Incremento del 25% partida 3 y sustitución de anexo
TERMINACIÓN ANTICIPADA POR CUMPLIMIENTO DE OBJETO</t>
  </si>
  <si>
    <t>22/09/2023
31/10/2023</t>
  </si>
  <si>
    <t>Contrato formalizado con garantía 21/03
Modificatorio formalizado con endoso 02/10
Convenio de terminación formalizado 07/11</t>
  </si>
  <si>
    <t>08/03/2023
19/09/2023
30/10/2023</t>
  </si>
  <si>
    <t>09/03/2023
20/09/2023
30/10/2023</t>
  </si>
  <si>
    <t>13/03/2023
25/09/2023</t>
  </si>
  <si>
    <t>15/03/2023
27/09/2023
07/11/2023</t>
  </si>
  <si>
    <t>13/03/2023
26/09/2023
06/11/2023</t>
  </si>
  <si>
    <t>ADQ/DGRMSG/015/03/2023</t>
  </si>
  <si>
    <t>Materiales de limpieza, partida 2</t>
  </si>
  <si>
    <t>Contrato formalizado con garantía 22/03</t>
  </si>
  <si>
    <t>ADQ/DGRMSG/016/03/2023</t>
  </si>
  <si>
    <t>SEN/DGRMSG/INV019/2023</t>
  </si>
  <si>
    <t>Material eléctrico, hidrosanitario y de tablaroca para los inmuebles de Madrid y Centro Histórico 2023, partidas 1, 2, 4, 6 y 7</t>
  </si>
  <si>
    <t>22/08 solicitan incremento del 25%
23/08 se solicita modificatorio a la DGAJ</t>
  </si>
  <si>
    <t>Incremento del 25% en el monto de las partidas: 1,2,4,6 y 7, sustituyendo anexo</t>
  </si>
  <si>
    <t>Contrato formalizado con FC 31/3
Modif formalizado con endoso 20/09</t>
  </si>
  <si>
    <t>10/03/2023
22/08/2023</t>
  </si>
  <si>
    <t>10/03/2023
23/08/2023</t>
  </si>
  <si>
    <t>14/03/2023
28/08/2023</t>
  </si>
  <si>
    <t>22/03/2023
07/09/2023</t>
  </si>
  <si>
    <t>17/03/2023
04/09/2023</t>
  </si>
  <si>
    <t>ADQ/DGRMSG/017/03/2023</t>
  </si>
  <si>
    <t>SEN/DGRMSG/INV018/2023</t>
  </si>
  <si>
    <t>Un elevador de pasajeros con sistema de máquina de tracción, puertas automáticas y 5 paradas, en el inmueble de Madrid No. 35.</t>
  </si>
  <si>
    <t>30/06/2023
10/07/2023</t>
  </si>
  <si>
    <t>29/6 área solicita modificatorio, debido al desnivel del cubo de 8cm</t>
  </si>
  <si>
    <t>Ampliación de vigencia al 10 de julio 2023 y sustitución de anexo técnico</t>
  </si>
  <si>
    <t>Contrato formalizado con garantías  04/05
Modificatorio formalizado con endosos 21/07</t>
  </si>
  <si>
    <t>17/03/2023
28/06/2023</t>
  </si>
  <si>
    <t>21/03/2023
29/06/2023</t>
  </si>
  <si>
    <t>27/03/2023
05/07/2023</t>
  </si>
  <si>
    <t>29/03/2023
12/07/2023</t>
  </si>
  <si>
    <t>28/03/2023
10/07/2023</t>
  </si>
  <si>
    <t>ADQ/DGRMSG/018/04/2023</t>
  </si>
  <si>
    <t xml:space="preserve">OFICIO 379/LXV/DMBMI/2023 
SEN/DGRMSG/INV021/2023 DESIERTA
</t>
  </si>
  <si>
    <t>Art. 21. XIV</t>
  </si>
  <si>
    <t>Comercializadora Electropura, S. de R.L. de C.V.</t>
  </si>
  <si>
    <t>Subdirección de Administración de Contratos y Servicios y Sudirección de Supervisión de la UAT</t>
  </si>
  <si>
    <t>Agua purificada envasada en garrafón de 20 litros para los inmuebles del Senado de la República, ejercicio 2023</t>
  </si>
  <si>
    <t>09/10 área solicita incremento del 25% y vigencia</t>
  </si>
  <si>
    <t>Incremento del 25% del monto máximo y ampliación de vigencia al 08/3/24</t>
  </si>
  <si>
    <t>Contrato formalizado 25/04
Modif formalizado 24/10</t>
  </si>
  <si>
    <t>07/03/2023
09/10/2023</t>
  </si>
  <si>
    <t>07/03/2023
09/102023</t>
  </si>
  <si>
    <t>03/04/2023
12/10/2023</t>
  </si>
  <si>
    <t>11/04/2023
18/10/2023</t>
  </si>
  <si>
    <t>04/04/2023
16/10/2023</t>
  </si>
  <si>
    <t>ADQ/DGRMSG/019/04/2023</t>
  </si>
  <si>
    <t>SEN/DGRMSG/L037/2023</t>
  </si>
  <si>
    <t>Subdirección de Mantenimiento de Bienes Muebles  e Inmuebles y Subdirección de Supervisión</t>
  </si>
  <si>
    <t>Diversos materiales de esmaltes, selladores y recubirimientos especiales (Partida 9)</t>
  </si>
  <si>
    <t>30/10 ÁREA SOLICITA INCREMENTO EN EL MONTO MÁXIMO DEL 25%</t>
  </si>
  <si>
    <t>Incremento en el monto máximo y sustitución de anexo</t>
  </si>
  <si>
    <t>Contrato formalizado 28/04</t>
  </si>
  <si>
    <t>31/03/2023
31/10/2023</t>
  </si>
  <si>
    <t>03/04/2023
31/10/2023</t>
  </si>
  <si>
    <t>11/04/2023
13/11/2023</t>
  </si>
  <si>
    <t>10/04/2023
09/11/2023</t>
  </si>
  <si>
    <t>ADQ/DGRMSG/020/04/2023</t>
  </si>
  <si>
    <t>SEN/DGRMSG/INV023/2023</t>
  </si>
  <si>
    <t>Licenciamiento de software bajo demanda</t>
  </si>
  <si>
    <t>ADQ/DGRMSG/021/04/2023</t>
  </si>
  <si>
    <t>SEN/DGRMSG/L036/2023</t>
  </si>
  <si>
    <t>Dirección Médica de la DGSM y Subdirección Médica de la DGSM</t>
  </si>
  <si>
    <t>Medicamentos, material de curación, material dental y material radiográfico (Partida 1)</t>
  </si>
  <si>
    <t>28/09 solicitud de rescisión
09/10 se le solicita al área documentación soporte solictada por DGAJ, así mismo a Tesorería documentación orgininal y FC
18/10 se solicita atender observaciones de jurídico al área
30/10 se le informa al área que debe enviar mas documentación para continuar con el proceso
13/11 se le solicita a la DGAJ dejar sin efectos la solicitud de rescisión a petición del área</t>
  </si>
  <si>
    <t>Contrato formalizado con garantías 09/05</t>
  </si>
  <si>
    <t>ADQ/DGRMSG/022/04/2023</t>
  </si>
  <si>
    <t>Subdirección Médica de la DGSM</t>
  </si>
  <si>
    <t>Suministro de medicamentos, material de curación, material dental y material radiográfico (Partida 4)</t>
  </si>
  <si>
    <t>Contrato formalizado con garantías 11/05</t>
  </si>
  <si>
    <t>ADQ/DGRMSG/023/04/2023</t>
  </si>
  <si>
    <t>SEN/DGRMSG/INV029/2023</t>
  </si>
  <si>
    <t>ADQ/DGRMSG/024/05/2023</t>
  </si>
  <si>
    <t>737/LXV/DMBMI/2023</t>
  </si>
  <si>
    <t>Jorab Proyectos Industriales, S.A. de C.V.</t>
  </si>
  <si>
    <t>Subdirección de MBMI y Subdirección de Supervisión</t>
  </si>
  <si>
    <t>Suministro de diversos materiales de esmaltes, selladores y recubrimientos especiales (Partida 8)</t>
  </si>
  <si>
    <t>14/11 SE SOLICITA RESCICIÓN  A DGAJ,POR PARTE DEL ADM
16/11 SE SOLICITÓ FC ORIGINAL A TESORERIA P/ENVIAR A DGAJ
22/11 se remite documentación solicitada           28/11solicitud de juridico para iniciar el procedimiento de resiscion</t>
  </si>
  <si>
    <t>RESCISIÓN ADMINISTRATIVA POR INCUMPLIMIENTO</t>
  </si>
  <si>
    <t>Contrato formalizado con FC 21/06</t>
  </si>
  <si>
    <t>ADQ/DGRMSG/025/05/2023</t>
  </si>
  <si>
    <t>Colorset Internacional, S.A. de C.V.</t>
  </si>
  <si>
    <t>Suministro de diversos materiales de esmaltes, selladores y recubrimientos especiales (Partidas: 1,2,3,4,5,6 y7)</t>
  </si>
  <si>
    <t>25/08 área solicita incremnto del 25%</t>
  </si>
  <si>
    <t>Incremento del 25% en partidas 1,2,3,4,5,6 y 7</t>
  </si>
  <si>
    <t>Contrato formalizado con FC 30/05
Modif formalizado 12/09</t>
  </si>
  <si>
    <t>12/05/2023
28/08/2023</t>
  </si>
  <si>
    <t>16/05/2023
28/08/2023</t>
  </si>
  <si>
    <t>22/05/2023
30/08/2023</t>
  </si>
  <si>
    <t>24/05/2023
08/09/2023</t>
  </si>
  <si>
    <t>22/05/2023
06/09/2023</t>
  </si>
  <si>
    <t>ADQ/DGRMSG/026/05/2023</t>
  </si>
  <si>
    <t>SEN/DGRMSG/L039/2023</t>
  </si>
  <si>
    <t>Subdirección Operativa de la Unidad de Apoyo Técnico y Subdirección de Supervisión de la UAT</t>
  </si>
  <si>
    <t>Suministro de material recurrente para el edificio de Reforma No. 135 (Partidas: 1,2,4,6,7,8,9,10,11,13,14,15,16,17,18,19,20,22,23,24,25,26,28,29)</t>
  </si>
  <si>
    <t>04/09 EL ÁREA SOLICITA INCREMENTO DEL 25% DEL MONTO MÁXIMO</t>
  </si>
  <si>
    <t>INCREMENTO DEL 25% DEL MONTO MÁXIMO, SUSTITUYENDO ANEXO</t>
  </si>
  <si>
    <t>Contrato formalizado con fc 05/06
Modificatorio formalizado con endosos 22/09</t>
  </si>
  <si>
    <t>18/05/2023
06/09/2023</t>
  </si>
  <si>
    <t>25/05/2023
11/09/2023</t>
  </si>
  <si>
    <t>22/05/2023
08/09/2023</t>
  </si>
  <si>
    <t>ADQ/DGRMSG/027/05/2023</t>
  </si>
  <si>
    <t>Suministro de material recurrente para el edificio de Reforma No. 135 (Partidas: 3 y 21)</t>
  </si>
  <si>
    <t>Contrato formalizado con fC 19/06</t>
  </si>
  <si>
    <t>ADQ/DGRMSG/028/05/2023</t>
  </si>
  <si>
    <t>Suministro de material recurrente para el edificio de Reforma No. 135 (Partidas: 5, 12 y 27)</t>
  </si>
  <si>
    <t>31/08 área solicita el incremento del 25%</t>
  </si>
  <si>
    <t>Incremento 25%</t>
  </si>
  <si>
    <t>Contrato formalizado con FC 09/06
Modif formalizado con endoso 22/09</t>
  </si>
  <si>
    <t>18/05/2023
05/09/2023</t>
  </si>
  <si>
    <t>26/05/2023
14/09/2023</t>
  </si>
  <si>
    <t>24/05/2023
12/09/2023</t>
  </si>
  <si>
    <t>ADQ/DGRMSG/029/05/2023</t>
  </si>
  <si>
    <t>SEN/DGRMSG/L040/2023</t>
  </si>
  <si>
    <t>Soluciones Abiertas en Telecomunicaciones, S.A. de C.V.</t>
  </si>
  <si>
    <t>Equipos marca Apple</t>
  </si>
  <si>
    <t>Contrato formalizado con fc 05/06</t>
  </si>
  <si>
    <t>ADQ/DGRMSG/030/05/2023</t>
  </si>
  <si>
    <t>LXV/SGSA/DGIT/0234/23</t>
  </si>
  <si>
    <t>Aken &amp; CEO, S.A. de C.V.</t>
  </si>
  <si>
    <t>Bienes informáticos bajo demanda</t>
  </si>
  <si>
    <t>Contrato formalizado con Garantía 20/06</t>
  </si>
  <si>
    <t>ADQ/DGRMSG/031/05/2023</t>
  </si>
  <si>
    <t>SEN/DGRMSG/L042/2023</t>
  </si>
  <si>
    <t>Firewall / Firepower alta calidad</t>
  </si>
  <si>
    <t>24/05/2023    22/11/2023</t>
  </si>
  <si>
    <t>26/05/2023     05/12/202</t>
  </si>
  <si>
    <t>05/06/2023    18/12/2023</t>
  </si>
  <si>
    <t>30/05/2023     13/12/2023</t>
  </si>
  <si>
    <t>ADQ/DGRMSG/032/06/2023</t>
  </si>
  <si>
    <t>SEN/DGRMSG/L044/2023</t>
  </si>
  <si>
    <t>Videograbadoras de disco óptico XDCAM y drives profesionales XDCAM para el Canal del Congreso</t>
  </si>
  <si>
    <t>contrato formalizado con garantías 14</t>
  </si>
  <si>
    <t>ADQ/DGRMSG/033/06/2023</t>
  </si>
  <si>
    <t>SEN/DGRMSG/L043/2023</t>
  </si>
  <si>
    <t>Representaciones Subar, S.A. de C.V.</t>
  </si>
  <si>
    <t>Ropa y equipo de trabajo para personal de diversas áreas de la Cámara de Senadores (Partidas: 1,2,4,6,8,9,14,16 y 17)</t>
  </si>
  <si>
    <t>Contrato formalizado con garantías 11/07</t>
  </si>
  <si>
    <t>ADQ/DGRMSG/034/06/2023</t>
  </si>
  <si>
    <t>Adquisición de ropa y equipo de trabajo para personal de diversas áreas de la Cámara de Senadores (Partidas 15 y 18)</t>
  </si>
  <si>
    <t>Contrato formalizado con garantías 18/07</t>
  </si>
  <si>
    <t>ADQ/DGRMSG/035/06/2023</t>
  </si>
  <si>
    <t>IQ Orgullo de Pertenencia, S.A. de C.V.</t>
  </si>
  <si>
    <t>Adquisición de ropa y equipo de trabajo para personal de diversas áreas de la Cámara de Senadores (Partidas: 3,5,7,10,11,12 y 13)</t>
  </si>
  <si>
    <t>Contrato formalizado 29/06</t>
  </si>
  <si>
    <t>19/06/2023     18/12/2024</t>
  </si>
  <si>
    <t>ADQ/DGRMSG/036/08/23</t>
  </si>
  <si>
    <t>7° Sesión Ordinaria de COMITÉ 28 de julio</t>
  </si>
  <si>
    <t>Adquisición de iPads para los escaños de los Salones de Sesiones</t>
  </si>
  <si>
    <t>Conttrato formalizado 09/08</t>
  </si>
  <si>
    <t>ADQ/DGRMSG/037/08/23</t>
  </si>
  <si>
    <t>SEN/DGRMSG/L050/2023</t>
  </si>
  <si>
    <t>Departamento de Administración del Equipamiento de la Infraestructura de Voz y Datos</t>
  </si>
  <si>
    <t>Adquisición, configuración y puesta en operación , para ampliar  la red de voz y datos</t>
  </si>
  <si>
    <t>Contato formalizado con garantías 01/09                                   02/01/2024</t>
  </si>
  <si>
    <t>14/08/2023    22/11/2023</t>
  </si>
  <si>
    <t>23/08/2023   18/12/2023</t>
  </si>
  <si>
    <t>18/08/2023     13/12/2023</t>
  </si>
  <si>
    <t>ADQ/DGRMSG/038/09/2023</t>
  </si>
  <si>
    <t>SEN/DGRMSG/L058/2023</t>
  </si>
  <si>
    <t>Soluciones Fibroptica, S.A. de C.V.</t>
  </si>
  <si>
    <t>Depto. De Admón del Equipamiento de la Infraestructura de Voz y Datos</t>
  </si>
  <si>
    <t>Adquisición e instalación de equipo para distribución de señal de TV.</t>
  </si>
  <si>
    <t>Contrato formalizado con garantía 05/10</t>
  </si>
  <si>
    <t>31/08/2023  22/11/2023</t>
  </si>
  <si>
    <t>18/09/2023   26/12/2023</t>
  </si>
  <si>
    <t>11/09/2023 26/12/2023</t>
  </si>
  <si>
    <t>ADQ/DGRMSG/039/09/2023</t>
  </si>
  <si>
    <t>SEN/DGRMSG/L056/2023</t>
  </si>
  <si>
    <t>Equipo para el fortalecimiento tecnológico de la infraestructura técnia de la estación transmisora, control maestro y cabinas de producción del Canal del Congreso</t>
  </si>
  <si>
    <t>Contrato formalizado con garantías 18/09</t>
  </si>
  <si>
    <t>ADQ/DGRMSG/040/09/2023</t>
  </si>
  <si>
    <t>SEN/DGRMSG/INV041/2023</t>
  </si>
  <si>
    <t>Subdirección de Supervisión de la UAT / Depto. Atención a Torre de Comisiones</t>
  </si>
  <si>
    <t>Bolsas Purifog generación de niebla c/4000 ml capacidad de cobertura de 12,000 m3 liquido sanitizante</t>
  </si>
  <si>
    <t>25/09  proveedor solicita se exima la FC, toda vez que entregó en su totalidad, se le envia oficio al área
28/09 se solicita a DGAJ se exima FC, así como el Convenio de Terminación por cumplimiento de objeto de contrato</t>
  </si>
  <si>
    <t xml:space="preserve"> Convenio de terminación por cumplimiento del objeto y dispensa de fianza de cumplimiento</t>
  </si>
  <si>
    <t>Contrato y Convenio de terminación formalizado 03/10</t>
  </si>
  <si>
    <t>22/09/2023
03/10/2023</t>
  </si>
  <si>
    <t>21/09/2023
29/09/2023</t>
  </si>
  <si>
    <t>ADQ/DGRMSG/041/09/2023</t>
  </si>
  <si>
    <t>SEN/DGRMSG/INV039/2023</t>
  </si>
  <si>
    <t>Subdirección de Supervisión de la UAT / Depto. Atención al Pleno y Organos de Gobierno</t>
  </si>
  <si>
    <t>Refacciones para reparar el sistema de rodamientos y elevacion de los sillones senatoriales del salón de sesiones y de la comisión permanenete, dentro de las instalaciones del Senado de la República en Paseo de la Reforma No. 135</t>
  </si>
  <si>
    <t>2311/LXV/DMBMI/23 Réporto incumplimiento de las entregas de las partidadas</t>
  </si>
  <si>
    <t>Contrato formalizado con garantía 13/10</t>
  </si>
  <si>
    <t>ADQ/DGRMSG/042/10/2023</t>
  </si>
  <si>
    <t>9° Sesión Ordinaria  COMITÉ 29 de septiembre</t>
  </si>
  <si>
    <t>Equipo de transmisión portátil de audio y video marca LiveU para el Canal del Congreso</t>
  </si>
  <si>
    <t>Contrato formalizado con garantía</t>
  </si>
  <si>
    <t>ADQ/DGRMSG/043/10/2023</t>
  </si>
  <si>
    <t>LXV/SGSA/DGIT/0554/23</t>
  </si>
  <si>
    <t>Proyectos Equipos y Montajes Electromecánicos, S.A. de C.V.</t>
  </si>
  <si>
    <t>UPS con servicio de instalación</t>
  </si>
  <si>
    <t>31/10 SE ENVIAN CONTRATOS PARA CAMBIAR AL ADM ING. DINO ADÁN VENEGAS</t>
  </si>
  <si>
    <t>Contrato formalizado con garantías 22/11</t>
  </si>
  <si>
    <t>ADQ/DGRMSG/044/11/2023</t>
  </si>
  <si>
    <t>Décima Sesión Ordinaria COMITÉ 27 octubre</t>
  </si>
  <si>
    <t>Depto. De Planeación y Organización</t>
  </si>
  <si>
    <t>Adquisición y puesta a punto (instalación, configuración y pruebas de operación) de 5 máquinas de inspección por rayos X con banda</t>
  </si>
  <si>
    <t>ADQ/DGRMSG/045/12/2023</t>
  </si>
  <si>
    <t>11° Sesión Ordinaria COMITÉ 24 de noviembre</t>
  </si>
  <si>
    <t>Jefe de Departamento de Prevención de Riesgos y Antención de Emergencias.</t>
  </si>
  <si>
    <t>El suministro de equipos fijos contra incendios a base de espuma mecánica AR-AFF apta fuegos de las Clases A,B,C,D y K, para la Cámara de Senadores.</t>
  </si>
  <si>
    <t>ADQ/DGRMSG/046/12/2023</t>
  </si>
  <si>
    <t>SGSA/DGRH/URLS/SPS/LXV/754/2023</t>
  </si>
  <si>
    <t>Adqusición de Vales de Despensa (Tarjetas Electrónicas) para Jefes de Departamento, Personal de Servicio Técnico y Mandos.</t>
  </si>
  <si>
    <t>Tiene bonificacion del 0.11% 6,626.93</t>
  </si>
  <si>
    <t>ADQ/DGRMSG/047/12/2023</t>
  </si>
  <si>
    <t>SGSA/DGRH/URLS/LXV/0796/2023</t>
  </si>
  <si>
    <t>Art. 21 fracc  XXII</t>
  </si>
  <si>
    <t>Adquisición de Vales de Despensa ( Tarjetas Elecrónicas) para Empleados de Limpieza, Empleados Mantenimiento y Resguardo.</t>
  </si>
  <si>
    <t>ADQ/DGRMSG/048/12/2023</t>
  </si>
  <si>
    <t>SGSA/DGRH/URLS/SPS/LXV/860/2023</t>
  </si>
  <si>
    <t xml:space="preserve">Art. 21 fracc XXII </t>
  </si>
  <si>
    <t xml:space="preserve">Servicios Broxel, S.A.P.I. de C.V.  </t>
  </si>
  <si>
    <t>Adquisición de Vales de Despensa (Tarjetas Electrónicas) para empleados de Honorarios de Comisiones, Honorarios Administrativos y Asesores.</t>
  </si>
  <si>
    <t>27/12/1023</t>
  </si>
  <si>
    <t>NP</t>
  </si>
  <si>
    <t>OP/DGRMSG/001/05/2023</t>
  </si>
  <si>
    <t>0718/LXV/DMBMI/2023</t>
  </si>
  <si>
    <t>Inmobiliaria y Constructura Mal &amp; Jor, S.A. de C.V.</t>
  </si>
  <si>
    <t>Jefatura del Departamento de Supervisión y Mantenimiento a Edificios Centro Histórico / Subdirección de MBMI</t>
  </si>
  <si>
    <t>Obra Pública a precios unitarios y tiempo determinado para la remodelación de núcleo de sanitarios en edificio Donceles No. 14 Planta Baja, Mezanine y Sótano 1</t>
  </si>
  <si>
    <t>27/07 Se solicita a la DGAJ modificatorio, toda vez que el Adm, lo solicita</t>
  </si>
  <si>
    <t>Sustitución de Anexo Técnico por trabajos extraordinarios y modificaciones de algunos conceptos de trabajo</t>
  </si>
  <si>
    <t>Contrato formalizado con garantías 22/06
Modificatorio formalizado 04/08/23</t>
  </si>
  <si>
    <t>12/05/2023
02/08/2023</t>
  </si>
  <si>
    <t>15/05/2023
02/08/2023</t>
  </si>
  <si>
    <t>OP/DGRMSG/002/06/2023</t>
  </si>
  <si>
    <t>1036/LXV/DMBMI/2023</t>
  </si>
  <si>
    <t>Servicio de Ingeniería Integral G4s, S.A. de C.V.</t>
  </si>
  <si>
    <t>Departamento de Atención a Torre de Comisiones y Subdirección de Supervisión de la Unidad de Apoyo Técnico</t>
  </si>
  <si>
    <t>Trabajos de rehabilitación de Lambrin de granito ubicado en el acceso de Reforma 135 (Escalinata de la Cámara de Senadores)</t>
  </si>
  <si>
    <t>01/09 EL ÁREA SOLICITA INCREMENTO Y DECREMENTO DE VOLUMENES DE OBRA Y ADICIONAR VOLUMEN E IMPORTE DE 5 CONCEPTOS NO INCLUIDOS, NO MODIFICA NI PRECIOS NI VIGENCIA</t>
  </si>
  <si>
    <t>SUSTITUCIÓN DE ANEXO</t>
  </si>
  <si>
    <t>Contrato formalizado con garantías 17/07
Modificatorio formalizado 12/09</t>
  </si>
  <si>
    <t>23/06/2023
05/09/2023</t>
  </si>
  <si>
    <t>28/06/2023
12/09/2023</t>
  </si>
  <si>
    <t>26/06/2023
08/09/2023</t>
  </si>
  <si>
    <t>OP/DGRMSG/003/08/2023</t>
  </si>
  <si>
    <t>SEN/DGRMSG/L053/2023</t>
  </si>
  <si>
    <t>Varios</t>
  </si>
  <si>
    <t>Obra Pública a precios unitarios y tiempo determinado para el reforzamiento estructural en azotea de Hemiciclo en el área donde se ubican los equipos enfriadores del sistema de aire acondicionado, así como el suministro e instalación de tres equipos intercambiadores de calor nuevos y retiro del intercambiador de calor existente, del sistema de aire acondicionado de confort, en una nueva estructura de acero ubicada en el nivel 7 del Hemiciclo</t>
  </si>
  <si>
    <t>F.Anticipo 100% $6,815,116.81 (30% DEL MONTO)
FC 15%
PRC 15%
FVO 10%</t>
  </si>
  <si>
    <t>I. Modificatorio  ampliacion por monto y vigencia              II. Incremento en vigencia</t>
  </si>
  <si>
    <t>Incremento del 4.329226013420872% y ampliacion de vigencia hasta el 15 de enero 2024                                               15/01 se solicita ampliacion de vigencia oficio 0090/LXV/DMBMI/2024</t>
  </si>
  <si>
    <t xml:space="preserve">Contrato formalizado con garantias 24/08             24/01/2024     </t>
  </si>
  <si>
    <t>09/08/2023       08/12/2023</t>
  </si>
  <si>
    <t>22/08/2023  26/12/2023</t>
  </si>
  <si>
    <t>14/08/2023   21/12/2023</t>
  </si>
  <si>
    <t>OP/DGRMSG/004/08/2023</t>
  </si>
  <si>
    <t>SEN/DGRMSG/L052/2023</t>
  </si>
  <si>
    <t>Subdirección Operativa de la UAT</t>
  </si>
  <si>
    <t>Obra Pública a precios unitarios y tiempo determinado para la sustitución del sistema de iluminación arquitectónica en la fachada del Senado de la República (Hemiciclo y Torre de Comisiones Nueva Sede) Avenida Paseo de la Reforma 135</t>
  </si>
  <si>
    <t>F.Anticipo 100% 
$3,806,035.24
FC 15%
PRC 15%
FVO 10%</t>
  </si>
  <si>
    <t>15/12 Se solicita cambio de situación fiscal                                                   15/12 solicita incremento del monto</t>
  </si>
  <si>
    <t>Cambio de situacion fiscal y monto por 2.207672%</t>
  </si>
  <si>
    <t>Contrato formalizado con F.A. 31/08      24/01/2024</t>
  </si>
  <si>
    <t>09/08/2023    12/12/2023</t>
  </si>
  <si>
    <t>10/08/2023    19/08/2023</t>
  </si>
  <si>
    <t>22/08/2023                02/02/2024</t>
  </si>
  <si>
    <t>16/08/2023  27/12/2023</t>
  </si>
  <si>
    <t>OP/DGRMSG/005/09/2023</t>
  </si>
  <si>
    <t>SEN/DGRMSG/L061/2023</t>
  </si>
  <si>
    <t>Subdirección de MBMI / Depto. De Supervisión de A/A e Hidrosanitario</t>
  </si>
  <si>
    <t>Obra Pública a precios unitarios y tiempo determinado para la sustitución del sistema del sistema de aire acondicionado del inmueble de Madrid No. 62</t>
  </si>
  <si>
    <t>F. Anticipo 100%  (3,117,315.86
FC 15%
PRC 10%
F.V.O. 10%</t>
  </si>
  <si>
    <t>06/12 Se solicita modificatorio por el 8.2352101%                        19/dic se solicita decremento</t>
  </si>
  <si>
    <t>Modificación en la cláusula segunda del contratodel contrato</t>
  </si>
  <si>
    <t>07/12/2023                                            26/12/2023</t>
  </si>
  <si>
    <t>Contrato formalizado con F.A. y TC 19/09                                         02/01/2023                         15/01/2023               24/01/2024</t>
  </si>
  <si>
    <t>11/09/2023           20/12/2023</t>
  </si>
  <si>
    <t>11/09/2023     06/12/2023</t>
  </si>
  <si>
    <t>20/09/2023    15/08/2023            04/01/2024</t>
  </si>
  <si>
    <t>19/09/2023      11/08/2023                           02/01/2023</t>
  </si>
  <si>
    <t>SEN/DGRMSG/L002/2023</t>
  </si>
  <si>
    <t>Jefatura del Departamento de Administración del Equipamiento de la Infraestructura de Voz y Datos</t>
  </si>
  <si>
    <t>Servicio de cableado de nodos de video y nodos de red para voz y datos categoría 5e y 7a en Unidades Parlamentarias, Técnicas y Administrativas 2023</t>
  </si>
  <si>
    <t>Contrato formalizado con FC y PrC 25/01/22                    08/01/24</t>
  </si>
  <si>
    <t>14/11/2022   22/11/2023</t>
  </si>
  <si>
    <t>16/11/2022         05/12/2023</t>
  </si>
  <si>
    <t>09/01/2023    18/12/2023</t>
  </si>
  <si>
    <t>02/01/2023  13/12/2023</t>
  </si>
  <si>
    <t>Subdirección de Servicios Administrativos y Subdirección Operativa de la Coordinación Técnica de la DGRMSG</t>
  </si>
  <si>
    <t>Servicio de mantenimiento preventivo y correctivo al Sistema Neumático de Envíos, marca AEROCOM, modelo, AC-3000, en 160 mm de diámetro, instalado en el edificio de la Nueva Sede de la Cámara de Senadores</t>
  </si>
  <si>
    <t>Contrato formalizado con FC y PrC 25/01/22</t>
  </si>
  <si>
    <t>Servicio de operación de los 4 niveles de estacionamiento de la Nueva Sede y los 4 sótanos del inmueble de Donceles No. 14 de El Senado a través de operarios que manejen los equipos de elevautos y elevador, así como que brinden apoyo a los usuarios del estacionamiento para ubicar los vehículos</t>
  </si>
  <si>
    <t>22/12Ampliacion de vigencia y incremento del monto</t>
  </si>
  <si>
    <t>Contrato formalizado con garantías 26/01/23</t>
  </si>
  <si>
    <t>22/12/2023                 26/12/2023</t>
  </si>
  <si>
    <t>10/01/2023                03/01/2023</t>
  </si>
  <si>
    <t>Metlife México, S.A. de C.V.</t>
  </si>
  <si>
    <t>Contratación de las pólizas del seguro de vida e incapacidad total y permanente para los Senadores de la República, así como para los trabajadores de la Cámara de Senadores, así como de los jubilados y/o pensionados por el ISSSTE cuya última actividad laboral fue desempeñada en el Senado de la República (Partida 1A y 1B)</t>
  </si>
  <si>
    <t>Contrato formalizado 03/01/23</t>
  </si>
  <si>
    <t>Mantenimiento preventivo y correctivo, con soporte técnico y refacciones para los equipos del sistema de automatización y control Marca Metasys del sistema de aire acondicionado, de la Sede de Av. Paseo de la Reforma No. 135 de la Cámara de Senadores</t>
  </si>
  <si>
    <t>07/11 área solicita incremento del 15%</t>
  </si>
  <si>
    <t xml:space="preserve">I.Incremento del 15% sustityendo anexo y sustitución de supervisor del contrato.   II. Incremento del 2% </t>
  </si>
  <si>
    <t xml:space="preserve"> 09/11/2023   14/12/2023 </t>
  </si>
  <si>
    <t>Contrato formalizado 07/03                                              02/01/2023</t>
  </si>
  <si>
    <t>08/12/2022
08/11/2023</t>
  </si>
  <si>
    <t>14/12/2022
08/11/2023</t>
  </si>
  <si>
    <t xml:space="preserve">22/12/2022
13/11/2023
</t>
  </si>
  <si>
    <t>10/01/2023
22/11/2023</t>
  </si>
  <si>
    <t>03/01/2023
21/11/2023</t>
  </si>
  <si>
    <t>DGRMSG/DSA/LXV/1268/2022</t>
  </si>
  <si>
    <t>Subdirección de Servicios</t>
  </si>
  <si>
    <t>Servicio de estacionamiento y pensión para 250 unidades vehículares como mínimo y 450 como máximo en los inmuebles de "Madrid" Calle Madrid No. 18, Col Tabacalera, Alcaldía Cuauhtémoc, en la Ciudad de México, C.P. 06030 y "Roma" Calle Roma No. 39, Col. Juárez, Alcaldía Cuauhtémoc, en la Ciudad de México, C.P.06600</t>
  </si>
  <si>
    <t>Contrato formalizado en tesorería 11/01/23</t>
  </si>
  <si>
    <t>Servicio de Mantenimiento preventivo y correctivo, con soporte técnico a los equipos de bombeo Hidrónico, válvulas, intercambiadores de calor, EPAC (Expansión, Presurización, tratamiento químico al agua helada y Control de aire) del Sistema de Aire Acondicionado de la Sede de la Cámara de Senadores</t>
  </si>
  <si>
    <t>07/11 área solicita incremento del 25%</t>
  </si>
  <si>
    <t>Incremento del 25% sustityendo anexo y sustitución de supervisor del contrato</t>
  </si>
  <si>
    <t>Contrato formalizado con fianzas 16/01/23     07/12/2023</t>
  </si>
  <si>
    <t>08/12/2022   09/11/2023</t>
  </si>
  <si>
    <t>19/12/2022   09/11/2023</t>
  </si>
  <si>
    <t>22/12/2022   13/11/2023</t>
  </si>
  <si>
    <t>03/01/2023
17/11/2023</t>
  </si>
  <si>
    <t>27/12/2022
15/11/2023</t>
  </si>
  <si>
    <t>SEN/DGRMSG/L011/2023</t>
  </si>
  <si>
    <t>Servicio de análisis, monitoreo y alertas de información en medios impresos, electrónicos, digitales y en redes sociales, para el ejercicio 2023</t>
  </si>
  <si>
    <t>Fc 15%</t>
  </si>
  <si>
    <t>27/11 area solicita el incremento del 25 %</t>
  </si>
  <si>
    <t>Incremento del 25% y vigencia del 1 de enero al 31 de marzo de 2024, asi como sustitucion del administrador y supervisor del contrato</t>
  </si>
  <si>
    <t>Contrato formalizado con FC 20/01     26/12/2023</t>
  </si>
  <si>
    <t>20/12/2022   17/11/2023</t>
  </si>
  <si>
    <t>20/12/2022  24/11/2023</t>
  </si>
  <si>
    <t>22/12/2022      11/12/2023</t>
  </si>
  <si>
    <t>10/01/2023     08/12/23</t>
  </si>
  <si>
    <t>10/01/2023         04/12/23</t>
  </si>
  <si>
    <t>Servicio de mantenimiento preventivo y correctivo, con soporte técnico a los equipos de bombeo Hidráulico de los cuartos de máquinas y cárcamos; así como las bombas cintrífugas sumergibles y cabezales de la Sede de la Cámara de Senadores</t>
  </si>
  <si>
    <t>09/11 área solicita 25% incremento al monto máximo, sustitución de supervisor del contrato sustituyendo anexo</t>
  </si>
  <si>
    <t>Incremento del 25% al monto máximo, sustitución de supervisor del contrato sustituyendo anexo</t>
  </si>
  <si>
    <t xml:space="preserve">Contrato formalizado con fianzas 16/01/23     07/12/2023       </t>
  </si>
  <si>
    <t>08/12/2022
09/11/2023</t>
  </si>
  <si>
    <t>19/12/2022
09/11/2023</t>
  </si>
  <si>
    <t>22/12/2022
13/11/2023</t>
  </si>
  <si>
    <t>02/01/2023
17/11/2023</t>
  </si>
  <si>
    <t>Décima Segunda Sesión Ordinaria del Comité del 16 de diciembre</t>
  </si>
  <si>
    <t>Servicio de mantenimiento preventivo a los equipos contra incendios de los cuartos de bombas y mantenimiento preventivo a red PCI, para el ejercicio 2023</t>
  </si>
  <si>
    <t>13/3adm solicta convenio modificatorio para cambiar anexo a fin de establecer nuevo superviso r de contrato                                                 20/12 Solicita ampliación del contrato y vigencia</t>
  </si>
  <si>
    <t>Sustitución de Supervisor del Contrato, se agrega cambio del Anexo T.    20/12 Solicita ampliación del contrato y vigencia</t>
  </si>
  <si>
    <t>16/03/2023                                    26/12/2023</t>
  </si>
  <si>
    <t>Contrato formalizado con fianzas 16/01/23
Modificatorio formalizado 27/03/23</t>
  </si>
  <si>
    <t>16/12/2022
13/03/2023   20/12/2023</t>
  </si>
  <si>
    <t>21/12/2022
14/03/2023     21/12/2023</t>
  </si>
  <si>
    <t>26/12/2022
17/03/2023</t>
  </si>
  <si>
    <t>05/01/2023        04/01/2024</t>
  </si>
  <si>
    <t>27/12/2022
22/03/2023</t>
  </si>
  <si>
    <t>SGSA/UE/LXV/195/22</t>
  </si>
  <si>
    <t xml:space="preserve">Art. 21 XXII </t>
  </si>
  <si>
    <t>Aquí se está mejor, S.A. de C.V</t>
  </si>
  <si>
    <t>Unidade de Eventos</t>
  </si>
  <si>
    <t>Servicio de alimentación intra o extramuros para la Cámara de Senadores correspondientes al ejercicio 2023 (Partidas 1 y 2)</t>
  </si>
  <si>
    <t>24/07 Adm solcita ampliación del 25% del monto máximo partidas 1 y 2
08/08 se le solicita nuevamente a la DGAJ el modificatorio, mediante respuesta del administrador a las observaciones realizadas 
15/08 se le solicita nuevamente a la DGAJ el modificatorio, mediante respuesta del administrador a las observaciones realizadas
09/10 se solicita 2do Modif a la DGAJ</t>
  </si>
  <si>
    <r>
      <t xml:space="preserve">I.- Incremento del 25% en el monto máximo y sustitución de anexo
II.- Ajuste de importes máximos a las partidas y vigencia al </t>
    </r>
    <r>
      <rPr>
        <b/>
        <sz val="11"/>
        <color theme="1"/>
        <rFont val="Calibri"/>
        <family val="2"/>
        <scheme val="minor"/>
      </rPr>
      <t>31/10/23</t>
    </r>
    <r>
      <rPr>
        <sz val="11"/>
        <color theme="1"/>
        <rFont val="Calibri"/>
        <family val="2"/>
        <charset val="1"/>
        <scheme val="minor"/>
      </rPr>
      <t xml:space="preserve"> Partida </t>
    </r>
    <r>
      <rPr>
        <b/>
        <sz val="11"/>
        <color theme="1"/>
        <rFont val="Calibri"/>
        <family val="2"/>
        <scheme val="minor"/>
      </rPr>
      <t>1 $2,900,000</t>
    </r>
    <r>
      <rPr>
        <sz val="11"/>
        <color theme="1"/>
        <rFont val="Calibri"/>
        <family val="2"/>
        <charset val="1"/>
        <scheme val="minor"/>
      </rPr>
      <t xml:space="preserve"> y Partida </t>
    </r>
    <r>
      <rPr>
        <b/>
        <sz val="11"/>
        <color theme="1"/>
        <rFont val="Calibri"/>
        <family val="2"/>
        <scheme val="minor"/>
      </rPr>
      <t>2 $4,350,000</t>
    </r>
    <r>
      <rPr>
        <sz val="11"/>
        <color theme="1"/>
        <rFont val="Calibri"/>
        <family val="2"/>
        <charset val="1"/>
        <scheme val="minor"/>
      </rPr>
      <t xml:space="preserve"> ambas más iva</t>
    </r>
  </si>
  <si>
    <t>30/08/2023
10/10/2023</t>
  </si>
  <si>
    <t>Contrato formalizado con garantías 26/01
Modific. Formalizado con endosos 21/09
26/10 2do modif formalizado</t>
  </si>
  <si>
    <t>26/12/2022
24/07/2023</t>
  </si>
  <si>
    <t>27/12/2022
25/07/2023</t>
  </si>
  <si>
    <t>02/01/2023
17/08/2023</t>
  </si>
  <si>
    <t>16/01/2023
30/08/2023
11/10/2023</t>
  </si>
  <si>
    <t>04/01/2023
23/08/2023
11/10/2023</t>
  </si>
  <si>
    <t>SERV/DGRMSG/012/01/2023</t>
  </si>
  <si>
    <t>SGSA/UE/LXV/194/22</t>
  </si>
  <si>
    <t>Servicios de alimentación intra o extramuros para la Cámara de Senadores, para el ejercicio 2023 (Partida 3)</t>
  </si>
  <si>
    <t>26/10 SE SOLICITA MODIFICATORIO POR CESIÓN DE DERECHOS DE COBRO                                  18/12 solicita modificatorio</t>
  </si>
  <si>
    <t>I. Modificación en la cláusula tercera del contrato                                   II. Modificatorio incremento</t>
  </si>
  <si>
    <t>Contrato formalizado con garantías 30/1
Modificatorio formalizado 06/11</t>
  </si>
  <si>
    <t>23/12/2022
26/10/2023       18/12/2023</t>
  </si>
  <si>
    <t>26/12/2022
30/10/2023                    19/12/2023</t>
  </si>
  <si>
    <t>15/01/2023
31/10/2023</t>
  </si>
  <si>
    <t>16/01/2023
06/11/2023    27/12/2023</t>
  </si>
  <si>
    <t>16/01/2023
01/11/2023  21/12/2023</t>
  </si>
  <si>
    <t>LXV/SGSA/DGIT/0733/22</t>
  </si>
  <si>
    <t>Art. 21 XIII y 97 segundo párrafo</t>
  </si>
  <si>
    <t>Guzdan Services, S.A. de C.V.</t>
  </si>
  <si>
    <t>Jefatura del Departamento de Seguridad Informática</t>
  </si>
  <si>
    <t>Licenciamiento y póliza de soporte de la infraestructura de virtualización 2023</t>
  </si>
  <si>
    <t>Contrato formalizado con garantías 09/02/23             24/01/2024</t>
  </si>
  <si>
    <t>26/12/2022       22/11/2023</t>
  </si>
  <si>
    <t>11/01/2023   20/12/2023</t>
  </si>
  <si>
    <t>11/01/2023  15/12/2023</t>
  </si>
  <si>
    <t>SEN/DGRMSG/L025/2023</t>
  </si>
  <si>
    <t>Subdirección de MBMI y Subdirección Operativa</t>
  </si>
  <si>
    <t>Servicio de mantenimiento preventivo y correctivo con refacciones de los equipos HVAC incluye la sanitización y limpieza de ductos de aire acondicionado, instalados en los inmuebles de la Cámara de Senadores</t>
  </si>
  <si>
    <t xml:space="preserve">08/05 el Adm solicita primer convenio modificatorio mediante oficio 794/LXV/DMBMI/23
09/05 se solicita a la DGAJ PRIMER CONVENIO MODIFICATORIO (actualización del Padrón de Equipos y Concetrado)
15/05 la DGAJ Mediante oficio LXV/DGAJ/1849/23, informa que no es posible atender la solicitud de elaboración de convenio en los terminos planteados.
16/06 se solicita a la DGA primer convienio modificatorio         27/12 se solicita el segundo modificatorio                   </t>
  </si>
  <si>
    <t>Sustitución de Anexo Técnico para actualizar el padrón de equipos, así como Supervisor del Contrato                                  Se solicita se lleve ampliacion del contrato por 14.14940725% y vigencia</t>
  </si>
  <si>
    <t>19/06/2023                        28/12/2023</t>
  </si>
  <si>
    <t>Contrato formalizado con garantías 17/01/23
Modificatorio formalizado 27/06</t>
  </si>
  <si>
    <t xml:space="preserve">29/11/2023 21/12/2023           </t>
  </si>
  <si>
    <t>29/11/2023              27/12/2023</t>
  </si>
  <si>
    <t>02/01/2023
20/06/2023                        28/12/2023</t>
  </si>
  <si>
    <t>11/01/2023
26/06/2023</t>
  </si>
  <si>
    <t>11/01/2023
22/06/2023    28/01/2023</t>
  </si>
  <si>
    <r>
      <t>SERV/DGRM</t>
    </r>
    <r>
      <rPr>
        <i/>
        <sz val="11"/>
        <color theme="1"/>
        <rFont val="Calibri"/>
        <family val="2"/>
        <scheme val="minor"/>
      </rPr>
      <t>S</t>
    </r>
    <r>
      <rPr>
        <sz val="11"/>
        <color theme="1"/>
        <rFont val="Calibri"/>
        <family val="2"/>
        <charset val="1"/>
        <scheme val="minor"/>
      </rPr>
      <t>G/015/01/2023</t>
    </r>
  </si>
  <si>
    <t>2487/LXV/DMBMI/2022</t>
  </si>
  <si>
    <t>N/A Art. 120 último párrafo</t>
  </si>
  <si>
    <t xml:space="preserve">                22/11 área solicita ampliacion asi como sustitución de R.L.                            </t>
  </si>
  <si>
    <t xml:space="preserve"> Incremento del 11%, cambio del representante legal y sustitucione del supervisor                                                 05/12 se solicito a juridico cambio de nombre del representante legal error acento</t>
  </si>
  <si>
    <t xml:space="preserve">                   27/11/2023</t>
  </si>
  <si>
    <t>Contrato formalizado 17/01/23     13/12/2023</t>
  </si>
  <si>
    <t>02/01/2023   13/01/2023</t>
  </si>
  <si>
    <t>SERV/DGRMSG/016/01/2023</t>
  </si>
  <si>
    <t>2486/LXV/DMBMI/2022</t>
  </si>
  <si>
    <t>Subdirección de MBMI y Subdirección Operativa y Subdirección de Supervisión</t>
  </si>
  <si>
    <t>Servicio de mantenimiento preventivo y correctivo menor y servicios gnerales para los inmuebles ocupados por la Cámara de Senadores</t>
  </si>
  <si>
    <t xml:space="preserve">04/01 Encargada de Despacho DMBMI solicta modificatorio para sustituir Anexo T, derivado del cambio de Adm. Del contrato 
22/11 área solicita ampliacion asi como sustitución de R.L.                  </t>
  </si>
  <si>
    <t xml:space="preserve">Sustitución de Anexo Técnico  
Ampliacion asi como sustitución de R.L.                 27/11 Incremento cel 16% y cambio del representante legal 05/12 se solicito a juridico cambio de nombre del representante legal error acento          </t>
  </si>
  <si>
    <t>05/01/2023
27/11/2023</t>
  </si>
  <si>
    <t>Contrato formalizado 17/01/23
Modif formalizado 18/01/23      2 Mod formalizado 13/12/2023</t>
  </si>
  <si>
    <t>02/01/2023               03/11/2023</t>
  </si>
  <si>
    <t>02/01/2023
17/02/2023</t>
  </si>
  <si>
    <t>16/01/2023
17/02/2023                     08/12/2023</t>
  </si>
  <si>
    <t>13/01/2023
16/02/2023                11/12/2023</t>
  </si>
  <si>
    <t>SEN/DGRMSG/L008/2023</t>
  </si>
  <si>
    <t>Operbes, S.A. de C.V.</t>
  </si>
  <si>
    <t>Servicio de internet dedicado de fibra óptica 2Gbps para la Coordinación de Comunicación Social 2023</t>
  </si>
  <si>
    <t>21/11/23 se solicita modificatorio por cambio de adm del contrato   11/12/2023 Se solicita incremento del 25% monto maximo y cambio de administrador solicitud del administrador Y VIGENCIA</t>
  </si>
  <si>
    <t>I. Cambio de adm del contrato y incremento del 25%                                       II. Se solicita cambio de representante legal</t>
  </si>
  <si>
    <t>21/11/2023                  29/12/2023</t>
  </si>
  <si>
    <t>05/01/2023                   13/12/2023</t>
  </si>
  <si>
    <t>T/DGPS/015/23</t>
  </si>
  <si>
    <t>Viajes Escalona, S.A. de C.V.</t>
  </si>
  <si>
    <t>Servicio de reservación, expedición, cancelaciones y entrega de boletos para transportación aérea para viajes de trabajo y comisión de las y los Legisladores; así como del Personal de la Cámara de Senadores</t>
  </si>
  <si>
    <t>SUJETO A DEMANDA</t>
  </si>
  <si>
    <t>Contrato formalizado 20/01</t>
  </si>
  <si>
    <t>Contrato formalizado 27/01</t>
  </si>
  <si>
    <t>SERV/DGRMSG/021/01/2023</t>
  </si>
  <si>
    <t>Primera Sesión Extraordinaria del Comité 4 de enero 2023</t>
  </si>
  <si>
    <t>Silent4bussiness, S.A. de C.V.</t>
  </si>
  <si>
    <t>Servicio Administrado de Ciberseguridad</t>
  </si>
  <si>
    <t>FC 15%
PRc 15%</t>
  </si>
  <si>
    <t>Contrato formalizado con garanías 10/02      26/12/2024</t>
  </si>
  <si>
    <t>04/01/2023                05/12/2023</t>
  </si>
  <si>
    <t>30/01/2023     18/12/2024</t>
  </si>
  <si>
    <t>20/01/2023   13/12/2024</t>
  </si>
  <si>
    <t>SERV/DGRMSG/022/01/2023</t>
  </si>
  <si>
    <t>Vaindec, S.A. de C.V.</t>
  </si>
  <si>
    <t>Fortalecimiento de los Procesos de Seguridad</t>
  </si>
  <si>
    <t>22/06 la DGIT solicita Terminación anticipada, toda vez que que se recibieron los servicios en tiempo y forma y a satisfacción de la C. con fecha del 01/07/23</t>
  </si>
  <si>
    <t>Terminación Anticipada por Mutuo Consentimiento</t>
  </si>
  <si>
    <t>Contrato formalizado con garantía 21/03
T.Anticip formalizada 28/06</t>
  </si>
  <si>
    <t>04/01/2023
22/06/2023</t>
  </si>
  <si>
    <t>12/01/2023
23/06/2023</t>
  </si>
  <si>
    <t>16/01/2023
23/06/2023</t>
  </si>
  <si>
    <t>25/01/2023
28/06/2023</t>
  </si>
  <si>
    <t>18/01/2023
27/06/2023</t>
  </si>
  <si>
    <t>SERV/DGRMSG/023/01/2023</t>
  </si>
  <si>
    <t>SEN/DGRMSG/L027/2023</t>
  </si>
  <si>
    <t>Servicio de Estudio de Opinión de la Programación del Canal del Congreso</t>
  </si>
  <si>
    <t>Contrato formalizado con garantías 09/02/23</t>
  </si>
  <si>
    <t>SERV/DGRMSG/024/01/2023</t>
  </si>
  <si>
    <t>Servicio Integral de Resiliencia, que incluye un DRP (Plan de Recuperación de Desastres)</t>
  </si>
  <si>
    <t>Contrato formalizado con garantías 08/02/23                                       08/01/24</t>
  </si>
  <si>
    <t xml:space="preserve">El R.L. esta limitado a firmar contratos arriba de 2 millones, lo estan checando en Jurídico y Julio
19/01 se envia a JURÍDICO copia del instrumento notarial para efectos del R.L
20/01 se solicita a la DGAJ dejar sin efectos el oficio 0241 y continuar con la elaboración del instrumento, en los terminos originalmlente planteados          04/12 aplica pena convencional
</t>
  </si>
  <si>
    <t>04/01/2023   22/11/2023</t>
  </si>
  <si>
    <t>31/01/2023   18/12/2024</t>
  </si>
  <si>
    <t>25/01/2023  14/12/2023</t>
  </si>
  <si>
    <t>SERV/DGRMSG/025/01/2023</t>
  </si>
  <si>
    <t>SGSA/LXV/052/23</t>
  </si>
  <si>
    <t>Contrato formalizado 16/02 con fecha especial 17/01/23</t>
  </si>
  <si>
    <t>SERV/DGRMSG/026/02/2023</t>
  </si>
  <si>
    <t>Primera Sesión Ordinaria del Comité 27 de enero 2023</t>
  </si>
  <si>
    <t>Blue &amp; Green Servicos y Soluciones al Medio Ambiente, S.A. de C.V.</t>
  </si>
  <si>
    <t>Servicio de operación, mantenimiento preventivo y correctivo a la Planta de Tratamiento de Aguas Residuales (PTAR), 3 plantas de osmosis inversa marca AQUA TECNOLOGÍA AMBIENTAL y, el monitoreo y dosificación de cloro de 2 cisternas de agua potable ubicadas en la Sede de la Cámara de Senadores.</t>
  </si>
  <si>
    <t>Contrato formalizado con FCy PRC 16/02</t>
  </si>
  <si>
    <t>SERV/DGRMSG/027/02/2023</t>
  </si>
  <si>
    <t>Dirección y Programación del Canal del Congreso</t>
  </si>
  <si>
    <t>Servicios de Producción de la serie denominada "Vivas, Libres y sin Miedo"</t>
  </si>
  <si>
    <t>Contrato formalizado con FC 28/02</t>
  </si>
  <si>
    <t>SERV/DGRMSG/028/02/2023</t>
  </si>
  <si>
    <t>Servicios de Producción de la serie denominada "Legisladores del México Contemporáneo"</t>
  </si>
  <si>
    <t>Contrato formalizado con FC 22/02</t>
  </si>
  <si>
    <t>SERV/DGRMSG/029/02/2023</t>
  </si>
  <si>
    <t>Servicios de Producción de la serie denominada "Consonantes y más"</t>
  </si>
  <si>
    <t>SERV/DGRMSG/030/02/2023</t>
  </si>
  <si>
    <t>Romero</t>
  </si>
  <si>
    <t>Los servicios de Producción de la serie denominada "Las Rápidas del Congreso"</t>
  </si>
  <si>
    <t>Contrato formalizado con FC 24/02</t>
  </si>
  <si>
    <t>SERV/DGRMSG/031/02/2023</t>
  </si>
  <si>
    <t>Servicios de Producción de la serie denominada " No disparen, soy monero"</t>
  </si>
  <si>
    <t>SERV/DGRMSG/032/02/2023</t>
  </si>
  <si>
    <t>Contrato formalizado con FC 16/02</t>
  </si>
  <si>
    <t>SERV/DGRMSG/033/02/2023</t>
  </si>
  <si>
    <t>Servicios de Producción de la serie denominada "200 Años de Jalisco"</t>
  </si>
  <si>
    <t>Contrato formalizado 17/02/23</t>
  </si>
  <si>
    <t>SERV/DGRMSG/034/02/2023</t>
  </si>
  <si>
    <t>SEN/DGRMSG/INV012/2023</t>
  </si>
  <si>
    <t>Servicio de suministro de Gas L.P. Licuado para la recarga de dos tanques estacionarios de 5,000 litros cada uno instalados en el inmueble de la Sede de Avenida Paseo de la Reforma 135, así como el de un tanque de 500 litros instalado en el inmueble de Madrid # 35 de la Cámara de Senadores</t>
  </si>
  <si>
    <t xml:space="preserve">19/12 AMPLIACION DE VIGENCIA </t>
  </si>
  <si>
    <t>03/02/2023   20/12/2023</t>
  </si>
  <si>
    <t>07/02/2023      19/12/2023</t>
  </si>
  <si>
    <t>16/02/2023     20/12/2023</t>
  </si>
  <si>
    <t xml:space="preserve">13/02/2023        18/12/2023     </t>
  </si>
  <si>
    <t>SERV/DGRMSG/035/03/2023</t>
  </si>
  <si>
    <t>SEN/DGRMSG/L032/2023</t>
  </si>
  <si>
    <t>Servicio de elaboración de papelería impresa oficial para Senadores, Senadores, Órganos de Gobierno, Unidades Parlamentarias, Administrativas y Técnicas (30% de la partida 1)</t>
  </si>
  <si>
    <t xml:space="preserve">15/12 Solicita ampliación de vigencia 29 de febrero </t>
  </si>
  <si>
    <t>solicita ampliación de vigencia</t>
  </si>
  <si>
    <t>22/02/2023    20/12/2023</t>
  </si>
  <si>
    <t>24/02/2023     18/12/2023</t>
  </si>
  <si>
    <t>SERV/DGRMSG/036/03/2023</t>
  </si>
  <si>
    <t>SEN/DGRMSG/INV005/2023</t>
  </si>
  <si>
    <t>Subdirección de Adquisiciones y Subdirección de Supervisión de la UAT</t>
  </si>
  <si>
    <t>Servicio de mantenimiento, reforestación, fumigación en plantas, limpieza, suministro de plantas y macetas para los inmuebles ocupados por la Cámara de Senadores</t>
  </si>
  <si>
    <t>Contrato formalizado con FC y PRC 13/03</t>
  </si>
  <si>
    <t>SERV/DGRMSG/037/03/2023</t>
  </si>
  <si>
    <t>SGSA/DGRH/URLS/SPE/LXV/020/2023</t>
  </si>
  <si>
    <t>Jefatura de Unidad de Relaciones Laborales y Servicios</t>
  </si>
  <si>
    <t>Subdirección de Profesionalización y Evaluación</t>
  </si>
  <si>
    <t>Curso del idioma inglés en línea, dirigido a las personas Servidoras Públicas del Senado de la República para favorecer sus aprendizaje, la pronunciación, la comprensión auditiva, la estructura, la lectura y la escritura</t>
  </si>
  <si>
    <t>Contrato formalizado 03/03</t>
  </si>
  <si>
    <t>SERV/DGRMSG/038/03/2023</t>
  </si>
  <si>
    <t>Servicio de elaboración de papelería impresa oficial para Senadores, Senadoras, Órganos de Gobierno, Unidades Parlamentarias, Administrativas y Técnicas (50% de la partida 1)</t>
  </si>
  <si>
    <t>Contrato formalizado con FC 15/03  24/01/2024</t>
  </si>
  <si>
    <t>22/02/2023    20/12/2024</t>
  </si>
  <si>
    <t>24/02/2023      18/12/2023</t>
  </si>
  <si>
    <t>07/03/2023  20/12/2023</t>
  </si>
  <si>
    <t>07/03/2023  18/12/2023</t>
  </si>
  <si>
    <t>SERV/DGRMSG/039/03/2023</t>
  </si>
  <si>
    <t>SEN/DGRMSG/L019/2023</t>
  </si>
  <si>
    <t>Servicio de mantenimiento preventivo y correctivo a 13 elevadores Schindler ubicados en el inmueble de Av. Paseo de la Reforma No. 135</t>
  </si>
  <si>
    <t>06/3 SE ENVIAN A DGAJ LOS 3 CONTRATOS PARA EL CAMBIO DE ANEXO T, POR CAMBIO DE SUPERVISOR</t>
  </si>
  <si>
    <t>SERV/DGRMSG/040/03/2023</t>
  </si>
  <si>
    <t>Instalación en la nube, configuración y puesta en operación del servicio denominado "Portal de Recepción", para la recepción y validación de facturas electrónicas CFDI, así como un monitor automático de cancelaciones de estas, que incluya soporte técnico y mantenimiento</t>
  </si>
  <si>
    <t>Contrato formalizado con fc 13/03</t>
  </si>
  <si>
    <t>SERV/DGRMSG/041/03/2023</t>
  </si>
  <si>
    <t>Contrato formalizado con garantía 29/03</t>
  </si>
  <si>
    <t>SERV/DGRMSG/042/03/2023</t>
  </si>
  <si>
    <t>SEN/DGRMSG/L033/2023</t>
  </si>
  <si>
    <t>Servicio de mantenimiento preventivo y correctivo a equipos de edición, audio, sistemas de audio y video y circuito cerrado de televisión, servicios complementarios de instalación en sistemas de audio y video y circuito de televisión de la Coordinación de Comunicación Social</t>
  </si>
  <si>
    <t>SERV/DGRMSG/043/03/2023</t>
  </si>
  <si>
    <t>SEN/DGRMSG/INV020/2023</t>
  </si>
  <si>
    <t>Servicio de mantenimiento preventivo y correctivo al sistema de manejo de basura de la Sede de la Cámara de Senadores</t>
  </si>
  <si>
    <t>Contrato formalizado con garantías 13/04</t>
  </si>
  <si>
    <t>SERV/DGRMSG/044/03/2023</t>
  </si>
  <si>
    <t>SEN/DGRMSG/INV006/2023</t>
  </si>
  <si>
    <t>Servicio de mantenimiento preventivo mensual y mayor anual a plantas generadoras de energía (plantas de emergencia) ubicadas en los inmuebles propiedad de la Cámara</t>
  </si>
  <si>
    <t>Contrato formalizado con garantías 20/04</t>
  </si>
  <si>
    <t>SERV/DGRMSG/045/03/2023</t>
  </si>
  <si>
    <t>SEN/DGRMSG/INV015/2023</t>
  </si>
  <si>
    <t>Jefatura del Departamento de Prevención de Riesgos y Atención de Emergencias</t>
  </si>
  <si>
    <t>Servicio de mantenimiiento preventivo a los equipos y accesorios que componen el sistema de detección de alarma de incendios</t>
  </si>
  <si>
    <t>Contrato formalizado con garantias 03/05</t>
  </si>
  <si>
    <t>SERV/DGRMSG/046/03/2023</t>
  </si>
  <si>
    <t>Tercera Sesión Extraordinaria COMITÉ  22 de marzo</t>
  </si>
  <si>
    <t>Elevadores Schindler</t>
  </si>
  <si>
    <t>Servicio de mantenimiento preventivo y correctivo con refacciones incluidas a elevadores panorámicos y de modernización marca Schindler en el inmueble de Av. Paseo de la Reforma No. 135.</t>
  </si>
  <si>
    <t>SERV/DGRMSG/047/04/2023</t>
  </si>
  <si>
    <t>SEN/DGRMSG/INV009/2023</t>
  </si>
  <si>
    <t>Ecoblue de México, S.A. de C.V.</t>
  </si>
  <si>
    <t xml:space="preserve">Servicio de fumigación y erradicación de fauna nociva para los inmuebles ocupados por la Cámara de Senadores </t>
  </si>
  <si>
    <t>Contrato formalizad 28/04</t>
  </si>
  <si>
    <t>SERV/DGRMSG/048/04/2023</t>
  </si>
  <si>
    <t>SEN/DGRMSG/INV013/2023</t>
  </si>
  <si>
    <t>Servicio de mantenimiento preventivo a tres salva-escaleras supra 15 y a dos plataformas verticales supra línea.</t>
  </si>
  <si>
    <t>Contrato formalizado con garantías 20/04                            19/01/2024</t>
  </si>
  <si>
    <t>SERV/DGRMSG/049/04/2023</t>
  </si>
  <si>
    <t>Servicio de envío de mensajería y paquetería Local, Nacional e Internacional para Senadores y Senadoras, Comisiones Legislativas y Unidades Parlamentarias, Admnistrativas y Técnicas de la Cámara de Senadores</t>
  </si>
  <si>
    <t>Contrato formalizado 25/04</t>
  </si>
  <si>
    <t>SERV/DGRMSG/050/04/2023</t>
  </si>
  <si>
    <t>SEN/DGRMSG/INV014/2023</t>
  </si>
  <si>
    <t>Servicio de mantenimiento preventivo a diversos elevadores y salva-escaleras (Roby)</t>
  </si>
  <si>
    <t>SERV/DGRMSG/051/04/2023</t>
  </si>
  <si>
    <t>LXV/SGSA/DGRP/DGPC/077/2023</t>
  </si>
  <si>
    <t>Servicio de mantenimiento preventivo para el sistema de audio y voceo general</t>
  </si>
  <si>
    <t>SERV/DGRMSG/052/04/2023</t>
  </si>
  <si>
    <t>Tercera Sesión Ordinaria COMITÉ  31 de marzo</t>
  </si>
  <si>
    <t>Servicios de Telecomunicaciones</t>
  </si>
  <si>
    <t>22/11/23 Solicita cambio cambio del Administrador del contrato y rmite copia de escritura para cambio de representante legal 05/12/23 Se manda anexo a juridico</t>
  </si>
  <si>
    <t>Cambio de administrador del contrato y representante legal</t>
  </si>
  <si>
    <t>Contrato formalizado 25/04                                   02/00/2024</t>
  </si>
  <si>
    <t>31/03/2023     22/11/2023</t>
  </si>
  <si>
    <t>12/04/2023     15/12/2023</t>
  </si>
  <si>
    <t>10/04/2023    12/12/2023</t>
  </si>
  <si>
    <t>SERV/DGRMSG/053/04/2023</t>
  </si>
  <si>
    <t>Servicio de mantenimiento preventivo y correctivo al sistema de control de iluminación arquitectónica instalado en el edificio de la Nueva Sede de la Cámara, ubicada en Av. Paseo de la Reforma No. 135. Col. Tabacalera, C.P. 06030, Alcaldía Cuauhtémoc, Ciudad de México</t>
  </si>
  <si>
    <t>15/12 Se solicita cambio de situación fiscal</t>
  </si>
  <si>
    <t>Cambio de situacion fiscal</t>
  </si>
  <si>
    <t>Contrato formalizado con garantías  04/05</t>
  </si>
  <si>
    <t>31/03/2023     12/12/2023</t>
  </si>
  <si>
    <t>05/04/2023    18/12/2023</t>
  </si>
  <si>
    <t>12/04/2023   26/12/2023</t>
  </si>
  <si>
    <t>10/04/2023 22/12/2023</t>
  </si>
  <si>
    <t>SERV/DGRMSG/054/04/2023</t>
  </si>
  <si>
    <t>SEN/DGRMSG/L021/2023</t>
  </si>
  <si>
    <t>Servicio de operación, mantenimiento preventivo y correctivo a la Planta de Tratamiento de Aguas Residuales (PTAR), 3 plantas de osmosis inversa marca AQUA TECNOLOGÍA AMBIENTAL y el monitoreo y dosificación de cloro de 2 cisternas de agua potable ubicadas en la Sede de la Cámara de Senadores</t>
  </si>
  <si>
    <t>SERV/DGRMSG/055/04/2023</t>
  </si>
  <si>
    <t>0590/LXV/DMBMI/2023</t>
  </si>
  <si>
    <t>Servicio de mantenimiiento preventivo y correctivo a 13 equipos UPS/BATERÍAS del inmueble de Reforma 135.</t>
  </si>
  <si>
    <t>SERV/DGRMSG/056/04/2023</t>
  </si>
  <si>
    <t>SEN/DGRMSG/INV022/2023</t>
  </si>
  <si>
    <t>Suministros Frimar, S.A. de C.V.</t>
  </si>
  <si>
    <t>Servicio de mantenimiento a los diferentes tipos de mobiliario ubicados en los inmuebles ocupados por la Cámara de Senadores</t>
  </si>
  <si>
    <t>Contrato formalizado con garantías 22/05</t>
  </si>
  <si>
    <t>SERV/DGRMSG/057/04/2023</t>
  </si>
  <si>
    <t>LXV/SGSA/DGRP/DPC/081/2023</t>
  </si>
  <si>
    <t>Servicio de mantenimiento preventivo y correctivo con refacciones a 52 sistemas de detección, alarma y supresión de incendios</t>
  </si>
  <si>
    <t>SERV/DGRMSG/058/04/2023</t>
  </si>
  <si>
    <t>SEN/DGRMSG/INV027/2023</t>
  </si>
  <si>
    <t>Servicio de mantenimiento preventivo y correctivo a: 2 elevadores para pasajeros marca Schindler ubicados en el inmueble de Madrid 62, 3 elevadores para pasajeros, 2 elevautos y 1 montecargas marca Schindler ubicados en el inmueble de Donceles No. 14</t>
  </si>
  <si>
    <t>SERV/DGRMSG/059/05/2023</t>
  </si>
  <si>
    <t>Servicio de arrendamiento de equipos de impresión digital, fotocopiado y de terminado fuera de línea para la Cámara de Senadores, mediante la modalidad de servicio administrado. El servicio incluye mantenimientos preventivos, correctivos y suministro de insumos como tóner, refacciones, pegamento y accesorios necesarios para el buen funcionamiento y desempeño de los equipos (no incluye papel).</t>
  </si>
  <si>
    <t>FC 15% 
PRC 25%</t>
  </si>
  <si>
    <t>Contrato formalizado con FC 09/06                  12/01/2024</t>
  </si>
  <si>
    <t>22/03/2023
30/10/2023</t>
  </si>
  <si>
    <t>28/03/2023
31/10/2023</t>
  </si>
  <si>
    <t>02/05/2023
06/11/2023</t>
  </si>
  <si>
    <t>08/05/2023    13/12/2023</t>
  </si>
  <si>
    <t>03/05/2023
13/11/2023     06/12/2023</t>
  </si>
  <si>
    <t>SERV/DGRMSG/059-I/05/2023</t>
  </si>
  <si>
    <t>31/10 SE SOLICITA MODIF POR INCREMENTO AL MONTO MÁXIMO               04/12 solicito reimpresion por parte de la administradora</t>
  </si>
  <si>
    <t xml:space="preserve">INCREMENTO AL MONTO MÁXIMO </t>
  </si>
  <si>
    <t>SERV/DGRMSG/060/05/2023</t>
  </si>
  <si>
    <t>SEN/DGRMSG/L038/2023</t>
  </si>
  <si>
    <t>Subdirección de servicios y Subdirección Operativa de la Unidad de Apoyo Técnico</t>
  </si>
  <si>
    <t>Servicio de mantenimiento preventivo y correctivo a los 421 equipos elevautos marca Bendpak, modelos PL7000 y PL7000X, instalados en los cuatro niveles de estacionamiento de la Nueva Sede  para el ejercicio 2023 (2a. Vuelta)</t>
  </si>
  <si>
    <t>SERV/DGRMSG/061/05/2023</t>
  </si>
  <si>
    <t>Cuarta Sesión Ordinaria del COMITÉ 28 de abril</t>
  </si>
  <si>
    <t>Servicio de mantenimiento a equipamiento del sistema de información de escaños</t>
  </si>
  <si>
    <t>10/07 Adm solicita incremento en emonto máximo
18/07 SE SOLICITA A LA DGAJ SUSTITUCIÓN DE R.L. POR ESTAR FUERA DEL PAÍS, SE AGREGO OTRO R.L. AL PADRÓN DE PROVEEDORES</t>
  </si>
  <si>
    <t>Contrato formalizado con garantías 19/05
Modificatorio formalizado con endosos 31/08</t>
  </si>
  <si>
    <t>28/04/2023
10/07/2023</t>
  </si>
  <si>
    <t>03/05/2023
10/07/2023</t>
  </si>
  <si>
    <t>16/05/2023
26/07/2023</t>
  </si>
  <si>
    <t>11/05/2023
21/07/2023</t>
  </si>
  <si>
    <t>SERV/DGRMSG/062/05/2023</t>
  </si>
  <si>
    <t>Innova Publicidad Digital, S.A. de C.V.</t>
  </si>
  <si>
    <t>Servicios de Producción de la serie "Primero es la Patría La Patría es Primero"</t>
  </si>
  <si>
    <t>SERV/DGRMSG/063/05/2023</t>
  </si>
  <si>
    <t>SEN/DGRMSG/L041/2023</t>
  </si>
  <si>
    <t>Jefatura del Departamento de administración del Equipamiento de la Infraestructura de Voz y Datos y Depto. De Seguridad Informática</t>
  </si>
  <si>
    <t>Licenciamiento de equipamiento  CISCO (Partida 1) y Licenciamiento de Seguridad CISCO (Partida 2)</t>
  </si>
  <si>
    <t>SERV/DGRMSG/064/05/2023</t>
  </si>
  <si>
    <t>SEN/DGRMSG/INV033/2023</t>
  </si>
  <si>
    <t>Construcciones y Materiales Keno, S.A. de C.V.</t>
  </si>
  <si>
    <t>Subdirección de Mantenimiento de Bienes Muebles e Inmuebles / Jefatura de Unidad de Control y Seguimiento</t>
  </si>
  <si>
    <t>Servicio de limpieza y mantenimiento preventivo para las instalaciones del Teatro de la República, en la ciudad de Santiago de Querétaro, Qro.</t>
  </si>
  <si>
    <t>Contrato formalizado con garantías 06/07</t>
  </si>
  <si>
    <t>SERV/DGRMSG/065/06/2023</t>
  </si>
  <si>
    <t>DGCC/LXV/046/2023</t>
  </si>
  <si>
    <t>Programas y Aplicaciones Certificadas, S.A. de C.V.</t>
  </si>
  <si>
    <t>Contrato formalizado con garantías 07/07</t>
  </si>
  <si>
    <t>SERV/DGRMSG/066/06/2023</t>
  </si>
  <si>
    <t>Quinta Sesión Ordinaria COMITÉ 26 de mayo 2023</t>
  </si>
  <si>
    <t>BA Innovation México, S.A. de C.V.</t>
  </si>
  <si>
    <t>Servicios de Producción de la serie "Entronización Discursos Legislativos Trascendentes"</t>
  </si>
  <si>
    <t>Contrato formalizado con FC 28/06</t>
  </si>
  <si>
    <t>SERV/DGRMSG/067/06/2023</t>
  </si>
  <si>
    <t>SGSA/UE/LXV/065/23 DEL 07/06/23</t>
  </si>
  <si>
    <t>Art. 21 XIX</t>
  </si>
  <si>
    <t>Productora de Eventos Leganés, S.A. de C.V.</t>
  </si>
  <si>
    <t>Jefatura de la Unidad de Eventos</t>
  </si>
  <si>
    <t>Coordinación Gral de Actvividades Artísticas y Culturales</t>
  </si>
  <si>
    <t>Servicio de Organización y logística del programa cultural 2023</t>
  </si>
  <si>
    <t>FC 15%
ANTICIPO 30% $3,870,588.24
PRC 15%</t>
  </si>
  <si>
    <t>14/06 SE SOLICITA A JURÍDICO HACER ADECUACIONES SOBRE GARANTÍAS EN LOS JUEGOS DE CONTRATOS
DEBE ESTAR SUSCRITO EL CONTRATO PARA REALIZAR MODIFICATORIO
30/06 SE LE SOLICITA AL ÁREA FORMALIZAR EL CONTRATO
04/07 SE LE SOLICITÓ FORMALIZAR EL CONTRATO Y ENVIAR DOCUMENTACIÓN QUE SE LE SOLICITA PARA EL MODIFICATORIO</t>
  </si>
  <si>
    <t>decremento</t>
  </si>
  <si>
    <t>Contrato formalizado con F.A. 18/07                12/01/2024</t>
  </si>
  <si>
    <t>08/06/2023    21/12/23</t>
  </si>
  <si>
    <t>09/06/2023   21/12/23</t>
  </si>
  <si>
    <t>04/07/2023   27/12/2023</t>
  </si>
  <si>
    <t>16/06/2023   22/12/2023</t>
  </si>
  <si>
    <t>SERV/DGRMSG/068/06/2023</t>
  </si>
  <si>
    <t>SEN/DGRMSG/INV026/2023</t>
  </si>
  <si>
    <t>Departamento de Planeación y Organización</t>
  </si>
  <si>
    <t>Servicio de mantenimiento preventivo a 29 arcos detectores de metales, 12 máquinas de inspección por rayos "X" con banda y 1 detector de explosivos portátil, ubicados en distintos edificios de la Cámara de Senadores.</t>
  </si>
  <si>
    <t>09/08 SE SOLICITA A LA DGAJ MODIF POR C/ DE DOMICILIO QUE SOLICITA PROVEEDOR</t>
  </si>
  <si>
    <t>CAMBIO DE DOMICILIO</t>
  </si>
  <si>
    <t>Contrato formalizado con garantías 19/07
Modificatorio formalizado con endosos 14/09</t>
  </si>
  <si>
    <t>07/07/2023
30/08/2023</t>
  </si>
  <si>
    <t>04/07/2023
14/08/2023</t>
  </si>
  <si>
    <t>SERV/DGRMSG/069/07/2023</t>
  </si>
  <si>
    <t>Sexta Sesión Ordinaria del COMITÉ 30 de junio 2023</t>
  </si>
  <si>
    <t>Servicio de fortalecimiento de los procesos de seguridad</t>
  </si>
  <si>
    <t>Contrato formalizado con garantías 02/08                            02/01/2024</t>
  </si>
  <si>
    <t>30/06/2023   22/11/2023</t>
  </si>
  <si>
    <t>06/07/2023   18/12/2023</t>
  </si>
  <si>
    <t>04/07/2023       13/12/2023</t>
  </si>
  <si>
    <t>SERV/DGRMSG/070/07/2023</t>
  </si>
  <si>
    <t>SEN/DGRMSG/INV030/2023</t>
  </si>
  <si>
    <t>Dirección General del Canal del Canal del Congreso</t>
  </si>
  <si>
    <t>Servicio de mantenimiento correctivo mayor para el transmisor TDT Rohde &amp; Schwarz modelo Thu9 13.5 kw Doherty, serie 102774 de la estación transmisora del Canal del Congreso</t>
  </si>
  <si>
    <t>Contrato formalizado con garantías 15/08</t>
  </si>
  <si>
    <t>SERV/DGRMSG/071/08/2023</t>
  </si>
  <si>
    <t>Tecnolurik, S.A. de C.V.</t>
  </si>
  <si>
    <t>Asesor Especializado de Servidor Público de Mando de la Dirección de Soporte Técnico</t>
  </si>
  <si>
    <t>Servicio de implementación del Marco Rector de las Tecnologías de la Información y Telecomunicaciones</t>
  </si>
  <si>
    <t>Contrato formalizado con garantías 11/09</t>
  </si>
  <si>
    <t>SERV/DGRMSG/072/08/2023</t>
  </si>
  <si>
    <t>Servicios Profesionales de un Director Responsable de Obra (DRO), y un Corresponsable en Seguridad Estructural (CSE), Ingeniero Arquitecto o Ingeniero Civil con autorización y registro otorgado por el Instituto para la Seguridad de las Construcciones en el Distrito Federal, para la revisión general de los inmuebles de Donceles 14, Donceles 27 y Madrid 62, para que estos cumplan con el Reglamento de Construcciones para el Distrito Federal, emita el dictamen respectivo, la responsiva para la constancia de seguridad estructural y su registro ante la Alcaldía Cuauhtémoc</t>
  </si>
  <si>
    <t>Contrato formalizado con garantías 01/09</t>
  </si>
  <si>
    <t>SERV/DGRMSG/073/08/2023</t>
  </si>
  <si>
    <t>Servicio de instalación y adecuación urgente de iPads de los escaños de los salones de sesiones</t>
  </si>
  <si>
    <t>Contrato formalizado con garantías 04/09</t>
  </si>
  <si>
    <t>SERV/DGRMSG/074/08/2023</t>
  </si>
  <si>
    <t>Luis Manuel</t>
  </si>
  <si>
    <t>Gómez</t>
  </si>
  <si>
    <t>Servicios de producción de la serie "Para ti y para todos"</t>
  </si>
  <si>
    <t>Contrato formalizado con garantía 24/08</t>
  </si>
  <si>
    <t>SERV/DGRMSG/075/08/2023</t>
  </si>
  <si>
    <t>Meteoro, Studios, S.C.</t>
  </si>
  <si>
    <t>Servicios de Producción de la serie " Estamos en lo dicho"</t>
  </si>
  <si>
    <t>SERV/DGRMSG/076/08/2023</t>
  </si>
  <si>
    <t>Editoras Los Miércoles, S.A. de C.V.</t>
  </si>
  <si>
    <t>Servicios de Producción de la serie "Te Tomamos la Palabra"</t>
  </si>
  <si>
    <t>Contrato formalizado con garantía 18/08</t>
  </si>
  <si>
    <t>SERV/DGRMSG/077/08/2023</t>
  </si>
  <si>
    <t>Dirección de Área de la DGIT</t>
  </si>
  <si>
    <t>Servicio de digitalización de expedientes físicos, su carga a la base de datos de la plataforma informática de la Cámara de Senadores guarda, custodia y administración.</t>
  </si>
  <si>
    <t>Contrato formalizado con garantías 04/09       17/01/2024</t>
  </si>
  <si>
    <t>SERV/DGRMSG/078/08/2023</t>
  </si>
  <si>
    <t>SEN/DGRMSG/INV035/2023</t>
  </si>
  <si>
    <t>Servicio de mantenimiento correctivo al balizamiento y mantenimiento preventivo a la torre autosoportada de la Estación Transmisora del Canal del Congreso</t>
  </si>
  <si>
    <t>Contrato formalizado 31/08 con garantías</t>
  </si>
  <si>
    <t>SERV/DGRMSG/079/08/2023</t>
  </si>
  <si>
    <t>Servicio de arrendamiento de equipo de cómputo mediante la modalidad de servicios administrados</t>
  </si>
  <si>
    <t xml:space="preserve">FC 15%
PrC 10%
FVO 10%
</t>
  </si>
  <si>
    <t>19/10 área solicita modificatorio para cambio de anexo técnico</t>
  </si>
  <si>
    <t>Sustitución de Anexo Técnico por error en los requerimientos</t>
  </si>
  <si>
    <t>Contrato formalizado con garantías 11/09
Modificatorio formalizado 07/11</t>
  </si>
  <si>
    <t>28/07/2023
10/10/2023</t>
  </si>
  <si>
    <t>02/08/2023
20/10/2023</t>
  </si>
  <si>
    <t>22/08/2023
25/10/2023</t>
  </si>
  <si>
    <t>31/08/2023
31/10/2023</t>
  </si>
  <si>
    <t>22/08/2023
26/10/2023</t>
  </si>
  <si>
    <t>SERV/DGRMSG/080/08/2023</t>
  </si>
  <si>
    <t>SEN/DGRMSG/INV037/2023</t>
  </si>
  <si>
    <t>Servicio de mantenimiento correctivo para el transmisor TDT Harris Maxiva ULX12300AT, serie TM10000979-001 de la estación transmisora del Canal del Congreso</t>
  </si>
  <si>
    <t>Contrato formalizado con garantías 14/09</t>
  </si>
  <si>
    <t>SERV/DGRMSG/081/09/2023</t>
  </si>
  <si>
    <t>DGCC/LXV/068/2023</t>
  </si>
  <si>
    <t>Chilicloud, S.A. de C.V.</t>
  </si>
  <si>
    <t>Servicios para el Proyecto Integral de Comunicaciones en Medios Electrónicos para el Canal del Congreso</t>
  </si>
  <si>
    <t>29/11 area solicita incremento del monto y vigencia</t>
  </si>
  <si>
    <t>incremento % y vigencia</t>
  </si>
  <si>
    <t>Contrato formalizado con garantías 22/09      22/12/2023</t>
  </si>
  <si>
    <t>CIL200217QC9</t>
  </si>
  <si>
    <t>29/08/2023       29/11/2023</t>
  </si>
  <si>
    <t>30/08/2023 29/11/2023</t>
  </si>
  <si>
    <t>04/09/2023    20/12/223</t>
  </si>
  <si>
    <t>01/09/2023   06/12/2023</t>
  </si>
  <si>
    <t>SERV/DGRMSG/082/09/2023</t>
  </si>
  <si>
    <t>8° Sesión Ordinaria COMITÉ 25 de agosto</t>
  </si>
  <si>
    <t xml:space="preserve">01/12 Incremento del 25% </t>
  </si>
  <si>
    <t xml:space="preserve">Incremento del 25 % </t>
  </si>
  <si>
    <t>Contrato formalizado con garantías 14/09     26/12/2023</t>
  </si>
  <si>
    <t>07/09/2023    19/12/2023</t>
  </si>
  <si>
    <t>06/09/2023 14/12/2023</t>
  </si>
  <si>
    <t>SERV/DGRMSG/083/09/2023</t>
  </si>
  <si>
    <t>Los servicios de Producción de la serie  "Las Rápidas del Congreso"</t>
  </si>
  <si>
    <t>SERV/DGRMSG/084/09/2023</t>
  </si>
  <si>
    <t>LS Comunicación, S.de R.L. de C.V.</t>
  </si>
  <si>
    <t>Servicios de producción de la serie "Opera Opus"</t>
  </si>
  <si>
    <t>Contrato formalizado con garantías 27/09</t>
  </si>
  <si>
    <t>SERV/DGRMSG/085/09/2023</t>
  </si>
  <si>
    <t>LXV/SGSA/DGIT/0439/23</t>
  </si>
  <si>
    <t>Sistema de Monitoreo de laIinfraestructura de la red de voz y datos</t>
  </si>
  <si>
    <t>20/10 proveedor solicita actualización del R.L
23/10 se solicita modificatorio
13/11 se devuelven 3 modificatorios para cambio de Dino Adán                                23/11 se mandan al admintrador para firma</t>
  </si>
  <si>
    <t>Actualización del instrumento notarial de la R.L</t>
  </si>
  <si>
    <t xml:space="preserve">Contrato formalizado con garantías 17/10       Oficio de formalizacion  29/11                    </t>
  </si>
  <si>
    <t>GSE120228UL7</t>
  </si>
  <si>
    <t>29/08/2023
23/10/2023</t>
  </si>
  <si>
    <t>30/08/2023
23/10/2023</t>
  </si>
  <si>
    <t>05/09/2023
25/10/2023</t>
  </si>
  <si>
    <t>08/09/2023
27/11/2023</t>
  </si>
  <si>
    <t>06/09/2023
26/10/2023</t>
  </si>
  <si>
    <t>SERV/DGRMSG/086/09/2023</t>
  </si>
  <si>
    <t>Salvador Quiauhtlazollin</t>
  </si>
  <si>
    <t>Servicios de producción de la serie "Quorum Programa TV"</t>
  </si>
  <si>
    <t>Contrato formalizado con garantias 28/09</t>
  </si>
  <si>
    <t>SERV/DGRMSG/087/10/2023</t>
  </si>
  <si>
    <t>LXV/SGSA/DGIT/0493/23</t>
  </si>
  <si>
    <t>INNDOT, S.A.P.I. DE C.V.</t>
  </si>
  <si>
    <t>Implementación y suscripción de herramienta para la gestión de servicios de TI.</t>
  </si>
  <si>
    <t>Contrato formalizado 24/10</t>
  </si>
  <si>
    <t>SERV/DGRMSG/088/10/2023</t>
  </si>
  <si>
    <t>SEN/DGRMSG/INV042/2023</t>
  </si>
  <si>
    <t>Subdirección de MBMI</t>
  </si>
  <si>
    <t>Servicio de mantenimiento preventivo con reemplazamiento de consumibles a 3 plantas generadoras eléctricas marca Caterpillar, modelo 3516B de 2000 Kw de capacidad c/u, ubicadas en la azotea de nivel 7 del Hemiciclo Norte (2) y en azotea del nivel 6 de la Cuña (1)</t>
  </si>
  <si>
    <t>Contrato formalizado con garantias 25/10</t>
  </si>
  <si>
    <t>SERV/DGRMSG/089/11/2023</t>
  </si>
  <si>
    <t>SGSA/UE/LXV/167/23</t>
  </si>
  <si>
    <t>Servicios de alimentación intra o extramuros para la Cámara de Senadores correspondientes al ejercicio 2023</t>
  </si>
  <si>
    <t>FC 15%
PRC 25%
DESOCUPACIÓN $500,000</t>
  </si>
  <si>
    <t>SERV/DGRMSG/090/11/2023</t>
  </si>
  <si>
    <t>SEN/DGRMSG/L063/2023</t>
  </si>
  <si>
    <t>Depto. de Prevención y Atención a Emergencias</t>
  </si>
  <si>
    <t>Sustitución de los sistemas FM200 de detección y supresión contra incendio, ubicado en los sites informáticos del inmueble de Reforma No. 135, así como la desinstalación o desmontaje del o los equipos y componentes existentes con recuperación</t>
  </si>
  <si>
    <t>FC 15%
PRC 15%
F. ANTICIPO 100% 
$17,489,405.72</t>
  </si>
  <si>
    <t>26/12 solicitud de vigencia y incremento de monto</t>
  </si>
  <si>
    <t>Contrato formalizado 17/11                  22/01/2024</t>
  </si>
  <si>
    <t>06/11/2023          20/12/2023</t>
  </si>
  <si>
    <t>07/11/2023          26/12/2023</t>
  </si>
  <si>
    <t>16/11/2023                     04/01/2024</t>
  </si>
  <si>
    <t>09/11/2023   28/12/2023</t>
  </si>
  <si>
    <t>SERV/DGRMSG/091/11/2023</t>
  </si>
  <si>
    <t>SEB/DGRMSG/INV045/2023</t>
  </si>
  <si>
    <t>Servicio de mantenimiento preventivo y mayor anual a transformadores eléctricos tipo pedestal compuestos en aceite y subestaciones eléctricas compactas, ubicados en los edificios de Xicoténcatl No. 9, Donceles 14, Allende 23, Madrid 62, Angela Peralta No. 1 Teatro de la República Querétaro y Cerro del Chiquihuite No. 15, propiedad de la Cámara de Senadores</t>
  </si>
  <si>
    <t>04/12/2023                           02/01/2024</t>
  </si>
  <si>
    <t>SERV/DGRMSG/092/11/2023</t>
  </si>
  <si>
    <t>DAP//LXV/1420/23</t>
  </si>
  <si>
    <t>Simplemente Servicios, S.A. de C.V.</t>
  </si>
  <si>
    <t>Servicio de actualización del sistema de almacenamiento centralizado SAN QUANTUM de 70 TB del Canal del Congreso y configuración de estaciones de trabajo Apple y estaciones de trabajo Windows Server</t>
  </si>
  <si>
    <t>SSE0711166C2</t>
  </si>
  <si>
    <t>SERV/DGRMSG/093/12/2023</t>
  </si>
  <si>
    <t>Advanced Technologies DAC, S.A de C.V.</t>
  </si>
  <si>
    <t>Dirección General  de Informática y Telecomunicaciones</t>
  </si>
  <si>
    <t>Subdireccion de Infraestructura Informatica</t>
  </si>
  <si>
    <t xml:space="preserve">Servicio Integral de Gestión de Identidades Digitales </t>
  </si>
  <si>
    <t>SERV/DGRMSG/094/12/2023</t>
  </si>
  <si>
    <t xml:space="preserve">5a Sesión Extraordinaria del Comité </t>
  </si>
  <si>
    <t>Art. 21 fracc  XVII</t>
  </si>
  <si>
    <t>Cuatro Networks S. DE R.L. DE C.V.</t>
  </si>
  <si>
    <t>Director de Infraestructura Informática y de Comunicaciones</t>
  </si>
  <si>
    <t>Subdirección de Infraestructura Informatica</t>
  </si>
  <si>
    <t>Servicio de gestión de ataque de activos TI (CAASM) a través de una plataforma de software para el Senado de la República.</t>
  </si>
  <si>
    <t>SERV/DGRMSG/095/12/2023</t>
  </si>
  <si>
    <t>SEN/DGRMSG/INV046/2023</t>
  </si>
  <si>
    <t>Art. 21 fracc  XIV</t>
  </si>
  <si>
    <t>Departamento de Aire Acondicionado e Hidrosanitaria</t>
  </si>
  <si>
    <t>Mantenimiento preventivo, mayor y correctivo al sistema de generación de agua potable caliente, así como el servicio para la sustitución de un tanque metálico de 6,000 litros de agua potable de la sede de la Cámara de Senadores</t>
  </si>
  <si>
    <t>FC 15%                 PRC  15%          VO 10%</t>
  </si>
  <si>
    <t>SERV/DGRMSG/096/12/2023</t>
  </si>
  <si>
    <t>SEN/DGRMSG/L065/2023</t>
  </si>
  <si>
    <t>Director General de Informatica y Télecomunicaciones</t>
  </si>
  <si>
    <t>Encargado de Audio y Televisión</t>
  </si>
  <si>
    <t>Dpto de Seguridad Informatica</t>
  </si>
  <si>
    <t>Servicio de licenciamiento F5 y licenciamiento de gestión de vulnerabilidades de directorio activo, servicio de instalación y adquisición de equipos balanceador de tráfico con módulo de DNS Add-on</t>
  </si>
  <si>
    <t>FC 15%                  PRC 15%</t>
  </si>
  <si>
    <t>20/12/2023  26/12/2023</t>
  </si>
  <si>
    <t>CONSE 2024</t>
  </si>
  <si>
    <t>IMPORTE MAX SIN IVA</t>
  </si>
  <si>
    <t>ABIERTO MÍN SIN IVA</t>
  </si>
  <si>
    <t xml:space="preserve">GRUPO IDSEC, S.A.P.I. DE C.V.  </t>
  </si>
  <si>
    <t>MOD</t>
  </si>
  <si>
    <t>OP/DGRMSG/140-V/11/19</t>
  </si>
  <si>
    <t>Modificatorio</t>
  </si>
  <si>
    <t xml:space="preserve">Proceso de Ingeniería Aplicada, S.A. de C.V.  </t>
  </si>
  <si>
    <t xml:space="preserve">
OP/DGRMSG/140-VI/11/19</t>
  </si>
  <si>
    <t>Tercera Sesión Extraordinaria Comité  15 abril de 2024</t>
  </si>
  <si>
    <t>Convenio</t>
  </si>
  <si>
    <t>Art. 101</t>
  </si>
  <si>
    <t>ABRIL</t>
  </si>
  <si>
    <t>VI. Autoriza la modificación de la vigencia del contrato</t>
  </si>
  <si>
    <t xml:space="preserve">
OP/DGRMSG/140-VII/11/19</t>
  </si>
  <si>
    <t xml:space="preserve">Cuarta Sesión Extraordinaria del Comité </t>
  </si>
  <si>
    <t>Art. 101 fracc I</t>
  </si>
  <si>
    <t>VII. Autoriza la modificación de la vigencia del contrato</t>
  </si>
  <si>
    <t>OP/DGRMSG/140-VIII/11/19</t>
  </si>
  <si>
    <t xml:space="preserve">VIII. Autoriza al  Anexo </t>
  </si>
  <si>
    <t xml:space="preserve"> SERV/DGRMSG/168-III/12/19</t>
  </si>
  <si>
    <t xml:space="preserve">Elevadores Schindler, S.A. de C.V.  </t>
  </si>
  <si>
    <t>III.- Comtié autorizó 3er convenio, modificaciín en montos y ampliación de vigencia al 31/05/24
05/10 se remiten los modificatorios al DGAJ para que adecue los centavos conforme a oficios</t>
  </si>
  <si>
    <t xml:space="preserve"> SERV/DGRMSG/168-IV/12/19</t>
  </si>
  <si>
    <t>Tercera Sesión Extraordinaria COMITÉ  15 abril de 2024</t>
  </si>
  <si>
    <t>Art 101</t>
  </si>
  <si>
    <t>IV. Autoriza la modificacion de la vigencia del contrato</t>
  </si>
  <si>
    <t xml:space="preserve"> SERV/DGRMSG/168-V/12/20</t>
  </si>
  <si>
    <t>Octava Sesión Extraordinaria COMITÉ  30 de agosto</t>
  </si>
  <si>
    <t>V. Autoriza la modificación de la vigencia del contrato</t>
  </si>
  <si>
    <t>OP/DGRMSG/003-II/08/2023</t>
  </si>
  <si>
    <t xml:space="preserve"> II. Incremento en vigencia</t>
  </si>
  <si>
    <t>SOLICITA AMPLIACION DE VIGENCIA AL 2 DE FEBRERO DE 2024</t>
  </si>
  <si>
    <t>ENERO</t>
  </si>
  <si>
    <t xml:space="preserve">     22/11/2023</t>
  </si>
  <si>
    <t xml:space="preserve">     15/12/2023</t>
  </si>
  <si>
    <t xml:space="preserve">Comercializadora Dopaj, S.A. de C.V.  </t>
  </si>
  <si>
    <t>I.- Incremento al Monto Máximo
$500,0000.00</t>
  </si>
  <si>
    <t xml:space="preserve">
30/10/2023</t>
  </si>
  <si>
    <t xml:space="preserve">
31/10/2023</t>
  </si>
  <si>
    <t xml:space="preserve">
06/11/2023</t>
  </si>
  <si>
    <t xml:space="preserve">    13/12/2023</t>
  </si>
  <si>
    <t xml:space="preserve">    06/12/2023</t>
  </si>
  <si>
    <t>SERV/DGRMSG/059-II/05/2023</t>
  </si>
  <si>
    <t>DGRMSG/DSA/LXV/337/2024 (sic)
DGRMSG/DSA/LXV/396/2024 (sic)</t>
  </si>
  <si>
    <t>Art. 101, II</t>
  </si>
  <si>
    <t>Se solicito el incremento del 9.16672945166111% al ejercicio 2024</t>
  </si>
  <si>
    <t>Se solicito el incremento de $1,594,827.59 quedando así $18,992,827.59</t>
  </si>
  <si>
    <t>SAPFIN FORMALIZADO: 37</t>
  </si>
  <si>
    <t>SERV/DGRMSG/079-I/08/2023</t>
  </si>
  <si>
    <t xml:space="preserve">Consultores y Soporte AMD, S.A. de C.V.  </t>
  </si>
  <si>
    <t xml:space="preserve">
10/10/2023</t>
  </si>
  <si>
    <t xml:space="preserve">
20/10/2023</t>
  </si>
  <si>
    <t xml:space="preserve">
25/10/2023</t>
  </si>
  <si>
    <t xml:space="preserve">
26/10/2023</t>
  </si>
  <si>
    <t>SERV/DGRMSG/079-II/08/2023</t>
  </si>
  <si>
    <t>La direccion General de informatica y telecomunicaciones solicito el cambio del administrador</t>
  </si>
  <si>
    <t>SERV/DGRMSG/087-I/10/2023</t>
  </si>
  <si>
    <t xml:space="preserve">INNDOT, S.A.P.I. DE C.V.  </t>
  </si>
  <si>
    <t>02/09 solicitud de terminacion anticipada    03/09 se envia a juridico para opinión</t>
  </si>
  <si>
    <t xml:space="preserve">
24/12/2021</t>
  </si>
  <si>
    <t xml:space="preserve">27/12/21
</t>
  </si>
  <si>
    <t xml:space="preserve">ADQ/DGRMSG/156-II/11/21
</t>
  </si>
  <si>
    <t>SGSA/LXV/0315/21</t>
  </si>
  <si>
    <t>Jefe de Departamento de Soporte Técnico a los Sistemas Parlamentarios de Asistencia, Votación y Audio Automitizado de la Dirección General de Informática y Telecomunicaciones</t>
  </si>
  <si>
    <t>FC en virtud al incremento</t>
  </si>
  <si>
    <t>Se solicito un incremento de monto ($1,040,242.66) y vigencia (1 al 31 de diciembre del 2024), se tramito con fechas especiales</t>
  </si>
  <si>
    <t>Monto y vigencia</t>
  </si>
  <si>
    <t>Coordinacion de Comunicación Social</t>
  </si>
  <si>
    <t xml:space="preserve">18/12 Se solicita que se incremente el monto y la vigencia </t>
  </si>
  <si>
    <t xml:space="preserve">  18/12/2023</t>
  </si>
  <si>
    <t xml:space="preserve">                26/12/2023</t>
  </si>
  <si>
    <t xml:space="preserve">      22/12/2024</t>
  </si>
  <si>
    <t>ADQ/DGRMSG/018-I/04/2023</t>
  </si>
  <si>
    <t xml:space="preserve">Comercializadora Electropura, S. de R.L. de C.V.  </t>
  </si>
  <si>
    <t xml:space="preserve">
09/102023</t>
  </si>
  <si>
    <t xml:space="preserve">
12/10/2023</t>
  </si>
  <si>
    <t xml:space="preserve">
18/10/2023</t>
  </si>
  <si>
    <t xml:space="preserve">
16/10/2023</t>
  </si>
  <si>
    <t>SERV/DGRMSG/003-I/01/2023</t>
  </si>
  <si>
    <t xml:space="preserve">Compañía Operadora de Estacionamientos Mexicanos, S.A. de C.V.  </t>
  </si>
  <si>
    <t>22/12 Ampliacion de vigencia y incremento del monto</t>
  </si>
  <si>
    <t>Ampliacion de vigencia y incremento del monto</t>
  </si>
  <si>
    <t xml:space="preserve"> 26/12/2023</t>
  </si>
  <si>
    <t>SERV/DGRMSG/008-I/01/2023</t>
  </si>
  <si>
    <t xml:space="preserve">Efinfo, S.A.P.I. de C.V.  </t>
  </si>
  <si>
    <t xml:space="preserve"> 17/11/2023</t>
  </si>
  <si>
    <t xml:space="preserve"> 24/11/2023</t>
  </si>
  <si>
    <t xml:space="preserve">    11/12/2023</t>
  </si>
  <si>
    <t xml:space="preserve">  04/12/2023</t>
  </si>
  <si>
    <t>SERV/DGRMSG/010-I/01/2023</t>
  </si>
  <si>
    <t>22/12 Solicita ampliación del contrato y vigencia</t>
  </si>
  <si>
    <t xml:space="preserve"> Solicita ampliación del contrato y vigencia</t>
  </si>
  <si>
    <t xml:space="preserve">   20/12/2023</t>
  </si>
  <si>
    <t xml:space="preserve">     21/12/2023</t>
  </si>
  <si>
    <t xml:space="preserve">
17/03/2023</t>
  </si>
  <si>
    <t xml:space="preserve">   04/01/2024</t>
  </si>
  <si>
    <t xml:space="preserve">
22/03/2023</t>
  </si>
  <si>
    <t>SERV/DGRMSG/014-II/01/2023</t>
  </si>
  <si>
    <t xml:space="preserve">Equipos y Climas de México, S.A. de C.V.  </t>
  </si>
  <si>
    <t>Se solicita se lleve ampliacion del contrato por 14.14940725% y vigencia</t>
  </si>
  <si>
    <t xml:space="preserve">                     28/12/2023</t>
  </si>
  <si>
    <t xml:space="preserve"> 21/12/2023           </t>
  </si>
  <si>
    <t xml:space="preserve"> 27/12/2023</t>
  </si>
  <si>
    <t xml:space="preserve"> 28/01/2023</t>
  </si>
  <si>
    <t>SERV/DGRMSG/014-III/01/2023</t>
  </si>
  <si>
    <t>227/LXV/DMBMI/2024</t>
  </si>
  <si>
    <t>Art. 101 fracc II</t>
  </si>
  <si>
    <t>S e solicita se lleve acabo el incremento del monto maximo por 7.0747035% y vigencia al 31 de marzo del 2024</t>
  </si>
  <si>
    <t>FEBRERO</t>
  </si>
  <si>
    <t>SERV/DGRMSG/017-I/01/2023</t>
  </si>
  <si>
    <t xml:space="preserve">Operbes, S.A. de C.V.  </t>
  </si>
  <si>
    <t xml:space="preserve"> 13/12/2023</t>
  </si>
  <si>
    <t>SERV/DGRMSG/034-I/02/2023</t>
  </si>
  <si>
    <t xml:space="preserve">Gas Metropolitano, S.A. de C.V.  </t>
  </si>
  <si>
    <t xml:space="preserve">  20/12/2023</t>
  </si>
  <si>
    <t xml:space="preserve"> 19/12/2023</t>
  </si>
  <si>
    <t>SERV/DGRMSG/035-I/03/2023</t>
  </si>
  <si>
    <t>Claudia Angélica López Flores</t>
  </si>
  <si>
    <t xml:space="preserve"> 20/12/2023</t>
  </si>
  <si>
    <t xml:space="preserve"> 18/12/2023</t>
  </si>
  <si>
    <t>SERV/DGRMSG/038-I/03/2023</t>
  </si>
  <si>
    <t>Mario Alberto Contreras García</t>
  </si>
  <si>
    <t xml:space="preserve">Chilicloud, S.A. de C.V.  </t>
  </si>
  <si>
    <t xml:space="preserve"> 29/11/2023</t>
  </si>
  <si>
    <t xml:space="preserve">     22/12/2023</t>
  </si>
  <si>
    <t xml:space="preserve">          20/12/2023</t>
  </si>
  <si>
    <t xml:space="preserve">          26/12/2023</t>
  </si>
  <si>
    <t xml:space="preserve">                22/01/2024</t>
  </si>
  <si>
    <t xml:space="preserve">                 04/01/2024</t>
  </si>
  <si>
    <t xml:space="preserve">   28/12/2023</t>
  </si>
  <si>
    <t>ADQ/DGRMSG/2024/01/001</t>
  </si>
  <si>
    <t>SEN/DGRMSG/L001/2024</t>
  </si>
  <si>
    <t>Vales de despensa para el ejercicio 2024</t>
  </si>
  <si>
    <t>enero</t>
  </si>
  <si>
    <t>ADQ/DGRMSG/2024/01/001-I</t>
  </si>
  <si>
    <t>SGSA/DGRH/URLS/LXVI/1466/2024</t>
  </si>
  <si>
    <t>Se solicito incremento del 25% al monto maximo del contrato y actualización del administrador, supervisor y representante del senado</t>
  </si>
  <si>
    <t>Se incremento $5,373,340.00</t>
  </si>
  <si>
    <t>ADQ/DGRMSG/2024/01/002</t>
  </si>
  <si>
    <t>SEN/DGRMSG/INV003/2024</t>
  </si>
  <si>
    <t xml:space="preserve">Asesor Especializado de Servidor Público de Mando </t>
  </si>
  <si>
    <t>Tarjetas electrónicas de gasolina y diesel de amplia cobertura, ejercicio fiscal 2024</t>
  </si>
  <si>
    <t>24/11/23 Se pide a juridico se modifiquen los importes  6ya que en la propuesta economica presenta comision del 0.00%</t>
  </si>
  <si>
    <t>ADQ/DGRMSG/2024/01/003</t>
  </si>
  <si>
    <t>SEN/DGRMSG/INV010/2024</t>
  </si>
  <si>
    <t xml:space="preserve">Roberto Carlos </t>
  </si>
  <si>
    <t xml:space="preserve">Blanco </t>
  </si>
  <si>
    <t>Sentíes</t>
  </si>
  <si>
    <t>Director de Soporte Técnico</t>
  </si>
  <si>
    <t>Depto. De Soporte Técnico a los Sistemas Parlamentaris de Asistencia, Votación y Audio Automatizado</t>
  </si>
  <si>
    <t>Licenciamiento de software baja demanda</t>
  </si>
  <si>
    <t>ADQ/DGRMSG/2024/01/003-I</t>
  </si>
  <si>
    <t>LXVI/SGSA/DGIT/0078/22</t>
  </si>
  <si>
    <t>ADQ/DGRMSG/2024/01/004</t>
  </si>
  <si>
    <t>SEN/DGRMSG/INV006/2024</t>
  </si>
  <si>
    <t>ART. 67</t>
  </si>
  <si>
    <t>AKEN &amp; CEO, S.A DE C.V</t>
  </si>
  <si>
    <t>Adquisición de bienes informáticos bajo demanda (Partida 1 y 2)</t>
  </si>
  <si>
    <t>ADQ/DGRMSG/2024/01/004-I</t>
  </si>
  <si>
    <t>SGSA/DGRMSG/LXVI/0643/2024</t>
  </si>
  <si>
    <t>AKEN &amp; CEO, S.A. DE C.V.</t>
  </si>
  <si>
    <t>Cambio de supervisor y administrador del contrato</t>
  </si>
  <si>
    <t>ADQ/DGRMSG/2024/01/005</t>
  </si>
  <si>
    <t>SEN/DGRMSG/L023/2024</t>
  </si>
  <si>
    <t>ART.45</t>
  </si>
  <si>
    <t>Cadgrafics, S.A de C.V</t>
  </si>
  <si>
    <t>Licenciamiento de software de la marca Adobe bajo esquema de suscripción 2da Vuelta para ejercicio 2024</t>
  </si>
  <si>
    <t>ADQ/DGRMSG/2024/01/005-I</t>
  </si>
  <si>
    <t>LXVI/SGSA/DGIT/0078/24
LXVI/SGSA/DGIT/0097/24</t>
  </si>
  <si>
    <t xml:space="preserve">REALICE EL CAMBIO DEL ADMINISTRADOR Y SUPERVISOR </t>
  </si>
  <si>
    <t>10/10/2024
21/10/2024</t>
  </si>
  <si>
    <t>ADQ/DGRMSG/2024/02/006</t>
  </si>
  <si>
    <t>SEN/DGRMSG/L031/2024</t>
  </si>
  <si>
    <t>Cocina y Aseo Institucional, S.A de C.V.</t>
  </si>
  <si>
    <t>Subdirección de Administración de Contratos y Servicios / Encargado de Despacho de la Jefatura de Departamento de Administración de Servicios</t>
  </si>
  <si>
    <t>Suministro de Material de Limpieza, (Partida 1, 2, 3, 4 y 5)</t>
  </si>
  <si>
    <t>ADQ/DGRMSG/2024/02/006-I</t>
  </si>
  <si>
    <t>0260/LXVI/DMBMI/2024</t>
  </si>
  <si>
    <t>SUMINISTRO DE MATERIALES DE LIMPIEZA (PARTIDA 1,2,3,4 Y 5)</t>
  </si>
  <si>
    <t>ADQ/DGRMSG/2024/02/007</t>
  </si>
  <si>
    <t>SEN/DGRMSG/L034/2024</t>
  </si>
  <si>
    <t>Ola Media, S,A de C.V.</t>
  </si>
  <si>
    <t>Adquisición de bienes recurrentes para el ejercicio 2024( 2, 7, 10 y 16 )</t>
  </si>
  <si>
    <t>21101, 22301,  29301, 29401, 51901</t>
  </si>
  <si>
    <t>ADQ/DGRMSG/2024/02/008</t>
  </si>
  <si>
    <t>Equipos Carlin De Morelos S.A. de C.V.</t>
  </si>
  <si>
    <t>Adquisición de bienes recurrentes para el ejercicio 2024 ( 4, 9, 13, 14 y 18)</t>
  </si>
  <si>
    <t>ADQ/DGRMSG/2024/02/009</t>
  </si>
  <si>
    <t>Internacional Proveedora De Industrias, S.A. de C.V.</t>
  </si>
  <si>
    <t>Adquisición de bienes recurrentes para el ejercicio 2024(1, 3, 5, 6, 8, 11, 12, 15 y 17)</t>
  </si>
  <si>
    <t>SGSA/DGRMSG/DCP/LXV/1092/2024</t>
  </si>
  <si>
    <t xml:space="preserve">I. SOLICITUD DE MODIFICATORIO POR CAMBIO DE MARCA </t>
  </si>
  <si>
    <t>ADQ/DGRMSG/2024/03/010</t>
  </si>
  <si>
    <t>SEN/DGRMSG/L032/2024</t>
  </si>
  <si>
    <t>Papelería Anzures, S.A. de C.V.</t>
  </si>
  <si>
    <t>Adquisición de bienes de papelería y artículos de oficina, para el ejercicio 2024. Partidas 3, 4, 5, 6 y 9</t>
  </si>
  <si>
    <t>PAN910613PB0</t>
  </si>
  <si>
    <t>ADQ/DGRMSG/2024/03/011</t>
  </si>
  <si>
    <t>Adquisición de bienes de papelería y artículos de oficina, para el ejercicio 2024. Partidas 1 y 10</t>
  </si>
  <si>
    <t>ADQ/DGRMSG/2024/03/012</t>
  </si>
  <si>
    <t>Abastecedor Corporativo, S.A. de C.V.</t>
  </si>
  <si>
    <t>Adquisición de bienes de papelería y artículos de oficina, para el ejercicio 2024. Partida 2</t>
  </si>
  <si>
    <t>ACO000712QK7</t>
  </si>
  <si>
    <t>ADQ/DGRMSG/2024/03/013</t>
  </si>
  <si>
    <t>Adquisición de bienes de papelería y artículos de oficina, para el ejercicio 2024. Partida 8</t>
  </si>
  <si>
    <t>ADQ/DGRMSG/2024/03/014</t>
  </si>
  <si>
    <t>Distribuidora y Fabricantes de Artículos Escolares y de Oficina, S.A. de C.V.</t>
  </si>
  <si>
    <t>Adquisición de bienes de papelería y artículos de oficina, para el ejercicio 2024. Partida 7</t>
  </si>
  <si>
    <t>DFA0701181Y4</t>
  </si>
  <si>
    <t>ADQ/DGRMSG/2024/03/015</t>
  </si>
  <si>
    <t>SEN/DGRMSG/INV015/2024</t>
  </si>
  <si>
    <t>Art.67</t>
  </si>
  <si>
    <t>Suministro de Agua Purificada Envasada en Garrafón de 20 litros para los inmuebles del Senado de la República</t>
  </si>
  <si>
    <t>ADQ/DGRMSG/2024/03/016</t>
  </si>
  <si>
    <t>SEN/DGRMSG/L035/2024</t>
  </si>
  <si>
    <t>Café 1810, S.A de C.V.</t>
  </si>
  <si>
    <t>Adquisición de insumos de cafetería, café y agua embotellada ( Partidas 1,3 y 4 del apartado "A")</t>
  </si>
  <si>
    <t>Partida 3 llevan IVA                      Partida 1   y 4 Tasa cero</t>
  </si>
  <si>
    <t xml:space="preserve">22104  21101  </t>
  </si>
  <si>
    <t>ADQ/DGRMSG/2024/03/017</t>
  </si>
  <si>
    <t>Adquisición de insumos de cafetería, café y agua embotellada( Partidas 2 del apartado "A")</t>
  </si>
  <si>
    <t>UAAM860514MY6</t>
  </si>
  <si>
    <t>ADQ/DGRMSG/2024/03/018</t>
  </si>
  <si>
    <t>SEN/DGRMSG/L038/2024</t>
  </si>
  <si>
    <t>Grupo Antda S.A de C.V.</t>
  </si>
  <si>
    <t xml:space="preserve">Subdirector de Mantenimiento de Bienes Muebles e Inmuebles </t>
  </si>
  <si>
    <t>Suministro de material de Eléctrico, Hidrosanitario y de Tablarroca para los Inmuebles de Madrid y Centro Histórico 2024 (Partida 3)</t>
  </si>
  <si>
    <t>21101                                        24301                                   24401                 24601                        24701                 24901                            29201</t>
  </si>
  <si>
    <t>ADQ/DGRMSG/2024/03/018-I</t>
  </si>
  <si>
    <t>SGSA/DGRMSG/LXVI/807/2024</t>
  </si>
  <si>
    <t>Art. 101, frac II</t>
  </si>
  <si>
    <t>Grupo Antda S.A. de C.V.</t>
  </si>
  <si>
    <t>Suministro de material de Eléctrico, Hidrosanitario y de Tablarroca para los Inmuebles de Madrid y Centro Histórico  (Partida 3)</t>
  </si>
  <si>
    <t>Se solicito incremento del 25% al monto maximo del contrato.</t>
  </si>
  <si>
    <t>Se incremento $21,551.73
Quedando así $107,758.63 sin IVA</t>
  </si>
  <si>
    <t>ADQ/DGRMSG/2024/03/019</t>
  </si>
  <si>
    <t xml:space="preserve">Brenda </t>
  </si>
  <si>
    <t xml:space="preserve">Rojas </t>
  </si>
  <si>
    <t>Arada</t>
  </si>
  <si>
    <t>Suministro de material de Eléctrico, Hidrosanitario y de Tablarroca para los Inmuebles de Madrid y Centro Histórico 2024 (Partida 1, 2, 4, 5, 6)</t>
  </si>
  <si>
    <t>ADQ/DGRMSG/2024/03/019-I</t>
  </si>
  <si>
    <t>0261/LXVI/DMBMI/2024</t>
  </si>
  <si>
    <t>INCREMENTO EN LA PARTIDAS DEL CONTRATO Y CAMBIO DE ADMINISTRADOR</t>
  </si>
  <si>
    <t>ADQ/DGRMSG/2024/03/020</t>
  </si>
  <si>
    <t>Abastecedora y Distribuidora del Sureste García Hnos. S.A de C.V</t>
  </si>
  <si>
    <t>Suministro de material de Eléctrico, Hidrosanitario y de Tablarroca para los Inmuebles de Madrid y Centro Histórico 2024 (Partida 7)</t>
  </si>
  <si>
    <t>ADQ/DGRMSG/2024/03/020-I</t>
  </si>
  <si>
    <t>SGSA/DGRMSG/LXVI/808/2024</t>
  </si>
  <si>
    <t>Abastecedora y Distribuidora del Sureste García Hnos. S.A. de C.V.</t>
  </si>
  <si>
    <t>Suministro de material de Eléctrico, Hidrosanitario y de Tablarroca para los Inmuebles de Madrid y Centro Histórico (Partida 7)</t>
  </si>
  <si>
    <t>Se solicito el incremento del 25% al monto maximo del contrato</t>
  </si>
  <si>
    <t>Se incremento $53,879.31
Quedando así $269,396.55 antes de IVA</t>
  </si>
  <si>
    <t>ADQ/DGRMSG/2024/03/21</t>
  </si>
  <si>
    <t>SEN/DGRMSG/INV016/2024</t>
  </si>
  <si>
    <t>Direccion General del Canal del Congreso</t>
  </si>
  <si>
    <t>ADQ/DGRMSG/2024/03/021-I</t>
  </si>
  <si>
    <t>SGSA/DGRMSG/LXV/019/2024</t>
  </si>
  <si>
    <t>Se pide modificatorio por impresicion de la solicitud en la fecha de vigencia del contrato</t>
  </si>
  <si>
    <t>ADQ/DGRMSG/2024/04/022</t>
  </si>
  <si>
    <t>SEN/DGRMSG/L041/2024</t>
  </si>
  <si>
    <t>Gutierrz</t>
  </si>
  <si>
    <t>Subdirección de MBMI y Subdirección de Supervisión de la Unidad de Apoyo Técnico</t>
  </si>
  <si>
    <t>Suminstro de diversos materiales de pinturas, esmaltes, selladores y recubrimientos especiales 2024</t>
  </si>
  <si>
    <t>anticipada</t>
  </si>
  <si>
    <t xml:space="preserve">24901, 21601, 27401, 21101,  24901, 24301                  </t>
  </si>
  <si>
    <t>CONVENIO DE TERMINACIÓN ADQ/DGRMSG/2024/04/22</t>
  </si>
  <si>
    <t>Terminacion</t>
  </si>
  <si>
    <t>Convenio de Terminacion</t>
  </si>
  <si>
    <t>Se solicita Convenio de Terminación por Cumplimiento del objeto de contrato</t>
  </si>
  <si>
    <t>ADQ/DGRMSG/2024/05/23</t>
  </si>
  <si>
    <t>SEN/DGRMSG/L043/2024</t>
  </si>
  <si>
    <t>Subdirección Operativa de la UAT/ Subdirectoe de Supervisión de la Unidad de Apoyo Técnico</t>
  </si>
  <si>
    <t>Suministro de material recurrente para el edificio de Reforma 135 (Partida 2, 3, 5, 6,7, 8, 9, 10, 11, 12, 13, 14, 17, 18, 19, 20, 21, 22, 23, 27 Y 28)</t>
  </si>
  <si>
    <t>21101, 21601, 24101, 24201, 24301, 24501, 24601, 24701, 24901, 25601, 27401, 29101, 29201</t>
  </si>
  <si>
    <t>MAY</t>
  </si>
  <si>
    <t>ADQ/DGRMSG/2024/05/023-I</t>
  </si>
  <si>
    <t>0285/LXVI/DMBMI/2024</t>
  </si>
  <si>
    <t>Suministro de material recurrente para el edificio de Reforma No. 135 (Partida 2, 3, 5, 6,7, 8, 9, 10, 11, 12, 13, 14, 17, 18, 19, 20, 21, 22, 23, 27 Y 28)</t>
  </si>
  <si>
    <t>Se solicita el Comvenio modificatorio para el incremento al monto del contrato (no excede del 25%)</t>
  </si>
  <si>
    <t>ADQ/DGRMSG/2024/05/023-II</t>
  </si>
  <si>
    <t>0021/LXVI/DMBMI-UAT/2024</t>
  </si>
  <si>
    <t>Art.101, II</t>
  </si>
  <si>
    <t>Abastecedora y Distribuidora del Sureste García Hnos., S.A. de C.V.</t>
  </si>
  <si>
    <t>Se solicita el Comvenio modificatorio para el incremento al monto maximo del contrato unicamente de la partida 28 (no excede del 25%)</t>
  </si>
  <si>
    <t>Se incremento $131,594.25
Quedando así un importe maximo de $4,426,936.50</t>
  </si>
  <si>
    <t>ADQ/DGRMSG/2024/05/024</t>
  </si>
  <si>
    <t>Suministro de material recurrente para el edificio de Reforma 135 (Partida 1, 4, 15, 16, 24, 25 Y 26)</t>
  </si>
  <si>
    <t>ADQ/DGRMSG/2024/05/024-I</t>
  </si>
  <si>
    <t>0286/LXVI/DMBMI/2024</t>
  </si>
  <si>
    <t>ADQ/DGRMSG/2024/05/25</t>
  </si>
  <si>
    <t>Suministro de material recurrente para el edificio de Reforma 135 (Partida 29)</t>
  </si>
  <si>
    <t>ADQ/DGRMSG/2024/07/26</t>
  </si>
  <si>
    <t>SEN/DGRMSG/L046/2024</t>
  </si>
  <si>
    <t>Subdirección de Supervisión de la Unidad de Apoyo Técnico, Jefe de Departamento de Atención a Planta Baja y Sótanos</t>
  </si>
  <si>
    <t>Suministro de diversos materiales para la entrega de oficinas y bienes muebles para la apertura de la Sexagésima Sexta Legislatura de la Cámara de Senadores del Congreso de Senadores (Partidas 1, 2, 3, 4, 5, 6, 7, 8 y 9)</t>
  </si>
  <si>
    <t>21101, 21601, 24301, 24401, 24901, 24701</t>
  </si>
  <si>
    <t>ADQ/DGRMSG/2024/07/27</t>
  </si>
  <si>
    <t>SEN/DGRMSG/L048/2024</t>
  </si>
  <si>
    <t>DRPQ, S.A DE C.V.</t>
  </si>
  <si>
    <t>Director  de Infraestructura Informática y de Comunicaciones</t>
  </si>
  <si>
    <t>Jefe de Departamento de Administración del Equipo de la Infraestructura de Voz y Datos</t>
  </si>
  <si>
    <t>Adquisición de un sistema de seguridad física de los sitios restringidos de la DGIT con su intalación, configuración y puesta a punto</t>
  </si>
  <si>
    <t>FC 15%, PRC 15%, V.O 10%</t>
  </si>
  <si>
    <t>29901,  59701,  51501,  35301,  51501</t>
  </si>
  <si>
    <t>ADQ/DGRMSG/2024/07/27-I</t>
  </si>
  <si>
    <t>LXV/SGSA/DGIT/DIIC/0184/24 y LXV/SGSA/DGIT/DIIC/0186/24</t>
  </si>
  <si>
    <t xml:space="preserve">I. Cambio en los modelos de equipo correspondientes al Consecutivo 1 y 5 </t>
  </si>
  <si>
    <t>ADQ/DGRMSG/2024/08/28</t>
  </si>
  <si>
    <t xml:space="preserve">Séptima Sesión Ordinaria del Comité </t>
  </si>
  <si>
    <t>Johnson Controls BTS México S.A de C.V</t>
  </si>
  <si>
    <t>Subdirección de Supervisión de la Unidad de Apoyo Técnico, Jefe de Departamento de Supervisión Aire Acondicionado e Hidrosanitaria</t>
  </si>
  <si>
    <t>Adquisición e instalación del compresor tipo tornillo del sistema # 3 del Chiller 7  marca York del sistema de aire acondicionado de confort de la sede de Avenida Paseo de la Refor ma No. 135 de la Cámara de Senadores</t>
  </si>
  <si>
    <t>04/09/2024 09/09/2024</t>
  </si>
  <si>
    <t>ADQ/DGRMSG/2024/08/29</t>
  </si>
  <si>
    <t>SGSA/DGRH/LXV/3648/2024     SGSA/DGRH/LXV/526/2024</t>
  </si>
  <si>
    <t>Art.21 Frac XXII</t>
  </si>
  <si>
    <t>Director General de Recursos Humanos</t>
  </si>
  <si>
    <t>Jefa de la Unidad de Relaciones Laborales y Servicios</t>
  </si>
  <si>
    <t>Adquisición de Vales de Despensa (Tarjetas Electrónicas) para jefes de Departamento, Empleados de Servicio Técnico y Mandos</t>
  </si>
  <si>
    <t>NO</t>
  </si>
  <si>
    <t>ADQ/DGRMSG/2024/09/030</t>
  </si>
  <si>
    <t>SEN/DGRMSG/L050/2024</t>
  </si>
  <si>
    <t>Siselectron, S.A. de C.V.</t>
  </si>
  <si>
    <t>Dirección General del Congreso</t>
  </si>
  <si>
    <t xml:space="preserve">Director de Ingeniería y Operaciones del Canal del Congreso </t>
  </si>
  <si>
    <t>Adquisición y configuración remota de refaccionamiento para el Sistema de Playout marca Imagine Comunications del Control Maestro del Canal del Congreso (Segunda vuelta)</t>
  </si>
  <si>
    <t>56501,  35301</t>
  </si>
  <si>
    <t>SERV/DGRMSG/2024/01/001</t>
  </si>
  <si>
    <t>SEN/DGRMSG/INV001/2024</t>
  </si>
  <si>
    <t>Subdirección de Supervisión de la UAT/ Subdirección de MBMI</t>
  </si>
  <si>
    <t>SERV/DGRMSG/2024/01/002</t>
  </si>
  <si>
    <t>SEN/DGRMSG/L002/2024</t>
  </si>
  <si>
    <t>Servicio de mantenimiento preventivo y correctivo a pantallas de leds marca Absen</t>
  </si>
  <si>
    <t>29401
35301
52101</t>
  </si>
  <si>
    <t>SERV/DGRMSG/2024/01/002-I</t>
  </si>
  <si>
    <t>SERV/DGRMSG/2024/01/003</t>
  </si>
  <si>
    <t>SERV/DGRMSG/2024/01/003-I</t>
  </si>
  <si>
    <t>DGC/177/2024</t>
  </si>
  <si>
    <t>Se solicito incremento en vigencia y monto</t>
  </si>
  <si>
    <t>se incremento $223,439 quedando así $2,904,707.00
se modifico videncia del 31-12-2024 al 31-01-2025</t>
  </si>
  <si>
    <t>SOLICITUD DE AREA 
DGC 177
23-12-24</t>
  </si>
  <si>
    <t>FOLIO OFICIO DE ENTREGA DE CONTRATO
DGAJ 776</t>
  </si>
  <si>
    <t xml:space="preserve">SE ENVIA A DG: 14-1-25
DG ENVIA EL CONTRATO:15-01-25
</t>
  </si>
  <si>
    <t>SERV/DGRMSG/2024/01/004</t>
  </si>
  <si>
    <t>SEN/DGRMSG/L006/2024</t>
  </si>
  <si>
    <t>Uninet, S.A. de C.V.</t>
  </si>
  <si>
    <t>Depto. Administración del Equipamiento de la Infraestructura de Voz y Datos</t>
  </si>
  <si>
    <t>Licenciamiento y soporte a usuarios del uso de software para realizar reuniones de trabajo en línea con Cisco Webex para ejercicio 2024.</t>
  </si>
  <si>
    <t>SERV/DGRMSG/2024/01/005</t>
  </si>
  <si>
    <t>SGSA/DGRP/LXV443/23</t>
  </si>
  <si>
    <t>Servicio de seguridad y vigilancia las 24 horas del día, todos los días del año, intramuros, el inmueble Teatro de la República del Estado de Querétaro para el ejercicio 2024</t>
  </si>
  <si>
    <t>SERV/DGRMSG/2024/01/006</t>
  </si>
  <si>
    <t>DGRMSG/DSA/LXV/1166/2023</t>
  </si>
  <si>
    <t>Servicio de estacionamiento y pensión para 250 unidades vehiculares como mínimo y 450 como máximo en los inmuebles de  "Madrid" Calle Madrid No. 18, Col. Tabacalera, Alcaldía Cuauhtémoc, en la Ciudad de México, C.P. 06030 y "Roma" Calle Roma No. 39 Col. Juárez, Alcaldía Cuauhtémoc, en la Ciudad de México, C.P. 06600.</t>
  </si>
  <si>
    <t>SERV/DGRMSG/2024/01/006-I</t>
  </si>
  <si>
    <t>SGSA/DGRMSG/LXVI/0844/2024</t>
  </si>
  <si>
    <t>Se solicito un incremento de $1,915911.08 quedando así $9,579,555.39</t>
  </si>
  <si>
    <t>Se solicito un incremento del 25% del monto maximo del contrato, así como la actualizacion del administrador y supervisor</t>
  </si>
  <si>
    <t>SERV/DGRMSG/2024/01/007</t>
  </si>
  <si>
    <t>SEN/DGRMSG/L004/2024</t>
  </si>
  <si>
    <t>Servicio de mantenimiento preventivo y correctivo a: 2 elevadores para pasajeros marca Schindler ubicados en el inmueble de Madrid 62, 3 elevadores para pasajeros, 2 Elevautos y 1 montacargas marca Schindler ubicados en el inmueble de Donceles No. 14.</t>
  </si>
  <si>
    <t>SERV/DGRMSG/2024/01/007-1</t>
  </si>
  <si>
    <t>solicita cambio de domicilio fiscal</t>
  </si>
  <si>
    <t>MARZO</t>
  </si>
  <si>
    <t>SERV/DGRMSG/2024/01/008</t>
  </si>
  <si>
    <t>SEN/DGRMSG/L005/2024</t>
  </si>
  <si>
    <t>Póliza de mantenimiento correctivo del Sistema de Voz, Datos y Videoconferencia con servicio de Smarnet a equipo de la marca CISCO para el ejercicio 2024</t>
  </si>
  <si>
    <t>SERV/DGRMSG/2024/01/008-I</t>
  </si>
  <si>
    <t>LXV/SGSA/DGIT/DIC/0133/24</t>
  </si>
  <si>
    <t>I-solicita cambio de domicilio fiscal</t>
  </si>
  <si>
    <t>SERV/DGRMSG/2024/01/009</t>
  </si>
  <si>
    <t>SEN/DGRMSG/L010/2024</t>
  </si>
  <si>
    <t>Servicio de operación, mantenimiento preventivo y correctivo a la planta de Tratamiento de Aguas Residuales (PTAR), 3 plantas de osmosis inversa marca AQUA TECNOLOGÍA AMBIENTAL y el monitoreo y dosificación de cloro de 2 cisternas de agua potable ubicadas en la Sede de la Cámara de Senadores</t>
  </si>
  <si>
    <t>SERV/DGRMSG/2024/01/010</t>
  </si>
  <si>
    <t>SGSA/DGRP/LXV/444/23</t>
  </si>
  <si>
    <t>Servicio de seguridad y vigilancia las 24 horas del día, todos los días del año, intra y extramuros, de los inmuebles que ocupa el Senado para el ejercicio 2024</t>
  </si>
  <si>
    <t>SERV/DGRMSG/2024/01/011</t>
  </si>
  <si>
    <t>SEN/DGRMSG/L007/2024</t>
  </si>
  <si>
    <t>CRYPTEX Seguridad Privada Mexicana S.A. DE C.V.</t>
  </si>
  <si>
    <t>Servicios para la transmisión de contenido multimedia a tráves de las redes sociales de la Coordinación de Comunicación Social para el ejercicio 2024</t>
  </si>
  <si>
    <t>32701
35301</t>
  </si>
  <si>
    <t>SERV/DGRMSG/2024/01/012</t>
  </si>
  <si>
    <t>SEN/DGRMSG/INV002/2024</t>
  </si>
  <si>
    <t>Ambiente Paisajismo y Ojo de Agua, S. de R.l. de C.V.</t>
  </si>
  <si>
    <t>SERV/DGRMSG/2024/01/013</t>
  </si>
  <si>
    <t>SEN/DGRMSG/L019/2024</t>
  </si>
  <si>
    <t>Grupo México Tecnoindustrial SA de CV</t>
  </si>
  <si>
    <t>Subdirector dee Servicios Administrativos</t>
  </si>
  <si>
    <t>Proporcionar el servicio de mantenimiento preventivo y correctivo con refacciones a los 421 equipos elevautos marca Bendpak, modelos PL7000 y PL7000X, instalados en los cuatro niveles de estacionamientos de la nueva Sede del Senado del H. Congreso de la Unión.n.</t>
  </si>
  <si>
    <t>SERV/DGRMSG/2024/01/014</t>
  </si>
  <si>
    <t>SEN/DGRMSG/L014/2024</t>
  </si>
  <si>
    <t>Art.45</t>
  </si>
  <si>
    <t>Corporate Accon En Conocimientos E Ingenieria, S.A. de C.V.</t>
  </si>
  <si>
    <t>Servicios de mantenimiento preventivo a diversos elevadores y salva-escaleras (Roby) (Partida  1) y mantenimiento preventivo a tres salva-escaleras supra 15 y a dos plataformas verticales supra línea (Partida 2)</t>
  </si>
  <si>
    <t>SERV/DGRMSG/2024/01/014-I</t>
  </si>
  <si>
    <t>SERV/DGRMSG/2024/01/015</t>
  </si>
  <si>
    <t>Art. 21</t>
  </si>
  <si>
    <t>Teletec De México, S.A.P.I. de C.V.</t>
  </si>
  <si>
    <t>Subdirección de Supervisión de la UAT/ Depto. De Supervición Eléctrica</t>
  </si>
  <si>
    <t>Servicio de mantenimiento preventivo y correctivo al Sistema de Control de iluminación Arquitectónica instalado en el edificio de Reforma No. 135 Nueva Sede del Senado.</t>
  </si>
  <si>
    <t>SERV/DGRMSG/2024/01/016</t>
  </si>
  <si>
    <t>Sistemas Neumáticos de envíos, S.A. de C.V.</t>
  </si>
  <si>
    <t xml:space="preserve">Servicio de mantenimiento preventivo y correctivo al Sistema Neumático de Envíos, marca AEROCOM, modelo AC-3000, en 160mm. de diámetro, instalado en el edificio de la Nueva Sede de la Cámara de Senadores </t>
  </si>
  <si>
    <t>FC 15%             PRC 30%</t>
  </si>
  <si>
    <t>SERV/DGRMSG/2024/01/017</t>
  </si>
  <si>
    <t>SEN/DGRMSG/L020/2024</t>
  </si>
  <si>
    <t>Direccción de Radio y Televisión</t>
  </si>
  <si>
    <t>Servicio de mantenimiento preventivo, correctivo a equipos de edición, audio, sistemas de audio y video, y circuito cerrado de televisión y servicios complementarios de instalación de la Coordinación de Comunicación Social de la Cámara de Senadores</t>
  </si>
  <si>
    <t>FC 15%             PRC 10%</t>
  </si>
  <si>
    <t>SERV/DGRMSG/2024/01/017-I</t>
  </si>
  <si>
    <t>LXVI/CCS/140/2024</t>
  </si>
  <si>
    <t>Se solicito el incremento al monto maximo del contrato y el incremento de la vigencia del contrato</t>
  </si>
  <si>
    <t>Se incremento $517,241.38 quedando así $3,965,517.24
Se incremento la vigencia del 31/12/24 al 14/03/25</t>
  </si>
  <si>
    <t>SERV/DGRMSG/2024/01/018</t>
  </si>
  <si>
    <t>SEN/DGRMSG/L018/2024</t>
  </si>
  <si>
    <t xml:space="preserve">Encargado del área de Audio y Grabación </t>
  </si>
  <si>
    <t>Servicio de Mantenimiento Preventivo y Correctivo con refacciones al Sistema de Audio, Video y Traducción Simultánea para el ejercicio 2024 (Partida 1)</t>
  </si>
  <si>
    <t>FC 15%     PRC 20%</t>
  </si>
  <si>
    <t>SERV/DGRMSG/2024/01/019</t>
  </si>
  <si>
    <t>ART 45</t>
  </si>
  <si>
    <t>Audio y Video &amp; Control, S.A de C.V.</t>
  </si>
  <si>
    <t>Servicio de Mantenimiento Preventivo para el Sistema de Audio y Voceo General (Partida 2)</t>
  </si>
  <si>
    <t>FC 15%             PRC 20%</t>
  </si>
  <si>
    <t>SERV/DGRMSG/2024/01/020</t>
  </si>
  <si>
    <t>SEN/DGRMSG/L015/2024</t>
  </si>
  <si>
    <t>Servicio de estudio de opinión de la programación del Canal de Congreso para el ejercicio fiscal 2024</t>
  </si>
  <si>
    <t>28/08 Solicita terminación anticipada                                            28/08 Se envia opinión a juridico</t>
  </si>
  <si>
    <t>Terminación Administrativa</t>
  </si>
  <si>
    <t>SGSA/DGRMSG/LXVI/540/2024</t>
  </si>
  <si>
    <t>Art. 127, II</t>
  </si>
  <si>
    <t>Se entrego a DPC el 9 de diciembre la terminación administrativa</t>
  </si>
  <si>
    <t>Para reportarlo en el comité del 20 de diciembre</t>
  </si>
  <si>
    <t>SERV/DGRMSG/2024/01/021</t>
  </si>
  <si>
    <t>SEN/DGRMSG/L022/2024</t>
  </si>
  <si>
    <t>Sinteg en México, S.A DE C.V</t>
  </si>
  <si>
    <t>Servicio de protección, consultoría y soporte en seguridad informática a través de antivirus para equipos y servidores virtuales de la Cámara de Senadores</t>
  </si>
  <si>
    <t>FC 15%     PRC 15%</t>
  </si>
  <si>
    <t>32701
33104</t>
  </si>
  <si>
    <t>SERV/DGRMSG/2024/01/022</t>
  </si>
  <si>
    <t>Art. 21 fracc  II</t>
  </si>
  <si>
    <t>Elevadores Schindler, S.A. de C.V</t>
  </si>
  <si>
    <t>Subdirector Operativo de la Unidad de Apoyo Técnico.</t>
  </si>
  <si>
    <t>Servicio de mantenimiento preventivo y correctivo con refacciones incluidas a 17 elevadores marca Schindler, ubicados en el inmueble de Av. Paseo de la Reforma No. 135</t>
  </si>
  <si>
    <t>FC 15%   PRC 15%</t>
  </si>
  <si>
    <t>SERV/DGRMSG/2024/01/023</t>
  </si>
  <si>
    <t>SEN/DGRMSG/INV007/2024</t>
  </si>
  <si>
    <t>Ingeniería Operativa, S.A de C.V.</t>
  </si>
  <si>
    <t>Jefe de Departamento de Planeación y Organización</t>
  </si>
  <si>
    <t>Contratación de los servicios de mantenimiento preventivo a 29 arcos detectores de metales, 12 máquinas de inspección para rayos "X" con banda y 1 detector de explosivos portátil, ubicados en distintos edificios de la Cámara de Senadores para el ejercicio 2024</t>
  </si>
  <si>
    <t>FC 15%    PRC 15%</t>
  </si>
  <si>
    <t>SERV/DGRMSG/2024/01/024</t>
  </si>
  <si>
    <t>SEN/DGRMSG/L024//2024</t>
  </si>
  <si>
    <t>Full Service de México, S.A. de C.V</t>
  </si>
  <si>
    <t>Direccion General de Asuntos Juridicos</t>
  </si>
  <si>
    <t>Subdirector de Amparos</t>
  </si>
  <si>
    <t>Servicio de guarda, custodia, conservación y administración de los expedientes para el Ejercicio 2024</t>
  </si>
  <si>
    <t>FC 15%        PRC 15%</t>
  </si>
  <si>
    <t>SERV/DGRMSG/2024/01-I/024</t>
  </si>
  <si>
    <t>LXV/DAyCC/003/2024 Y LXV/DAyCC/005/2024</t>
  </si>
  <si>
    <t>Art. 101, frac III</t>
  </si>
  <si>
    <t>Decrementoen el importe del contrato, en virtud de que el monto total con IVA incluido sobrepasa el techo presupuestal autorizado por la DGPYPYF</t>
  </si>
  <si>
    <t>Decremento en importe del contrato, en vitrtud de que el monto total con el IVA incluido sobrepasa el techo presupuestal autorizado por la Dirección General de Programación y Presupuesto y Finanzas.</t>
  </si>
  <si>
    <t>SERV/DGRMSG/2024/01/024-II</t>
  </si>
  <si>
    <t>LXVI/DAyCC/045/2024</t>
  </si>
  <si>
    <t>Servicio de guarda, custodia, conservación y administración de los expedientes que conforman los Juiciios de Amparo, Controversias, Constitucionales y Acciones de Inconstitucionalidad de la Dirección de Amparos y Controversias Constitucionales de la Dirección General de Asuntos Juridicos</t>
  </si>
  <si>
    <t>Se solicito cambio del represate de la Camara de Senadores, Administrador y supervisor del contrato</t>
  </si>
  <si>
    <t>SERV/DGRMSG/2024/01/025</t>
  </si>
  <si>
    <t>SEN/DGRMSG/INV/012/2024</t>
  </si>
  <si>
    <t>Metlife México S.A de C.V</t>
  </si>
  <si>
    <t>Subdirectora de Seguros</t>
  </si>
  <si>
    <t>Contratacion de Pólizas de Seguro de Vida e INCAPACIDAD Total y Permanente para los Senadores de la República, Trabajadores de la Cámara de Senadores y Jubilados y/o Pensionados del ISSSTE</t>
  </si>
  <si>
    <t>SERV/DGRMSG/2024/01/026</t>
  </si>
  <si>
    <t>Servicio de mantenimiento preventivo y correctivo, con soporte técnico y refacciones para los equipos del sistema de automatización y control marca Metasys del sistema de aire Acondicionado, de la Sede de Avenida Paseo de la Reforma No. 135 de la Cámara de Senadores.</t>
  </si>
  <si>
    <t>SERV/DGRMSG/2024/01/026-I</t>
  </si>
  <si>
    <t xml:space="preserve"> 01041/LXV/DMBMI/2024/01/026</t>
  </si>
  <si>
    <t>Art 101, fracc II</t>
  </si>
  <si>
    <t>I.- Ampliación del monto por 10.96083074523391</t>
  </si>
  <si>
    <t>SERV/DGRMSG/2024/01/026-II</t>
  </si>
  <si>
    <t>0074/LXVI/DMBMI-UAT/2024</t>
  </si>
  <si>
    <t>Subdirector Operativo de la Unidad de Apoyo Técnico.
Departamento de supervisión de Aire acondiconado e hidrosanitaria</t>
  </si>
  <si>
    <t>Se solicito incremento al monto maximo del contrato  y el incrmento del 25% a la vigencia del contrato</t>
  </si>
  <si>
    <t>Se solciito un incremento de $986,740.83 quedando así $8,785,605.63 sin iva y la vigencia del 01/01/24 al 28/02/25</t>
  </si>
  <si>
    <t>firma admin se envia 8-1-25
se regresa de dirección general: 13/1/25</t>
  </si>
  <si>
    <t>SERV/DGRMSG/2024/01/027</t>
  </si>
  <si>
    <t>SEN/DGRMSG/INV009/2024</t>
  </si>
  <si>
    <t>Segudirecto, Agente de Seguros y de Fianzas, S.A de C.V</t>
  </si>
  <si>
    <t>Servicios de asesoría externa en materia de administración de riesgos y seguros(Asesor) que auxilie a la Cámara de Senadores.</t>
  </si>
  <si>
    <t>FC 05%</t>
  </si>
  <si>
    <t>SERV/DGRMSG/2024/01/028</t>
  </si>
  <si>
    <t>229/LXV/DMBMI/2023 Y 2336/LXV/DMBMI/2023</t>
  </si>
  <si>
    <t>Dhimex Ciudad de México, S.A de C.V</t>
  </si>
  <si>
    <t>Subdirector Operativo de la Unidad de Apoyo Técnico. / Dpto. de Supervisión de Aire Acondicionado.</t>
  </si>
  <si>
    <t>Servicio de mantenimiento preventivo y correctivo, con soporte técnico y refacciones para los equipos bombeo hidráulicos de los cuartos de máquinas y cárcamos; así como las bombas centrifugas sumergibles y cabezales de la Sede de la Cámara de Senadores.</t>
  </si>
  <si>
    <t>FC 15%              PRC 15%</t>
  </si>
  <si>
    <t>SERV/DGRMSG/2024/01/029</t>
  </si>
  <si>
    <t>SEN/DGRMSG/INV008/2024</t>
  </si>
  <si>
    <t>Enforcer Units Fire Service Pluse México S.A de C.V.</t>
  </si>
  <si>
    <t>Departamento de Prevención de Riesgos y Atención de Emergencias</t>
  </si>
  <si>
    <t>Servicio de mantenimiento Preventivo a los equipos y accesorios que componen el sistema de detección de alarma de incendios</t>
  </si>
  <si>
    <t>FC 15%    PRC  15%</t>
  </si>
  <si>
    <t>SERV/DGRMSG/2024/01/030</t>
  </si>
  <si>
    <t>Art. 21 fracc  XXIII</t>
  </si>
  <si>
    <t>Estafeta Méxicana, S.A. de C.V.</t>
  </si>
  <si>
    <t>Subdirector de Servicios</t>
  </si>
  <si>
    <t>Servicio de envío mensajería y paquetería Local, Nacional e Internacional para Senadores y Senadoras, Comisiones Legislativas y Unidades Parlamentarias, Administrativas y Técnicas de la Cámara de Senadores</t>
  </si>
  <si>
    <t>SERV/DGRMSG/2024/01/031</t>
  </si>
  <si>
    <t xml:space="preserve">6a Sesión Extraordinaria del Comité </t>
  </si>
  <si>
    <t>Subdirector Operativo de la Unidad de Apoyo Técnico. / Dpto. de Supervisión de Aire Acondicionado e Hidrosanitaria</t>
  </si>
  <si>
    <t>Servicio de Mantenimiento Preventivo y Correctivo con Soporte Técnico a los Equipos de Bombeo Hidrónico, Válvulas, Intercambiadores de Calor EPAC (Expansión, Presurización Tratamiento Químico al Agua Helada y Control de Aire ) del Sistema de Aire Acondicionado de la Sede de la Cámara de Senadores</t>
  </si>
  <si>
    <t>SERV/DGRMSG/2024/01/032</t>
  </si>
  <si>
    <t>SEN/DGRMSG/INV004/2024 SEN/DGRMSG/INV011/2024</t>
  </si>
  <si>
    <t>Art. 21 frac XIV</t>
  </si>
  <si>
    <t xml:space="preserve">Sistemas Neumáticos de envíos, S.A. de C.V.  </t>
  </si>
  <si>
    <t>Subdirector Operativo de la Unidad de Apoyo Técnico. / Dpto. de Supervisión Electrica</t>
  </si>
  <si>
    <t>Servicio de Mantenimiento Prevntivo y Correctivo con refacciones y soporte técnico del Sistama de manejo de basura instalado en el edificio de Reforma 135 Nueva Sede del Senado para el ejercicio 2024</t>
  </si>
  <si>
    <t>SERV/DGRMSG/2024/01/033</t>
  </si>
  <si>
    <t>SGSA/UE/LXV/207/23</t>
  </si>
  <si>
    <t>Art. 21 frac XXII</t>
  </si>
  <si>
    <t>MISE EN PLACE SJA SA DE CV</t>
  </si>
  <si>
    <t>Jefe de Unidad de Eventos</t>
  </si>
  <si>
    <t>Jefatura de Departamento de los Servicios de Alimentación y Cafeteria</t>
  </si>
  <si>
    <t>Servicios de alimentación (Piso 3, Torre de Comisiones) intra o extramuros para la Cámara de Senadores correspondiente al ejercicio 2024</t>
  </si>
  <si>
    <t xml:space="preserve">FC 15%        PRC 25%                              </t>
  </si>
  <si>
    <t>POLIZA DE DESOCUPACION POR 500,000</t>
  </si>
  <si>
    <t>SERV/DGRMSG/2024/01/033-I</t>
  </si>
  <si>
    <t>LXVI/DGAJ/248/2024</t>
  </si>
  <si>
    <t>Art. 22, frac I y XXVI</t>
  </si>
  <si>
    <t>I.- Ampliación del monto por 25%</t>
  </si>
  <si>
    <t>SERV/DGRMSG/2024/01/034</t>
  </si>
  <si>
    <t>SGSA/UE/LXV/206/23</t>
  </si>
  <si>
    <t>Especialidades Reyes, S.A. de C.V.</t>
  </si>
  <si>
    <t>Contratación de los servicios de alimentación (Piso 4 y 5, Torre de Comisiones) intra o extramuros para la Cámara de Senadores correspondiente al ejercicio 2024</t>
  </si>
  <si>
    <t>SERV/DGRMSG/2024/01/035</t>
  </si>
  <si>
    <t>SEN/DGRMSG/L026/2024</t>
  </si>
  <si>
    <t>Lemonrot Bususiness Solutions, S.A. de C.V.</t>
  </si>
  <si>
    <t>Subdirección Operativa de la Unidad de Apoyo Técnico / Jefe de Departamento de Supervisión Eléctrica</t>
  </si>
  <si>
    <t>Servicio de mantenimiento preventivo y correctivo a 13 Equipos UPS/ BATERÍAS, para el ejercicio 2024</t>
  </si>
  <si>
    <t xml:space="preserve">FC 15%        PRC 15%                              </t>
  </si>
  <si>
    <t>SERV/DGRMSG/2024/01/035-I</t>
  </si>
  <si>
    <t>0091/LXVI/DMBMI-UAT/2024</t>
  </si>
  <si>
    <t>Se incremento $184,321.00 quedando así $3,641973.28
Se modifico la vigencia del 31/12/2024 al 31/12/2025</t>
  </si>
  <si>
    <t>DGAJ 779 2024
31-12-2024</t>
  </si>
  <si>
    <t>SERV/DGRMSG/2024/01/036</t>
  </si>
  <si>
    <t>SEN/DGRMSG/INV014/2024</t>
  </si>
  <si>
    <t>Grupo Nacional Provincial, S.A.B</t>
  </si>
  <si>
    <t>Contratación de póliza de Seguro de Automóviles, Camiones y Motocicletas (Partida 3), la cual tiene por objeto proteger los bienes patrimoniales (vehículos) de la Cámara de Senadores, manteniendo los asegurados de conformidad con lo establecido en el Anexo técnico</t>
  </si>
  <si>
    <t>SERV/DGRMSG/2024/01/037</t>
  </si>
  <si>
    <t>Grupo Mexicano de Seguros, S.A de C.V.</t>
  </si>
  <si>
    <t>Contratación de póliza de Seguro de Bienes Patrimoniales Propiedad de la Cámara de Senadores para el ejercicio 2024 (Partida 2)</t>
  </si>
  <si>
    <t>SERV/DGRMSG/2024/01/038</t>
  </si>
  <si>
    <t>SEN/DGRMSG/INV013/2024</t>
  </si>
  <si>
    <t>Subdirector de Mantenimiento de Muebles e Inmuebles /Jefatura de Unidad de Control y Seguimiento</t>
  </si>
  <si>
    <t>Servicio de limpieza con insumos y mantenimiento preventivo para las instalaciones del Teatro de la República, ubicado en la ciudad de Santiago de Querétaro, Qro.</t>
  </si>
  <si>
    <t>SERV/DGRMSG/2024/01/038-I</t>
  </si>
  <si>
    <t>0021/LXVI/DMBMI/2024
0024/LXVI/DMBMI/2024</t>
  </si>
  <si>
    <t>Art.101</t>
  </si>
  <si>
    <t>Director de mantenimiento a Bienes Muebles e Inmubles</t>
  </si>
  <si>
    <t>Subdirector de Mantenimiento de Bienes Muebles e Inmuebles 
Jefe de unidad de control y seguimiento</t>
  </si>
  <si>
    <t xml:space="preserve">Servicio de limpieza con inmumos y mantenimiento preventivo para las instalaciones del Teatro de la Republica ubicado en la Ciudad de Santiago de Querétaro, Qro. </t>
  </si>
  <si>
    <t>Modificación del domicilio fiscal, modificar al representante del senado de la republica, sustituir aladministrador del contrato y al supervisor del contrato</t>
  </si>
  <si>
    <t>SERV/DGRMSG/2024/01/039</t>
  </si>
  <si>
    <t xml:space="preserve">7a Sesión Extraordinaria del Comité </t>
  </si>
  <si>
    <t>Art. 21 frac XVII</t>
  </si>
  <si>
    <t>SCONTINUIDAD LATAM S.A. DE C.V</t>
  </si>
  <si>
    <t>Subdireción  de Infraestructura Informática</t>
  </si>
  <si>
    <t>Servicio Integral de Resiliencia (DRP).</t>
  </si>
  <si>
    <t>31904
33303</t>
  </si>
  <si>
    <t>SERV/DGRMSG/2024/01/040</t>
  </si>
  <si>
    <r>
      <t>SILENT4BUSINESS S.A. DE C.V</t>
    </r>
    <r>
      <rPr>
        <sz val="11"/>
        <color theme="1"/>
        <rFont val="Calibri"/>
        <family val="2"/>
        <scheme val="minor"/>
      </rPr>
      <t xml:space="preserve">., </t>
    </r>
  </si>
  <si>
    <t>PRC 15%                      FC 15%</t>
  </si>
  <si>
    <t>SERV/DGRMSG/2024/01/040-I</t>
  </si>
  <si>
    <t>Se realizó un decremento al monto del contrato reduciendo 3 servicios:
1.- Servicio de validación del Ciber Riesgo operativo para la Infraestructura de TI.
2.- Servicio de filtrado de contenido WEB.
3.- Servicio de Claves Privilegiadas</t>
  </si>
  <si>
    <t>SERV/DGRMSG/2024/01/040-II</t>
  </si>
  <si>
    <t>LXVI/SGSA/DGIT/0059/24</t>
  </si>
  <si>
    <t>Art. 21, Fracc. II</t>
  </si>
  <si>
    <t>Se incremento $5,652,983.94 quedando así $83,711,532.09</t>
  </si>
  <si>
    <t>Se solicito un incremento del 25% al monto total del contrato</t>
  </si>
  <si>
    <t>DICIEMBRE</t>
  </si>
  <si>
    <t>SERV/DGRMSG/2024/01/041</t>
  </si>
  <si>
    <t>Servicio de fortalecimiento de los procesos de Seguridad</t>
  </si>
  <si>
    <t>SERV/DGRMSG/2024/01/041-I</t>
  </si>
  <si>
    <t>Art. 22 frac I y XXVI</t>
  </si>
  <si>
    <t>Se realizó un decremento al monto del contrato reduciendo 3 servicios:
1.- Servicio de concientización.
2.- Servicio de acompañamiento a la mitigación de vulnerabilidades
3.- Servicio de Analisis de Riesgos de Procesos de TI</t>
  </si>
  <si>
    <t>SERV/DGRMSG/2024/01/042</t>
  </si>
  <si>
    <t>2452/LXV/DMBMI/2023</t>
  </si>
  <si>
    <t>Art. 21 frac XI</t>
  </si>
  <si>
    <t>Servicio de Limpieza para los Inmuebles ocupados por la Cámara de Senadores</t>
  </si>
  <si>
    <t>SERV/DGRMSG/2024/01/043</t>
  </si>
  <si>
    <t>2453/LXV/DMBMI/2023</t>
  </si>
  <si>
    <t xml:space="preserve">Servicio de Mantenimiento Preventivo y Correctivo menor de las instalaciones eléctricas, hidráulicas, sanitarias, acabados, herrería, cerrajería, pintura, albañilería, carpintería y barniz, Tablaroca y servicios generales como acarreo de materiales, equipo de oficina, mobiliario, montaje de eventos varios y toda aquella actividad derivada del trabajo legislativo, parlamentario y administrativo para los edificios al servicio de la Cámara de Senadores </t>
  </si>
  <si>
    <t>SERV/DGRMSG/2024/01/044</t>
  </si>
  <si>
    <t>T/DGPS/823/23</t>
  </si>
  <si>
    <t>Art. 21 frac XX</t>
  </si>
  <si>
    <t>Dirección de Pago a Senadores</t>
  </si>
  <si>
    <t>Subdirección de Pasajes y Viáticos</t>
  </si>
  <si>
    <t>Servicio de Agencia de Viajes para la Reservación, entrega y/o radicación de boletos de transportación aérea para viajes de trabajo y comisiones de los CC. Senadores y Personal de la Cámara de Senadores</t>
  </si>
  <si>
    <t>SUJETO</t>
  </si>
  <si>
    <t>SERV/DGRMSG/2024/01/045</t>
  </si>
  <si>
    <t>G-Travel S.A. de C.V.</t>
  </si>
  <si>
    <t xml:space="preserve"> Reservación, expedición, cancelaciones y  entrega de boletos para transportación aérea para viajes de trabajo y comisiones de las y los Legisladores; así como el Personal de la Cámara de Senadores</t>
  </si>
  <si>
    <t>SERV/DGRMSG/2024/01/046</t>
  </si>
  <si>
    <t>Vieje Escalona S.A.</t>
  </si>
  <si>
    <t>Servicio de Agencia de Viajes para la Reservación, entrega y/o Radicación de Boletos de Transportación Aérea para viajes de trabajo y comisiones de los CC. Senadores y Personal de la Cámara de Senadores</t>
  </si>
  <si>
    <t>SERV/DGRMSG/2024/01/047</t>
  </si>
  <si>
    <t>SEN/DGRMSG/L030/2024</t>
  </si>
  <si>
    <t>Guzdan Services, S.A de C.V.</t>
  </si>
  <si>
    <t>Jefatura de Departamento de Seguridad Informatica</t>
  </si>
  <si>
    <t>Licenciamiento y Póliza de Soporte de la Infraestructura de Virtualización</t>
  </si>
  <si>
    <t>FC 15%           PRC 15%</t>
  </si>
  <si>
    <t>SERV/DGRMSG/2024/01/048</t>
  </si>
  <si>
    <t>MD/UTIG/LXV/014/2024</t>
  </si>
  <si>
    <t>Consultores Organizados para el Desarrollo Regional Incluyente, A. C.</t>
  </si>
  <si>
    <t>Dirección de Transversalidad de la Perspectiva de Género</t>
  </si>
  <si>
    <t>Procesos de formación para emprendedoras del estado de Tlaxcala" cuyo objetivo es desarrollar actividades de capacitación para mujeres en situación de exclusión, marginación y vulnerabilidad.</t>
  </si>
  <si>
    <t>SERV/DGRMSG/2024/01/048-I</t>
  </si>
  <si>
    <t>MD/UTIG/LXV/156/2024</t>
  </si>
  <si>
    <t>Solicitud de convenio modificatorio por cambio de anexo (entregables)</t>
  </si>
  <si>
    <t>SERV/DGRMSG/2024/02/049</t>
  </si>
  <si>
    <t>SEN/DGRMSG/L027/2024</t>
  </si>
  <si>
    <t xml:space="preserve">Contratación de los servicios para el "Proyecto integral en medios para el Canal del Congreso" </t>
  </si>
  <si>
    <t>FC 15%  PRC 15%</t>
  </si>
  <si>
    <t>SERV/DGRMSG/2024/02/049-I</t>
  </si>
  <si>
    <t>DAP/LXVI/0525/2024</t>
  </si>
  <si>
    <t xml:space="preserve">Servicios para el "Proyecto integral de Comunicaciones en medios Electrónicos para el Canal del Congreso" </t>
  </si>
  <si>
    <t>Se solicito el incremento del 25% al monto total del contrato</t>
  </si>
  <si>
    <t>Se incremento $1,155,175.00 quedando así $16,197,135.00</t>
  </si>
  <si>
    <t>SERV/DGRMSG/2024/02/050</t>
  </si>
  <si>
    <t>DGC/LXV/010/2024</t>
  </si>
  <si>
    <t>Art. 21, frac X</t>
  </si>
  <si>
    <t xml:space="preserve">Javier </t>
  </si>
  <si>
    <t xml:space="preserve">Zínser </t>
  </si>
  <si>
    <t>Dirección de Administración y Planeación del Canal del Congreso</t>
  </si>
  <si>
    <t>Servicios Profesionales como conductor del programa de radio "Sitio Abierto" y programas especiales para Radio Congreso</t>
  </si>
  <si>
    <t>SERV/DGRMSG/2024/02/051</t>
  </si>
  <si>
    <t>01° Sesión Ordinaria del Comité de Adquisiciones del Comité de Adquisiciones, Obras Y Servicios</t>
  </si>
  <si>
    <t>Art. 21, frac II</t>
  </si>
  <si>
    <t>Programma Comunicación S.A. de C.V.</t>
  </si>
  <si>
    <t>Servicio de producción de la serie "Camara alta"</t>
  </si>
  <si>
    <t>FC 10%</t>
  </si>
  <si>
    <t>SERV/DGRMSG/2024/03/052</t>
  </si>
  <si>
    <t>SGSA/DGRH/URLS/SPE/LXV/011/2024</t>
  </si>
  <si>
    <t>Art. 21, frac XI</t>
  </si>
  <si>
    <t>Subdirector de Profesiones y Evaluación</t>
  </si>
  <si>
    <t>Curso de Inglés en línea, dirigido a las Personas Servidoras Públicos del Senado de la República para favorecer su aprendizaje, la pronunciación, la comprensión auditiva, la estructura, la lectura y la escritura.</t>
  </si>
  <si>
    <t>SE DEVUELVE AL AREA CON OF 0927 DE LA DIRECCION PARA PEDIR ACTUALIZACION DEL PODER 08/24</t>
  </si>
  <si>
    <t>SERV/DGRMSG/2024/03/053</t>
  </si>
  <si>
    <t>SEN/DGRMSG/L033/2024</t>
  </si>
  <si>
    <t>SERV/DGRMSG/2024/03/053-I</t>
  </si>
  <si>
    <t>DGRMSG/DSA/LXVI/502/2024</t>
  </si>
  <si>
    <t>28-28-2-25</t>
  </si>
  <si>
    <t>SE SOLICITO UNICAMENTE INCRMEENTO EN LA VIGENCIA, QUEDANDO ASÍ AL 28 DE FEBRERO DEL 2025</t>
  </si>
  <si>
    <t>SE INCRMEENTO $150,000.00 AL MONTO MAXIMO DEL CONTRATO (NO SE SOLICITO INCREMENTO AL MONTO)</t>
  </si>
  <si>
    <t>SE AUNMENTO $150,000.00 QUEDANDO ASÍ $3,453,646.98</t>
  </si>
  <si>
    <t>DSA 502
23-12-24</t>
  </si>
  <si>
    <t>LO ENVIAN DE JURIDICO 8-1-24</t>
  </si>
  <si>
    <t>FOLIO DE ENTREGA DE JURIDICO 
DGAJ 775</t>
  </si>
  <si>
    <t>Se envia contrato con el admin: 14-1-25
firma del admin 16-1-25
Regresa el contrato el admin: 17-1-25
Se envia a DG 17-1-25
Regresan de DG: 20-1-25</t>
  </si>
  <si>
    <t>SERV/DGRMSG/2024/03/054</t>
  </si>
  <si>
    <t>Servicio de elaboración de papelería impresa oficial para Senadores, Senadoras, Órganos de Gobierno, Unidades Parlamentarias, Administrativas y Técnica (30% de la partida 1)</t>
  </si>
  <si>
    <t>SERV/DGRMSG/2024/03/054-I</t>
  </si>
  <si>
    <t>DGRMSG/DSA/LXVI/503/2024</t>
  </si>
  <si>
    <t>SE INCRMEENTO $100,000.00 AL MONTO MAXIMO DEL CONTRATO (NO SE SOLICITO INCREMENTO AL MONTO)</t>
  </si>
  <si>
    <t>SE AUNMENTO $100,000.00 QUEDANDO ASÍ $2,082,188.19</t>
  </si>
  <si>
    <t>DSA 503
 23-12-24</t>
  </si>
  <si>
    <t>FOLIO DE ENTREGA DE JURIDICO 
DGAJ 778</t>
  </si>
  <si>
    <t>SERV/DGRMSG/2024/03/055</t>
  </si>
  <si>
    <t xml:space="preserve">Carolina </t>
  </si>
  <si>
    <t>Servicio de elaboración de papelería impresa oficial para Senadores, Senadoras, Órganos de Gobierno, Unidades Parlamentarias, Administrativas y Técnica (20% de la partida 1)</t>
  </si>
  <si>
    <t>SERV/DGRMSG/2024/03/056</t>
  </si>
  <si>
    <t xml:space="preserve">02° Sesión Ordinaria del Comité de Adquisiciones, Obras y Servicios </t>
  </si>
  <si>
    <t>Editoras los Miércoles S.A. de C.V.</t>
  </si>
  <si>
    <t>Servicios de la producción de la serie; Te Tomamos la Palabra</t>
  </si>
  <si>
    <t>SERV/DGRMSG/2024/03/057</t>
  </si>
  <si>
    <t>Imaginación y Mass S. de R.L. de C.V.</t>
  </si>
  <si>
    <t>Servicios de Producción de la serie; Vivas, Libres y sin Miedo</t>
  </si>
  <si>
    <t>SERV/DGRMSG/2024/03/058</t>
  </si>
  <si>
    <t>Rayuela Digital S.A. de C.V.</t>
  </si>
  <si>
    <t>Servicios de la producción de la serie; Legisladores del México Contemporáneo</t>
  </si>
  <si>
    <t>SERV/DGRMSG/2024/04/059</t>
  </si>
  <si>
    <t>SEN/DGRMSG/L036/2024    DGRMSG/DSA/LXV/310/2024</t>
  </si>
  <si>
    <t>Proporcionar el Servicio de operación de los 4 niveles de estacionamiento de la Nueva Sede y los 4 sótanos del inmueble de Donceles No. 14 del "SENADO" a través de operarios que manejen los equipos de elevautos y elevador, así como que brinden apoyo a los usuarios del estacionamiento para ubicar los vehículos</t>
  </si>
  <si>
    <t>SERV/DGRMSG/2024/04/059-I</t>
  </si>
  <si>
    <t>DGRMSG/DSA/LXVI/347/2024</t>
  </si>
  <si>
    <t>Servicio de operación de los 4 niveles de estacionamiento de la Nueva Sede y los 4 sótanos del inmueble de Donceles No. 14 de " EL SENADO" a través de operarios que manejen los equipos de elevautos y elevador, así como que brinden apoyo a los usuarios del estacionamiento para ubicar los vehículos</t>
  </si>
  <si>
    <t>Endosos FC y PRC en virtud al incremento del contrato</t>
  </si>
  <si>
    <t>Se solicito el incremento del 6.7824099811056% al monto maximo del contrato</t>
  </si>
  <si>
    <t>Se incremento $323,275.86 quedando así $5,027,242.34</t>
  </si>
  <si>
    <t>SERV/DGRMSG/2024/04/060</t>
  </si>
  <si>
    <t>01° Sesión Extraordinaria del Comité de Adquisiciones del Comité de Adquisiciones, Obras Y Servicios</t>
  </si>
  <si>
    <t>Subdirección Operativo de la Unidad de Apoyo Técnico de la Dirección de Recursos Materiales y Servicios Generales</t>
  </si>
  <si>
    <t>Los servicios de mantenimiento preventivo a los equipos contra incendios de los cuartos de bombas y mantenimiento preventivo a la red PCI instalados en el inmueble de Reforma 135 de la Cámara de Senadores</t>
  </si>
  <si>
    <t>SERV/DGRMSG/2024/04/061</t>
  </si>
  <si>
    <t>SEN/DGRMSG/L040/2024</t>
  </si>
  <si>
    <t>Servicio de internet dedicado de fibra óptica 2Gbps para la Coordinación de Comunicación Social 2024</t>
  </si>
  <si>
    <t>SERV/DGRMSG/2024/04/062</t>
  </si>
  <si>
    <t>SEN/DGRMSG/L037/2024</t>
  </si>
  <si>
    <t>Mantenimiento preventivo y correctivo con refacciones de los equipos HVAC incluye la sanitización y limpieza de ductos de aire acondicionado, instalados en los inmuebles de la Cámara de Senadores</t>
  </si>
  <si>
    <t>SERV/DGRMSG/2024/04/062-I</t>
  </si>
  <si>
    <t>0520/LXVI/DMBMI/2024</t>
  </si>
  <si>
    <t>Subdirección deMantenimiento a Bienes Muebles e Inmuebles
Subdirector Operativo
Jefe de Departamento de Administración de serivicios
Jefe de Departamento de Supervision de Aire acondicionado e hidrosanitario</t>
  </si>
  <si>
    <t>Se incremento $2,033,440.43
Quedando así un importe maximo de $10,167,202.14</t>
  </si>
  <si>
    <t>Se solicito un incremento del 25% al monto maximo del contrato y cambio de Administrador así como de los supervisores</t>
  </si>
  <si>
    <t>SERV/DGRMSG/2024/04/063</t>
  </si>
  <si>
    <t>SEN/DGRMSG/L039/2024</t>
  </si>
  <si>
    <t>Servicio de análisis, monitoreo y alertas de información en medios impresos, electrónicos, digitales y en redes sociales, para el ejercicio 2024</t>
  </si>
  <si>
    <t>SERV/DGRMSG/2024/04/064</t>
  </si>
  <si>
    <t>SEN/DGRMSG/L042/2024</t>
  </si>
  <si>
    <t>Dirección de Información de la Coordinación de Comunicación Social</t>
  </si>
  <si>
    <t>Contratación de suministro  de periódicos y revistas como material de apoyo informativo para el Senado de la República</t>
  </si>
  <si>
    <t>SERV/DGRMSG/2024/04/065</t>
  </si>
  <si>
    <t xml:space="preserve">LXV/JUCOPO/SP/1099/2024 SGSA/UE/LXV/047/24                         SGSA/UE/LXV/045/24                         </t>
  </si>
  <si>
    <t>Art.21 Frac XIX</t>
  </si>
  <si>
    <t>Productora de Eventos Leganés, S.A de C.V.</t>
  </si>
  <si>
    <t>Servicio de Organización y logística del programa cultural 2024</t>
  </si>
  <si>
    <t>FA 30%        FC 15%              PRC 15%</t>
  </si>
  <si>
    <t>17/04/2024             25/02024</t>
  </si>
  <si>
    <t>REG 19/04                  26/04/2024</t>
  </si>
  <si>
    <t xml:space="preserve">19/04/2024                   26/04/2024                   </t>
  </si>
  <si>
    <t>SERV/DGRMSG/2024/05/066</t>
  </si>
  <si>
    <t>SEN/DGRMSG/INV020/2024</t>
  </si>
  <si>
    <t>Smart Proyectos y Tecnología,S.A. de C.V.</t>
  </si>
  <si>
    <t>Impermeabilización para tanque de tormantas de Mesa Directiva, Ubicado en la Sede de la Cámara de Senadores de Avenida Paseo de la Reforma No. 135</t>
  </si>
  <si>
    <t>FC 15%                PRC 10%        FVO     10%</t>
  </si>
  <si>
    <t>17/05/2024  01/08/2024</t>
  </si>
  <si>
    <t>SERV/DGRMSG/2024/05/067</t>
  </si>
  <si>
    <t>4° Sesión Ordinaria del Comité de Adquisiciones, Obras y Servicios</t>
  </si>
  <si>
    <t>Art.21 Frac II</t>
  </si>
  <si>
    <t>Gilberto</t>
  </si>
  <si>
    <t>Servicio de producción de la serie "Sueña México. Los juegos de la luz 2024"</t>
  </si>
  <si>
    <t>SERV/DGRMSG/2024/05/068</t>
  </si>
  <si>
    <t>Instituto de Medios Educativos y de Investigación Audiovisual, S.A. de C.V.</t>
  </si>
  <si>
    <t>Servicio de producción de la serie "La primera mujer"</t>
  </si>
  <si>
    <t>SERV/DGRMSG/2024/05/069</t>
  </si>
  <si>
    <t>SEN/DGRMSG/INV019/2024</t>
  </si>
  <si>
    <t>Servicio de mantenimiento preventivo mensual y mayor anual a plantas generadoras de energía eléctrica (plantas de emergencia) ubicadas en los inmuebles de la Cámara de Senadores</t>
  </si>
  <si>
    <t>SERV/DGRMSG/2024/05/069-I</t>
  </si>
  <si>
    <t>0689/LXVI/DMBMI/2024</t>
  </si>
  <si>
    <t>SE SOLICITO EL INCREMENTO DEL 25% DEL CONTRATO E INCREMENTO EN LA VIGENCIA</t>
  </si>
  <si>
    <t>SE INCREMENTO $131,400.00 QUEDANDO ASÍ $987,000.00</t>
  </si>
  <si>
    <t>SE INCREMENTO LA VIGENCIA DEL 31 DE DICIEMBRE DEL 2024 AL 2 DE FEBRERO DEL 2024</t>
  </si>
  <si>
    <t>SERV/DGRMSG/2024/05/070</t>
  </si>
  <si>
    <t>SEN/DGRMSG/INV017/2024    SEN/DGRMSG/INV017/2024 Y OF. 0671/LXV/DMBMI/24</t>
  </si>
  <si>
    <t>Art.21 Frac XIV</t>
  </si>
  <si>
    <t>Sistema Integral de Mantenimiento Alfa, S.A. de C.V.</t>
  </si>
  <si>
    <t>Subdirección de MBMI /Subdirección de Supervisión de la Unidad de Apoyo Técnico</t>
  </si>
  <si>
    <t>SERV/DGRMSG/2024/06/071</t>
  </si>
  <si>
    <t>SEN/DGRMSG/L044/2024 Y SEN/DGRMSG/L045/2024</t>
  </si>
  <si>
    <t>Licitación Pública / Desierto</t>
  </si>
  <si>
    <t>Art.21 Frac XIII</t>
  </si>
  <si>
    <t>Kertec Corporatión, S.A. de C.V.</t>
  </si>
  <si>
    <t>Servicio de cableado de nodos de video y nodos de red para voz y datos categorá 5E, 7A y fibra óptica.</t>
  </si>
  <si>
    <t>35301,            29401</t>
  </si>
  <si>
    <t>SERV/DGRMSG/2024/06/072</t>
  </si>
  <si>
    <t>5° Sesión Ordinaria del Comité de Adquisiciones, Obras y Servicios</t>
  </si>
  <si>
    <t>Meteoro Studios, S.C.</t>
  </si>
  <si>
    <t>Servicios de la Producción de la serie: Estamos en lo Dicho</t>
  </si>
  <si>
    <t>SERV/DGRMSG/2024/06/073</t>
  </si>
  <si>
    <t xml:space="preserve">Luis Manuel </t>
  </si>
  <si>
    <t xml:space="preserve">Ortiz </t>
  </si>
  <si>
    <t xml:space="preserve">Gómez </t>
  </si>
  <si>
    <t>Servicios de la Producción de la serie: Para ti y para todos</t>
  </si>
  <si>
    <t>SERV/DGRMSG/2024/06/074</t>
  </si>
  <si>
    <t>Servicios de la Producción de la serie: Retratos del Parlamento con Patsy Carrillo</t>
  </si>
  <si>
    <t>SERV/DGRMSG/2024/07/075</t>
  </si>
  <si>
    <t>6° Sesión Ordinaria del Comité de Adquisiciones, Obras y Servicios</t>
  </si>
  <si>
    <t>Art.21 Frac XXIII</t>
  </si>
  <si>
    <t>Director de Sistemas Informáticos</t>
  </si>
  <si>
    <t>Servicio de digitalización de expedientes físicos, su carga a la base de datos de la plataforma informática de la Cámara de Senadores, su guarda, custodia y administración</t>
  </si>
  <si>
    <t>PRC 15%                      FC 15%       VO  10%</t>
  </si>
  <si>
    <t>33606                    34601</t>
  </si>
  <si>
    <t>SERV/DGRMSG/2024/07/075-I</t>
  </si>
  <si>
    <t>Ampliación de Vigencia</t>
  </si>
  <si>
    <t>SERV/DGRMSG/2024/07/076</t>
  </si>
  <si>
    <t>SEN/DGRMSG/INV023/2024</t>
  </si>
  <si>
    <t>Contratación para el Servicio de Mantenimiento Preventivo y Mayor Anual a Transformadores Eléctricos Tipo Pedestal compuestos en Aceite y Subestaciones Eléctricas Compactas, ubicadas en los Edificios de Xicoténcatl No. 9, Donceles No. 14, Allende No. 23, Madrid No. 62, Angela Peralta No. 1 Teatro de la República, Querétaro y Cerro del Chiquihuite No. 15 propiedad de Cámara de Senadores</t>
  </si>
  <si>
    <t>SERV/DGRMSG/2024/07/077</t>
  </si>
  <si>
    <t>4° Sesión Extraordinaria del Comité de Adquisiciones, Obras y Servicios</t>
  </si>
  <si>
    <t>Servicios de mantenimiento preventivo a equipos contra incendios de cuarto de bombas, red PCI, sistema de detección y alarma, gas NOVEC y sistema de espumas PCI de los inmuebles de Madris 62 y Donceles 14; y mantenimiento al sistema PCI hibrido instalado en 30 sites informáticos del imbuelble de Reforma 135 de la Cámara de Senadores</t>
  </si>
  <si>
    <t>SERV/DGRMSG/2024/07/078</t>
  </si>
  <si>
    <t>Recursos, Sistemas y Conocimiento, S.A. de C.V.</t>
  </si>
  <si>
    <t>Subcontralor Auditoria de Contraloría Interna</t>
  </si>
  <si>
    <t>Servicio de soporte operativo/funcional de los componentes de la plataforma aplicada Hotware de la Cámara de Senadores</t>
  </si>
  <si>
    <t>SERV/DGRMSG/2024/07/079</t>
  </si>
  <si>
    <t>SEN/DGRMSG/L047/2024</t>
  </si>
  <si>
    <t>Tagsec Group, S.A. de C.V.</t>
  </si>
  <si>
    <t>Servicio de licenciamiento Cisco, adquisición de teléfonos y access point</t>
  </si>
  <si>
    <t>32701, 51501</t>
  </si>
  <si>
    <t>SERV/DGRMSG/2024/08/080</t>
  </si>
  <si>
    <t>LXV/SGSA/DGIT/0430/24</t>
  </si>
  <si>
    <t>Art.21 Frac XVI</t>
  </si>
  <si>
    <t>Coordinacion de Proyectos Especiales y la Dirección de Informatica y Telecomunicaciones</t>
  </si>
  <si>
    <t>Coordinador de Proyectos Especiales</t>
  </si>
  <si>
    <t>Director General de Informática y Telecomunicaciones</t>
  </si>
  <si>
    <t>Banco de información conteniendo los 40 expedientes únicos de los contratos seleccionados de la LXIV y LXV Legislaturas de la Cámara de Senadores</t>
  </si>
  <si>
    <t>SERV/DGRMSG/2024/08/081</t>
  </si>
  <si>
    <t>SEN/DGRMSG/INV025/2024</t>
  </si>
  <si>
    <t>Subdirección Operativa de la Unidad de Apoyo Técnoco, Jefe de Departamentp de Supervición Eléctrica</t>
  </si>
  <si>
    <t>Mantenimiento preventivo con reemplazamiento de consumibles a 3 plantas generadoras eléctricas marca Caterpillar, modelo 3516B de 2000 kw c/u, ubicadas en la azotea de nivel 7 del Hemiciclo norte (2) y en la azotea del nivel 6 de la Cuña (1)</t>
  </si>
  <si>
    <t>FC 15%, PRC 15%</t>
  </si>
  <si>
    <t>SERV/DGRMSG/2024/09/082</t>
  </si>
  <si>
    <t>08° Sesión Ordinaria del Comité de Adquisiciones del Comité de Adquisiciones, Obras Y Servicios</t>
  </si>
  <si>
    <t>Art. 21 frac II</t>
  </si>
  <si>
    <t>Director de Producción y Programación</t>
  </si>
  <si>
    <t>ADQ/DGRMSG/2024/09/031</t>
  </si>
  <si>
    <t>SEN/DGRMSG/INV027/2024</t>
  </si>
  <si>
    <t>Medi Royal, S.A de C.V.</t>
  </si>
  <si>
    <t>Subdirector Medico de la Dirección General de Servicios Médicos / Subdirector Médico de la Dirección General de Servicios Médicos</t>
  </si>
  <si>
    <t>Adquisición de Equipo Ultrasonido Premium, Marca Alpinion, Modelo X Cube 90 Elite, con unnterruptable power supplyi (ups) e impresora de Color por Inyección de Tinta Marca Epson, Modelo L8050.</t>
  </si>
  <si>
    <t>53101, 56601, 51501</t>
  </si>
  <si>
    <t>ADQ/DGRMSG/2024/09/032</t>
  </si>
  <si>
    <t>SEN/DGRMSG/INV029/2024</t>
  </si>
  <si>
    <t>AM Tecnología, S.A. de C.V.</t>
  </si>
  <si>
    <t>Equipamiento para la Parrilla de iluminación ubicada en el sótano 4 (Partida 1)</t>
  </si>
  <si>
    <t>24601, 35701, 56601</t>
  </si>
  <si>
    <t>ADQ/DGRMSG/2024/09/033</t>
  </si>
  <si>
    <t>Equipamiento para la Parrilla de iluminación ubicada en el sótano 4 (Partida 2 consola de iluminación e instalación eléctirca y de control)</t>
  </si>
  <si>
    <t>ADQ/DGRMSG/2024/10/034</t>
  </si>
  <si>
    <t>SEN/DGRMSG/INV028/2024</t>
  </si>
  <si>
    <t>Equipo de producción de audio y video para el set virtual del Canal del Congreso ubicado en el sótano 4</t>
  </si>
  <si>
    <t>56501,59701, 29401, 51501</t>
  </si>
  <si>
    <t>octubre</t>
  </si>
  <si>
    <t>SERV/DGRMSG/2024/11/083</t>
  </si>
  <si>
    <t>SGSA/DGRMSG/DCP/LXVI/0709/2024</t>
  </si>
  <si>
    <t>Art. 21, XVII</t>
  </si>
  <si>
    <t>Construcciones y Acabados Mohusa, S.A. de C.V.</t>
  </si>
  <si>
    <t>Servicios Profesionales de un Director Responsable de Obra (DRO), de un Corresponsable en Seguridad Estructural (CSE), y de un Corresponsable en Instalaciones (CI), (Ingeniero Arquitecto o Ingeniero Civil con autorización y registro otorgado por el Instituto para la Seguridad de las Construcciones de la Ciudad de México y por la Secretaria de Desarrollo Urbano y Vivienda), para la revisión general y de sus instalaciones de los siguientes inmuebles: Xicoténcatl 9 y Madrid 37 (Constancia de Seguridad Estructural) y Allende 23, Reforma 135 y el Teatro de la República (Aviso de Visto Bueno de Seguridad y Operación) con la finalidad de que los citados inmuebles cumplan con Reglamento de Construcciones para el Distrito Federal para los inmuebles ubicados en la Ciudad de México, y con la normatividad del Municipio de Querétaro respecto al Teatro de la Republica y se emita el Dictamen respectivo, la responsiva para la Constancia de Seguridad Estructural y el Aviso de Visto Bueno de Seguridad y Operación y su registro ante la autoridad competente.</t>
  </si>
  <si>
    <t>FC 15%, PRC 10%</t>
  </si>
  <si>
    <t>ADQ/DGRMSG/2024/12/035</t>
  </si>
  <si>
    <t>SEN/DGRMSG/L051/2024</t>
  </si>
  <si>
    <t>PROMEXAR, S.A. DE C.V.</t>
  </si>
  <si>
    <t>Un sistema de contribución de señales de audio y video mediante protocolo SRT y equipos de codificación para transmisión por internet para el Canal del Congreso.</t>
  </si>
  <si>
    <t>56501,35301, 56501, 59701, 35301</t>
  </si>
  <si>
    <t>SERV/DGRMSG/2024/11/083 BIS</t>
  </si>
  <si>
    <t>SEN/DGRMSG/INV026/2024
SEN/DGRMSG/INV031/2024</t>
  </si>
  <si>
    <t>Art. 21, XIV</t>
  </si>
  <si>
    <t>CONSORCIO ROCA TICS DE MÉXICO, S.A. DE C.V.</t>
  </si>
  <si>
    <t>Subdirección  Mantenimiento de Bienes Muebles e Inmuebles</t>
  </si>
  <si>
    <t xml:space="preserve">Servicio de mantenimiento preventivo y correctivo con refacciones a sistema de energía ininterrumpida ("UPS") ubicados en los inmuebles de Madrid No 62, Madrid No 37,Madrid No 35, Xicoténcatl No 9, Donceles No 14, Allende No 23 y Chiquihuite No 15 </t>
  </si>
  <si>
    <t>DICIMBRE</t>
  </si>
  <si>
    <t>SERV/DGRMSG/2024/12/084</t>
  </si>
  <si>
    <t>LXVI/SGSA/DGIT/0203/24</t>
  </si>
  <si>
    <t xml:space="preserve">Art. 21, XVI </t>
  </si>
  <si>
    <t>Programas y aplicaciones certificadas, S.A. de C.V.</t>
  </si>
  <si>
    <t>Director de Planeación y Proyectos</t>
  </si>
  <si>
    <t>Servicio de Mantenimiento prventivo y correctivo a escaños de las diferentes sedes de la Cámara de Senadores</t>
  </si>
  <si>
    <t>en firma de DG 27/12/24</t>
  </si>
  <si>
    <t>SERV/DGRMSG/2024/12/086</t>
  </si>
  <si>
    <t>7ma Sesión Extraordinaria del Comité (04/12/2024)</t>
  </si>
  <si>
    <t>Art. 21, XXIII</t>
  </si>
  <si>
    <t xml:space="preserve">Tecnologías Digítales Alternas de México, S.A. de C.V. </t>
  </si>
  <si>
    <t>Servicio de reparación, manejo y conservación de la operatividad del centro de distribución de señal de televisión por cable y sus ramales en las instalación de la camara de Senadores</t>
  </si>
  <si>
    <t>SERV/DGRMSG/2024/12/087</t>
  </si>
  <si>
    <t xml:space="preserve">Servicio de reparación, manejo y conservación de equipos personales de digitalización de documentos y dispositivos informáticos periféricos </t>
  </si>
  <si>
    <t>SERV/DGRMSG/2024/12/085</t>
  </si>
  <si>
    <t>Servicio de mantenimiento preventivo y correctivo a equipos de computo, impresión y discos duros propiedad de la Cámara de Senadores</t>
  </si>
  <si>
    <t>ADQ/DGRMSG/2024/12/036</t>
  </si>
  <si>
    <t>SEN/DGRMSG/INV030/2024</t>
  </si>
  <si>
    <t>Art.21, XIV</t>
  </si>
  <si>
    <t>Subdirector Médico de la Dirección General de Servicios Médicos</t>
  </si>
  <si>
    <t>Tres licencias y equipamiento par la actualización de ultrasonido Doppler color, marca Phillips, moelo Affiniti 30, número de serie US622E0546</t>
  </si>
  <si>
    <t>SAPFIN FORMALIZADO: 411</t>
  </si>
  <si>
    <t>SERV/DGRMSG/2024/11/082-BIS</t>
  </si>
  <si>
    <t>SGSA/UE/LXVI/083/24</t>
  </si>
  <si>
    <t>At. 21, XIX</t>
  </si>
  <si>
    <t>Jacinto</t>
  </si>
  <si>
    <t>Director de Programas y Administración</t>
  </si>
  <si>
    <t>FECHA ESPECIAL</t>
  </si>
  <si>
    <t>SERV/DGRMSG/2024/12/088</t>
  </si>
  <si>
    <t>0638/LXVI/DMBMI/2024</t>
  </si>
  <si>
    <t>Art. 21, XVI</t>
  </si>
  <si>
    <t>Construcciones y Servicios Vidda Jireh, S.A. de C.V.</t>
  </si>
  <si>
    <t>Departamento de Supervisión y Mantenimiento a Edificios de Madrid</t>
  </si>
  <si>
    <t>Servicios de Instalación de membrana arquitectónica (incluye membrana y accesorios)</t>
  </si>
  <si>
    <t>ADJ EXCEPCIÓN</t>
  </si>
  <si>
    <t>ÁREA GENERAL SOLICITANTE</t>
  </si>
  <si>
    <t>IMPORTE MAXIMO (SIN IVA)</t>
  </si>
  <si>
    <t>TOTAL MAXIMO</t>
  </si>
  <si>
    <t>IMPORTE MÍNIMO (SIN IVA)</t>
  </si>
  <si>
    <t>IVA2</t>
  </si>
  <si>
    <t>TOTAL MINIMO</t>
  </si>
  <si>
    <t>FIANZA DE CUMPLIMIENTO</t>
  </si>
  <si>
    <t>POLIZA DE RESPONSABILIDAD CIVIL</t>
  </si>
  <si>
    <t xml:space="preserve">VICIOS OCULTOS </t>
  </si>
  <si>
    <t>FIANZA DE ANTICIPO</t>
  </si>
  <si>
    <t>REPSE</t>
  </si>
  <si>
    <t>OBSERVACIONES DE LA MODIFICACIÓN</t>
  </si>
  <si>
    <t>FECHA DE SOLICITUD DE OFICIO</t>
  </si>
  <si>
    <t>MONTO INCREMENTO DE MODIFICACIÓN (SIN IVA)</t>
  </si>
  <si>
    <t>MONTO TOTAL DE MODIFICACIÓN (SIN IVA)</t>
  </si>
  <si>
    <t>PAAOSA</t>
  </si>
  <si>
    <t>NO. SESIÓN CAOS</t>
  </si>
  <si>
    <t>FOLIO SOLICITUD DEL ÁREA</t>
  </si>
  <si>
    <t>FECHA SOLICITUD DEL ÁREA</t>
  </si>
  <si>
    <t>FOLIO ENTREGA DEL CONTRATO</t>
  </si>
  <si>
    <t>SE ENVIA A FIRMA DEL ADMINISTRADOR</t>
  </si>
  <si>
    <t>ENVÍAN DEL ADMINISTRADOR EL CONTRATO</t>
  </si>
  <si>
    <t>SE ENVIA A FIRMA DEL DIRECTOR GENERAL</t>
  </si>
  <si>
    <t>ENVÍAN DE D.G. EL CONTRATO</t>
  </si>
  <si>
    <t>Convenio Modificatorio</t>
  </si>
  <si>
    <t>3ra. Sesión Extraordinaria del Cómite (CAOS),  22 de Marzo</t>
  </si>
  <si>
    <t>Dirección General de Recusos Materiales y Servicios Generales</t>
  </si>
  <si>
    <t>MAYO
2023</t>
  </si>
  <si>
    <t>Se solicitó el incremento al monto máximo
$500,000.00</t>
  </si>
  <si>
    <t>DICIEMBRE
2023</t>
  </si>
  <si>
    <t>DICIEMBRE
2024</t>
  </si>
  <si>
    <t>Se solicitó el incremento del 9.16672945166111% al ejercicio 2024</t>
  </si>
  <si>
    <t>AGOSTO
2023</t>
  </si>
  <si>
    <t>Se solicitó la sustitución de Anexo Técnico por error en los requerimientos</t>
  </si>
  <si>
    <t>OCTUBRE
2023</t>
  </si>
  <si>
    <t>Se solicitó la sustitución de Anexo Técnico por el cambio del administrador</t>
  </si>
  <si>
    <t>NOVIEMBRE
2023</t>
  </si>
  <si>
    <t>Art. 21, XIII</t>
  </si>
  <si>
    <t>INNDOT, S.A.P.I. de C.V.</t>
  </si>
  <si>
    <t>Se solicitó  la terminacion anticipada</t>
  </si>
  <si>
    <t>DGC 177</t>
  </si>
  <si>
    <t>DGAJ 776 2024</t>
  </si>
  <si>
    <t>TVMDIGITAL, S. de R.L. de C.V.</t>
  </si>
  <si>
    <t>ENERO
2024</t>
  </si>
  <si>
    <t>DGAJ 097 2024</t>
  </si>
  <si>
    <t>Art 101, II</t>
  </si>
  <si>
    <t>DGAJ 779 2024</t>
  </si>
  <si>
    <t>DSA 502</t>
  </si>
  <si>
    <t>DGAJ 775 2024</t>
  </si>
  <si>
    <t>DSA 503</t>
  </si>
  <si>
    <t>DGAJ 778 2024</t>
  </si>
  <si>
    <t>SERV/DGRMSG/001/01/2025</t>
  </si>
  <si>
    <t>11va. Sesión Ordinaria del Cómite (CAOS), 29 de Noviembrel del 2024</t>
  </si>
  <si>
    <t>Secretaría General de Servicios Administrativos</t>
  </si>
  <si>
    <t>Servicio de envío de mensajería y paquetería local, nacional e internacional para Senadores y Senadoras, Comisiones Legislativas y Unidades Parlamentarias, Administrativas y Técnicas de la Cámara de Senadores</t>
  </si>
  <si>
    <t xml:space="preserve">No </t>
  </si>
  <si>
    <t>ARRMGT101/2024</t>
  </si>
  <si>
    <t>1ERA. SESIÓN CAOS</t>
  </si>
  <si>
    <t>DSA 274</t>
  </si>
  <si>
    <t>DGAJ 666 2024</t>
  </si>
  <si>
    <t>SERV/DGRMSG/002/01/2025</t>
  </si>
  <si>
    <t>Art. 21, II</t>
  </si>
  <si>
    <t xml:space="preserve"> - Subdirector de Servicios
 - Subdirector Operativo de la Unidad de Apoyo Técnico de la Dirección General de Resursos Materiales y Servicios Generales</t>
  </si>
  <si>
    <t>Servicio de mantenimiento preventivo y correctivo al Sistema de Neumático de Envíos, marca AEROCOM, modelo AC-3000, en 160 mm. De diámetro, instalado en el edificio de la Nueva Sede de la Cámara de Senadores</t>
  </si>
  <si>
    <t>AR1894/2022</t>
  </si>
  <si>
    <t>DSA 268</t>
  </si>
  <si>
    <t>DGAJ 680 2024</t>
  </si>
  <si>
    <t>SERV/DGRMSG/006/01/2025</t>
  </si>
  <si>
    <t>Dirección General de Informatica y Telecomunicaciones</t>
  </si>
  <si>
    <t>Dirección de Infraestructura Informatica y de Comunicaciones</t>
  </si>
  <si>
    <t>Servicio administrado de Ciberseguridad, Licenciamiento de Identidades, F5 y Fortalecimiento</t>
  </si>
  <si>
    <t>ARR33488/2024</t>
  </si>
  <si>
    <t>31904
32701
35301</t>
  </si>
  <si>
    <t>DGIT 0157</t>
  </si>
  <si>
    <t>DGAJ 725 2024</t>
  </si>
  <si>
    <t>SERV/DGRMSG/003/01/2025</t>
  </si>
  <si>
    <t>7ma. Sesión Extraordinaria del Cómite (CAOS), 04 de Diciembre del 2024</t>
  </si>
  <si>
    <t xml:space="preserve">Subdirector Operativo de la Unidad de Apoyo Técnico de la Dirección General de Recursos Materiales y Servicios Generales </t>
  </si>
  <si>
    <t>Servicios de mantenimiento preventivo a los equipos contra incendios de los cuartos de bombas y mantenimiento preventivo a Red PCI instalados en el inmueble de Reforma 135 de la Cámara de Senadores</t>
  </si>
  <si>
    <t>ARR19662/2024</t>
  </si>
  <si>
    <t>DMBMI 0239</t>
  </si>
  <si>
    <t>DGAJ 733 2024</t>
  </si>
  <si>
    <t>SERV/DGRMSG/005/01/2025</t>
  </si>
  <si>
    <t>La Red Corporativo, S.A. de C.V.</t>
  </si>
  <si>
    <t>Director de Infraestructura Informatica y de Comunicaciones</t>
  </si>
  <si>
    <t xml:space="preserve">Departamento de Seguridad Informatica </t>
  </si>
  <si>
    <t>Servicio de renovación de Póliza de soporte de la infraestructura de virtualización y licenciamiento de antivirus</t>
  </si>
  <si>
    <t>ARR15032/2024</t>
  </si>
  <si>
    <t>DGIT 0159</t>
  </si>
  <si>
    <t>DGAJ 719 2024</t>
  </si>
  <si>
    <t>SERV/DGRMSG/004/01/2025</t>
  </si>
  <si>
    <t>Dirección de Mantenimiento a Bienes Muebles e Inmuebles</t>
  </si>
  <si>
    <t xml:space="preserve"> - Subdirección de Mantenimiento a Bienes Muebles e Inmuebles
 - Subdirector Operativo</t>
  </si>
  <si>
    <t>Servicio de mantenimiento preventivo y correctivo con refacciones de los equipos HVAC, incluye la sanitización y limpieza de ductos de aire acondicionado, instalados en los inmuebles de la Cámara de Senadores</t>
  </si>
  <si>
    <t>AR28958/2022</t>
  </si>
  <si>
    <t>DMBMI 0604</t>
  </si>
  <si>
    <t>DGAJ 734 2024</t>
  </si>
  <si>
    <t>SERV/DGRMSG/009/01/2025</t>
  </si>
  <si>
    <t xml:space="preserve">Subdirector Operativo de la Unidad de Apoyo Técnico  </t>
  </si>
  <si>
    <t xml:space="preserve">Servicio de mantenimiento preventivo y correctivo a 4 elevadores modernizados marca Schindler, ubicados en el inmueble de Av. Paseo de la Reforma No. 135 y 2 elevadores ubicados en el inmueble de Madrid 62  </t>
  </si>
  <si>
    <t>AR 2331/2022</t>
  </si>
  <si>
    <t>DMBMI - UAT 0029</t>
  </si>
  <si>
    <t>DGAJ 744 2024</t>
  </si>
  <si>
    <t>SERV/DGRMSG/008/01/2025</t>
  </si>
  <si>
    <t xml:space="preserve"> - Subdirector Operativo de la Unidad de Apoyo Técnico
 - Departamento de Supervisión de Aire Acondicionado e Hidrosanitaria</t>
  </si>
  <si>
    <t>Mantenimiento preventivo y correctivo, con soporte técnico y refacciones a los equipos de bombeo hidráulico de los cuartos de máquinas y cárcamos; así como a las bombas centrifugas sumergibles y cabezales de la Sede de la Cámara de Senadores</t>
  </si>
  <si>
    <t>DMBMI - UAT 047</t>
  </si>
  <si>
    <t>DGAJ 739 2024</t>
  </si>
  <si>
    <t>SERV/DGRMSG/007/01/2025</t>
  </si>
  <si>
    <t>Scontinuidad LATAM, S.A. de C.V.</t>
  </si>
  <si>
    <t>Subdirector de Infraestructura Informatica</t>
  </si>
  <si>
    <t>Servicio Integral de Resiliencia (DRP)</t>
  </si>
  <si>
    <t>ARR29656/2024</t>
  </si>
  <si>
    <t>DGIT 0211</t>
  </si>
  <si>
    <t>DGAJ 736 2024</t>
  </si>
  <si>
    <t>SERV/DGRMSG/011/01/2025</t>
  </si>
  <si>
    <t>SGSA/DGRP/LXVI/068/2024</t>
  </si>
  <si>
    <t>Art. 21, XI</t>
  </si>
  <si>
    <t>Servicio de seguridad y vigilancia las 24 horas del día, todos los días del año, intra y extramuros, de los inmuebles que ocupa el Senado para el ejercicio 2025</t>
  </si>
  <si>
    <t>DGRP 068</t>
  </si>
  <si>
    <t>SERV/DGRMSG/012/01/2025</t>
  </si>
  <si>
    <t>0028/LXVI/DMBMI-UAT/2024</t>
  </si>
  <si>
    <t>Subdirección Operativo de la Unidad de Apoyo Técnico</t>
  </si>
  <si>
    <t>Servicio de mantenimiento preventivo y correctivo con refacciones incluidas a 19 elevadores marca Schindler, (5 elevadores modernizados, 6 elevadores panorámicos y 8 elevadores instalados de origen) ubicados en el inmueble de Av. Paseo de la Reforma No. 135</t>
  </si>
  <si>
    <t>AR2331/2022</t>
  </si>
  <si>
    <t>DMBMI - UAT 0028</t>
  </si>
  <si>
    <t>SERV/DGRMSG/010/01/2025</t>
  </si>
  <si>
    <t>DGRMSG/DSA/LXVI/351/2024</t>
  </si>
  <si>
    <t>Art. 21, III</t>
  </si>
  <si>
    <t>Estrategía en Estacionamientos y Valet Parking, S.A. de C.V.</t>
  </si>
  <si>
    <t>Servicio de estacionamiento y pensión para 250 unidades vehículares como mínimo y 450 como máximo en los inmuebles: "Madrid" Calle Madrid No. 18, Col. Tabacalera, Alcandía Cuauhtémoc, en la Ciudad de México, C.P. 06030 y "Roma" Calle Roma No. 39, Col. Juárez, Alcaldía Cuauhtémoc, en la Ciudad de México, C.P. 06600</t>
  </si>
  <si>
    <t>AR163655/2024</t>
  </si>
  <si>
    <t>DSA 351</t>
  </si>
  <si>
    <t>DGAJ 748 2024</t>
  </si>
  <si>
    <t>SERV/DGRMSG/017/01/2025</t>
  </si>
  <si>
    <t xml:space="preserve">Licitación Pública Nacional </t>
  </si>
  <si>
    <t>SEN/DRMSG/L001/2025</t>
  </si>
  <si>
    <t xml:space="preserve">TOKA Internacional, S.A.P.I. de C.V. </t>
  </si>
  <si>
    <t>Servicio para suministro de vales de despensa para el ejercicio 2025</t>
  </si>
  <si>
    <t>DGRH URLS 1006</t>
  </si>
  <si>
    <t>DGAJ 763 2024</t>
  </si>
  <si>
    <t>SERV/DGRMSG/014/01/2025</t>
  </si>
  <si>
    <t>LXVI/SGSA/DGIT/0210/24</t>
  </si>
  <si>
    <t>GBNETWORKS, S.A. de C.V.</t>
  </si>
  <si>
    <t>Departamento de Administración del Equipamiento de la Infraestructura de voz y datos</t>
  </si>
  <si>
    <t>Servicio administrado para los sistemas de voz, datos y videoconferencia</t>
  </si>
  <si>
    <t>AR100756/2022</t>
  </si>
  <si>
    <t>DGIT 0210</t>
  </si>
  <si>
    <t>DGAJ 770 2024</t>
  </si>
  <si>
    <t>ADQ/DGRMSG/001/01/2025</t>
  </si>
  <si>
    <t>SEN/DRMSG/INV002/2025</t>
  </si>
  <si>
    <t>Dirección de Gestión Administrativa</t>
  </si>
  <si>
    <t>Adquisición de tarjetas electrónicas de gasolina y diesel de amplia cobertura, ejercicio fiscal 2025</t>
  </si>
  <si>
    <t>26103
26105</t>
  </si>
  <si>
    <t>DMBMI 0228</t>
  </si>
  <si>
    <t>DGAJ 761 2024</t>
  </si>
  <si>
    <t>SERV/DGRMSG/013/01/2025</t>
  </si>
  <si>
    <t>Dirección de soporte técnico</t>
  </si>
  <si>
    <t>Departamento de soporte técnico a los sistemas parlamentarios de asistencia, votación y audio automatizado</t>
  </si>
  <si>
    <t>Servicio de productos de licenciamiento Microsoft bajo un esquema de suscripción</t>
  </si>
  <si>
    <t>DGIT 0174</t>
  </si>
  <si>
    <t>DGAJ 756 2024</t>
  </si>
  <si>
    <t>SERV/DGRMSG/016/01/2025</t>
  </si>
  <si>
    <t>LXVI/SGSA/DGIT/0209/24</t>
  </si>
  <si>
    <t>CEN Systems, S.A. de C.V.</t>
  </si>
  <si>
    <t>Póliza de mantenimiento correctivo del sistema de voz, datos y videoconferencia</t>
  </si>
  <si>
    <t>AR11756/2022</t>
  </si>
  <si>
    <t>DGIT 0209</t>
  </si>
  <si>
    <t>DGAJ 762 2024</t>
  </si>
  <si>
    <t>SERV/DGRMSG/019/01/2025</t>
  </si>
  <si>
    <t>SGSA/DGRP/LXVI/069/2024
SGSA/DGRP/LXVI/164/2024
SGSA/DGRP/LXVI/183/2024</t>
  </si>
  <si>
    <t>Servicio de Seguridad y vigilancia las 24 horas del día, todos los días del año, intramuros, del inmueble Teatro de la Republica del Estado de Querétaro para el ejercicio 2025</t>
  </si>
  <si>
    <t>AR 163715/2024</t>
  </si>
  <si>
    <t>DGIT 069
DGIT 164
DGIT 183</t>
  </si>
  <si>
    <t>14/10/2024
02/12/2024
12/12/2024</t>
  </si>
  <si>
    <t>DGAJ 769 2024</t>
  </si>
  <si>
    <t>SERV/DGRMSG/018/01/2025</t>
  </si>
  <si>
    <t>SEN/DGRMSG/INV001/2025</t>
  </si>
  <si>
    <t>Departamento de Previsión de Riesgos y Atención de Emergncias</t>
  </si>
  <si>
    <t>Servicio de mantenimiento preventivo a los equipos y accesorios que componen el sistema de detección de alarmas de incendios</t>
  </si>
  <si>
    <t>DGAJ 768 2024</t>
  </si>
  <si>
    <t>SERV/DGRMSG/015/01/2025</t>
  </si>
  <si>
    <t>Subdirección Opertivo de la Unidad de Apoyo Técnico</t>
  </si>
  <si>
    <t>Servicios de mantenimiento preventivo y correctivo, con soporte técnico a los equipos de bombeo hidrónico, válvula, intercambiadores de calor EPAC (Expansión, Presurización, tratamiento químico al agua helada y control de aire) del sistema de aire acondicionado de la Sede de Cámara de Senadores</t>
  </si>
  <si>
    <t>DMBMI - UAT 0046</t>
  </si>
  <si>
    <t>DGAJ 758 2024</t>
  </si>
  <si>
    <t>SERV/DGRMSG/023/01/2025</t>
  </si>
  <si>
    <t>SEN/DGRMSG/INV004/2025</t>
  </si>
  <si>
    <t>Líder en Administración de Riesgos, Agente de Seguros y de Fianzas, S.A. de C.V.</t>
  </si>
  <si>
    <t>Servicios de asesoría externa en materia de administración de Riesgos y Seguros (Asesor) que auxilie a la Cámara de Senadores</t>
  </si>
  <si>
    <t>AR88408/2022</t>
  </si>
  <si>
    <t>SERV/DGRMSG/021/01/2025</t>
  </si>
  <si>
    <t>SEN/DGRMSG/INV003/2025</t>
  </si>
  <si>
    <t>HDI Seguros, S.A. de C.V.</t>
  </si>
  <si>
    <t>Contratación de la Póliza de Seguro de automóviles, camiones y motocicletas (Partida 3) para el ejercicio 2025, el cual tiene por objeto proteger los bienes patrimoniales (Vehículos) de la Cámara de Senadores, manteniendolos asegurados de conformidad con lo establecido en el Anexo Técnico</t>
  </si>
  <si>
    <t>14401
34501</t>
  </si>
  <si>
    <t>DCP 0319</t>
  </si>
  <si>
    <t>DGAJ 777 2024</t>
  </si>
  <si>
    <t>SERV/DGRMSG/020/01/2025</t>
  </si>
  <si>
    <t>LXVI/SGSA/DGIT/0211/24</t>
  </si>
  <si>
    <t>B Drive It, S.A. de C.V.</t>
  </si>
  <si>
    <t>Servicio de cableado de nodos de video y nodos de red para voz y datos categorías 6, 7A y fibra óptica</t>
  </si>
  <si>
    <t>AR17782/2021</t>
  </si>
  <si>
    <t>DGAJ 774 2024</t>
  </si>
  <si>
    <t>SERV/DGRMSG/024/01/2025</t>
  </si>
  <si>
    <t>Servicio para proteger los bienes patrimoniales (bienes muebles e inmuebles) de la Cámara de Senadores, así como proteger al Senado de la República frente a su responsabilidad ante terceros (Partida 2)</t>
  </si>
  <si>
    <t>DGAJ 004 2025</t>
  </si>
  <si>
    <t>SERV/DGRMSG/026/01/2025</t>
  </si>
  <si>
    <t>SEN/DGRMSG/INV005/2025</t>
  </si>
  <si>
    <t>EFINFO, S.A.P.I. de C.V.</t>
  </si>
  <si>
    <t>Servicio de monitoreo, alertas, análisis y recopilación de información difundida en medios impresos, electrónicos y digitales, con el fin de proporcionar un registro ordenado y clasificado de las menciones, comentarios y señalamientos relevantes que impacten a las personalidades y competencias indicadas en el numeral 2 del Anexo Técnico</t>
  </si>
  <si>
    <t>CCS 073</t>
  </si>
  <si>
    <t>DGAJ 005 2025</t>
  </si>
  <si>
    <t>SERV/DGRMSG/025/01/2025</t>
  </si>
  <si>
    <t>SEN/DGRMSG/L004/2025</t>
  </si>
  <si>
    <t>Servicios de mantenimiento preventivo al sistema PCI híbrido instalado en 30 sites informáticos del inmueble de Reforma 135 de la Cámara de Senadores</t>
  </si>
  <si>
    <t>DGAJ 002 2025</t>
  </si>
  <si>
    <t>ADQ/DGRMSG/002/01/2025</t>
  </si>
  <si>
    <t>LXVI/SGSA/DGIT/0242/24</t>
  </si>
  <si>
    <t>TECIMAC, S.A. de C.V.</t>
  </si>
  <si>
    <t>Licenciamiento de Software bajo demanda</t>
  </si>
  <si>
    <t>DGIT 0242</t>
  </si>
  <si>
    <t>DGAJ 003 2025</t>
  </si>
  <si>
    <t>ADQ/DGRMSG/003/01/2025</t>
  </si>
  <si>
    <t>LXVI/SGSA/DGIT/0245/24</t>
  </si>
  <si>
    <t>Bienes y accesorios informáticos bajo demanda</t>
  </si>
  <si>
    <t>51501
29401
24601
21401</t>
  </si>
  <si>
    <t>DGIT 0245</t>
  </si>
  <si>
    <t>DGAJ 001 2025</t>
  </si>
  <si>
    <t>ADQ/DGRMSG/004/01/2025</t>
  </si>
  <si>
    <t>SEN/DGRMSG/INV006/2025</t>
  </si>
  <si>
    <t>Agua purificada envasada en garrafón de 20 litros para los inmuebles del Senado de la República, ejercicio 2025</t>
  </si>
  <si>
    <t>DMBMI 0189</t>
  </si>
  <si>
    <t>DGAJ 011 2025</t>
  </si>
  <si>
    <t>SERV/DGRMSG/029/01/2025</t>
  </si>
  <si>
    <t>SEN/DGRMSG/INV011/2025</t>
  </si>
  <si>
    <t>Soluciones Tecnológicas Integrales para la Salud Hersan, S.A. de C.V.</t>
  </si>
  <si>
    <t xml:space="preserve"> - Subdirección de mantenimiento a Bienes Muebles e Inmuebles
 - Unidad de Control y Seguimiento y Subdirección de Supervisión</t>
  </si>
  <si>
    <t>Servicio de fumigacióno y erradicación de Fauna Nociva para los inmuebles ocupados por la Cámara de Senadores</t>
  </si>
  <si>
    <t>AR154739/2024</t>
  </si>
  <si>
    <t>DMBMI 0195</t>
  </si>
  <si>
    <t>DGAJ 008/2025</t>
  </si>
  <si>
    <t>SERV/DGRMSG/032/01/2025</t>
  </si>
  <si>
    <t>T/DGPS/728/24</t>
  </si>
  <si>
    <t xml:space="preserve">Art. 21, XX </t>
  </si>
  <si>
    <t>Servicio de agencia de viajes para la reservación, entrega y/o radicación de boletos de transportación aérea para viajes de trabajo y comisiones de los CC. Senadores y personal de la Cámara de Senadores</t>
  </si>
  <si>
    <t>DGPS 728</t>
  </si>
  <si>
    <t>DGAJ 013 2025</t>
  </si>
  <si>
    <t>SERV/DGRMSG/031/01/2025</t>
  </si>
  <si>
    <t>Viajes Díaz Leal, S.A. de C.V.</t>
  </si>
  <si>
    <t>DGAJ 012 2025</t>
  </si>
  <si>
    <t>SERV/DGRMSG/035/01/2025</t>
  </si>
  <si>
    <t>Viajes Premier, S.A. de C.V.</t>
  </si>
  <si>
    <t>DGAJ 016 2025</t>
  </si>
  <si>
    <t>SERV/DGRMSG/030/01/2025</t>
  </si>
  <si>
    <t>SEN/DGRMSG/INV009/2025</t>
  </si>
  <si>
    <t>Servicio de limpieza con insumos, mantenimiento preventivo y fumigación para las instalaciones del Teatro de la República, ubicado en la Ciudad de Santiago de Querétaro, Qro. Ejercicio 2025</t>
  </si>
  <si>
    <t>35801
35101
35901</t>
  </si>
  <si>
    <t>DMBMI 0196</t>
  </si>
  <si>
    <t>DGAJ 009 2025</t>
  </si>
  <si>
    <t>SERV/DGRMSG/036/01/2025</t>
  </si>
  <si>
    <t>SEN/DGRMSG/L006/2025</t>
  </si>
  <si>
    <t>Ingeniería en Elevadores, S.A. de C.V.</t>
  </si>
  <si>
    <t>Subdirector de Mantenimiento a Bienes Muebles e Inmuebles</t>
  </si>
  <si>
    <t>Servicio de mantenimiento preventivo y correctivo a 2 elevadores para pasajeros en el inmueble de Madrid 62, 3 elevadores para pasajeros, 2 elevautos y 1 montacargas en el inmueble de Donceles 14</t>
  </si>
  <si>
    <t>ARR17399/2024</t>
  </si>
  <si>
    <t>DMBMI 0194</t>
  </si>
  <si>
    <t>DGAJ 017 2025</t>
  </si>
  <si>
    <t>SERV/DGRMSG/027/01/2025</t>
  </si>
  <si>
    <t>Seguros ARGOS, S.A. de C.V.</t>
  </si>
  <si>
    <t>Partida 1A: Servicio para la prestación del seguro de vida e incapacidad total y permanente para los Senadores de la República, de conformidad a lo establecido en el Anexo Técnico.
Partida 1B: Servicio para la prestación del seguro de vida e incapacidad total y permanente para los trabajadores de base, confianza, servicio técnico de carrera y personal de mando d ela Cámara de Senadores, así como jubilados y/o pensionados por el ISSSTE cuya última actividad laboral fue desempeñada en el Senado de la República, de conformidad con lo establecido en el Anexo Técnico</t>
  </si>
  <si>
    <t>DGAJ 006 2025</t>
  </si>
  <si>
    <t>SERV/DGRMSG/034/01/2025</t>
  </si>
  <si>
    <t>SEN/DGRMSG/L002/2025
Desierta</t>
  </si>
  <si>
    <t>Servicio de operación, mantenimiento preventivo y correctivo a la Planta de Tratamiento de Aguas Residuales (PTAR),3 plantas de ósmosis inversa marca AQUA TECNOLOGÍA AMBIENTAL y, el monitoreo y dosificación de cloro de 2 cisternas de agua potable ubicadas en la Sede de la Cámara de Senadores, para el ejercicio 2025</t>
  </si>
  <si>
    <t>ACR65081/2024</t>
  </si>
  <si>
    <t>DMBMI - UAT 0093</t>
  </si>
  <si>
    <t>DGAJ 015 2025</t>
  </si>
  <si>
    <t>SERV/DGRMSG/033/01/2025</t>
  </si>
  <si>
    <t>SEN/DGRMSG/L012/2025</t>
  </si>
  <si>
    <t>R. B. TEC México, S.A. de C.V.</t>
  </si>
  <si>
    <t>Servicio de mantenimiento preventivo y correctivo sin refacciones al Sistema de Circuito Cerrado de Televisión y Radiocomunicación, instalados en los distintos edificios de la Cámara de Senadores</t>
  </si>
  <si>
    <t>DGRP 063</t>
  </si>
  <si>
    <t>DGAJ 014 2025</t>
  </si>
  <si>
    <t>SERV/DGRMSG/028/01/2025</t>
  </si>
  <si>
    <t>SEN/DGRMSG/L009/2025</t>
  </si>
  <si>
    <t>Proyectos SEINCO, S.A. de C.V.</t>
  </si>
  <si>
    <t xml:space="preserve"> - Subdirección de Servicios
 - Subdirección Operativo de la Unidad de Apoyo Técnico</t>
  </si>
  <si>
    <t>Servicio de mantenimiento preventivo y correctivo con refacciones a los 421 equipos elevautos marca BENDPAK, modelos PL7000 y PL7000X, instalados en los cuatro niveles de estacionamiento de la Nueva Sede de "EL SENADO" del H. Congreso de la Unión</t>
  </si>
  <si>
    <t>ACR15573/2024</t>
  </si>
  <si>
    <t>35701
29801
26105</t>
  </si>
  <si>
    <t>DSA 137</t>
  </si>
  <si>
    <t>DGAJ 007 2025</t>
  </si>
  <si>
    <t>SERV/DGRMSG/022/01/2025</t>
  </si>
  <si>
    <t>SEN/DGRMSG/L003/2025
Desierta</t>
  </si>
  <si>
    <t>Servicio de Telecomunicaciones</t>
  </si>
  <si>
    <t>AR82419/2022</t>
  </si>
  <si>
    <t>31701
31401</t>
  </si>
  <si>
    <t>DGIT 0238</t>
  </si>
  <si>
    <t>DGAJ 010 2025</t>
  </si>
  <si>
    <t>SERV/DGRMSG/038/01/2025</t>
  </si>
  <si>
    <t>SEN/DGRMSG/L014/2025</t>
  </si>
  <si>
    <t>Unidad de eventos</t>
  </si>
  <si>
    <t>Área de Audio y Grabación</t>
  </si>
  <si>
    <t>Servicio de mantenimiento preventivo y correctivo con refacciónes al sistema de audio, video y traducción simultanea para el ejercicio 2025 (Partida)</t>
  </si>
  <si>
    <t>UE 071</t>
  </si>
  <si>
    <t>DGAJ 020 2025</t>
  </si>
  <si>
    <t>SERV/DGRMSG/041/01/2025</t>
  </si>
  <si>
    <t>SEN/DGRMSG/L013/2025</t>
  </si>
  <si>
    <t>Servicio de mantenimiento preventivo a 29 arcos detectores de metales, 17 máquinas de inspección de rayos "X" con banda y 1 detector de explosivos portátil, ubicados en distintos edificios de la Cámara de Senadores para el ejercicio 2025</t>
  </si>
  <si>
    <t>DGRP DPC 179</t>
  </si>
  <si>
    <t>DGAJ 023 2025</t>
  </si>
  <si>
    <t>SERV/DGRMSG/039/01/2025</t>
  </si>
  <si>
    <t>SEN/DGRMSG/L005/2025</t>
  </si>
  <si>
    <t>Quiral Ingeniería y Diseño, S.A. de C.V.</t>
  </si>
  <si>
    <t>Servicio de mantenimiento preventivo y correctivo al Sistema de control de iluminación arquitectónica instalado en el edificio Reforma 135, Nueva Sede del Senado</t>
  </si>
  <si>
    <t>AR158888/2024</t>
  </si>
  <si>
    <t>DMBMI - UAT 0071</t>
  </si>
  <si>
    <t>DGAJ 022 2025</t>
  </si>
  <si>
    <t>ADQ/DGRMSG/005/01/2025</t>
  </si>
  <si>
    <t>SEN/DGRMSG/L015/2025</t>
  </si>
  <si>
    <t xml:space="preserve"> - Subdirección Operativo de la Unidad de Apoyo Técnico
 - Unidad de Control y Seguimiento y Subdirección de Supervisión</t>
  </si>
  <si>
    <t>Suministro de material recurrente para el edificio Reforma No. 135 (Partidas 2 a 24 y 26 a 28)</t>
  </si>
  <si>
    <t>DMBMI 0186</t>
  </si>
  <si>
    <t>DGAJ  018 2025</t>
  </si>
  <si>
    <t>SERV/DGRMSG/040/01/2025</t>
  </si>
  <si>
    <t>Viajes G-Travel Express, S.A. de C.V.</t>
  </si>
  <si>
    <t>DGAJ 021 2025</t>
  </si>
  <si>
    <t>ADQ/DGRMSG/006/01/2025</t>
  </si>
  <si>
    <t>Fit Energy, S.A. de C.V.</t>
  </si>
  <si>
    <t>Suministro de materiales de limpieza (Partidas 1 a 5)</t>
  </si>
  <si>
    <t>DGAJ 025 2025</t>
  </si>
  <si>
    <t>SERV/DGRMSG/042/01/2025</t>
  </si>
  <si>
    <t>DGAJ 026 2025</t>
  </si>
  <si>
    <t>SERV/DGRMSG/037/01/2025</t>
  </si>
  <si>
    <t>Servicio de mantenimiento preventivo para el sistema de audio y voceo general (Partida 2)</t>
  </si>
  <si>
    <t>DGAJ 019 2025</t>
  </si>
  <si>
    <t>SERV/DGRMSG/043/01/2025</t>
  </si>
  <si>
    <t>SEN/DGRMSG/INV010/2025</t>
  </si>
  <si>
    <t>Colectivo Ejidal Ultra del Sur, S.C. de R.L. de C.V.</t>
  </si>
  <si>
    <t xml:space="preserve"> - Unidad de Control y Seguimiento de Bienes Muebles e Inmuebles
 - Subdirección de Mantenimiento a Bienes Muebles e Inmuebles</t>
  </si>
  <si>
    <t>Servicio de mantenimiento, reforestación, fumigación y limpieza en plantas, suministro de plantas, macetas, tierra y piedras para los inmuebles ocupados por la Cámara de Senadores</t>
  </si>
  <si>
    <t>eNERO</t>
  </si>
  <si>
    <t>AR108716/2023</t>
  </si>
  <si>
    <t>DMBMI 0190</t>
  </si>
  <si>
    <t>DGAJ 027 2025</t>
  </si>
  <si>
    <t>SUB - TOTALES :</t>
  </si>
  <si>
    <t xml:space="preserve">CÁMARA DE SENADORES </t>
  </si>
  <si>
    <t>SECRETARÍA GENERAL DE SERVICIOS ADMINISTRATIVOS</t>
  </si>
  <si>
    <t>DIRECCIÓN GENERAL DE RECURSOS MATERIALES Y SERVICIO GENERALES</t>
  </si>
  <si>
    <t xml:space="preserve">DIRECCIÓN DE ADQUISICIONES </t>
  </si>
  <si>
    <t>COMITÉ DE ADQUISICIONES, OBRAS Y SERVICIOS</t>
  </si>
  <si>
    <t>BASE DE DATOS PLURIANUALES</t>
  </si>
  <si>
    <t>NUMERO DE CONTRATO</t>
  </si>
  <si>
    <t>MONTO INICIAL DEL CONTRATO</t>
  </si>
  <si>
    <t>MONTO TOTAL DEL CONTRATO CON IVA CON MODIFICACTORIOS</t>
  </si>
  <si>
    <t xml:space="preserve">AÑO
2019 </t>
  </si>
  <si>
    <t>AÑO
2020</t>
  </si>
  <si>
    <t>AÑO
2021</t>
  </si>
  <si>
    <t>AÑO
2022</t>
  </si>
  <si>
    <t>AÑO
2023</t>
  </si>
  <si>
    <t>AÑO
2024</t>
  </si>
  <si>
    <t>AÑO
2025</t>
  </si>
  <si>
    <t>UNIDAD ADMINISTRATIVA</t>
  </si>
  <si>
    <t>DESCRIPCION</t>
  </si>
  <si>
    <t>NÚMERO Y TIPO DE PROCEDIMIENTO</t>
  </si>
  <si>
    <t>CLAVE PRESUPUESTARIA AFECTADA</t>
  </si>
  <si>
    <t>VIGENCIA</t>
  </si>
  <si>
    <t>OBSERVACIONES Y
OBJETO DE LA MODIFICACIÓN Y/O CONVENIO</t>
  </si>
  <si>
    <t>Articulo 21 Fracción XXII</t>
  </si>
  <si>
    <t>01 Junio 2019 al 31 Mayo 2024</t>
  </si>
  <si>
    <t>OP/DGRMSG/140/11/19</t>
  </si>
  <si>
    <t>Fabricación, Montaje y Adecuación de Cubos para alojar elevadores dentro de las instalaciones del Senado de la República.</t>
  </si>
  <si>
    <t>Articulo 21 Fracción XIII</t>
  </si>
  <si>
    <t xml:space="preserve">01 Noviembre 2019 al 01 Julio 2021 </t>
  </si>
  <si>
    <t>OP/DGRMSG/140-I/11/19</t>
  </si>
  <si>
    <t>01 Noviembre 2019 al 15 Abil 2022</t>
  </si>
  <si>
    <t>OP/DGRMSG/140-II/11/19</t>
  </si>
  <si>
    <t>01 Noviembre 2019 al  31 Octubre 2022</t>
  </si>
  <si>
    <t>OP/DGRMSG/140-III/11/19</t>
  </si>
  <si>
    <t>01 Noviembre 2019 al  30 Septiembre 2023</t>
  </si>
  <si>
    <t>OP/DGRMSG/140-IV/11/19</t>
  </si>
  <si>
    <t>IV.  Solicitud de Instrumento jurídico que conforme a Derecho corresponda, donde se haga constar el ajuste de mérito (costos autorizados)</t>
  </si>
  <si>
    <t>01 Noviembre 2019 al  30 Abril 2024</t>
  </si>
  <si>
    <t>OP/DGRMSG/140-VI/11/19</t>
  </si>
  <si>
    <t>01 Noviembre 2019 al  15 Julio 2024</t>
  </si>
  <si>
    <t>OP/DGRMSG/140-VII/11/19</t>
  </si>
  <si>
    <t>01 Noviembre 2019 al  15 septiembre 2024</t>
  </si>
  <si>
    <t>VIII. Cambio de anexo</t>
  </si>
  <si>
    <t>SERV/DGRMSG/168-I/12/19</t>
  </si>
  <si>
    <t>09 Diciembre 2019 al 24 septiembre 2022</t>
  </si>
  <si>
    <t>I.- Solicitan ampliar la vigencia del contrato para concluir los trabajos al 24/09/22</t>
  </si>
  <si>
    <t>SERV/DGRMSG/168-II/12/19</t>
  </si>
  <si>
    <t>09 Diciembre 2019 al 30 septiembre 2023</t>
  </si>
  <si>
    <t>SERV/DGRMSG/168-III/12/19</t>
  </si>
  <si>
    <t>09 Diciembre 2019 al 31 mayo 2024</t>
  </si>
  <si>
    <t>SERV/DGRMSG/168-IV/12/19</t>
  </si>
  <si>
    <t>09 Diciembre 2019 al 31 agosto 2024</t>
  </si>
  <si>
    <t>IV. Modificación de la vigencia al 31/08/24</t>
  </si>
  <si>
    <t>09 Diciembre 2019 al 04 Octubre 2024</t>
  </si>
  <si>
    <t>IV. Modificación de la vigencia al 04/10/24</t>
  </si>
  <si>
    <t xml:space="preserve">
ADQ/DGRMSG/156/11/21</t>
  </si>
  <si>
    <t>Dirección de Soporte Técnico de la Dirección General de Informática y Telecomunicaciones</t>
  </si>
  <si>
    <t>Productos de licenciamiento Microsoft bajo un esquema de suscripción.</t>
  </si>
  <si>
    <t>Articulo 21 Fracción II Y XVI</t>
  </si>
  <si>
    <t>01 Diciembre 2021 al 30 Noviembre 2024</t>
  </si>
  <si>
    <t xml:space="preserve">
ADQ/DGRMSG/156-I/11/21 dolares</t>
  </si>
  <si>
    <t>I. Solicitan Montos en dolares
En pesos son:
Monto máximo $60´775,862.07 más I.V.A.
Monto mínimo $24´310,344.83 más I.V.A.
En dólares son:
Monto máximo $2´894,088.63 más I.V.A.
Monto mínimo $1´157,635.44 más I.V.A.</t>
  </si>
  <si>
    <t xml:space="preserve">
SERV/DGRMSG/052/04/2023</t>
  </si>
  <si>
    <t>Dirección de Infraestructura Informática y de Comunicaciones de la Dirección General de Informática y Telecomunicaciones</t>
  </si>
  <si>
    <t>Articulo 21 Fracción XXIII</t>
  </si>
  <si>
    <t>01 Abril 2023 al 31 Diciembre 2024</t>
  </si>
  <si>
    <t xml:space="preserve">
SERV/DGRMSG/052-I/04/2023</t>
  </si>
  <si>
    <t>I.-Cambio de administrador del contrato y representante legal</t>
  </si>
  <si>
    <t xml:space="preserve">
SERV/DGRMSG/059/05/2023</t>
  </si>
  <si>
    <t>01 Mayo 2023 al 30 Abril 2025</t>
  </si>
  <si>
    <t xml:space="preserve">
SERV/DGRMSG/059-I/05/2023</t>
  </si>
  <si>
    <t xml:space="preserve">
SERV/DGRMSG/079/08/2023</t>
  </si>
  <si>
    <t>Servicio de arrendamiento de equipo de cómputo mediante la modalidad de servicios administrados.</t>
  </si>
  <si>
    <t>Articulo 22</t>
  </si>
  <si>
    <t>22 Agosto 2023 al 31 Agosto 2025</t>
  </si>
  <si>
    <t>I.- Sustitución de Anexo Técnico.</t>
  </si>
  <si>
    <t xml:space="preserve">
SERV/DGRMSG/079-I/08/2023</t>
  </si>
  <si>
    <t xml:space="preserve">
SERV/DGRMSG/087/10/2023</t>
  </si>
  <si>
    <t>33301
32701</t>
  </si>
  <si>
    <t>01 Octubre 2023 al 30 Septiembre 2025</t>
  </si>
  <si>
    <t>DIETAS</t>
  </si>
  <si>
    <t>HABERES</t>
  </si>
  <si>
    <t>SUELDOS BASE</t>
  </si>
  <si>
    <t>RETRIBUCIONES POR ADSCRIPCIÓN EN EL EXTRANJERO</t>
  </si>
  <si>
    <t>HONORARIOS</t>
  </si>
  <si>
    <t>SUELDOS BASE AL PERSONAL EVENTUAL</t>
  </si>
  <si>
    <t>COMPENSACIONES A SUSTITUTOS DE PROFESORES</t>
  </si>
  <si>
    <t>RETRIBUCIONES POR SERVICIOS DE CARÁCTER SOCIAL</t>
  </si>
  <si>
    <t>RETRIBUCIÓN A LOS REPRESENTANTES DE LOS TRABAJADORES Y DE LOS PATRONES EN LA JUNTA FEDERAL DE CONCILIACIÓN Y ARBITRAJE</t>
  </si>
  <si>
    <t>PRIMA QUINQUENAL POR AÑOS DE SERVICIOS EFECTIVOS PRESTADOS</t>
  </si>
  <si>
    <t>ACREDITACIÓN POR AÑOS DE SERVICIO EN LA DOCENCIA Y AL PERSONAL ADMINISTRATIVO DE LAS INSTITUCIONES DE EDUCACIÓN SUPERIOR</t>
  </si>
  <si>
    <t>PRIMA DE PERSEVERANCIA POR AÑOS DE SERVICIO ACTIVO EN EL EJÉRCITO, FUERZA AÉREA Y ARMADA MEXICANOS</t>
  </si>
  <si>
    <t>ANTIGÜEDAD</t>
  </si>
  <si>
    <t>PRIMAS DE VACACIONES Y DOMINICAL</t>
  </si>
  <si>
    <t>AGUINALDO O GRATIFICACIÓN DE FIN DE AÑO</t>
  </si>
  <si>
    <t>REMUNERACIONES POR HORAS EXTRAORDINARIAS</t>
  </si>
  <si>
    <t>ACREDITACIÓN POR TITULACIÓN EN LA DOCENCIA</t>
  </si>
  <si>
    <t>ACREDITACIÓN AL PERSONAL DOCENTE POR AÑOS DE ESTUDIO DE LICENCIATURA</t>
  </si>
  <si>
    <t>COMPENSACIONES POR SERVICIOS ESPECIALES</t>
  </si>
  <si>
    <t>COMPENSACIONES POR SERVICIOS EVENTUALES</t>
  </si>
  <si>
    <t>COMPENSACIONES DE RETIRO</t>
  </si>
  <si>
    <t>COMPENSACIONES DE SERVICIOS</t>
  </si>
  <si>
    <t>COMPENSACIONES ADICIONALES POR SERVICIOS ESPECIALES</t>
  </si>
  <si>
    <t>ASIGNACIONES DOCENTES, PEDAGÓGICAS GENÉRICAS Y ESPECÍFICAS</t>
  </si>
  <si>
    <t>COMPENSACIÓN POR ADQUISICIÓN DE MATERIAL DIDÁCTICO</t>
  </si>
  <si>
    <t>COMPENSACIÓN POR ACTUALIZACIÓN Y FORMACIÓN ACADÉMICA</t>
  </si>
  <si>
    <t>COMPENSACIONES A MÉDICOS RESIDENTES</t>
  </si>
  <si>
    <t>GASTOS CONTINGENTES PARA EL PERSONAL RADICADO EN EL EXTRANJERO</t>
  </si>
  <si>
    <t>ASIGNACIONES INHERENTES A LA CONCLUSIÓN DE SERVICIOS EN LA ADMINISTRACIÓN PÚBLICA FEDERAL</t>
  </si>
  <si>
    <t>SOBREHABERES</t>
  </si>
  <si>
    <t>ASIGNACIONES DE TÉCNICO</t>
  </si>
  <si>
    <t>ASIGNACIONES DE MANDO</t>
  </si>
  <si>
    <t>ASIGNACIONES POR COMISIÓN</t>
  </si>
  <si>
    <t>ASIGNACIONES DE VUELO</t>
  </si>
  <si>
    <t>ASIGNACIONES DE TÉCNICO ESPECIAL</t>
  </si>
  <si>
    <t>HONORARIOS ESPECIALES</t>
  </si>
  <si>
    <t>PARTICIPACIONES POR VIGILANCIA EN EL CUMPLIMIENTO DE LAS LEYES Y CUSTODIA DE VALORES</t>
  </si>
  <si>
    <t>APORTACIONES AL ISSSTE</t>
  </si>
  <si>
    <t>APORTACIONES AL ISSFAM</t>
  </si>
  <si>
    <t>APORTACIONES AL IMSS</t>
  </si>
  <si>
    <t>APORTACIONES DE SEGURIDAD SOCIAL CONTRACTUALES</t>
  </si>
  <si>
    <t>APORTACIONES AL SEGURO DE CESANTÍA EN EDAD AVANZADA Y VEJEZ</t>
  </si>
  <si>
    <t>APORTACIONES AL FOVISSSTE</t>
  </si>
  <si>
    <t>APORTACIONES AL INFONAVIT</t>
  </si>
  <si>
    <t>APORTACIONES AL SISTEMA DE AHORRO PARA EL RETIRO</t>
  </si>
  <si>
    <t>DEPÓSITOS PARA EL AHORRO SOLIDARIO</t>
  </si>
  <si>
    <t>CUOTAS PARA EL SEGURO DE VIDA DEL PERSONAL CIVIL</t>
  </si>
  <si>
    <t>CUOTAS PARA EL SEGURO DE VIDA DEL PERSONAL MILITAR</t>
  </si>
  <si>
    <t>CUOTAS PARA EL SEGURO DE GASTOS MÉDICOS DEL PERSONAL CIVIL</t>
  </si>
  <si>
    <t>CUOTAS PARA EL SEGURO DE SEPARACIÓN INDIVIDUALIZADO</t>
  </si>
  <si>
    <t>CUOTAS PARA EL SEGURO COLECTIVO DE RETIRO</t>
  </si>
  <si>
    <t>SEGURO DE RESPONSABILIDAD CIVIL, ASISTENCIA LEGAL Y OTROS SEGUROS</t>
  </si>
  <si>
    <t>CUOTAS PARA EL FONDO DE AHORRO DEL PERSONAL CIVIL</t>
  </si>
  <si>
    <t>CUOTAS PARA EL FONDO DE AHORRO DE GENERALES, ALMIRANTES, JEFES Y OFICIALES</t>
  </si>
  <si>
    <t>CUOTAS PARA EL FONDO DE TRABAJO DEL PERSONAL DEL EJÉRCITO, FUERZA AÉREA Y ARMADA MEXICANOS</t>
  </si>
  <si>
    <t>INDEMNIZACIONES POR ACCIDENTES EN EL TRABAJO</t>
  </si>
  <si>
    <t>PAGO DE LIQUIDACIONES</t>
  </si>
  <si>
    <t>PRESTACIONES DE RETIRO</t>
  </si>
  <si>
    <t>PRESTACIONES ESTABLECIDAS POR CONDICIONES GENERALES DE TRABAJO O CONTRATOS COLECTIVOS DE TRABAJO</t>
  </si>
  <si>
    <t>COMPENSACIÓN GARANTIZADA</t>
  </si>
  <si>
    <t>ASIGNACIONES ADICIONALES AL SUELDO</t>
  </si>
  <si>
    <t>APOYOS A LA CAPACITACIÓN DE LOS SERVIDORES PÚBLICOS</t>
  </si>
  <si>
    <t>OTRAS PRESTACIONES</t>
  </si>
  <si>
    <t>PAGO EXTRAORDINARIO POR RIESGO</t>
  </si>
  <si>
    <t>INCREMENTOS A LAS PERCEPCIONES</t>
  </si>
  <si>
    <t>CREACIÓN DE PLAZAS</t>
  </si>
  <si>
    <t>OTRAS MEDIDAS DE CARÁCTER LABORAL Y ECONÓMICO</t>
  </si>
  <si>
    <t>PREVISIONES PARA APORTACIONES AL ISSSTE</t>
  </si>
  <si>
    <t>PREVISIONES PARA APORTACIONES AL FOVISSSTE</t>
  </si>
  <si>
    <t>PREVISIONES PARA APORTACIONES AL SISTEMA DE AHORRO PARA EL RETIRO</t>
  </si>
  <si>
    <t>PREVISIONES PARA APORTACIONES AL SEGURO DE CESANTÍA EN EDAD AVANZADA Y VEJEZ</t>
  </si>
  <si>
    <t>PREVISIONES PARA LOS DEPÓSITOS AL AHORRO SOLIDARIO</t>
  </si>
  <si>
    <t>ESTÍMULOS POR PRODUCTIVIDAD Y EFICIENCIA</t>
  </si>
  <si>
    <t>ESTÍMULOS AL PERSONAL OPERATIVO</t>
  </si>
  <si>
    <t>MATERIALES Y ÚTILES DE OFICINA</t>
  </si>
  <si>
    <t>MATERIALES Y ÚTILES DE IMPRESIÓN Y REPRODUCCIÓN</t>
  </si>
  <si>
    <t>MATERIAL ESTADÍSTICO Y GEOGRÁFICO</t>
  </si>
  <si>
    <t>MATERIAL DE APOYO INFORMATIVO</t>
  </si>
  <si>
    <t>MATERIAL PARA INFORMACIÓN EN ACTIVIDADES DE INVESTIGACIÓN CIENTÍFICA Y TECNOLÓGICA</t>
  </si>
  <si>
    <t>MATERIAL DE LIMPIEZA</t>
  </si>
  <si>
    <t>MATERIALES Y SUMINISTROS PARA PLANTELES EDUCATIVOS</t>
  </si>
  <si>
    <t>PRODUCTOS ALIMENTICIOS PARA EL EJÉRCITO, FUERZA AÉREA Y ARMADA MEXICANOS, Y PARA LOS EFECTIVOS QUE PARTICIPEN EN PROGRAMAS DE SEGURIDAD PÚBLICA</t>
  </si>
  <si>
    <t>PRODUCTOS ALIMENTICIOS PARA PERSONAS DERIVADO DE LA PRESTACIÓN DE SERVICIOS PÚBLICOS EN UNIDADES DE SALUD, EDUCATIVAS, DE READAPTACIÓN SOCIAL Y OTRAS</t>
  </si>
  <si>
    <t>PRODUCTOS ALIMENTICIOS PARA EL PERSONAL QUE REALIZA LABORES EN CAMPO O DE SUPERVISIÓN</t>
  </si>
  <si>
    <t>PRODUCTOS ALIMENTICIOS PARA EL PERSONAL EN LAS INSTALACIONES DE LAS DEPENDENCIAS Y ENTIDADES</t>
  </si>
  <si>
    <t>PRODUCTOS ALIMENTICIOS PARA LA POBLACIÓN EN CASO DE DESASTRES NATURALES</t>
  </si>
  <si>
    <t xml:space="preserve">PRODUCTOS ALIMENTICIOS PARA EL PERSONAL DERIVADO DE ACTIVIDADES EXTRAORDINARIAS </t>
  </si>
  <si>
    <t>PRODUCTOS ALIMENTICIOS PARA ANIMALES</t>
  </si>
  <si>
    <t>UTENSILIOS PARA EL SERVICIO DE ALIMENTACIÓN</t>
  </si>
  <si>
    <t>PRODUCTOS ALIMENTICIOS, AGROPECUARIOS Y FORESTALES ADQUIRIDOS COMO MATERIA PRIMA</t>
  </si>
  <si>
    <t>INSUMOS TEXTILES ADQUIRIDOS COMO MATERIA PRIMA</t>
  </si>
  <si>
    <t>PRODUCTOS DE PAPEL, CARTÓN E IMPRESOS ADQUIRIDOS COMO MATERIA PRIMA</t>
  </si>
  <si>
    <t>COMBUSTIBLES, LUBRICANTES, ADITIVOS, CARBÓN Y SUS DERIVADOS ADQUIRIDOS COMO MATERIA PRIMA</t>
  </si>
  <si>
    <t>PRODUCTOS QUÍMICOS, FARMACÉUTICOS Y DE LABORATORIO ADQUIRIDOS COMO MATERIA PRIMA</t>
  </si>
  <si>
    <t>PRODUCTOS METÁLICOS Y A BASE DE MINERALES NO METÁLICOS ADQUIRIDOS COMO MATERIA PRIMA</t>
  </si>
  <si>
    <t>PRODUCTOS DE CUERO, PIEL, PLÁSTICO Y HULE ADQUIRIDOS COMO MATERIA PRIMA</t>
  </si>
  <si>
    <t>MERCANCÍAS PARA SU COMERCIALIZACIÓN EN TIENDAS DEL SECTOR PÚBLICO</t>
  </si>
  <si>
    <t>OTROS PRODUCTOS ADQUIRIDOS COMO MATERIA PRIMA</t>
  </si>
  <si>
    <t>PETRÓLEO, GAS Y SUS DERIVADOS ADQUIRIDOS COMO MATERIA PRIMA</t>
  </si>
  <si>
    <t>PRODUCTOS MINERALES NO METÁLICOS</t>
  </si>
  <si>
    <t>CEMENTO Y PRODUCTOS DE CONCRETO</t>
  </si>
  <si>
    <t>CAL, YESO Y PRODUCTOS DE YESO</t>
  </si>
  <si>
    <t>MADERA Y PRODUCTOS DE MADERA</t>
  </si>
  <si>
    <t>VIDRIO Y PRODUCTOS DE VIDRIO</t>
  </si>
  <si>
    <t>MATERIAL ELÉCTRICO Y ELECTRÓNICO</t>
  </si>
  <si>
    <t>ARTÍCULOS METÁLICOS PARA LA CONSTRUCCIÓN</t>
  </si>
  <si>
    <t>MATERIALES COMPLEMENTARIOS</t>
  </si>
  <si>
    <t>OTROS MATERIALES Y ARTÍCULOS DE CONSTRUCCIÓN Y REPARACIÓN</t>
  </si>
  <si>
    <t>PRODUCTOS QUÍMICOS BÁSICOS</t>
  </si>
  <si>
    <t>PLAGUICIDAS, ABONOS Y FERTILIZANTES</t>
  </si>
  <si>
    <t>MEDICINAS Y PRODUCTOS FARMACÉUTICOS</t>
  </si>
  <si>
    <t>MATERIALES, ACCESORIOS Y SUMINISTROS MÉDICOS</t>
  </si>
  <si>
    <t>MATERIALES, ACCESORIOS Y SUMINISTROS DE LABORATORIO</t>
  </si>
  <si>
    <t>OTROS PRODUCTOS QUÍMICOS</t>
  </si>
  <si>
    <t>COMBUSTIBLES, LUBRICANTES Y ADITIVOS PARA VEHÍCULOS TERRESTRES, AÉREOS, MARÍTIMOS, LACUSTRES Y FLUVIALES DESTINADOS A LA EJECUCIÓN DE PROGRAMAS DE SEGURIDAD PÚBLICA Y NACIONAL</t>
  </si>
  <si>
    <t>COMBUSTIBLES, LUBRICANTES Y ADITIVOS PARA VEHÍCULOS TERRESTRES, AÉREOS, MARÍTIMOS, LACUSTRES Y FLUVIALES DESTINADOS A SERVICIOS PÚBLICOS Y LA OPERACIÓN DE PROGRAMAS PÚBLICOS</t>
  </si>
  <si>
    <t>COMBUSTIBLES, LUBRICANTES Y ADITIVOS PARA VEHÍCULOS TERRESTRES, AÉREOS, MARÍTIMOS, LACUSTRES Y FLUVIALES DESTINADOS A SERVICIOS ADMINISTRATIVOS</t>
  </si>
  <si>
    <t>COMBUSTIBLES, LUBRICANTES Y ADITIVOS PARA VEHÍCULOS TERRESTRES, AÉREOS, MARÍTIMOS, LACUSTRES Y FLUVIALES ASIGNADOS A SERVIDORES PÚBLICOS</t>
  </si>
  <si>
    <t>COMBUSTIBLES, LUBRICANTES Y ADITIVOS PARA MAQUINARIA, EQUIPO DE PRODUCCIÓN Y SERVICIOS ADMINISTRATIVOS</t>
  </si>
  <si>
    <t>PIDIREGAS CARGOS VARIABLES</t>
  </si>
  <si>
    <t>COMBUSTIBLES NACIONALES PARA PLANTAS PRODUCTIVAS</t>
  </si>
  <si>
    <t>COMBUSTIBLES DE IMPORTACIÓN PARA PLANTAS PRODUCTIVAS</t>
  </si>
  <si>
    <t>VESTUARIO Y UNIFORMES</t>
  </si>
  <si>
    <t>PRENDAS DE PROTECCIÓN PERSONAL</t>
  </si>
  <si>
    <t>ARTÍCULOS DEPORTIVOS</t>
  </si>
  <si>
    <t>PRODUCTOS TEXTILES</t>
  </si>
  <si>
    <t>BLANCOS Y OTROS PRODUCTOS TEXTILES, EXCEPTO PRENDAS DE VESTIR</t>
  </si>
  <si>
    <t>SUSTANCIAS Y MATERIALES EXPLOSIVOS</t>
  </si>
  <si>
    <t>MATERIALES DE SEGURIDAD PÚBLICA</t>
  </si>
  <si>
    <t>PRENDAS DE PROTECCIÓN PARA SEGURIDAD PÚBLICA Y NACIONAL</t>
  </si>
  <si>
    <t>HERRAMIENTAS MENORES</t>
  </si>
  <si>
    <t>REFACCIONES Y ACCESORIOS MENORES DE EDIFICIOS</t>
  </si>
  <si>
    <t>REFACCIONES Y ACCESORIOS MENORES DE MOBILIARIO Y EQUIPO DE ADMINISTRACIÓN, EDUCACIONAL Y RECREATIVO</t>
  </si>
  <si>
    <t xml:space="preserve">REFACCIONES Y ACCESORIOS PARA EQUIPO DE CÓMPUTO Y TELECOMUNICACIONES </t>
  </si>
  <si>
    <t>REFACCIONES Y ACCESORIOS MENORES DE EQUIPO E INSTRUMENTAL MÉDICO Y DE LABORATORIO</t>
  </si>
  <si>
    <t>REFACCIONES Y ACCESORIOS MENORES DE EQUIPO DE TRANSPORTE</t>
  </si>
  <si>
    <t>REFACCIONES Y ACCESORIOS MENORES DE EQUIPO DE DEFENSA Y SEGURIDAD</t>
  </si>
  <si>
    <t>REFACCIONES Y ACCESORIOS MENORES DE MAQUINARIA Y OTROS EQUIPOS</t>
  </si>
  <si>
    <t>REFACCIONES Y ACCESORIOS MENORES OTROS BIENES MUEBLES</t>
  </si>
  <si>
    <t>SERVICIO DE ENERGÍA ELÉCTRICA</t>
  </si>
  <si>
    <t>SERVICIO DE GAS</t>
  </si>
  <si>
    <t>SERVICIO DE AGUA</t>
  </si>
  <si>
    <t>SERVICIO TELEFÓNICO CONVENCIONAL</t>
  </si>
  <si>
    <t xml:space="preserve">SERVICIO DE TELEFONÍA CELULAR </t>
  </si>
  <si>
    <t>SERVICIO DE RADIOLOCALIZACIÓN</t>
  </si>
  <si>
    <t xml:space="preserve">SERVICIOS DE TELECOMUNICACIONES  </t>
  </si>
  <si>
    <t xml:space="preserve">SERVICIOS DE INTERNET  </t>
  </si>
  <si>
    <t>SERVICIOS DE CONDUCCIÓN DE SEÑALES ANALÓGICAS Y DIGITALES</t>
  </si>
  <si>
    <t>SERVICIO POSTAL</t>
  </si>
  <si>
    <t>SERVICIO TELEGRÁFICO</t>
  </si>
  <si>
    <t xml:space="preserve">SERVICIOS INTEGRALES DE TELECOMUNICACIÓN  </t>
  </si>
  <si>
    <t>CONTRATACIÓN DE OTROS SERVICIOS</t>
  </si>
  <si>
    <t>SERVICIOS GENERALES PARA PLANTELES EDUCATIVOS</t>
  </si>
  <si>
    <t xml:space="preserve">SERVICIOS INTEGRALES DE INFRAESTRUCTURA DE CÓMPUTO  </t>
  </si>
  <si>
    <t>ARRENDAMIENTO DE TERRENOS</t>
  </si>
  <si>
    <t>ARRENDAMIENTO DE EDIFICIOS Y LOCALES</t>
  </si>
  <si>
    <t xml:space="preserve">ARRENDAMIENTO DE EQUIPO Y BIENES INFORMÁTICOS </t>
  </si>
  <si>
    <t>ARRENDAMIENTO DE MOBILIARIO</t>
  </si>
  <si>
    <t>ARRENDAMIENTO DE EQUIPO DE TELECOMUNICACIONES</t>
  </si>
  <si>
    <t>ARRENDAMIENTO DE VEHÍCULOS TERRESTRES, AÉREOS, MARÍTIMOS, LACUSTRES Y FLUVIALES PARA LA EJECUCIÓN DE PROGRAMAS DE SEGURIDAD PÚBLICA Y NACIONAL</t>
  </si>
  <si>
    <t>ARRENDAMIENTO DE VEHÍCULOS TERRESTRES, AÉREOS, MARÍTIMOS, LACUSTRES Y FLUVIALES PARA SERVICIOS PÚBLICOS Y LA OPERACIÓN DE PROGRAMAS PÚBLICOS</t>
  </si>
  <si>
    <t>ARRENDAMIENTO DE VEHÍCULOS TERRESTRES, AÉREOS, MARÍTIMOS, LACUSTRES Y FLUVIALES PARA SERVICIOS ADMINISTRATIVOS</t>
  </si>
  <si>
    <t>ARRENDAMIENTO DE VEHÍCULOS TERRESTRES, AÉREOS, MARÍTIMOS, LACUSTRES Y FLUVIALES PARA DESASTRES NATURALES</t>
  </si>
  <si>
    <t>ARRENDAMIENTO DE VEHÍCULOS TERRESTRES, AÉREOS, MARÍTIMOS, LACUSTRES Y FLUVIALES PARA SERVIDORES PÚBLICOS</t>
  </si>
  <si>
    <t>ARRENDAMIENTO DE MAQUINARIA Y EQUIPO</t>
  </si>
  <si>
    <t>PATENTES, DERECHOS DE AUTOR REGALÍAS Y OTROS</t>
  </si>
  <si>
    <t>ARRENDAMIENTO DE SUSTANCIAS Y PRODUCTOS QUÍMICOS</t>
  </si>
  <si>
    <t>PIDIREGAS CARGOS FIJOS</t>
  </si>
  <si>
    <t>OTROS ARRENDAMIENTOS</t>
  </si>
  <si>
    <t>ASESORÍAS ASOCIADAS A CONVENIOS, TRATADOS O ACUERDOS</t>
  </si>
  <si>
    <t>ASESORÍAS POR CONTROVERSIAS EN EL MARCO DE LOS TRATADOS INTERNACIONALES</t>
  </si>
  <si>
    <t>CONSULTORÍAS PARA PROGRAMAS O PROYECTOS FINANCIADOS POR ORGANISMOS INTERNACIONALES</t>
  </si>
  <si>
    <t>OTRAS ASESORÍAS PARA LA OPERACIÓN DE PROGRAMAS</t>
  </si>
  <si>
    <t>SERVICIOS RELACIONADOS CON PROCEDIMIENTOS JURISDICCIONALES</t>
  </si>
  <si>
    <t>SERVICIOS DE DESARROLLO DE APLICACIONES INFORMÁTICA</t>
  </si>
  <si>
    <t>SERVICIOS ESTADÍSTICOS Y GEOGRÁFICOS</t>
  </si>
  <si>
    <t>SERVICIOS RELACIONADOS CON CERTIFICACIÓN DE PROCESOS</t>
  </si>
  <si>
    <t>SERVICIOS DE MANTENIMIENTO DE APLICACIONES INFORMÁTICAS</t>
  </si>
  <si>
    <t>SERVICIOS PARA CAPACITACIÓN A SERVIDORES PÚBLICOS</t>
  </si>
  <si>
    <t>ESTUDIOS E INVESTIGACIONES</t>
  </si>
  <si>
    <t>SERVICIOS RELACIONADOS CON TRADUCCIONES</t>
  </si>
  <si>
    <t>OTROS SERVICIOS COMERCIALES</t>
  </si>
  <si>
    <t>IMPRESIONES DE DOCUMENTOS OFICIALES PARA LA PRESTACIÓN DE SERVICIOS PÚBLICOS, IDENTIFICACIÓN, FORMATOS ADMINISTRATIVOS Y FISCALES, FORMAS VALORADAS, CERTIFICADOS Y TÍTULOS</t>
  </si>
  <si>
    <t>IMPRESIÓN Y ELABORACIÓN DE MATERIAL INFORMATIVO DERIVADO DE LA OPERACIÓN Y ADMINISTRACIÓN DE LAS DEPENDENCIAS Y ENTIDADES</t>
  </si>
  <si>
    <t>INFORMACIÓN EN MEDIOS MASIVOS DERIVADA DE LA OPERACIÓN Y ADMINISTRACIÓN DE LAS DEPENDENCIAS Y ENTIDADES</t>
  </si>
  <si>
    <t>SERVICIOS DE DIGITALIZACIÓN</t>
  </si>
  <si>
    <t>GASTOS DE SEGURIDAD PÚBLICA Y NACIONAL</t>
  </si>
  <si>
    <t>GASTOS EN ACTIVIDADES DE SEGURIDAD Y LOGÍSTICA DEL ESTADO MAYOR PRESIDENCIAL</t>
  </si>
  <si>
    <t>SERVICIOS DE VIGILANCIA</t>
  </si>
  <si>
    <t>SUBCONTRATACIÓN DE SERVICIOS CON TERCEROS</t>
  </si>
  <si>
    <t>PROYECTOS PARA PRESTACIÓN DE SERVICIOS</t>
  </si>
  <si>
    <t>SERVICIOS INTEGRALES</t>
  </si>
  <si>
    <t>SERVICIOS BANCARIOS Y FINANCIEROS</t>
  </si>
  <si>
    <t>GASTOS INHERENTES A LA RECAUDACIÓN</t>
  </si>
  <si>
    <t>SEGURO DE RESPONSABILIDAD PATRIMONIAL DEL ESTADO</t>
  </si>
  <si>
    <t>SEGUROS DE BIENES PATRIMONIALES</t>
  </si>
  <si>
    <t>ALMACENAJE, EMBALAJE Y ENVASE</t>
  </si>
  <si>
    <t>FLETES Y MANIOBRAS</t>
  </si>
  <si>
    <t>COMISIONES POR VENTAS</t>
  </si>
  <si>
    <t>MANTENIMIENTO Y CONSERVACIÓN DE INMUEBLES PARA LA PRESTACIÓN DE SERVICIOS ADMINISTRATIVOS</t>
  </si>
  <si>
    <t>MANTENIMIENTO Y CONSERVACIÓN DE INMUEBLES PARA LA PRESTACIÓN DE SERVICIOS PÚBLICOS</t>
  </si>
  <si>
    <t>MANTENIMIENTO Y CONSERVACIÓN DE MOBILIARIO Y EQUIPO DE ADMINISTRACIÓN</t>
  </si>
  <si>
    <t>MANTENIMIENTO Y CONSERVACIÓN DE BIENES INFORMÁTICOS</t>
  </si>
  <si>
    <t>INSTALACIÓN, REPARACIÓN Y MANTENIMIENTO DE EQUIPO E INSTRUMENTAL MÉDICO Y DE LABORATORIO</t>
  </si>
  <si>
    <t>MANTENIMIENTO Y CONSERVACIÓN DE VEHÍCULOS TERRESTRES, AÉREOS, MARÍTIMOS, LACUSTRES Y FLUVIALES</t>
  </si>
  <si>
    <t>REPARACIÓN Y MANTENIMIENTO DE EQUIPO DE DEFENSA Y SEGURIDAD</t>
  </si>
  <si>
    <t>MANTENIMIENTO Y CONSERVACIÓN DE MAQUINARIA Y EQUIPO</t>
  </si>
  <si>
    <t>MANTENIMIENTO Y CONSERVACIÓN DE PLANTAS E INSTALACIONES PRODUCTIVAS</t>
  </si>
  <si>
    <t>SERVICIOS DE LAVANDERÍA, LIMPIEZA E HIGIENE</t>
  </si>
  <si>
    <t>SERVICIOS DE JARDINERÍA Y FUMIGACIÓN</t>
  </si>
  <si>
    <t>DIFUSIÓN DE MENSAJES SOBRE PROGRAMAS Y ACTIVIDADES GUBERNAMENTALES</t>
  </si>
  <si>
    <t>DIFUSIÓN DE MENSAJES COMERCIALES PARA PROMOVER LA VENTA DE PRODUCTOS O SERVICIOS</t>
  </si>
  <si>
    <t>SERVICIOS RELACIONADOS CON MONITOREO DE INFORMACIÓN EN MEDIOS MASIVOS</t>
  </si>
  <si>
    <t>PASAJES AÉREOS NACIONALES PARA LABORES EN CAMPO Y DE SUPERVISIÓN</t>
  </si>
  <si>
    <t>PASAJES AÉREOS NACIONALES ASOCIADOS A LOS PROGRAMAS DE SEGURIDAD PÚBLICA Y NACIONAL</t>
  </si>
  <si>
    <t>PASAJES AÉREOS NACIONALES ASOCIADOS A DESASTRES NATURALES</t>
  </si>
  <si>
    <t>PASAJES AÉREOS NACIONALES PARA SERVIDORES PÚBLICOS DE MANDO EN EL DESEMPEÑO DE COMISIONES Y FUNCIONES OFICIALES</t>
  </si>
  <si>
    <t>PASAJES AÉREOS INTERNACIONALES ASOCIADOS A LOS PROGRAMAS DE SEGURIDAD PÚBLICA Y NACIONAL</t>
  </si>
  <si>
    <t>PASAJES AÉREOS INTERNACIONALES PARA SERVIDORES PÚBLICOS EN EL DESEMPEÑO DE COMISIONES Y FUNCIONES OFICIALES</t>
  </si>
  <si>
    <t>PASAJES TERRESTRES NACIONALES PARA LABORES EN CAMPO Y DE SUPERVISIÓN</t>
  </si>
  <si>
    <t>PASAJES TERRESTRES NACIONALES ASOCIADOS A LOS PROGRAMAS DE SEGURIDAD PÚBLICA Y NACIONAL</t>
  </si>
  <si>
    <t>PASAJES TERRESTRES NACIONALES ASOCIADOS A DESASTRES NATURALES</t>
  </si>
  <si>
    <t>PASAJES TERRESTRES NACIONALES PARA SERVIDORES PÚBLICOS DE MANDO EN EL DESEMPEÑO DE COMISIONES Y FUNCIONES OFICIALES</t>
  </si>
  <si>
    <t>PASAJES TERRESTRES INTERNACIONALES ASOCIADOS A LOS PROGRAMAS DE SEGURIDAD PÚBLICA Y NACIONAL</t>
  </si>
  <si>
    <t>PASAJES TERRESTRES INTERNACIONALES PARA SERVIDORES PÚBLICOS EN EL DESEMPEÑO DE COMISIONES Y FUNCIONES OFICIALES</t>
  </si>
  <si>
    <t>PASAJES TERRESTRES NACIONALES POR MEDIO ELECTRÓNICO</t>
  </si>
  <si>
    <t>VIÁTICOS NACIONALES PARA LABORES EN CAMPO Y DE SUPERVISIÓN</t>
  </si>
  <si>
    <t>VIÁTICOS NACIONALES ASOCIADOS A LOS PROGRAMAS DE SEGURIDAD PÚBLICA Y NACIONAL</t>
  </si>
  <si>
    <t>VIÁTICOS NACIONALES ASOCIADOS A DESASTRES NATURALES</t>
  </si>
  <si>
    <t>VIÁTICOS NACIONALES PARA SERVIDORES PÚBLICOS EN EL DESEMPEÑO DE FUNCIONES OFICIALES</t>
  </si>
  <si>
    <t>VIÁTICOS EN EL EXTRANJERO ASOCIADOS A LOS PROGRAMAS DE SEGURIDAD PÚBLICA Y NACIONAL</t>
  </si>
  <si>
    <t>VIÁTICOS EN EL EXTRANJERO PARA SERVIDORES PÚBLICOS EN EL DESEMPEÑO DE COMISIONES Y FUNCIONES OFICIALES</t>
  </si>
  <si>
    <t>INSTALACIÓN DEL PERSONAL FEDERAL</t>
  </si>
  <si>
    <t>SERVICIOS INTEGRALES NACIONALES PARA SERVIDORES PÚBLICOS EN EL DESEMPEÑO DE COMISIONES Y FUNCIONES OFICIALES</t>
  </si>
  <si>
    <t>SERVICIOS INTEGRALES EN EL EXTRANJERO PARA SERVIDORES PÚBLICOS EN EL DESEMPEÑO DE COMISIONES Y FUNCIONES OFICIALES</t>
  </si>
  <si>
    <t>GASTOS PARA OPERATIVOS Y TRABAJOS DE CAMPO EN ÁREAS RURALES</t>
  </si>
  <si>
    <t>GASTOS DE CEREMONIAL DEL TITULAR DEL EJECUTIVO FEDERAL</t>
  </si>
  <si>
    <t>GASTOS DE CEREMONIAL DE LOS TITULARES DE LAS DEPENDENCIAS Y ENTIDADES</t>
  </si>
  <si>
    <t>GASTOS INHERENTES A LA INVESTIDURA PRESIDENCIAL</t>
  </si>
  <si>
    <t>GASTOS DE ORDEN SOCIAL</t>
  </si>
  <si>
    <t>CONGRESOS Y CONVENCIONES</t>
  </si>
  <si>
    <t>EXPOSICIONES</t>
  </si>
  <si>
    <t>GASTOS PARA ALIMENTACIÓN DE SERVIDORES PÚBLICOS DE MANDO</t>
  </si>
  <si>
    <t>FUNERALES Y PAGAS DE DEFUNCIÓN</t>
  </si>
  <si>
    <t>IMPUESTOS Y DERECHOS DE EXPORTACIÓN</t>
  </si>
  <si>
    <t>OTROS IMPUESTOS Y DERECHOS</t>
  </si>
  <si>
    <t>IMPUESTOS Y DERECHOS DE IMPORTACIÓN</t>
  </si>
  <si>
    <t>EROGACIONES POR RESOLUCIONES POR AUTORIDAD COMPETENTE</t>
  </si>
  <si>
    <t>INDEMNIZACIONES POR EXPROPIACIÓN DE PREDIOS</t>
  </si>
  <si>
    <t>OTRAS ASIGNACIONES DERIVADAS DE RESOLUCIONES DE LEY</t>
  </si>
  <si>
    <t>PENAS, MULTAS, ACCESORIOS Y ACTUALIZACIONES</t>
  </si>
  <si>
    <t>PÉRDIDAS DEL ERARIO FEDERAL</t>
  </si>
  <si>
    <t>OTROS GASTOS POR RESPONSABILIDADES</t>
  </si>
  <si>
    <t>EROGACIONES POR PAGO DE UTILIDADES</t>
  </si>
  <si>
    <t>IMPUESTO SOBRE NÓMINAS</t>
  </si>
  <si>
    <t>GASTOS DE LAS COMISIONES INTERNACIONALES DE LÍMITES Y AGUAS</t>
  </si>
  <si>
    <t>GASTOS DE LAS OFICINAS DEL SERVICIO EXTERIOR MEXICANO</t>
  </si>
  <si>
    <t>ASIGNACIONES A LOS GRUPOS PARLAMENTARIOS</t>
  </si>
  <si>
    <t>PARTICIPACIONES EN ORGANOS DE GOBIERNO</t>
  </si>
  <si>
    <t>ACTIVIDADES DE COORDINACIÓN CON EL PRESIDENTE ELECTO</t>
  </si>
  <si>
    <t>SERVICIOS CORPORATIVOS PRESTADOS POR LAS ENTIDADES PARAESTATALES A SUS ORGANISMOS</t>
  </si>
  <si>
    <t>SERVICIOS PRESTADOS ENTRE ORGANISMOS DE UNA ENTIDAD PARAESTATAL</t>
  </si>
  <si>
    <t>EROGACIONES POR CUENTA DE TERCEROS</t>
  </si>
  <si>
    <t>EROGACIONES RECUPERABLES</t>
  </si>
  <si>
    <t>APERTURA DE FONDO ROTATORIO</t>
  </si>
  <si>
    <t>TRANSFERENCIAS PARA CUBRIR EL DÉFICIT DE OPERACIÓN Y LOS GASTOS DE ADMINISTRACIÓN ASOCIADOS AL OTORGAMIENTO DE SUBSIDIOS</t>
  </si>
  <si>
    <t>SUBSIDIOS A LA PRODUCCIÓN</t>
  </si>
  <si>
    <t>SUBSIDIOS A LA DISTRIBUCIÓN</t>
  </si>
  <si>
    <t>SUBSIDIOS PARA INVERSIÓN</t>
  </si>
  <si>
    <t>SUBSIDIOS A LA PRESTACIÓN DE SERVICIOS PÚBLICOS</t>
  </si>
  <si>
    <t>SUBSIDIOS PARA CUBRIR DIFERENCIALES DE TASAS DE INTERÉS</t>
  </si>
  <si>
    <t>SUBSIDIOS PARA LA ADQUISICIÓN DE VIVIENDA DE INTERÉS SOCIAL</t>
  </si>
  <si>
    <t>SUBSIDIOS AL CONSUMO</t>
  </si>
  <si>
    <t>AGUASCALIENTES</t>
  </si>
  <si>
    <t>BAJA CALIFORNIA</t>
  </si>
  <si>
    <t>BAJA CALIFORNIA SUR</t>
  </si>
  <si>
    <t>CAMPECHE</t>
  </si>
  <si>
    <t>COAHUILA</t>
  </si>
  <si>
    <t>COLIMA</t>
  </si>
  <si>
    <t>CHIAPAS</t>
  </si>
  <si>
    <t>CHIHUAHUA</t>
  </si>
  <si>
    <t>DISTRITO FEDERAL</t>
  </si>
  <si>
    <t>DURANGO</t>
  </si>
  <si>
    <t>GUANAJUATO</t>
  </si>
  <si>
    <t>GUERRERO</t>
  </si>
  <si>
    <t>HIDALGO</t>
  </si>
  <si>
    <t>JALISCO</t>
  </si>
  <si>
    <t>MÉXICO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</si>
  <si>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</si>
  <si>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</si>
  <si>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</si>
  <si>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</si>
  <si>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</si>
  <si>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</si>
  <si>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</si>
  <si>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</si>
  <si>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</si>
  <si>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</si>
  <si>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</si>
  <si>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</si>
  <si>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</si>
  <si>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</si>
  <si>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</si>
  <si>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</si>
  <si>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</si>
  <si>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SUBSIDIOS A LAS ENTIDADES FEDERATIVAS Y MUNICIPIOS</t>
  </si>
  <si>
    <t>SUBSIDIOS PARA CAPACITACIÓN Y BECAS</t>
  </si>
  <si>
    <t>SUBSIDIOS A FIDEICOMISOS PRIVADOS Y ESTATALES</t>
  </si>
  <si>
    <t>GASTOS RELACIONADOS CON ACTIVIDADES CULTURALES, DEPORTIVAS Y DE AYUDA EXTRAORDINARIA</t>
  </si>
  <si>
    <t>GASTOS POR SERVICIOS DE TRASLADO DE PERSONAS</t>
  </si>
  <si>
    <t>PREMIOS, RECOMPENSAS, PENSIONES DE GRACIA Y PENSIÓN RECREATIVA ESTUDIANTIL</t>
  </si>
  <si>
    <t>PREMIOS, ESTÍMULOS, RECOMPENSAS, BECAS Y SEGUROS A DEPORTISTAS</t>
  </si>
  <si>
    <t>APOYO A VOLUNTARIOS QUE PARTICIPAN EN DIVERSOS PROGRAMAS FEDERALES</t>
  </si>
  <si>
    <t>COMPENSACIONES POR SERVICIOS DE CARÁCTER SOCIAL</t>
  </si>
  <si>
    <t>APOYO A REPRESENTANTES DEL PODER LEGISLATIVO Y PARTIDOS POLÍTICOS ANTE EL CONSEJO GENERAL DEL IFE</t>
  </si>
  <si>
    <t>DIETAS A CONSEJEROS ELECTORALES LOCALES Y DISTRITALES EN EL AÑO ELECTORAL FEDERAL</t>
  </si>
  <si>
    <t>APOYOS PARA ALIMENTOS A FUNCIONARIOS DE CASILLA EL DÍA DE LA JORNADA ELECTORAL FEDERAL</t>
  </si>
  <si>
    <t>APOYO FINANCIERO A CONSEJEROS ELECTORALES LOCALES Y DISTRITALES EN AÑO ELECTORAL FEDERAL</t>
  </si>
  <si>
    <t>APOYOS A LA INVESTIGACIÓN CIENTÍFICA Y TECNOLÓGICA DE INSTITUCIONES ACADÉMICAS Y SECTOR PÚBLICO</t>
  </si>
  <si>
    <t>APOYOS A LA INVESTIGACIÓN CIENTÍFICA Y TECNOLÓGICA EN INSTITUCIONES SIN FINES DE LUCRO</t>
  </si>
  <si>
    <t>APOYO FINANCIERO AL COMITÉ NACIONAL DE SUPERVISIÓN Y EVALUACIÓN Y A LA COMISIÓN NACIONAL DE VIGILANCIA LOCALES Y DISTRITALES DEL REGISTRO FEDERAL DE ELECTORES</t>
  </si>
  <si>
    <t>FINANCIAMIENTO PÚBLICO A PARTIDOS POLÍTICOS Y AGRUPACIONES POLÍTICAS CON REGISTRO AUTORIZADO</t>
  </si>
  <si>
    <t>MERCANCÍAS PARA SU DISTRIBUCIÓN A LA POBLACIÓN</t>
  </si>
  <si>
    <t>PAGO DE PENSIONES Y JUBILACIONES</t>
  </si>
  <si>
    <t>PAGO DE PENSIONES Y JUBILACIONES CONTRACTUALES</t>
  </si>
  <si>
    <t>TRANSFERENCIAS PARA EL PAGO DE PENSIONES Y JUBILACIONES</t>
  </si>
  <si>
    <t>PAGO DE SUMAS ASEGURADAS</t>
  </si>
  <si>
    <t>PRESTACIONES ECONÓMICAS DISTINTAS DE PENSIONES Y JUBILACIONES</t>
  </si>
  <si>
    <t>APORTACIONES A FIDEICOMISOS PÚBLICOS</t>
  </si>
  <si>
    <t>APORTACIONES A MANDATOS PÚBLICOS</t>
  </si>
  <si>
    <t>APORTACIONES A FIDEICOMISOS PÚBLICOS DEL PODER JUDICIAL</t>
  </si>
  <si>
    <t>TRASFERENCIAS PARA CUOTAS Y APORTACIONES DE SEGURIDAD SOCIAL PARA EL IMSS, ISSSTE E ISSFAM POR OBLIGACIÓN DEL ESTADO</t>
  </si>
  <si>
    <t>TRANSFERENCIAS PARA CUOTAS Y APORTACIONES A LOS SEGUROS DE RETIRO, CESANTÍA EN EDAD AVANZADA Y VEJEZ</t>
  </si>
  <si>
    <t>DONATIVOS A INSTITUCIONES SIN FINES DE LUCRO</t>
  </si>
  <si>
    <t>DONATIVOS A ENTIDADES FEDERATIVAS O MUNICIPIOS</t>
  </si>
  <si>
    <t>DONATIVOS A FIDEICOMISOS PRIVADOS</t>
  </si>
  <si>
    <t>DONATIVOS A FIDEICOMISOS ESTATALES</t>
  </si>
  <si>
    <t>DONATIVOS INTERNACIONALES</t>
  </si>
  <si>
    <t>CUOTAS Y APORTACIONES A ORGANISMOS INTERNACIONALES</t>
  </si>
  <si>
    <t>OTRAS APORTACIONES INTERNACIONALES</t>
  </si>
  <si>
    <t>MOBILIARIO</t>
  </si>
  <si>
    <t>BIENES ARTÍSTICOS Y CULTURALES</t>
  </si>
  <si>
    <t>BIENES INFORMÁTICOS</t>
  </si>
  <si>
    <t>EQUIPO DE ADMINISTRACIÓN</t>
  </si>
  <si>
    <t>ADJUDICACIONES, EXPROPIACIONES E INDEMNIZACIONES DE BIENES MUEBLES</t>
  </si>
  <si>
    <t>EQUIPOS Y APARATOS AUDIOVISUALES</t>
  </si>
  <si>
    <t>APARATOS DEPORTIVOS</t>
  </si>
  <si>
    <t>CÁMARAS FOTOGRÁFICAS Y DE VIDEO</t>
  </si>
  <si>
    <t>OTRO MOBILIARIO Y EQUIPO EDUCACIONAL Y RECREATIVO</t>
  </si>
  <si>
    <t>EQUIPO MÉDICO Y DE LABORATORIO</t>
  </si>
  <si>
    <t>INSTRUMENTAL MÉDICO Y DE LABORATORIO</t>
  </si>
  <si>
    <t>VEHÍCULOS Y EQUIPO TERRESTRES, PARA LA EJECUCIÓN DE PROGRAMAS DE SEGURIDAD PÚBLICA Y NACIONAL</t>
  </si>
  <si>
    <t>VEHÍCULOS Y EQUIPO TERRESTRES, DESTINADOS EXCLUSIVAMENTE PARA DESASTRES NATURALES</t>
  </si>
  <si>
    <t>VEHÍCULOS Y EQUIPO TERRESTRES, DESTINADOS A SERVICIOS PÚBLICOS Y LA OPERACIÓN DE PROGRAMAS PÚBLICOS</t>
  </si>
  <si>
    <t>VEHÍCULOS Y EQUIPO TERRESTRES, DESTINADOS A SERVICIOS ADMINISTRATIVOS</t>
  </si>
  <si>
    <t>VEHÍCULOS Y EQUIPO TERRESTRES, DESTINADOS A SERVIDORES PÚBLICOS</t>
  </si>
  <si>
    <t>CARROCERÍAS Y REMOLQUES</t>
  </si>
  <si>
    <t>VEHÍCULOS Y EQUIPO AÉREOS, PARA LA EJECUCIÓN DE PROGRAMAS DE SEGURIDAD PÚBLICA Y NACIONAL</t>
  </si>
  <si>
    <t>VEHÍCULOS Y EQUIPO AÉREOS, DESTINADOS EXCLUSIVAMENTE PARA DESASTRES NATURALES</t>
  </si>
  <si>
    <t>VEHÍCULOS Y EQUIPO AÉREOS, DESTINADOS A SERVICIOS PÚBLICOS Y LA OPERACIÓN DE PROGRAMAS PÚBLICOS</t>
  </si>
  <si>
    <t>EQUIPO FERROVIARIO</t>
  </si>
  <si>
    <t>VEHÍCULOS Y EQUIPO MARÍTIMO, PARA LA EJECUCIÓN DE PROGRAMAS DE SEGURIDAD PÚBLICA Y NACIONAL</t>
  </si>
  <si>
    <t>VEHÍCULOS Y EQUIPO MARÍTIMO, DESTINADOS A SERVICIOS PÚBLICOS Y LA OPERACIÓN DE PROGRAMAS PÚBLICOS</t>
  </si>
  <si>
    <t>CONSTRUCCIÓN DE EMBARCACIONES</t>
  </si>
  <si>
    <t>OTROS EQUIPOS DE TRANSPORTE</t>
  </si>
  <si>
    <t>MAQUINARIA Y EQUIPO DE DEFENSA Y SEGURIDAD PÚBLICA</t>
  </si>
  <si>
    <t>EQUIPO DE SEGURIDAD PÚBLICA Y NACIONAL</t>
  </si>
  <si>
    <t>MAQUINARIA Y EQUIPO AGROPECUARIO</t>
  </si>
  <si>
    <t>MAQUINARIA Y EQUIPO INDUSTRIAL</t>
  </si>
  <si>
    <t>MAQUINARIA Y EQUIPO DE CONSTRUCCIÓN</t>
  </si>
  <si>
    <t>EQUIPOS Y APARATOS DE COMUNICACIONES Y TELECOMUNICACIONES</t>
  </si>
  <si>
    <t>MAQUINARIA Y EQUIPO ELÉCTRICO Y ELECTRÓNICO</t>
  </si>
  <si>
    <t>HERRAMIENTAS Y MÁQUINAS HERRAMIENTA</t>
  </si>
  <si>
    <t>BIENES MUEBLES POR ARRENDAMIENTO FINANCIERO</t>
  </si>
  <si>
    <t>OTROS BIENES MUEBLES</t>
  </si>
  <si>
    <t>ANIMALES DE REPRODUCCIÓN</t>
  </si>
  <si>
    <t>ANIMALES DE TRABAJO</t>
  </si>
  <si>
    <t>ANIMALES DE CUSTODIA Y VIGILANCIA</t>
  </si>
  <si>
    <t>TERRENOS</t>
  </si>
  <si>
    <t>EDIFICIOS Y LOCALES</t>
  </si>
  <si>
    <t>ADJUDICACIONES, EXPROPIACIONES E INDEMNIZACIONES DE INMUEBLES</t>
  </si>
  <si>
    <t>BIENES INMUEBLES EN LA MODALIDAD DE PROYECTOS DE INFRAESTRUCTURA PRODUCTIVA DE LARGO PLAZO</t>
  </si>
  <si>
    <t>BIENES INMUEBLES POR ARRENDAMIENTO FINANCIERO</t>
  </si>
  <si>
    <t>OTROS BIENES INMUEBLES</t>
  </si>
  <si>
    <t>SOFTWARE</t>
  </si>
  <si>
    <t>OBRAS DE CONSTRUCCIÓN PARA EDIFICIOS HABITACIONALES</t>
  </si>
  <si>
    <t>MANTENIMIENTO Y REHABILITACIÓN DE EDIFICACIONES HABITACIONALES</t>
  </si>
  <si>
    <t>OBRAS DE CONSTRUCCIÓN PARA EDIFICIOS NO HABITACIONALES</t>
  </si>
  <si>
    <t>MANTENIMIENTO Y REHABILITACIÓN DE EDIFICACIONES NO HABITACIONALES</t>
  </si>
  <si>
    <t>CONSTRUCCIÓN DE OBRAS PARA EL ABASTECIMIENTO DE AGUA, PETRÓLEO, GAS, ELECTRICIDAD Y TELECOMUNICACIONES</t>
  </si>
  <si>
    <t>MANTENIMIENTO Y REHABILITACIÓN DE OBRAS PARA EL ABASTECIMIENTO DE AGUA, PETRÓLEO, GAS, ELECTRICIDAD Y TELECOMUNICACIONES</t>
  </si>
  <si>
    <t>OBRAS DE PREEDIFICACIÓN EN TERRENOS DE CONSTRUCCIÓN</t>
  </si>
  <si>
    <t>CONSTRUCCIÓN DE OBRAS DE URBANIZACIÓN</t>
  </si>
  <si>
    <t>MANTENIMIENTO Y REHABILITACIÓN DE OBRAS DE URBANIZACIÓN</t>
  </si>
  <si>
    <t>CONSTRUCCIÓN DE VÍAS DE COMUNICACIÓN</t>
  </si>
  <si>
    <t>MANTENIMIENTO Y REHABILITACIÓN DE LAS VÍAS DE COMUNICACIÓN</t>
  </si>
  <si>
    <t>OTRAS CONSTRUCCIONES DE INGENIERÍA CIVIL U OBRA PESADA</t>
  </si>
  <si>
    <t>MANTENIMIENTO Y REHABILITACIÓN DE OTRAS OBRAS DE INGENIERÍA CIVIL U OBRAS PESADAS</t>
  </si>
  <si>
    <t>INSTALACIONES Y OBRAS DE CONSTRUCCIÓN ESPECIALIZADA</t>
  </si>
  <si>
    <t>ENSAMBLE Y EDIFICACIÓN DE CONSTRUCCIONES PREFABRICADAS</t>
  </si>
  <si>
    <t>OBRAS DE TERMINACIÓN Y ACABADO DE EDIFICIOS</t>
  </si>
  <si>
    <t>SERVICIOS DE SUPERVISIÓN DE OBRAS</t>
  </si>
  <si>
    <t>SERVICIOS PARA LA LIBERACIÓN DE DERECHOS DE VÍA</t>
  </si>
  <si>
    <t>OTROS SERVICIOS RELACIONADOS CON OBRAS PÚBLICAS</t>
  </si>
  <si>
    <t>ADQUISICIÓN DE BONOS</t>
  </si>
  <si>
    <t>ADQUISICIÓN DE OBLIGACIONES</t>
  </si>
  <si>
    <t>FIDEICOMISOS PARA ADQUISICIÓN DE TÍTULOS DE CRÉDITO</t>
  </si>
  <si>
    <t>ADQUISICIÓN DE ACCIONES</t>
  </si>
  <si>
    <t>ADQUISICIÓN DE OTROS VALORES</t>
  </si>
  <si>
    <t>CRÉDITOS DIRECTOS PARA ACTIVIDADES PRODUCTIVAS OTORGADOS A ENTIDADES PARAESTATALES EMPRESARIALES Y NO FINANCIERAS CON FINES DE POLÍTICA ECONÓMICA</t>
  </si>
  <si>
    <t>CRÉDITOS DIRECTOS PARA ACTIVIDADES PRODUCTIVAS OTORGADOS A ENTIDADES FEDERATIVAS Y MUNICIPIOS CON FINES DE POLÍTICA ECONÓMICA</t>
  </si>
  <si>
    <t>CRÉDITOS DIRECTOS PARA ACTIVIDADES PRODUCTIVAS OTORGADOS AL SECTOR PRIVADO CON FINES DE POLÍTICA ECONÓMICA</t>
  </si>
  <si>
    <t>FIDEICOMISOS PARA FINANCIAMIENTO DE OBRAS</t>
  </si>
  <si>
    <t>FIDEICOMISOS PARA FINANCIAMIENTOS AGROPECUARIOS</t>
  </si>
  <si>
    <t>FIDEICOMISOS PARA FINANCIAMIENTOS INDUSTRIALES</t>
  </si>
  <si>
    <t>FIDEICOMISOS PARA FINANCIAMIENTOS AL COMERCIO Y OTROS SERVICIOS</t>
  </si>
  <si>
    <t>FIDEICOMISOS PARA FINANCIAMIENTOS DE VIVIENDA</t>
  </si>
  <si>
    <t>INVERSIONES EN FIDEICOMISOS PÚBLICOS EMPRESARIALES Y NO FINANCIEROS CONSIDERADOS ENTIDADES PARAESTATALES</t>
  </si>
  <si>
    <t>INVERSIONES EN FIDEICOMISOS PÚBLICOS CONSIDERADOS ENTIDADES PARAESTATALES</t>
  </si>
  <si>
    <t>INVERSIONES EN MANDATOS Y OTROS ANÁLOGOS</t>
  </si>
  <si>
    <t>EROGACIONES CONTINGENTES</t>
  </si>
  <si>
    <t>PROVISIONES PARA EROGACIONES ESPECIALES</t>
  </si>
  <si>
    <t>APORTACIONES FEDERALES A LAS ENTIDADES FEDERATIVAS Y MUNICIPIOS PARA SERVICIOS PERSONALES</t>
  </si>
  <si>
    <t>APORTACIONES FEDERALES A LAS ENTIDADES FEDERATIVAS Y MUNICIPIOS PARA APORTACIONES AL ISSSTE</t>
  </si>
  <si>
    <t>APORTACIONES FEDERALES A LAS ENTIDADES FEDERATIVAS Y MUNICIPIOS PARA GASTOS DE OPERACIÓN</t>
  </si>
  <si>
    <t>APORTACIONES FEDERALES A LAS ENTIDADES FEDERATIVAS Y MUNICIPIOS PARA GASTOS DE INVERSIÓN</t>
  </si>
  <si>
    <t>APORTACIONES FEDERALES A LAS ENTIDADES FEDERATIVAS Y MUNICIPIOS</t>
  </si>
  <si>
    <t>APORTACIONES FEDERALES A LAS ENTIDADES FEDERATIVAS Y MUNICIPIOS PARA INCREMENTOS A LAS PERCEPCIONES</t>
  </si>
  <si>
    <t>APORTACIONES FEDERALES A LAS ENTIDADES FEDERATIVAS Y MUNICIPIOS PARA CREACIÓN DE PLAZAS</t>
  </si>
  <si>
    <t>APORTACIONES FEDERALES A LAS ENTIDADES FEDERATIVAS Y MUNICIPIOS PARA OTRAS MEDIDAS DE CARÁCTER LABORAL Y ECONÓMICAS</t>
  </si>
  <si>
    <t>APORTACIONES FEDERALES A LAS ENTIDADES FEDERATIVAS Y MUNICIPIOS PARA APORTACIONES AL FOVISSSTE</t>
  </si>
  <si>
    <t>APORTACIONES FEDERALES A LAS ENTIDADES FEDERATIVAS Y MUNICIPIOS POR PREVISIONES PARA APORTACIONES AL ISSSTE</t>
  </si>
  <si>
    <t>APORTACIONES FEDERALES A LAS ENTIDADES FEDERATIVAS Y MUNICIPIOS POR PREVISIONES PARA APORTACIONES AL FOVISSSTE</t>
  </si>
  <si>
    <t>APORTACIONES FEDERALES A LAS ENTIDADES FEDERATIVAS Y MUNICIPIOS PARA APORTACIONES AL SISTEMA DE AHORRO PARA EL RETIRO</t>
  </si>
  <si>
    <t>APORTACIONES FEDERALES A LAS ENTIDADES FEDERATIVAS Y MUNICIPIOS PARA APORTACIONES AL SEGURO DE CESANTÍA EN EDAD AVANZADA Y VEJEZ</t>
  </si>
  <si>
    <t>APORTACIONES FEDERALES A LAS ENTIDADES FEDERATIVAS Y MUNICIPIOS PARA LOS DEPÓSITOS AL AHORRO SOLIDARIO</t>
  </si>
  <si>
    <t>APORTACIONES FEDERALES A LAS ENTIDADES FEDERATIVAS Y MUNICIPIOS POR PREVISIONES PARA APORTACIONES AL SISTEMA DE AHORRO PARA EL RETIRO</t>
  </si>
  <si>
    <t>APORTACIONES FEDERALES A LAS ENTIDADES FEDERATIVAS Y MUNICIPIOS POR PREVISIONES PARA APORTACIONES AL SEGURO DE CESANTÍA EN EDAD AVANZADA Y VEJEZ</t>
  </si>
  <si>
    <t>APORTACIONES FEDERALES A LAS ENTIDADES FEDERATIVAS Y MUNICIPIOS POR PREVISIONES PARA LOS DEPÓSITOS AL AHORRO SOLIDARIO</t>
  </si>
  <si>
    <t>APORTACIONES DE LA FEDERACIÓN A LOS ORGANISMOS DEL SISTEMA NACIONAL DE COORDINACIÓN FISCAL</t>
  </si>
  <si>
    <t>APORTACIONES DE LA FEDERACIÓN AL SISTEMA DE PROTECCIÓN SOCIAL</t>
  </si>
  <si>
    <t>ASIGNACIONES COMPENSATORIAS A ENTIDADES FEDERATIVAS</t>
  </si>
  <si>
    <t>GASTO FEDERAL REASIGNADO A LAS ENTIDADES FEDERATIVAS Y MUNICIPIOS</t>
  </si>
  <si>
    <t>AMORTIZACIÓN DE LA DEUDA INTERNA CON INSTITUCIONES DE CRÉDITO</t>
  </si>
  <si>
    <t>AMORTIZACIÓN DE LA DEUDA INTERNA DERIVADA DE PROYECTOS DE INFRAESTRUCTURA PRODUCTIVA DE LARGO PLAZO</t>
  </si>
  <si>
    <t>AMORTIZACIÓN DE LA DEUDA POR EMISIÓN DE VALORES GUBERNAMENTALES</t>
  </si>
  <si>
    <t>AMORTIZACIÓN DE ARRENDAMIENTOS FINANCIEROS NACIONALES</t>
  </si>
  <si>
    <t>AMORTIZACIÓN DE ARRENDAMIENTOS FINANCIEROS ESPECIALES</t>
  </si>
  <si>
    <t>AMORTIZACIÓN DE LA DEUDA EXTERNA CON INSTITUCIONES DE CRÉDITO</t>
  </si>
  <si>
    <t>AMORTIZACIÓN DE LA DEUDA EXTERNA DERIVADA DE PROYECTOS DE INFRAESTRUCTURA PRODUCTIVA DE LARGO PLAZO</t>
  </si>
  <si>
    <t>AMORTIZACIÓN DE LA DEUDA CON ORGANISMOS FINANCIEROS INTERNACIONALES</t>
  </si>
  <si>
    <t>AMORTIZACIÓN DE LA DEUDA BILATERAL</t>
  </si>
  <si>
    <t>AMORTIZACIÓN DE LA DEUDA EXTERNA POR BONOS</t>
  </si>
  <si>
    <t>AMORTIZACIÓN DE ARRENDAMIENTOS FINANCIEROS INTERNACIONALES</t>
  </si>
  <si>
    <t>INTERESES DE LA DEUDA INTERNA CON INSTITUCIONES DE CRÉDITO</t>
  </si>
  <si>
    <t>INTERESES DE LA DEUDA INTERNA DERIVADA DE PROYECTOS DE INFRAESTRUCTURA PRODUCTIVA DE LARGO PLAZO</t>
  </si>
  <si>
    <t>INTERESES DERIVADOS DE LA COLOCACIÓN DE VALORES GUBERNAMENTALES</t>
  </si>
  <si>
    <t>INTERESES POR ARRENDAMIENTOS FINANCIEROS NACIONALES</t>
  </si>
  <si>
    <t>INTERESES POR ARRENDAMIENTOS FINANCIEROS ESPECIALES</t>
  </si>
  <si>
    <t>INTERESES DE LA DEUDA EXTERNA CON INSTITUCIONES DE CRÉDITO</t>
  </si>
  <si>
    <t>INTERESES DE LA DEUDA EXTERNA DERIVADA DE PROYECTOS DE INFRAESTRUCTURA PRODUCTIVA DE LARGO PLAZO</t>
  </si>
  <si>
    <t>INTERESES DE LA DEUDA CON ORGANISMOS FINANCIEROS INTERNACIONALES</t>
  </si>
  <si>
    <t>INTERESES DE LA DEUDA BILATERAL</t>
  </si>
  <si>
    <t>INTERESES DERIVADOS DE LA COLOCACIÓN EXTERNA DE BONOS</t>
  </si>
  <si>
    <t>INTERESES POR ARRENDAMIENTOS FINANCIEROS INTERNACIONALES</t>
  </si>
  <si>
    <t>COMISIONES DE LA DEUDA INTERNA</t>
  </si>
  <si>
    <t>COMISIONES DE LA DEUDA EXTERNA</t>
  </si>
  <si>
    <t>GASTOS DE LA DEUDA INTERNA</t>
  </si>
  <si>
    <t>GASTOS DE LA DEUDA EXTERNA</t>
  </si>
  <si>
    <t>COSTO POR COBERTURAS</t>
  </si>
  <si>
    <t>APOYOS A INTERMEDIARIOS FINANCIEROS</t>
  </si>
  <si>
    <t>APOYOS A AHORRADORES Y DEUDORES DE LA BANCA</t>
  </si>
  <si>
    <t>ADEUDOS DE EJERCICIOS FISCALES ANTERIORES</t>
  </si>
  <si>
    <t>Gestión Hilco Acetec, S. de R.L. de C.V.</t>
  </si>
  <si>
    <t>GHA0708211B8</t>
  </si>
  <si>
    <t xml:space="preserve"> Capital Networks, S.A. De C.V.</t>
  </si>
  <si>
    <t>CDI0412149Q5</t>
  </si>
  <si>
    <t xml:space="preserve"> Centro Mexicano De Investigación Especializada, A.C.</t>
  </si>
  <si>
    <t>CMI150324PX1</t>
  </si>
  <si>
    <t xml:space="preserve"> Editorial Marco Polo, S.A. De C.V.</t>
  </si>
  <si>
    <t>EMP800618JM0</t>
  </si>
  <si>
    <t xml:space="preserve"> Merkex México, S. De R.L. De C.V.</t>
  </si>
  <si>
    <t>MME130821H62</t>
  </si>
  <si>
    <t xml:space="preserve"> New Mind Group, S.A. De C.V.</t>
  </si>
  <si>
    <t>NMG130606Q68</t>
  </si>
  <si>
    <t xml:space="preserve"> Perceptiaxxi, S.C.</t>
  </si>
  <si>
    <t>PER160823RP6</t>
  </si>
  <si>
    <t xml:space="preserve"> Servicios Y Equipo Fotográfico Profesional, S.A. De C.V.</t>
  </si>
  <si>
    <t>SEF970611BR4</t>
  </si>
  <si>
    <t xml:space="preserve"> Sys Suministros Y Soluciones, S.A. De C.V.</t>
  </si>
  <si>
    <t>SSS160921JC6</t>
  </si>
  <si>
    <t xml:space="preserve"> Tiacal Constructores, S.A. De C.V.</t>
  </si>
  <si>
    <t>TCO120817FZ6</t>
  </si>
  <si>
    <t>1ahc Producciones SA de CV</t>
  </si>
  <si>
    <t>UHC060216CSA</t>
  </si>
  <si>
    <t>3w Educación, S.C.</t>
  </si>
  <si>
    <t>WED130205MM6</t>
  </si>
  <si>
    <t>7 Cerros Construcciones SA de CV</t>
  </si>
  <si>
    <t>SCC0211014J2</t>
  </si>
  <si>
    <t>7kat, S.A. De C.V.</t>
  </si>
  <si>
    <t>LEM960821I52</t>
  </si>
  <si>
    <t>A.B.H. Edificaciones y Proyectos, S.A. de C.V.</t>
  </si>
  <si>
    <t>BCE890301FW4</t>
  </si>
  <si>
    <t>Abaga Grupo Logístico, S.A. De C.V.</t>
  </si>
  <si>
    <t>AGL081218I56</t>
  </si>
  <si>
    <t>Abasi Servicios Integrales, S.A. De C.V.</t>
  </si>
  <si>
    <t>ASI0501142C2</t>
  </si>
  <si>
    <t>Abastecedora Aragónesa SA de CV</t>
  </si>
  <si>
    <t>AAR060308TT4</t>
  </si>
  <si>
    <t>Abastecedora Atlante, S.A. De C.V.</t>
  </si>
  <si>
    <t>AAT960111SY8</t>
  </si>
  <si>
    <t>Abastecedora De Acabados Alce, S.A. De C.V.</t>
  </si>
  <si>
    <t>AAA070808KR4</t>
  </si>
  <si>
    <t>Abastecedora Lumen, S.A. De C.V.</t>
  </si>
  <si>
    <t>ALU830902ST5</t>
  </si>
  <si>
    <t>Abba Tech SA de CV</t>
  </si>
  <si>
    <t>ATE0409276R7</t>
  </si>
  <si>
    <t>Abc Sivmed SA de CV</t>
  </si>
  <si>
    <t>ASI1602178C4</t>
  </si>
  <si>
    <t>Academia Mexicana De La Educación AC</t>
  </si>
  <si>
    <t>AME580808Q60</t>
  </si>
  <si>
    <t>Acb Stil Construcciones, S.A. De C.V.</t>
  </si>
  <si>
    <t>ASC080926MV9</t>
  </si>
  <si>
    <t>Accenta Compañía De Displays, S.A. De C.V.</t>
  </si>
  <si>
    <t>ADI090116RC5</t>
  </si>
  <si>
    <t>Acelerant Consulting Group, S.C.</t>
  </si>
  <si>
    <t>ACG000512S35</t>
  </si>
  <si>
    <t>Acerta Computacion Aplicada SA de CV</t>
  </si>
  <si>
    <t>ACA920521LG9</t>
  </si>
  <si>
    <t>ACYPSA Proyectos Construcciones y Servicios SA de CV</t>
  </si>
  <si>
    <t>APC020715EA3</t>
  </si>
  <si>
    <t>Aderhel S. Club, S.A. de C.V.</t>
  </si>
  <si>
    <t>ACL070521ND6</t>
  </si>
  <si>
    <t>Adgi Design, S.A. De C.V.</t>
  </si>
  <si>
    <t>ADE050405558</t>
  </si>
  <si>
    <t>Administración Integral Contable Consultores, S.C.</t>
  </si>
  <si>
    <t>AIC990211RQ1</t>
  </si>
  <si>
    <t>Administración Integral, Consultores Y Organización De Negocios, S.C.</t>
  </si>
  <si>
    <t>AIC080415HM6</t>
  </si>
  <si>
    <t>Adriana Paramo, S.A. de C.V.</t>
  </si>
  <si>
    <t>APA1012161M9</t>
  </si>
  <si>
    <t>Advanced Research &amp; Technology, S.A. De C.V.</t>
  </si>
  <si>
    <t>AR&amp;020424235</t>
  </si>
  <si>
    <t>Advanced Secure Solutions, S.A. De C.V.</t>
  </si>
  <si>
    <t>ASS061018DV3</t>
  </si>
  <si>
    <t>Aerovías De México, S.A. De C.V.</t>
  </si>
  <si>
    <t>AME880912I89</t>
  </si>
  <si>
    <t>Afore XXI Banorte SA de CV</t>
  </si>
  <si>
    <t>AXX970225GL0</t>
  </si>
  <si>
    <t>Agencia 80 - 20, S.A. De C.V.</t>
  </si>
  <si>
    <t>AGE151120UT2</t>
  </si>
  <si>
    <t>Agencia Medios Dmt SC</t>
  </si>
  <si>
    <t>AMD160309FU8</t>
  </si>
  <si>
    <t>Aiam Arquitectura Ingeniería y Arte En Movimiento SA de CV</t>
  </si>
  <si>
    <t>AAI150713169</t>
  </si>
  <si>
    <t>Al Gau, S.A. De C.V.</t>
  </si>
  <si>
    <t>GAU041020371</t>
  </si>
  <si>
    <t>Alden Concesionaria Tacubaya, S.A. De C.V.</t>
  </si>
  <si>
    <t>ACT981214G77</t>
  </si>
  <si>
    <t>Alef Soluciones Integrales, S.C. de P. de R.L. de C.V.</t>
  </si>
  <si>
    <t>ASI970227PZ4</t>
  </si>
  <si>
    <t>Alianza Impresos Y Sellos, S.A. De C.V.</t>
  </si>
  <si>
    <t>AIS970924VA8</t>
  </si>
  <si>
    <t>Alianzas Estratégicas En Capacitación, S.C.</t>
  </si>
  <si>
    <t>AEC030107DJ2</t>
  </si>
  <si>
    <t>All Work Services, S.A. De C.V.</t>
  </si>
  <si>
    <t>AWS0803131R7</t>
  </si>
  <si>
    <t>Allsumin SA de CV</t>
  </si>
  <si>
    <t>ALL130722A28</t>
  </si>
  <si>
    <t>Alos Mantenimiento Integral, S.A. De C.V.</t>
  </si>
  <si>
    <t>AMI0512018U5</t>
  </si>
  <si>
    <t>Alsesa Infraestructura, S.A. De C.V.</t>
  </si>
  <si>
    <t>AIN121219ST4</t>
  </si>
  <si>
    <t>Alta Tecnología En Ingeniería Y Construcción, S.A. De C.V.</t>
  </si>
  <si>
    <t>ATI010918UI3</t>
  </si>
  <si>
    <t>Alto Nivel En Construcciones SA de CV</t>
  </si>
  <si>
    <t>ANC991216ED0</t>
  </si>
  <si>
    <t>Amarello Tecnologías De Información, S.A. De C.V.</t>
  </si>
  <si>
    <t>American Best Conversion SA de CV</t>
  </si>
  <si>
    <t>ABC000511NB7</t>
  </si>
  <si>
    <t>Amtrad-Traducción Interpretación Y Servicios Relacionados SC</t>
  </si>
  <si>
    <t>AIS2080813JNA</t>
  </si>
  <si>
    <t>Amy Imagen Y Servicios, S.A. De C.V.</t>
  </si>
  <si>
    <t>AIY0808141N0</t>
  </si>
  <si>
    <t>Angar Azcapotzalco S.A. De C.V.</t>
  </si>
  <si>
    <t>AAZ040910IN3</t>
  </si>
  <si>
    <t>Ap Automatización Y Control Eléctrico, S.A. De C.V.</t>
  </si>
  <si>
    <t>AAC140310HK4</t>
  </si>
  <si>
    <t>Apac I.A.P. Asociación Pro Personas Con Parálisis Cerebral</t>
  </si>
  <si>
    <t>AIA900517IM3</t>
  </si>
  <si>
    <t>Aparatos Electromecánicos Von Haucke, S.A. De C.V.</t>
  </si>
  <si>
    <t>AEH841221234</t>
  </si>
  <si>
    <t>Aplicaciones Y Organización Tecnológica En Administración, S.A. De C.V.</t>
  </si>
  <si>
    <t>AOT011031GQ8</t>
  </si>
  <si>
    <t>Apolo Tec, S.A. De C.V.</t>
  </si>
  <si>
    <t>ATE031117QJ5</t>
  </si>
  <si>
    <t>Apostrofo, S.C.</t>
  </si>
  <si>
    <t>APO0703262F6</t>
  </si>
  <si>
    <t>Archivos de Cartón y Más, S.A. de C.V.</t>
  </si>
  <si>
    <t>ACM170303NU9</t>
  </si>
  <si>
    <t>Arquetipo En Sistemas, S.A. De C.V.</t>
  </si>
  <si>
    <t>ASS940519BP6</t>
  </si>
  <si>
    <t>Arquitectos Constructores Pic SA de CV</t>
  </si>
  <si>
    <t>ACP050110J50</t>
  </si>
  <si>
    <t>Arre Lulu Producciones, S.A. De C.V.</t>
  </si>
  <si>
    <t>ALP1310187B9</t>
  </si>
  <si>
    <t>Arsoba Consultores, S.C.</t>
  </si>
  <si>
    <t>ACO051205BY1</t>
  </si>
  <si>
    <t>Arthuman Direccionando Talentos, S.C.</t>
  </si>
  <si>
    <t>ADT090910A99</t>
  </si>
  <si>
    <t>Artículos Promocionales OVI SA de CV</t>
  </si>
  <si>
    <t>APO121112CE2</t>
  </si>
  <si>
    <t>As Enterprises Integración De Soluciones, S.A. De C.V.</t>
  </si>
  <si>
    <t>AEI120709A34</t>
  </si>
  <si>
    <t>Asesores Jurídicos Especialistas En Derecho Administrativo, S.C.</t>
  </si>
  <si>
    <t>AJE120130P71</t>
  </si>
  <si>
    <t>Asesoría de Diseños Normativos, S.C.</t>
  </si>
  <si>
    <t>ADN060227DX9</t>
  </si>
  <si>
    <t>Asesoría Integral Del Patrimonio, S.C.</t>
  </si>
  <si>
    <t>AIP070816KV4</t>
  </si>
  <si>
    <t>Asesoría Mediática, S.A. De C.V.</t>
  </si>
  <si>
    <t>AME100623GN0</t>
  </si>
  <si>
    <t>Asesoría Supervisión Y Apoyo Técnico, S.C.</t>
  </si>
  <si>
    <t>ASA9906303S7</t>
  </si>
  <si>
    <t>Asistencia Y Capacitación Electoral, S.C.</t>
  </si>
  <si>
    <t>ACE970221AL3</t>
  </si>
  <si>
    <t>Asociación De Televisiones Educativas y Culturales Iberoamericana</t>
  </si>
  <si>
    <t>G80455140</t>
  </si>
  <si>
    <t>Asociación Mexicana De Estudios Internacionales Amei AC</t>
  </si>
  <si>
    <t>AME980224213</t>
  </si>
  <si>
    <t>Asociación Necrológica Mexicana, S.A De C.V.</t>
  </si>
  <si>
    <t>ANM070827QL3</t>
  </si>
  <si>
    <t>Asociación Para Leer Escuchar Escribir Y Recrear, A.C</t>
  </si>
  <si>
    <t>ALE831107FQ8</t>
  </si>
  <si>
    <t>At&amp;T Comercialización Móvil, S. De R.L. De C.V.</t>
  </si>
  <si>
    <t>IUS890616RH6</t>
  </si>
  <si>
    <t>AT&amp;T Comunicaciones Digitales, S. De R. L. De C. V.</t>
  </si>
  <si>
    <t>CNM980114PI2</t>
  </si>
  <si>
    <t>Atml, S.A. De C.V.</t>
  </si>
  <si>
    <t>ATM131008EM0</t>
  </si>
  <si>
    <t>ACO161017UQ5</t>
  </si>
  <si>
    <t>Audio Acústica y Electrónica SA de CV</t>
  </si>
  <si>
    <t>AAE7905157ZA</t>
  </si>
  <si>
    <t>Audiopromex, S. De R.L. De C.V.</t>
  </si>
  <si>
    <t>AUD061127K36</t>
  </si>
  <si>
    <t>Autocom Metro, S.A.P.I. De C.V.</t>
  </si>
  <si>
    <t>AME110623A95</t>
  </si>
  <si>
    <t>Automation Point Soluciones Integrales, S.A. De C.V.</t>
  </si>
  <si>
    <t>APS040217I87</t>
  </si>
  <si>
    <t>Automations Solutions Factory, S.A. De C.V.</t>
  </si>
  <si>
    <t>ASF020311UQ5</t>
  </si>
  <si>
    <t>Automotores de la Laguna, S.A. de C.V.</t>
  </si>
  <si>
    <t>ALA0210164S2</t>
  </si>
  <si>
    <t>Automotores De México, S.A. De C.V.</t>
  </si>
  <si>
    <t>AME6907306R3</t>
  </si>
  <si>
    <t>Automotriz Lagunera, S.A. de C.V.</t>
  </si>
  <si>
    <t>ALA821201DE1</t>
  </si>
  <si>
    <t>Automotriz Nihon, S.A. De C.V.</t>
  </si>
  <si>
    <t>ANI140616N87</t>
  </si>
  <si>
    <t>Automóviles Vallejo, S. De R.L. De C.V.</t>
  </si>
  <si>
    <t>AVA040106CP7</t>
  </si>
  <si>
    <t>Automovilística Andrade SA de CV</t>
  </si>
  <si>
    <t>AAN841022G20</t>
  </si>
  <si>
    <t>Autopolanco, S.A. De C.V.</t>
  </si>
  <si>
    <t>AUT980924GQ4</t>
  </si>
  <si>
    <t>Avetronic, S.A. De C.V.</t>
  </si>
  <si>
    <t>AVE850528ES9</t>
  </si>
  <si>
    <t>Aviprof, S.A. de C.V.</t>
  </si>
  <si>
    <t>AVI070228MA2</t>
  </si>
  <si>
    <t>Axa Seguros, S.A. De C.V.</t>
  </si>
  <si>
    <t>ASE931116231</t>
  </si>
  <si>
    <t>Balam Comercio Exterior Mr. SA de CV</t>
  </si>
  <si>
    <t>BCE101029KF8</t>
  </si>
  <si>
    <t>Bas International Certification Co. S.C.</t>
  </si>
  <si>
    <t>BIC110928LH3</t>
  </si>
  <si>
    <t>BCM Business Consultants Management, S.C.</t>
  </si>
  <si>
    <t>BBC0602014Q6</t>
  </si>
  <si>
    <t>Bengoshi Servicios Corporativos SC</t>
  </si>
  <si>
    <t>BSC090213MP5</t>
  </si>
  <si>
    <t>Bereshiit Sherpa, S. De R.L. De C.V.</t>
  </si>
  <si>
    <t>BSH1506265B7</t>
  </si>
  <si>
    <t>Berumen Y Asociados, S.A. De C.V.</t>
  </si>
  <si>
    <t>BAS9203045G8</t>
  </si>
  <si>
    <t>Berzerk SA de CV</t>
  </si>
  <si>
    <t>BER130520RR5</t>
  </si>
  <si>
    <t>Best Id De México, S.A. De C.V.</t>
  </si>
  <si>
    <t>BIM1704217S8</t>
  </si>
  <si>
    <t>Bimcon, S.C.</t>
  </si>
  <si>
    <t>BIM1309132DA</t>
  </si>
  <si>
    <t>Bimsa Reports SA de CV</t>
  </si>
  <si>
    <t>BRE9705228S3</t>
  </si>
  <si>
    <t>Bio Green Products, S.A. De C.V.</t>
  </si>
  <si>
    <t>BGP140314BQ5</t>
  </si>
  <si>
    <t>Biolights Solutions, S.A. De C.V.</t>
  </si>
  <si>
    <t>BSO130207QG7</t>
  </si>
  <si>
    <t>Biomédica De México, S.A. De C.V.</t>
  </si>
  <si>
    <t>BME941124C21</t>
  </si>
  <si>
    <t>Bla Bla Bla Contenidos, S.C.</t>
  </si>
  <si>
    <t>BBB160309FU5</t>
  </si>
  <si>
    <t>Black Car Transportación, S.A. De C.V.</t>
  </si>
  <si>
    <t>BCT141021PA5</t>
  </si>
  <si>
    <t>Blegam Corp, S.A. De C.V.</t>
  </si>
  <si>
    <t>BCO101122JN6</t>
  </si>
  <si>
    <t>Blue &amp; Green Servicios Y Soluciones Al Medio Ambiente, S.A. De C.V.</t>
  </si>
  <si>
    <t>Blue Ocean Technologies SA de CV</t>
  </si>
  <si>
    <t>BOT080828ADA</t>
  </si>
  <si>
    <t>Bojma De México, S.A. De C.V.</t>
  </si>
  <si>
    <t>BME100325TP5</t>
  </si>
  <si>
    <t>Borgonio &amp; Rojas Consulting, S.C.</t>
  </si>
  <si>
    <t>BAR1205142A6</t>
  </si>
  <si>
    <t>Botanas Y Productos Energéticos, S.A. De C.V.</t>
  </si>
  <si>
    <t>BPE9503282S3</t>
  </si>
  <si>
    <t>Bpm4 Travel SC</t>
  </si>
  <si>
    <t>BCT090914HJ6</t>
  </si>
  <si>
    <t>Brüdecom, S.A. De C.V.</t>
  </si>
  <si>
    <t>BRU150911FD5</t>
  </si>
  <si>
    <t>Bufete De Informática y Organización SA de CV</t>
  </si>
  <si>
    <t>BIO890925RE7</t>
  </si>
  <si>
    <t>Burst Com SA de CV</t>
  </si>
  <si>
    <t>BCO090130HN3</t>
  </si>
  <si>
    <t>Bvqi Mexicana, S.A. De C.V</t>
  </si>
  <si>
    <t>BME980708LL1</t>
  </si>
  <si>
    <t>C.I. Leam, S.A. De C.V.</t>
  </si>
  <si>
    <t>CLE150714IR3</t>
  </si>
  <si>
    <t>C.L. Editorial Praxis, S.A. De C.V.</t>
  </si>
  <si>
    <t>CLE9207094M5</t>
  </si>
  <si>
    <t>CTC760309LD2</t>
  </si>
  <si>
    <t>Cablevisión, S.A. De C.V.</t>
  </si>
  <si>
    <t>CAB6610044K1</t>
  </si>
  <si>
    <t>Cadgrafics, S.A. De C.V.</t>
  </si>
  <si>
    <t>CAD901017276</t>
  </si>
  <si>
    <t>Café 1810, S.A. De C.V.</t>
  </si>
  <si>
    <t>CEL870528727</t>
  </si>
  <si>
    <t>Cajas Para Archivo, S.A. de C.V.</t>
  </si>
  <si>
    <t>CAR990512379</t>
  </si>
  <si>
    <t>Calidad y Negocios Faih SA de CV</t>
  </si>
  <si>
    <t>CNF031124N73</t>
  </si>
  <si>
    <t>Calzada Construcciones SA de CV</t>
  </si>
  <si>
    <t>CCO980814BU4</t>
  </si>
  <si>
    <t>Camerier, S.A. De C.V.</t>
  </si>
  <si>
    <t>CAM140321F13</t>
  </si>
  <si>
    <t xml:space="preserve">Caminos y Puentes Federales de Ingresos y Servicios Conexos </t>
  </si>
  <si>
    <t>CPF6307036N8</t>
  </si>
  <si>
    <t>Capacitación Y Consultoría Organizacional SA de CV</t>
  </si>
  <si>
    <t>CCO040312V35</t>
  </si>
  <si>
    <t>Carlos Corral Y Asociados, S.C.</t>
  </si>
  <si>
    <t>CCA890918423</t>
  </si>
  <si>
    <t>Casa De La Amistad Para Niños Con Cáncer I.A.P.</t>
  </si>
  <si>
    <t>CAN980724KJ0</t>
  </si>
  <si>
    <t>Caudae, S.C.</t>
  </si>
  <si>
    <t>CAU141201FH0</t>
  </si>
  <si>
    <t>Cenacce, S.C.</t>
  </si>
  <si>
    <t>CEN020207PF4</t>
  </si>
  <si>
    <t>Centro Académico Especializado En Ciencias Jurídicas y Criminológicas SC</t>
  </si>
  <si>
    <t>CAE110503MW1</t>
  </si>
  <si>
    <t>Centro Automotriz Coyoacán, S.A. De C.V.</t>
  </si>
  <si>
    <t>CAC920120RS1</t>
  </si>
  <si>
    <t>Centro De Audio Video Y Comunicaciones SA de CV</t>
  </si>
  <si>
    <t>CAV970312KZ9</t>
  </si>
  <si>
    <t>Centro De Estudio De Inteligencia Estratégica, S.A. De C.V.</t>
  </si>
  <si>
    <t>CEI020589W4</t>
  </si>
  <si>
    <t>Centro De Estudios Profesionales Renacimiento, S.C.</t>
  </si>
  <si>
    <t>CEP0310298U8</t>
  </si>
  <si>
    <t>Centro De Estudios Superiores En Contrataciones Publicas, A.C.</t>
  </si>
  <si>
    <t>CES17011182</t>
  </si>
  <si>
    <t>Centro De Instrumentación Y Registro Sísmico, A.C.</t>
  </si>
  <si>
    <t>CIR860619EC9</t>
  </si>
  <si>
    <t>Centro De Investigación Interdisciplinario Del Estado De México SC</t>
  </si>
  <si>
    <t>CII140829T20</t>
  </si>
  <si>
    <t>Centro De Publicaciones E Información De La OCDE En México</t>
  </si>
  <si>
    <t>CPI960419I89</t>
  </si>
  <si>
    <t>Centro Industrial Ferretero, S.A. De C.V.</t>
  </si>
  <si>
    <t>CIF9204095U3</t>
  </si>
  <si>
    <t>Cetec Marina, S.C.</t>
  </si>
  <si>
    <t>CMA011116PM5</t>
  </si>
  <si>
    <t>CHS Zaragoza Motors, S.A. De C.V.</t>
  </si>
  <si>
    <t>CZM970425J66</t>
  </si>
  <si>
    <t>Cicovisa, S.A. De C.V.</t>
  </si>
  <si>
    <t>CIC8308165A4</t>
  </si>
  <si>
    <t>City Garden México SA de CV</t>
  </si>
  <si>
    <t>CGM1407077Q3</t>
  </si>
  <si>
    <t>Clipware, S.C.</t>
  </si>
  <si>
    <t>CLI931122QP4</t>
  </si>
  <si>
    <t>Código Genético Empresarial, S.A. De C.V.</t>
  </si>
  <si>
    <t>CGE141216K26</t>
  </si>
  <si>
    <t>Coffee Food And Service, S.A. De C.V.</t>
  </si>
  <si>
    <t>CFS950907SY1</t>
  </si>
  <si>
    <t>Colchas México, S.A. De C.V.</t>
  </si>
  <si>
    <t>CME5910277L0</t>
  </si>
  <si>
    <t>Colectivo De Investigación, Desarrollo Y Educación Entre Mujeres, A.C.</t>
  </si>
  <si>
    <t>CID951006PG6</t>
  </si>
  <si>
    <t>Colegio De Medicina Interna De México, A.C.</t>
  </si>
  <si>
    <t>CMI831205NH2</t>
  </si>
  <si>
    <t>Colinas De Buen SA de CV</t>
  </si>
  <si>
    <t>CBU831230ETA</t>
  </si>
  <si>
    <t>Color Cassettes, S.A. De C.V.</t>
  </si>
  <si>
    <t>CCA830113QZ4</t>
  </si>
  <si>
    <t>Combat Medic International SA de CV</t>
  </si>
  <si>
    <t>CMI1305152C1</t>
  </si>
  <si>
    <t>Comercial De Impresos San Jorge, S.A. De C.V.</t>
  </si>
  <si>
    <t>CIS880620DI5</t>
  </si>
  <si>
    <t>Comercial Distribuidora Helimax, S.A. De C.V.</t>
  </si>
  <si>
    <t>CDH0503035P3</t>
  </si>
  <si>
    <t>Comercializadora Bandick, S.A. De C.V.</t>
  </si>
  <si>
    <t>CBA070607UT3</t>
  </si>
  <si>
    <t>Comercializadora De Impresos Om SA de CV</t>
  </si>
  <si>
    <t>CIO130923MT1</t>
  </si>
  <si>
    <t>Comercializadora El Reloj, S.A. De C.V.</t>
  </si>
  <si>
    <t>CRE9908301S3</t>
  </si>
  <si>
    <t>Comercializadora En Soluciones Integrales Logicommerce, S.A. De C.V.</t>
  </si>
  <si>
    <t>CSI080130HQ6</t>
  </si>
  <si>
    <t>Comercializadora Escorpiogem, S.A. De C.V.</t>
  </si>
  <si>
    <t>CES130820KG2</t>
  </si>
  <si>
    <t>Comercializadora Fire One SA de CV</t>
  </si>
  <si>
    <t>CFO070403LC2</t>
  </si>
  <si>
    <t>Comercializadora Internacional KUun, S.A. De C.V.</t>
  </si>
  <si>
    <t>CIK110624EJ6</t>
  </si>
  <si>
    <t>Comercializadora La Acción, S.A. De C.V.</t>
  </si>
  <si>
    <t>CAC1402058H4</t>
  </si>
  <si>
    <t>Comercializadora Leonedy, S.A. De C.V.</t>
  </si>
  <si>
    <t>CLE130820HS3</t>
  </si>
  <si>
    <t>Comercializadora Novang SA de CV</t>
  </si>
  <si>
    <t>CNO051024TQ8</t>
  </si>
  <si>
    <t>Comercializadora Promotodo, S.A. De C.V.</t>
  </si>
  <si>
    <t>CPR961125346</t>
  </si>
  <si>
    <t>Comercializadora y Distribuidora 2011, S.A. de C.V.</t>
  </si>
  <si>
    <t>CDD110509A36</t>
  </si>
  <si>
    <t>Comercializadora Zucrel, S.A. De C.V.</t>
  </si>
  <si>
    <t>CZU120809MM1</t>
  </si>
  <si>
    <t>Comercio Y Equipo, S.A. De C.V.</t>
  </si>
  <si>
    <t>CEQ030402790</t>
  </si>
  <si>
    <t>Comiempsa, S.A. De C.V.</t>
  </si>
  <si>
    <t>COM070704K12</t>
  </si>
  <si>
    <t>Communications For Distribution, S.A. De C.V.</t>
  </si>
  <si>
    <t>CFD050701MS3</t>
  </si>
  <si>
    <t>Compañía Extinguidores Latinos Mexicanos, S.A.</t>
  </si>
  <si>
    <t>ELM8001186BA</t>
  </si>
  <si>
    <t>Compañia Operadora De Estacionamientos Mexicanos SA de CV</t>
  </si>
  <si>
    <t>Complete Language Services, S.C.</t>
  </si>
  <si>
    <t>CLS951213BG7</t>
  </si>
  <si>
    <t>Compu Global Solutions SA de CV</t>
  </si>
  <si>
    <t>CGS140505Py1</t>
  </si>
  <si>
    <t>Compucentro, S.A. De C.V.</t>
  </si>
  <si>
    <t>COM890206254</t>
  </si>
  <si>
    <t>Compuedro, S.A. De C.V.</t>
  </si>
  <si>
    <t>COM1205031H8</t>
  </si>
  <si>
    <t>Compulink Memory, S.A. De C.V.</t>
  </si>
  <si>
    <t>CME130626H13</t>
  </si>
  <si>
    <t>Computer Land De Occidente SA de CV</t>
  </si>
  <si>
    <t>CLO980520AR3</t>
  </si>
  <si>
    <t>Comtelsat, S.A. De C.V.</t>
  </si>
  <si>
    <t>COM010313SU8</t>
  </si>
  <si>
    <t>Comunicación De Radio Y Luz De Emergencia, S.A. De C.V.</t>
  </si>
  <si>
    <t>CRL900521NV7</t>
  </si>
  <si>
    <t>Comunicaciones Estratégicas Newlink, S.A. De C.V.</t>
  </si>
  <si>
    <t>CEN081124QV8</t>
  </si>
  <si>
    <t>Concepto Risográfico SA de CV</t>
  </si>
  <si>
    <t>CRI901019HW5</t>
  </si>
  <si>
    <t>Conceptos En Productividad Empresarial, S.A. De C.V.</t>
  </si>
  <si>
    <t>CPE060512H22</t>
  </si>
  <si>
    <t>Conference Corporativo, S.C.</t>
  </si>
  <si>
    <t>CCO041127MS7</t>
  </si>
  <si>
    <t>Connection Commerce &amp; Logistics, S.A. De C.V.</t>
  </si>
  <si>
    <t>CCA080820A46</t>
  </si>
  <si>
    <t>Connext Soluciones, S.A. De C.V.</t>
  </si>
  <si>
    <t>CSO070507GC6</t>
  </si>
  <si>
    <t>Consorcio Ad Merx, S. De R.L. De C.V.</t>
  </si>
  <si>
    <t>CAM1207186I9</t>
  </si>
  <si>
    <t>Consorcio Audiovisa SA de CV</t>
  </si>
  <si>
    <t>CAU980825C56</t>
  </si>
  <si>
    <t>Consorcio De Construcción Y Comunicación, S.A. De C.V.</t>
  </si>
  <si>
    <t>CCC000202QM1</t>
  </si>
  <si>
    <t>Consorcio De Seguridad Privada Herrejón Y Ramírez, S.A. De C.V.</t>
  </si>
  <si>
    <t>CSP1504286J0</t>
  </si>
  <si>
    <t>Consorcio Grafico Magno, S.A. De C.V.</t>
  </si>
  <si>
    <t>CGM1412084F0</t>
  </si>
  <si>
    <t>Consprocon SA de CV</t>
  </si>
  <si>
    <t>CON130213988</t>
  </si>
  <si>
    <t>Construcción Estructura y Paileria SA de CV</t>
  </si>
  <si>
    <t>CEP9311266U5</t>
  </si>
  <si>
    <t>Construcción Y Asesoría En Obras Y Servicios SA de CV</t>
  </si>
  <si>
    <t>CAO070122P44</t>
  </si>
  <si>
    <t>Construcción Y Estructuras Danmari, S.A. De C.V.</t>
  </si>
  <si>
    <t>CED1308207IA</t>
  </si>
  <si>
    <t>Construcciones Ligeras Y Pesadas De México, S.A. De C.V.</t>
  </si>
  <si>
    <t>CLP8507138E3</t>
  </si>
  <si>
    <t>Construcciones Nycpza, S.A. De C.V.</t>
  </si>
  <si>
    <t>CNY160516HP5</t>
  </si>
  <si>
    <t>Construcciones Pausami, S.A. De C.V.</t>
  </si>
  <si>
    <t>CPA970613GK9</t>
  </si>
  <si>
    <t>Construcciones Y Diseño Elisa, S.A. De C.V.</t>
  </si>
  <si>
    <t>CDE1404075I4</t>
  </si>
  <si>
    <t>Construcciones Y Distribuciones Eléctricas Fyosa, S.A. De C.V.</t>
  </si>
  <si>
    <t>CDE020312E12</t>
  </si>
  <si>
    <t>Construcciones Y Dragados Del Sureste, S.A. De C.V.</t>
  </si>
  <si>
    <t>CDS970212MV3</t>
  </si>
  <si>
    <t>Construcciones Y Negocios Del Golfo, S.A. De C.V.</t>
  </si>
  <si>
    <t>CNG0808127R3</t>
  </si>
  <si>
    <t>Constructora Aspe y Asociados SA de CV</t>
  </si>
  <si>
    <t>CAA081003LX7</t>
  </si>
  <si>
    <t>Constructora E Inmobiliaria Ava SA de CV</t>
  </si>
  <si>
    <t>CIA940819UZ8</t>
  </si>
  <si>
    <t>Constructora E Inmobiliaria De Espacios, S.A. De C.V.</t>
  </si>
  <si>
    <t>CIE040324AP1</t>
  </si>
  <si>
    <t>Constructora Harps, S.A. De C.V.</t>
  </si>
  <si>
    <t>CHA121003PM0</t>
  </si>
  <si>
    <t>Constructora Kalisa SA de CV</t>
  </si>
  <si>
    <t>CKA040402UGA</t>
  </si>
  <si>
    <t>Constructora Terminal Sor Juana Tlalnepantla SA de CV</t>
  </si>
  <si>
    <t>CTS120720PF0</t>
  </si>
  <si>
    <t>Consulting All Service In Telecom And Medice, S. De R. L. De C.V.</t>
  </si>
  <si>
    <t>CAS1211066S3</t>
  </si>
  <si>
    <t>Consulting And Enterprise Integrations, S.A. De C.V.</t>
  </si>
  <si>
    <t>CEI0401121H9</t>
  </si>
  <si>
    <t>Consultores En Sistemas Administrativos, S.A. De C.V.</t>
  </si>
  <si>
    <t>CSA981124KI7</t>
  </si>
  <si>
    <t>Consultores Marnic, S.C.</t>
  </si>
  <si>
    <t>CMA050315G45</t>
  </si>
  <si>
    <t>Consultores y Servicios En Calidad De Alimentos SA de CV</t>
  </si>
  <si>
    <t>CSC011218455</t>
  </si>
  <si>
    <t>Consultores Y Soporte Amd, S.A. De C.V.</t>
  </si>
  <si>
    <t>CSA960827626</t>
  </si>
  <si>
    <t>Consultoría Integral Vilzel, S.A. De C.V.</t>
  </si>
  <si>
    <t>CIV150128AF9</t>
  </si>
  <si>
    <t>Consultoría Tecnologías y Gestión Del Conocimiento SA de CV</t>
  </si>
  <si>
    <t>CTG120706IG6</t>
  </si>
  <si>
    <t>Consultoría Y Aplicaciones Avanzadas De ECM, S.A. De C.V.</t>
  </si>
  <si>
    <t>CAA050126TH6</t>
  </si>
  <si>
    <t>Controles Y Diseño, S.A. De C.V.</t>
  </si>
  <si>
    <t>CDI020815TR5</t>
  </si>
  <si>
    <t>Coordinadora y Desarrolladora P&amp;O SA de CV</t>
  </si>
  <si>
    <t>CDP110819QW6</t>
  </si>
  <si>
    <t>Corporación Papelera El Sótano, S.A. De C.V.</t>
  </si>
  <si>
    <t>CPS040604RV8</t>
  </si>
  <si>
    <t>Corporación Técnica Ambiental, S.A. De C.V.</t>
  </si>
  <si>
    <t>CTA8504269W2</t>
  </si>
  <si>
    <t>CAC160323RE3</t>
  </si>
  <si>
    <t>Corporativo Adferi Consultores Ambientales, S.A. De C.V.</t>
  </si>
  <si>
    <t>CAC9402147F4</t>
  </si>
  <si>
    <t>Corporativo Adoal-Rot Manufacturing SA de CV</t>
  </si>
  <si>
    <t>CAM150715NQ3</t>
  </si>
  <si>
    <t>Corporativo Alberdy, S.A. De C.V.</t>
  </si>
  <si>
    <t>CAL040311K70</t>
  </si>
  <si>
    <t>Corporativo Asesores Sánchez Maluly / Sanmiguel, S.C.</t>
  </si>
  <si>
    <t>CAS940623569</t>
  </si>
  <si>
    <t>Corporativo Coneltec, S.A De. C.V.</t>
  </si>
  <si>
    <t>CCO1110062T1</t>
  </si>
  <si>
    <t>Corporativo Contraste SA de CV</t>
  </si>
  <si>
    <t>CCO9902231N0</t>
  </si>
  <si>
    <t>Corporativo De Servicios Empresariales Y Gastronómicos, S.A. De C.V.</t>
  </si>
  <si>
    <t>CSE9810296W9</t>
  </si>
  <si>
    <t>Corporativo Ebidar, S.A. De C.V.</t>
  </si>
  <si>
    <t>CEB070215L78</t>
  </si>
  <si>
    <t>Corporativo H9, S.A. De C.V.</t>
  </si>
  <si>
    <t>CHX1612143I4</t>
  </si>
  <si>
    <t>Corporativo Lederskap SA de CV</t>
  </si>
  <si>
    <t>CLE1410089W8</t>
  </si>
  <si>
    <t>Corporativo Multidisciplinario BGG, S.A. De C.V.</t>
  </si>
  <si>
    <t>CMB140131576</t>
  </si>
  <si>
    <t>Corporativo Profesional Cuellar, S.A. De C.V.</t>
  </si>
  <si>
    <t>CPC960910CY6</t>
  </si>
  <si>
    <t>Corporativo Prográfico SA de CV</t>
  </si>
  <si>
    <t>CPR040818NI6</t>
  </si>
  <si>
    <t>COS Informática México, S. De R.L. De C.V.</t>
  </si>
  <si>
    <t>CIM091022RS5</t>
  </si>
  <si>
    <t>COS060209D57</t>
  </si>
  <si>
    <t>Cosmotech, S.A. De C.V.</t>
  </si>
  <si>
    <t>COS131119H97</t>
  </si>
  <si>
    <t>Creatika Media Group, S.A. de C.V.</t>
  </si>
  <si>
    <t>CMG030213S26</t>
  </si>
  <si>
    <t>Creativa Impresores SA de CV</t>
  </si>
  <si>
    <t>CIM020423GQ3</t>
  </si>
  <si>
    <t>Creatividad Y Espectáculos, S.A. De C.V.</t>
  </si>
  <si>
    <t>CES010717LKA</t>
  </si>
  <si>
    <t>Criba Taller Editorial, S.A. De C.V.</t>
  </si>
  <si>
    <t>CTE9210292F6</t>
  </si>
  <si>
    <t>Crifasa, S.A. De C.V.</t>
  </si>
  <si>
    <t>CRI1001251M5</t>
  </si>
  <si>
    <t>Crona SA de CV</t>
  </si>
  <si>
    <t>CRO1502241H2</t>
  </si>
  <si>
    <t>CSI Dynamics, S.A. De C.V.</t>
  </si>
  <si>
    <t>CDY140627RC1</t>
  </si>
  <si>
    <t>Csi Tactical And Balistic SA de CV</t>
  </si>
  <si>
    <t>CTB130716MAA</t>
  </si>
  <si>
    <t>Cuartoscuro, S.A. De C.V.</t>
  </si>
  <si>
    <t>CUA900116227</t>
  </si>
  <si>
    <t>Cultura Y Protocolo Gastronomía, S.C.</t>
  </si>
  <si>
    <t>CPG080212UV3</t>
  </si>
  <si>
    <t>Custom Printing, S.A. De C.V.</t>
  </si>
  <si>
    <t>CPR1003296F8</t>
  </si>
  <si>
    <t>D3 Ediciones SA de CV</t>
  </si>
  <si>
    <t>DED120709MI7</t>
  </si>
  <si>
    <t>Dahfsa de México, S.A. de C.V.</t>
  </si>
  <si>
    <t>DME0905224P7</t>
  </si>
  <si>
    <t>DWO170331HY1</t>
  </si>
  <si>
    <t>Damovo México, S. De R.L. De C.V.</t>
  </si>
  <si>
    <t>DME000725ST5</t>
  </si>
  <si>
    <t>Dango Entretenimiento, S.A. De C.V.</t>
  </si>
  <si>
    <t>DEN150901UB0</t>
  </si>
  <si>
    <t>Darac Network Solutions, S.A. De C.V.</t>
  </si>
  <si>
    <t>DNS160721773</t>
  </si>
  <si>
    <t>Data Warden, S.A. De C.V.</t>
  </si>
  <si>
    <t>DWA041125U40</t>
  </si>
  <si>
    <t>Datapoint, S.A. De C.V.</t>
  </si>
  <si>
    <t>DAT8102046P7</t>
  </si>
  <si>
    <t>Dbs Consultoría, S.C.</t>
  </si>
  <si>
    <t>DCO140912G37</t>
  </si>
  <si>
    <t>Defensa Jurídica y Educación Para Mujeres SC</t>
  </si>
  <si>
    <t>DJE990506464</t>
  </si>
  <si>
    <t>Deipi.Com SA de CV</t>
  </si>
  <si>
    <t>DCO061214FF6</t>
  </si>
  <si>
    <t>Delectric, S.A. De C.V.</t>
  </si>
  <si>
    <t>DEL9112172G8</t>
  </si>
  <si>
    <t>Delfos, Comunicación, Mercado Y Prospectiva, S.C.</t>
  </si>
  <si>
    <t>DM&amp;050126KF9</t>
  </si>
  <si>
    <t>Delta Tiger, S.A. De C.V.</t>
  </si>
  <si>
    <t>DTI081211J61</t>
  </si>
  <si>
    <t>Desarrolladora de Estacionamientos Privados SA de CV</t>
  </si>
  <si>
    <t>DEP931001T6</t>
  </si>
  <si>
    <t>Desarrollo Y Tecnología Empresarial, S.A. De C.V.</t>
  </si>
  <si>
    <t>DTE000118N96</t>
  </si>
  <si>
    <t>Desazolve Y Soluciones Ambientales, S.A. De C.V.</t>
  </si>
  <si>
    <t>DSA110104FG5</t>
  </si>
  <si>
    <t>Desco De México, S.A.</t>
  </si>
  <si>
    <t>DME7611296B3</t>
  </si>
  <si>
    <t>Despacho González Villanueva Y Asociados, S.C.</t>
  </si>
  <si>
    <t>DGV990215NEA</t>
  </si>
  <si>
    <t>Despacho Lozada Hermanos, S.C.</t>
  </si>
  <si>
    <t>DLH101202UJ5</t>
  </si>
  <si>
    <t>Dessa Muebles, S.A. De C.V.</t>
  </si>
  <si>
    <t>DMU9206035G5</t>
  </si>
  <si>
    <t>Desysnet, Consultores De Opinión Y Estrategia, S.A. De C.V.</t>
  </si>
  <si>
    <t>DCO131210S70</t>
  </si>
  <si>
    <t>Detección Y Supresión Inteligentes, S.A. De C.V.</t>
  </si>
  <si>
    <t>DSI010223ST6</t>
  </si>
  <si>
    <t>Dextro Representaciones SA de CV</t>
  </si>
  <si>
    <t>DRE091204SP0</t>
  </si>
  <si>
    <t>DGC, Consentir, Alimentos Sanos, S.A. De C.V.</t>
  </si>
  <si>
    <t>DCA140116M60</t>
  </si>
  <si>
    <t>Diario Imagen SA de CV</t>
  </si>
  <si>
    <t>DIM1504148V6</t>
  </si>
  <si>
    <t>Dicabriolet, S.A. De C.V.</t>
  </si>
  <si>
    <t>DIC990527GN6</t>
  </si>
  <si>
    <t>Dicimex, S.A. De C.V.</t>
  </si>
  <si>
    <t>DIC85102518A</t>
  </si>
  <si>
    <t>Difusión Comercial Y Tecnológica, S.A. De C.V.</t>
  </si>
  <si>
    <t>DCT110524AB5</t>
  </si>
  <si>
    <t>Digilogics SA de CV</t>
  </si>
  <si>
    <t>DIG081024SR8</t>
  </si>
  <si>
    <t>Dimensión Data Commerce Centre México, S.A. De C.V.</t>
  </si>
  <si>
    <t>DDC031103FW7</t>
  </si>
  <si>
    <t>Discurseros SC</t>
  </si>
  <si>
    <t>DIS160505K49</t>
  </si>
  <si>
    <t>Diseño Floral De Vanguardia Y Regalos, S.A. De C.V.</t>
  </si>
  <si>
    <t>DFV080325JG8</t>
  </si>
  <si>
    <t>Diseño Ingeniería y Manufacturas SA de CV</t>
  </si>
  <si>
    <t>DIM911022PPA</t>
  </si>
  <si>
    <t>Diseño Integral Alze SA de CV</t>
  </si>
  <si>
    <t>DIA100928DD6</t>
  </si>
  <si>
    <t>DCA061027CZ8</t>
  </si>
  <si>
    <t>Dispositivos Electrónicos y De Control SA de CV</t>
  </si>
  <si>
    <t>DEC7711299W6</t>
  </si>
  <si>
    <t>DISTRIBUCION DE LIBROS MIGUEL ANGEL PORRUA SA DE CV</t>
  </si>
  <si>
    <t>Distribuciones Limonta, S.A. De C.V.</t>
  </si>
  <si>
    <t>DLI0802258E4</t>
  </si>
  <si>
    <t xml:space="preserve">Distribuidor Computacional Deco, S.A. de C.V. </t>
  </si>
  <si>
    <t>DCD090806GJ4</t>
  </si>
  <si>
    <t>Distribuidor Urko y Drago SA de CV</t>
  </si>
  <si>
    <t>DUD100319QLA</t>
  </si>
  <si>
    <t>Distribuidora Aplicada A Negocios De La Industria, S.A. De C.V.</t>
  </si>
  <si>
    <t>DAN140728G12</t>
  </si>
  <si>
    <t>Distribuidora De Material Dental Y Hospitalario, S.A. De C.V.</t>
  </si>
  <si>
    <t>DMD911021FP5</t>
  </si>
  <si>
    <t>Distribuidora Disom, S.A. De C.V.</t>
  </si>
  <si>
    <t>DDI150123PPA</t>
  </si>
  <si>
    <t>Distribuidora Electrónica Brunca, S.A. De C.V.</t>
  </si>
  <si>
    <t>DEB890309SX0</t>
  </si>
  <si>
    <t>Distribuidora Goba De Querétaro SA de CV</t>
  </si>
  <si>
    <t>DGQ9611278N9</t>
  </si>
  <si>
    <t>Distribuidora Haikar, S.A. de C.V.</t>
  </si>
  <si>
    <t>DHA890317AP9</t>
  </si>
  <si>
    <t>Distribuidora Jjb, S.A. De C.V.</t>
  </si>
  <si>
    <t>DJJ111024RU0</t>
  </si>
  <si>
    <t>Distribuidora Marín, S.A. De C.V.</t>
  </si>
  <si>
    <t>DMA910808BZ1</t>
  </si>
  <si>
    <t xml:space="preserve">Distribuidora Ojusami, S.A. de C.V. </t>
  </si>
  <si>
    <t>DOJ030211CU9</t>
  </si>
  <si>
    <t>Distribuidora Santiago, S.A. De C.V.</t>
  </si>
  <si>
    <t>DSA770718UT1</t>
  </si>
  <si>
    <t>Distribuidora Y Comercializadora Helios, S.A. De C.V.</t>
  </si>
  <si>
    <t>DCH140327HT8</t>
  </si>
  <si>
    <t>Distribuidores Y Fabricantes De Artículos Escolares Y De Oficina, S.A. De C.V.</t>
  </si>
  <si>
    <t>Distrito Grupo Inmobiliario Del Norte SA de CV</t>
  </si>
  <si>
    <t>DGI140819MBA</t>
  </si>
  <si>
    <t>Dita Software And Electronics SA de CV</t>
  </si>
  <si>
    <t>DSE160122I87</t>
  </si>
  <si>
    <t>Dubon Logística Y Servicios, S.A. De C.V.</t>
  </si>
  <si>
    <t>DLS130819S16</t>
  </si>
  <si>
    <t>Duty Cold, S.A. De C.V.</t>
  </si>
  <si>
    <t>DCO101130F17</t>
  </si>
  <si>
    <t>Dyproisa Diseño y Proyectos de Ingeniería Industrial, S.A. de C.V.</t>
  </si>
  <si>
    <t>DDP1409198F2</t>
  </si>
  <si>
    <t>Earn, S.A. De C.V.</t>
  </si>
  <si>
    <t>EAR971113AJ2</t>
  </si>
  <si>
    <t>Ebcomm, S.A.P.I. De C.V.</t>
  </si>
  <si>
    <t>EBC060331DGA</t>
  </si>
  <si>
    <t>Eclecsis Sinergia Y Tecnología, S. De R.L. De C.V.</t>
  </si>
  <si>
    <t>EST071221PZ0</t>
  </si>
  <si>
    <t>Edenred México, S.A. De C.V.</t>
  </si>
  <si>
    <t>ASE930924SS7</t>
  </si>
  <si>
    <t>Ediciones Andrade SA de CV</t>
  </si>
  <si>
    <t>EAN601108TN8</t>
  </si>
  <si>
    <t>Ediciones La Biblioteca SA de CV</t>
  </si>
  <si>
    <t>EBI1310299M4</t>
  </si>
  <si>
    <t>Edicionesakal México, S.A. de C.V.</t>
  </si>
  <si>
    <t>EAK100407RL9</t>
  </si>
  <si>
    <t>Edinteligent S de RL de CV</t>
  </si>
  <si>
    <t>EDI060421GT0</t>
  </si>
  <si>
    <t>Editores Buena Onda, S.A. de C.V.</t>
  </si>
  <si>
    <t>EBO981030HL7</t>
  </si>
  <si>
    <t>Editores E Impresores Profesionales Edimpro, S.A. De C.V.</t>
  </si>
  <si>
    <t>EIP050728B1A</t>
  </si>
  <si>
    <t>Editorial Porrúa, S.A. De C.V.</t>
  </si>
  <si>
    <t>EPO440314PK9</t>
  </si>
  <si>
    <t>Educación Avanzada A Libro Abierto, S.A. De C.V.</t>
  </si>
  <si>
    <t>EAL1404256D3</t>
  </si>
  <si>
    <t>Educación Matemática Hidalgo, S.C.</t>
  </si>
  <si>
    <t>EMH001123QT6</t>
  </si>
  <si>
    <t>Efectivale, S. De R. L. De C. V.</t>
  </si>
  <si>
    <t>EFE8908015L3</t>
  </si>
  <si>
    <t>Eficiencia en Ingeniería S.A. De C.V.</t>
  </si>
  <si>
    <t>EEI1009031Q7</t>
  </si>
  <si>
    <t>Eisco Traducciones, S.A. De C.V.</t>
  </si>
  <si>
    <t>ETR941110KQ3</t>
  </si>
  <si>
    <t>Ekomercio Electrónico, S.A. De C.V.</t>
  </si>
  <si>
    <t>EEL961104G96</t>
  </si>
  <si>
    <t>El Tentero SC</t>
  </si>
  <si>
    <t>TEN130830NE1</t>
  </si>
  <si>
    <t>El Tibet Arrendadora SA de CV</t>
  </si>
  <si>
    <t>TAR000428LW4</t>
  </si>
  <si>
    <t>El Trébol Automotriz Ermita, S.A. de C.V.</t>
  </si>
  <si>
    <t>TAE870320RC9</t>
  </si>
  <si>
    <t>Electrónica, Ingeniería Y Comunicaciones, S.A. De C.V.</t>
  </si>
  <si>
    <t>EIC840213GT2</t>
  </si>
  <si>
    <t>Electropura, S. de R.L. De C.V.</t>
  </si>
  <si>
    <t>ELE9012281G2</t>
  </si>
  <si>
    <t>Elevadores Otis, S. De R.L. De C.V.</t>
  </si>
  <si>
    <t>EOT631205877</t>
  </si>
  <si>
    <t>Elevadores Schindler SA de CV</t>
  </si>
  <si>
    <t>Ella Marketing SA de CV</t>
  </si>
  <si>
    <t>EMA1507214N1</t>
  </si>
  <si>
    <t>Empresas De Telecomunicación Del Cerro Chiquihuite, A.C.</t>
  </si>
  <si>
    <t>ETC950810RR6</t>
  </si>
  <si>
    <t>Emsi Profesionistas Asociados SC</t>
  </si>
  <si>
    <t>EPA9406035WA</t>
  </si>
  <si>
    <t>Englobar, S.A. De C.V.</t>
  </si>
  <si>
    <t>ENG050920SJ7</t>
  </si>
  <si>
    <t>Enlace Corporativo Coa, S.A. De C.V.</t>
  </si>
  <si>
    <t>ECC091217RIA</t>
  </si>
  <si>
    <t>Entreventos, S.A. De C.V.</t>
  </si>
  <si>
    <t>ENT090622EY1</t>
  </si>
  <si>
    <t>Epro Electrónica, Servicio Y Asesoría, S.A. De C.V.</t>
  </si>
  <si>
    <t>EES070528JX7</t>
  </si>
  <si>
    <t>Equipo Grafico, S.A. De C.V.</t>
  </si>
  <si>
    <t>EGR010521I50</t>
  </si>
  <si>
    <t>Equipos Carlin De Morelos, S.A. De C.V.</t>
  </si>
  <si>
    <t>ECM110819NL3</t>
  </si>
  <si>
    <t>Equipos Y Climas De México, S.A. De C.V.</t>
  </si>
  <si>
    <t>ECM840330286</t>
  </si>
  <si>
    <t>Era Excelencia En Sillas Y Muebles Para Oficina, S.A. De C.V.</t>
  </si>
  <si>
    <t>EEE080312F65</t>
  </si>
  <si>
    <t>Escalator, Elevator &amp; Electromechanics Enterprise, S.A. De C.V.</t>
  </si>
  <si>
    <t>EEA1006077G5</t>
  </si>
  <si>
    <t>Escuela Mexicana De Archivos, A.C.</t>
  </si>
  <si>
    <t>EMA06013083A</t>
  </si>
  <si>
    <t>Espacio Consultores SC</t>
  </si>
  <si>
    <t>ECO870602JA7</t>
  </si>
  <si>
    <t>Especialidades Medico Odontológicas, S.A. De C.V.</t>
  </si>
  <si>
    <t>EMO910815PM5</t>
  </si>
  <si>
    <t>Especialistas En Medios, S.A. De C.V.</t>
  </si>
  <si>
    <t>EME9408192F7</t>
  </si>
  <si>
    <t>Estacionamientos Pumasa, S.A. De C.V.</t>
  </si>
  <si>
    <t>EPU060607C47</t>
  </si>
  <si>
    <t>EME880309SK5</t>
  </si>
  <si>
    <t>EST850718Q51</t>
  </si>
  <si>
    <t>Estrategas En Liderazgo Success Team, S. De R.L. De C.V.</t>
  </si>
  <si>
    <t>ELS141223V48</t>
  </si>
  <si>
    <t>Estrategia En Eventos Integrales, S.A. De C.V.</t>
  </si>
  <si>
    <t>EEI060608V47</t>
  </si>
  <si>
    <t>Estrategia Total En Competitividad Nacional E Internacional, S.A. De C.V.</t>
  </si>
  <si>
    <t>ETC090612DM6</t>
  </si>
  <si>
    <t>Estrategia Y Comercio Internacional Dm, S.A. De C.V.</t>
  </si>
  <si>
    <t>ECI081010D53</t>
  </si>
  <si>
    <t>Estrategia Y Desarrollo Pro.Ambiance De México SA de CV</t>
  </si>
  <si>
    <t>EDP140924853</t>
  </si>
  <si>
    <t>Estrategia y Eventos Exclusivos SA de CV</t>
  </si>
  <si>
    <t>EEE130423P43</t>
  </si>
  <si>
    <t>EDM090610E77</t>
  </si>
  <si>
    <t>Estudios Clínicos Dr. T. J. Oriard, S.A. De C.V.</t>
  </si>
  <si>
    <t>ECD741021QA5</t>
  </si>
  <si>
    <t>Eurobakery De México SA de CV</t>
  </si>
  <si>
    <t>EME110812L56</t>
  </si>
  <si>
    <t>Excelencia En Comunicaciones Y Tecnología, S.A. De C.V.</t>
  </si>
  <si>
    <t>ECT9303302H6</t>
  </si>
  <si>
    <t>Excelencia Medica, S.A. De C.V.</t>
  </si>
  <si>
    <t>EME971111ST5</t>
  </si>
  <si>
    <t>Executive Business Consulting México SC</t>
  </si>
  <si>
    <t>EBC140116Hy2</t>
  </si>
  <si>
    <t>Expertos En Computo Y Comunicaciones, S.A. De C.V.</t>
  </si>
  <si>
    <t>ECC990609FI3</t>
  </si>
  <si>
    <t>Extensión Software Mx SA de CV</t>
  </si>
  <si>
    <t>GEI100129BI7</t>
  </si>
  <si>
    <t>Exterminio Integral De Plagas E Higiene Ambiental SA de CV</t>
  </si>
  <si>
    <t>EIP130411Q51</t>
  </si>
  <si>
    <t>Fabredi, S.A. De C.V.</t>
  </si>
  <si>
    <t>FAB010904I93</t>
  </si>
  <si>
    <t>Fábrica De Andamios De Seguridad SA de CV</t>
  </si>
  <si>
    <t>FAS991116688</t>
  </si>
  <si>
    <t>Fábrica De Blancos, S.A. De C.V.</t>
  </si>
  <si>
    <t>FBL010206IN8</t>
  </si>
  <si>
    <t>Farmacias El Fenix Del Centro SA de CV</t>
  </si>
  <si>
    <t>FFC6611235C0</t>
  </si>
  <si>
    <t>Farvisan Insumos Institucionales, S.A. De C.V.</t>
  </si>
  <si>
    <t>FII110204978</t>
  </si>
  <si>
    <t>Fbm Comercializadora, S.A. De C.V.</t>
  </si>
  <si>
    <t>FCO110208GU7</t>
  </si>
  <si>
    <t>Fecare SA de CV</t>
  </si>
  <si>
    <t>FEC011213D13</t>
  </si>
  <si>
    <t>Federación De Colegios De Economistas De La República Mexicana AC</t>
  </si>
  <si>
    <t>CNE120927A60</t>
  </si>
  <si>
    <t>Fehlmex SA de CV</t>
  </si>
  <si>
    <t>FEH781106F99</t>
  </si>
  <si>
    <t>Fendis, S.A. De C.V.</t>
  </si>
  <si>
    <t>FEN020203M39</t>
  </si>
  <si>
    <t>Fermetex SA de CV</t>
  </si>
  <si>
    <t>FER131217NU9</t>
  </si>
  <si>
    <t>Ferrer Consulting Group, S.C.</t>
  </si>
  <si>
    <t>FCG150213178</t>
  </si>
  <si>
    <t>Ferretería Portales, S.A. De C.V.</t>
  </si>
  <si>
    <t>FPO5205219L4</t>
  </si>
  <si>
    <t>Ferretería Santander, S.A. De C.V.</t>
  </si>
  <si>
    <t>FSA680618RE3</t>
  </si>
  <si>
    <t>FGC Valuaciones, S.C</t>
  </si>
  <si>
    <t>FVA980723AW1</t>
  </si>
  <si>
    <t>Fibercom, S.A. De C.V.</t>
  </si>
  <si>
    <t>FIB0303042Z6</t>
  </si>
  <si>
    <t>File Service De México, S.A. De C.V.</t>
  </si>
  <si>
    <t>FSM9811164P1</t>
  </si>
  <si>
    <t>Filtracion Productiva, S.A. De C.V.</t>
  </si>
  <si>
    <t>FPR871112U51</t>
  </si>
  <si>
    <t>Final Solutions, S.A. De C.V.</t>
  </si>
  <si>
    <t>FSO050217AN6</t>
  </si>
  <si>
    <t>Fomento Automotriz Y Servicio Al Transporte, S.A. De C.V.</t>
  </si>
  <si>
    <t>FAS8509247IA</t>
  </si>
  <si>
    <t>Fonatur Mantenimiento Turístico, S.A. De C.V.</t>
  </si>
  <si>
    <t>Fondo De Cultura Económica</t>
  </si>
  <si>
    <t>FCE940726U22</t>
  </si>
  <si>
    <t>Fondo Nacional Para El Fomento De Las Artesanías</t>
  </si>
  <si>
    <t>FNF740528TQ0</t>
  </si>
  <si>
    <t>Fondo Para La Paz I.A.P.</t>
  </si>
  <si>
    <t>FPI940225PB4</t>
  </si>
  <si>
    <t>Forlac Store SA de CV</t>
  </si>
  <si>
    <t>FST1310074I1</t>
  </si>
  <si>
    <t>Fortalitia, S.A. De C.V.</t>
  </si>
  <si>
    <t>FOR060213N45</t>
  </si>
  <si>
    <t>Foto Regis Compañía Importadora Fotográfica, S.A. De C.V.</t>
  </si>
  <si>
    <t>FRI670920AS8</t>
  </si>
  <si>
    <t>Fotogenia SA de CV</t>
  </si>
  <si>
    <t>FOT940525HB9</t>
  </si>
  <si>
    <t>Four JS Development Tools Latinoamérica, S.A. De C.V.</t>
  </si>
  <si>
    <t>FJS0005021F1</t>
  </si>
  <si>
    <t>Free Marketing SA de CV</t>
  </si>
  <si>
    <t>FMA140304EY9</t>
  </si>
  <si>
    <t>Fridmay, S.A. De C.V.</t>
  </si>
  <si>
    <t>FRI0006282Q0</t>
  </si>
  <si>
    <t>Fuerza Y Tecnología En Ingeniería, S.A. De C.V.</t>
  </si>
  <si>
    <t>FTI0701173J7</t>
  </si>
  <si>
    <t>Fuji Automotriz, S.A. De C.V.</t>
  </si>
  <si>
    <t>FAU810615SI8</t>
  </si>
  <si>
    <t>FSM9302165A5</t>
  </si>
  <si>
    <t>Full Services Supplier, S.A. De C.V.</t>
  </si>
  <si>
    <t>FSS140801745</t>
  </si>
  <si>
    <t>Fumi-Dip Control De Plagas, S.A. De C.V.</t>
  </si>
  <si>
    <t>FCP0702164I3</t>
  </si>
  <si>
    <t>Fundación Para La Implementación Diseño Evaluación Y Análisis De Políticas Públicas Fundación IDEA, A.C.</t>
  </si>
  <si>
    <t>FID050712MV7</t>
  </si>
  <si>
    <t>Gabinete Twist, S. De R.L. De C.V.</t>
  </si>
  <si>
    <t>GTW070309CL8</t>
  </si>
  <si>
    <t>Gabriel de la Vega Mora</t>
  </si>
  <si>
    <t>Gadxe, S.A. De C.V.</t>
  </si>
  <si>
    <t>GAD170208PM0</t>
  </si>
  <si>
    <t>Galaz, Yamazaki, Ruiz Urquiza, S.C.</t>
  </si>
  <si>
    <t>GYR880101TL1</t>
  </si>
  <si>
    <t>Galerías Chippendale, S.A. De C.V.</t>
  </si>
  <si>
    <t>GCI500928872</t>
  </si>
  <si>
    <t>Galerías Muebles, S.A. De C.V.</t>
  </si>
  <si>
    <t>GMU050728Q86</t>
  </si>
  <si>
    <t>Ganaderos Productores De Leche Pura, S.A.P.I. De C.V.</t>
  </si>
  <si>
    <t>GPL860521FW8</t>
  </si>
  <si>
    <t xml:space="preserve">Gas Licuado de México, S.A. de C.V.  </t>
  </si>
  <si>
    <t>Gas Uribe, S.A. De C.V.</t>
  </si>
  <si>
    <t>GUR620306BZ7</t>
  </si>
  <si>
    <t>Gastelum Ix, S.A. De C.V.</t>
  </si>
  <si>
    <t>GIX151118RT9</t>
  </si>
  <si>
    <t>Gastronomía Preferente, S.A. De C.V.</t>
  </si>
  <si>
    <t>GPR130214BD0</t>
  </si>
  <si>
    <t xml:space="preserve">Gbnetworks, S.A. De C.V.  </t>
  </si>
  <si>
    <t>GBN100426483</t>
  </si>
  <si>
    <t>GDC Difusión Científica, S.A. De C.V.</t>
  </si>
  <si>
    <t>GDC070413NN7</t>
  </si>
  <si>
    <t>Ge Equipo De Control Y Distribución S de RL de CV</t>
  </si>
  <si>
    <t>GEC9312206XA</t>
  </si>
  <si>
    <t>Gea Grupo De Economistas Y Asociados, S.C.</t>
  </si>
  <si>
    <t>GGE900917M92</t>
  </si>
  <si>
    <t>Gemad, S.A. De C.V.</t>
  </si>
  <si>
    <t>GEM161031I8A</t>
  </si>
  <si>
    <t>General De Anuncios Publicitarios, S.A. De C.V.</t>
  </si>
  <si>
    <t>GAP050216AB1</t>
  </si>
  <si>
    <t>General Paint, S.A. De C.V.</t>
  </si>
  <si>
    <t>GPA000412PG4</t>
  </si>
  <si>
    <t>Génesis &amp; Éxodo SA de CV</t>
  </si>
  <si>
    <t>G&amp;E0408204M9</t>
  </si>
  <si>
    <t>Gentase Gente y Talento Al Servicio SA de CV</t>
  </si>
  <si>
    <t>GGT150904768</t>
  </si>
  <si>
    <t>Gesip, Centro Para La Gestión Integral Y Participativa, S.C.</t>
  </si>
  <si>
    <t>GCG041020HB2</t>
  </si>
  <si>
    <t>GEI081021V78</t>
  </si>
  <si>
    <t>Getronics (México), S. De R.L. De C.V.</t>
  </si>
  <si>
    <t>GME980427NP3</t>
  </si>
  <si>
    <t>Gianni Gaiti De México SA de CV</t>
  </si>
  <si>
    <t>GGM9606041K5</t>
  </si>
  <si>
    <t>Gibitnet Soluciones Integrales, S.A. De C.V.</t>
  </si>
  <si>
    <t>GIT070607171</t>
  </si>
  <si>
    <t>Gilsama Solutions S.A. De C.V.</t>
  </si>
  <si>
    <t>GSO041015G85</t>
  </si>
  <si>
    <t>Gilsama, S.A. De C.V.</t>
  </si>
  <si>
    <t>GIL000904HW8</t>
  </si>
  <si>
    <t>Giramsa SA de CV</t>
  </si>
  <si>
    <t>GIR050713QW0</t>
  </si>
  <si>
    <t>Global Assurance Brokers Agente De Seguros Y De Fianzas, S.A. De C.V.</t>
  </si>
  <si>
    <t>GAB0709244G5</t>
  </si>
  <si>
    <t>Glucosystem, S.A. De C.V.</t>
  </si>
  <si>
    <t>GLU0801179A0</t>
  </si>
  <si>
    <t>Goitil SA de CV</t>
  </si>
  <si>
    <t>GOI100901FA5</t>
  </si>
  <si>
    <t>Gp Construcciones Consultoría y Supervisión SA de CV</t>
  </si>
  <si>
    <t>GPC9109028V2</t>
  </si>
  <si>
    <t>Grabados Fernando Fernández, S. De R.L. De C.V.</t>
  </si>
  <si>
    <t>GFF550711KJA</t>
  </si>
  <si>
    <t>Graficos, Audio Y Video, S.A. De C.V.</t>
  </si>
  <si>
    <t>GAV000511827</t>
  </si>
  <si>
    <t>Grafiscanner, S.A. De C.V.</t>
  </si>
  <si>
    <t>GRA940407RNA</t>
  </si>
  <si>
    <t>Greenergy Energía No Convencional S de RL de CV</t>
  </si>
  <si>
    <t>GEN080905861</t>
  </si>
  <si>
    <t>Grupo Americano De Nuevos Negocios, S.A. De C.V.</t>
  </si>
  <si>
    <t>GAN020719MT5</t>
  </si>
  <si>
    <t>GAN120329343</t>
  </si>
  <si>
    <t>Grupo Arte Y Comunicación, S.C.</t>
  </si>
  <si>
    <t>GAC930817TC7</t>
  </si>
  <si>
    <t>Grupo Avatecsys, S.A. De C.V.</t>
  </si>
  <si>
    <t>GAV080114UY7</t>
  </si>
  <si>
    <t>Grupo Bcrea Com, S.A. De C.V.</t>
  </si>
  <si>
    <t>GBC0401197K2</t>
  </si>
  <si>
    <t>Grupo Besh, S.A. De C.V.</t>
  </si>
  <si>
    <t>GBE940526J33</t>
  </si>
  <si>
    <t>Grupo Cireque Sociedad Civil</t>
  </si>
  <si>
    <t>GCI1706306R2</t>
  </si>
  <si>
    <t>Grupo Comercial E Impresos Condor, S.A. De C.V.</t>
  </si>
  <si>
    <t>GCI060303RY4</t>
  </si>
  <si>
    <t>Grupo Comercializador Y Constructor Siete, S.A. De C.V.</t>
  </si>
  <si>
    <t>GCC0703158LA</t>
  </si>
  <si>
    <t>Grupo Competitividad y Talento Empresarial, S.C.</t>
  </si>
  <si>
    <t>GCT101203RW3</t>
  </si>
  <si>
    <t>Grupo Corporativo Eventos Viajes Y Convenciones Grucevico, Fg, S.A. De C.V.</t>
  </si>
  <si>
    <t>GCE120822NY2</t>
  </si>
  <si>
    <t>Grupo Corporativo Latis S de RL de CV</t>
  </si>
  <si>
    <t>GCL130714612</t>
  </si>
  <si>
    <t>Grupo De Administracion Y Sistemas, S.A. De C.V.</t>
  </si>
  <si>
    <t>GAS9310051IX4</t>
  </si>
  <si>
    <t>Grupo Diez Tecnología, S.A. De C.V.</t>
  </si>
  <si>
    <t>GDT9710225Q1</t>
  </si>
  <si>
    <t xml:space="preserve">Grupo Distribuidora Y Comercializadora Nacional E Internacional De México, S.A. </t>
  </si>
  <si>
    <t>GDC1307162L1</t>
  </si>
  <si>
    <t>GRUPO EDITORIAL MIGUEL ANGEL PORRUA, S.A. DE C.V.</t>
  </si>
  <si>
    <t>GEM8109182R7</t>
  </si>
  <si>
    <t>Grupo Editorial Miguel Ángel Porrúa, S.A. De C.V.</t>
  </si>
  <si>
    <t>Grupo Einzig Pixan, S.A. De C.V.</t>
  </si>
  <si>
    <t>GEP161128A11</t>
  </si>
  <si>
    <t>Grupo Empresarial Chockmah, S.A. De C.V.</t>
  </si>
  <si>
    <t>GEC110812M76</t>
  </si>
  <si>
    <t>Grupo Empresarial Garac, S.A. De C.V.</t>
  </si>
  <si>
    <t>GEG1209258X0</t>
  </si>
  <si>
    <t>Grupo Empresarial Remotek SA de CV</t>
  </si>
  <si>
    <t>GER051219JP4</t>
  </si>
  <si>
    <t>Grupo Infitu Eventos Comercializadora y Marketing SA de CV</t>
  </si>
  <si>
    <t>GIE100312LX6</t>
  </si>
  <si>
    <t>Grupo International Machines, S.A. De C.V.</t>
  </si>
  <si>
    <t>GIM100331EP1</t>
  </si>
  <si>
    <t>Grupo Lafi, S.A. De C.V.</t>
  </si>
  <si>
    <t>GLA841203HGA</t>
  </si>
  <si>
    <t>Grupo Lasbus SA de CV</t>
  </si>
  <si>
    <t>GLA020702NJ0</t>
  </si>
  <si>
    <t>Grupo Mantenimiento Biomédico Industrial, S.A. De C.V.</t>
  </si>
  <si>
    <t>GMB040629595</t>
  </si>
  <si>
    <t>Grupo Mexicano Aristo De Soluciones Estrategicas SA de CV</t>
  </si>
  <si>
    <t>GMA1109016A5</t>
  </si>
  <si>
    <t>Grupo Mexicano De Seguros, S.A. De C.V.</t>
  </si>
  <si>
    <t>GMS971110BTA</t>
  </si>
  <si>
    <t>GNP9211244P0</t>
  </si>
  <si>
    <t>Grupo Península Motors, S. de R.L. de C.V.</t>
  </si>
  <si>
    <t>GPM080609PV6</t>
  </si>
  <si>
    <t>Grupo Proveedor Y Productor De Uniformes, S.A. De C.V.</t>
  </si>
  <si>
    <t>GPP0004034R8</t>
  </si>
  <si>
    <t>Grupo Tecnorrol, S.A. De C.V.</t>
  </si>
  <si>
    <t>GTE8702027I5</t>
  </si>
  <si>
    <t>Grupo Zonura Prendes, S.A. de C.V.</t>
  </si>
  <si>
    <t>GZP110607JX5</t>
  </si>
  <si>
    <t>Gryr Construcciones, S.A. de C.V.</t>
  </si>
  <si>
    <t>GCO9808102M6</t>
  </si>
  <si>
    <t>Gts Gaba Group, S.A. De C.V.</t>
  </si>
  <si>
    <t>GGG160802AT9</t>
  </si>
  <si>
    <t>Guillermo De La Barrera SA de CV</t>
  </si>
  <si>
    <t>GBA840214BQ4</t>
  </si>
  <si>
    <t xml:space="preserve">Guizar Ingeniería, S.A. de C.V. </t>
  </si>
  <si>
    <t>GUVR370526LI5</t>
  </si>
  <si>
    <t>GVG Grupo Gráfico SA de CV</t>
  </si>
  <si>
    <t>GGG901128441</t>
  </si>
  <si>
    <t>Habeas Data México, S.A. De C.V.</t>
  </si>
  <si>
    <t>HDM051006JU5</t>
  </si>
  <si>
    <t>Harpercollins México, S.A. De C.V.</t>
  </si>
  <si>
    <t>TNM110621870</t>
  </si>
  <si>
    <t>Hechter, S.A. De C.V.</t>
  </si>
  <si>
    <t>HEC890511UR7</t>
  </si>
  <si>
    <t>Hemoser SA de CV</t>
  </si>
  <si>
    <t>HEM9808262E0</t>
  </si>
  <si>
    <t>Hersol, S.A. De C.V.</t>
  </si>
  <si>
    <t>HER911219V94</t>
  </si>
  <si>
    <t>Hg Consultores, S.C.</t>
  </si>
  <si>
    <t>HCO040413ND8</t>
  </si>
  <si>
    <t>Hidrotecnología Aplicada, S.A. De C.V.</t>
  </si>
  <si>
    <t>HAP060619JB</t>
  </si>
  <si>
    <t>Hipatia Genero Y Desarrollo, S.C.</t>
  </si>
  <si>
    <t>HGD080925URA</t>
  </si>
  <si>
    <t>Holzer Y Compañía, S.A. De C.V.</t>
  </si>
  <si>
    <t>HOL841214S58</t>
  </si>
  <si>
    <t>Hombres Por La Equidad Centro De Intervención Con Hombres E Investigación Sobre Genero y Masculinidades, A.C.</t>
  </si>
  <si>
    <t>HEC050622B38</t>
  </si>
  <si>
    <t>Homotec SA de CV</t>
  </si>
  <si>
    <t>HOM150114D2A</t>
  </si>
  <si>
    <t>Hoplites, S.A. De C.V.</t>
  </si>
  <si>
    <t>HOP150129SHA</t>
  </si>
  <si>
    <t>Howling Monkey Studio, S.C.</t>
  </si>
  <si>
    <t>HMS1111285V7</t>
  </si>
  <si>
    <t>Hs Soluciones Y Sistemas Integrales, S.A. De C.V.</t>
  </si>
  <si>
    <t>HSS040928EP2</t>
  </si>
  <si>
    <t>Hvac Mantenimiento Y Construcción, S.A. de C.V.</t>
  </si>
  <si>
    <t>HMC0908242N9</t>
  </si>
  <si>
    <t>IAG En Color, S.A. De C.V.</t>
  </si>
  <si>
    <t>ICO060926BKA</t>
  </si>
  <si>
    <t>Ibarra Transformaciones Y Acabados Metálicos, S.A. De C.V.</t>
  </si>
  <si>
    <t>ITA110204Q52</t>
  </si>
  <si>
    <t>ICC Servicios &amp; Procesos De Ingeniería, S.A. De C.V.</t>
  </si>
  <si>
    <t>ISA130404ST6</t>
  </si>
  <si>
    <t>Ickrom, S.A. De C.V.</t>
  </si>
  <si>
    <t>ICK020218RI7</t>
  </si>
  <si>
    <t>Ideas Integrales En Jardinería Jisa, S. De R.L. De C.V.</t>
  </si>
  <si>
    <t>IIJ1112089F0</t>
  </si>
  <si>
    <t>Idt en Sistemas De Información SA de CV</t>
  </si>
  <si>
    <t>ISI021115AFA</t>
  </si>
  <si>
    <t>Iesatel, S.A. De C.V.</t>
  </si>
  <si>
    <t>IES000412IQ1</t>
  </si>
  <si>
    <t>Imagen De Inmuebles, S.A. De C.V.</t>
  </si>
  <si>
    <t>IIN011018BE8</t>
  </si>
  <si>
    <t>Imm Internet Media México, S. De R.L. De C.V.</t>
  </si>
  <si>
    <t>IMM100219CQ9</t>
  </si>
  <si>
    <t>Impresora Silvaform, S.A. De C.V.</t>
  </si>
  <si>
    <t>ISI860331LQ4</t>
  </si>
  <si>
    <t>Impresora Y Encuadernadora Progreso, S.A. De C.V.</t>
  </si>
  <si>
    <t>IEP921123J76</t>
  </si>
  <si>
    <t>IMV040628UM1</t>
  </si>
  <si>
    <t>Imsatech Ultrasonido SA de CV</t>
  </si>
  <si>
    <t>IUL140304GE9</t>
  </si>
  <si>
    <t>In Illi Tempore SA De CV</t>
  </si>
  <si>
    <t>IIT030805BX9</t>
  </si>
  <si>
    <t>INC141210UN2</t>
  </si>
  <si>
    <t>Indigo Proambiental SAPI De CV</t>
  </si>
  <si>
    <t>IPR140521FA6</t>
  </si>
  <si>
    <t>Industria 3, S.A. De C.V.</t>
  </si>
  <si>
    <t>ITR950926FU5</t>
  </si>
  <si>
    <t>Industrial Caisa, S.A. De C.V.</t>
  </si>
  <si>
    <t>ICA9406297P2</t>
  </si>
  <si>
    <t>Industrias Girca, S.A. De C.V.</t>
  </si>
  <si>
    <t>IGI870415HZ0</t>
  </si>
  <si>
    <t>Industrias Jafher SA de CV</t>
  </si>
  <si>
    <t>IJA790503F39</t>
  </si>
  <si>
    <t>Industrias Unifila SA de CV</t>
  </si>
  <si>
    <t>IUN950102S57</t>
  </si>
  <si>
    <t>Industrias Yosef, S.A. De C.V.</t>
  </si>
  <si>
    <t>IYO1210124Z2</t>
  </si>
  <si>
    <t>Infobrain, S.A. De C.V.</t>
  </si>
  <si>
    <t>INF070614S84</t>
  </si>
  <si>
    <t>Infopower SA de CV</t>
  </si>
  <si>
    <t>INF080312DK2</t>
  </si>
  <si>
    <t>Información Segura, S.A. De C.V.</t>
  </si>
  <si>
    <t>ISE0402136VA</t>
  </si>
  <si>
    <t>Información Y Análisis Empresarial, S. De R.L. De C.V.</t>
  </si>
  <si>
    <t>IAE0610209L8</t>
  </si>
  <si>
    <t>Informática Aurum SA de CV</t>
  </si>
  <si>
    <t>IAU900131R7A</t>
  </si>
  <si>
    <t>Ingeniería Ambiental Roca, S.A. De C.V.</t>
  </si>
  <si>
    <t>IAR1704052Z2</t>
  </si>
  <si>
    <t>Ingeniería de Servicio para Equipos de Laboratorio SA de CV</t>
  </si>
  <si>
    <t>ISE060322F61</t>
  </si>
  <si>
    <t xml:space="preserve">Ingeniería Electromecánica en Infraestructura Computacional, S.A. de C.V. </t>
  </si>
  <si>
    <t>IEE070329DR4</t>
  </si>
  <si>
    <t>Ingeniería Electromecánica Gueavi, S.A. De C.V.</t>
  </si>
  <si>
    <t>IEG830404KB3</t>
  </si>
  <si>
    <t>Ingeniería en Aislamientos Termicos Aplicación y Venta SA de CV</t>
  </si>
  <si>
    <t>IAT1601263AA</t>
  </si>
  <si>
    <t>Ingeniería Syr SA de CV</t>
  </si>
  <si>
    <t>ISy910621IU7</t>
  </si>
  <si>
    <t>Ingeniería Y Desarrollo De Proyectos Didácticos, S.A. De C.V.</t>
  </si>
  <si>
    <t>IDP0312174Y7</t>
  </si>
  <si>
    <t>Ingeniería Y Servicios Mercantiles, S.A. De C.V.</t>
  </si>
  <si>
    <t>ISM0102164R0</t>
  </si>
  <si>
    <t>Ingeniería, Servicios Y Sistemas Aplicados, S.A. De C.V.</t>
  </si>
  <si>
    <t>ISS911211PB6</t>
  </si>
  <si>
    <t>Ingeniería, Soluciones Y Respaldo Profesional, S.A. De C.V.</t>
  </si>
  <si>
    <t>ISR1402285L4</t>
  </si>
  <si>
    <t>Inmobiliaria Keda, S.A. De C.V.</t>
  </si>
  <si>
    <t>IKE691020MF2</t>
  </si>
  <si>
    <t>Inmobiliaria Tamaca, S.A De C.V.</t>
  </si>
  <si>
    <t>ITA061026Q36</t>
  </si>
  <si>
    <t>Inmobiliaria Y Administradora Sar, S.A. De C.V.</t>
  </si>
  <si>
    <t>IAS910228DR7</t>
  </si>
  <si>
    <t>Inmobiliaria y Constructora Coraza, S.A. de C.V.</t>
  </si>
  <si>
    <t>ICC010202649</t>
  </si>
  <si>
    <t>Innocom Siglo XXI, S.A. De C.V.</t>
  </si>
  <si>
    <t>ISV090804CY6</t>
  </si>
  <si>
    <t>Innovation Advanced Solutions SA de CV</t>
  </si>
  <si>
    <t>IAS1602045V4</t>
  </si>
  <si>
    <t>Inovaciones Alaska Supply, S.A. De C.V.</t>
  </si>
  <si>
    <t>IAS050304Q45</t>
  </si>
  <si>
    <t>Insitel Mexicana, S.A. De C.V.</t>
  </si>
  <si>
    <t>IME960111CW6</t>
  </si>
  <si>
    <t>Instalaciones Unicornio SA de CV</t>
  </si>
  <si>
    <t>IUN9007161E1</t>
  </si>
  <si>
    <t>Instalaciones Y Mantenimiento Gg, S.A. De C.V.</t>
  </si>
  <si>
    <t>IMG070621B48</t>
  </si>
  <si>
    <t>Instituto de Especialización para Ejecutivos, S.C.</t>
  </si>
  <si>
    <t>IEE700410BC4</t>
  </si>
  <si>
    <t>Instituto De Estudios Avanzados Y De Actualización, A.C.</t>
  </si>
  <si>
    <t>IEA920724F99</t>
  </si>
  <si>
    <t xml:space="preserve">Instituto de Investigaciones Dr. José María Luis Mora </t>
  </si>
  <si>
    <t>IIJ8111184L7</t>
  </si>
  <si>
    <t>Instituto Mexicano De Auditores Internos, A.C.</t>
  </si>
  <si>
    <t>IMA840723ME8</t>
  </si>
  <si>
    <t>Instituto Mexicano De Estudios Sobre El Poder Legislativo, S.A. De C.V.</t>
  </si>
  <si>
    <t>IME040721MV1</t>
  </si>
  <si>
    <t>Instituto Mexicano De Investigaciones En Derecho Ambiental, A.C.</t>
  </si>
  <si>
    <t>IMI030217J33</t>
  </si>
  <si>
    <t>Instituto Mexicano Para La Investigación Y Desarrollo De La Legalidad, S.C.</t>
  </si>
  <si>
    <t>IMI160725KT7</t>
  </si>
  <si>
    <t>Instituto Nacional De Administración Publica, A.C.</t>
  </si>
  <si>
    <t>INA770420DW1</t>
  </si>
  <si>
    <t>Instituto Nacional De Asesoría Especializada, S.C.</t>
  </si>
  <si>
    <t>INA8806237RA</t>
  </si>
  <si>
    <t>Instituto Tecnológico Autónomo De México</t>
  </si>
  <si>
    <t>ITA630119398</t>
  </si>
  <si>
    <t>Insys, S.A. De C.V.</t>
  </si>
  <si>
    <t>INS940106UW9</t>
  </si>
  <si>
    <t>Int Intelligence and Telecom Technologies México SA de CV</t>
  </si>
  <si>
    <t>IIT101216JW0</t>
  </si>
  <si>
    <t>Integra Agente De Seguros Y De Fianzas, S.A. De C.V.</t>
  </si>
  <si>
    <t>IAS981204I43</t>
  </si>
  <si>
    <t>Integración Tecnológica 360, S.A. De C.V.</t>
  </si>
  <si>
    <t>ITT1307045Y4</t>
  </si>
  <si>
    <t>Integradora De Servicios Romaco SA de CV</t>
  </si>
  <si>
    <t>ISR141121NP0</t>
  </si>
  <si>
    <t>Integradores de Tecnología Corporativa SA de CV</t>
  </si>
  <si>
    <t>ITC020215M69</t>
  </si>
  <si>
    <t>Intellego, S.C.</t>
  </si>
  <si>
    <t>INT010509RB0</t>
  </si>
  <si>
    <t>Intercomza SA de CV</t>
  </si>
  <si>
    <t>Interconecta SA de CV</t>
  </si>
  <si>
    <t>INT001130R88</t>
  </si>
  <si>
    <t>Intercorp Contract Resources, S.A. De C.V.</t>
  </si>
  <si>
    <t>ICR090925MV2</t>
  </si>
  <si>
    <t>Interior Uno SA de CV</t>
  </si>
  <si>
    <t>IUN101124PV5</t>
  </si>
  <si>
    <t>Internacional Proveedora De Industrias, S.A. De C.V.</t>
  </si>
  <si>
    <t>IPI860721MN1</t>
  </si>
  <si>
    <t>ITL140408AU4</t>
  </si>
  <si>
    <t>Interstuhl Latam SA de CV</t>
  </si>
  <si>
    <t>ILA130516P87</t>
  </si>
  <si>
    <t>Intraproc De México, S.A. De C.V.</t>
  </si>
  <si>
    <t>IME9402147C6</t>
  </si>
  <si>
    <t>Investigaciones y Estudios Superiores SC</t>
  </si>
  <si>
    <t>IES870531FU5</t>
  </si>
  <si>
    <t>Ip Productos y Servicios SA de CV</t>
  </si>
  <si>
    <t>IPS0703142W1</t>
  </si>
  <si>
    <t>Ipark, S.A. De C.V.</t>
  </si>
  <si>
    <t>IPA140327555</t>
  </si>
  <si>
    <t>Ipm Control De Confianza SA de CV</t>
  </si>
  <si>
    <t>ICC151208AU3</t>
  </si>
  <si>
    <t>Iqsec SA de CV</t>
  </si>
  <si>
    <t>IQS0708233C9</t>
  </si>
  <si>
    <t>Iret Telecomunicaciones, S.A. De C.V.</t>
  </si>
  <si>
    <t>ITE040707M15</t>
  </si>
  <si>
    <t>ISAE Informática y Servicios Administrativos para Empresas SA de CV</t>
  </si>
  <si>
    <t>IIS160212IT5</t>
  </si>
  <si>
    <t>Isee Ingeniería Y Servicio Eléctrico Electrónico, S.A. De C.V.</t>
  </si>
  <si>
    <t>IIS090116P3A</t>
  </si>
  <si>
    <t>Issa Edificaciones SA de CV</t>
  </si>
  <si>
    <t>IED120102R74</t>
  </si>
  <si>
    <t>It - Open Knowledge Center, S.A. De C.V.</t>
  </si>
  <si>
    <t>IKC1409265L9</t>
  </si>
  <si>
    <t>It Sys, S.A. De C.V.</t>
  </si>
  <si>
    <t>ISY150408A49</t>
  </si>
  <si>
    <t>Izta, S.A. De C.V.</t>
  </si>
  <si>
    <t>IZT0807077J9</t>
  </si>
  <si>
    <t>Iztacalco Motors, S.A. De C.V.</t>
  </si>
  <si>
    <t>IMO011119RG8</t>
  </si>
  <si>
    <t>J O M Co S.A. De C.V.</t>
  </si>
  <si>
    <t>JOM000207522</t>
  </si>
  <si>
    <t>J.V. Construcción Y Proyecto, S.A. De C.V.</t>
  </si>
  <si>
    <t>JCP960502Q55</t>
  </si>
  <si>
    <t>Jal Consultoría Estratégica, S.A. De C.V.</t>
  </si>
  <si>
    <t>JCE0811074VA</t>
  </si>
  <si>
    <t>Janium Technology, S.A. De C.V.</t>
  </si>
  <si>
    <t>JTE010913N20</t>
  </si>
  <si>
    <t>Jasak, S.A. De C.V.</t>
  </si>
  <si>
    <t>JAS1307088DA</t>
  </si>
  <si>
    <t>Jasev Computación, S.A. De C.V.</t>
  </si>
  <si>
    <t>JCO931215CI8</t>
  </si>
  <si>
    <t>Javanes Solutions, S.A. De C.V.</t>
  </si>
  <si>
    <t>JSO051021BH2</t>
  </si>
  <si>
    <t>Jca Motorbikes, S.A. De C.V.</t>
  </si>
  <si>
    <t>JMO131204716</t>
  </si>
  <si>
    <t>Jng &amp; Company SA de CV</t>
  </si>
  <si>
    <t>JNG1311112R0</t>
  </si>
  <si>
    <t>Johnson Controls Be Operations México, S. De R.L. De C.V.</t>
  </si>
  <si>
    <t>JCB100702TQ1</t>
  </si>
  <si>
    <t>Johnson Controls México Be, S.A. De C.V.</t>
  </si>
  <si>
    <t>JCM910903G94</t>
  </si>
  <si>
    <t>Jorsal Construcciones y Promociones SA de CV</t>
  </si>
  <si>
    <t>JCP130429TM4</t>
  </si>
  <si>
    <t>Jr Equipos De Termofusión Y Electrofusión, S.A. De C.V.</t>
  </si>
  <si>
    <t>JET060717JN8</t>
  </si>
  <si>
    <t>Kalan Consultores, S.A. De C.V.</t>
  </si>
  <si>
    <t>KCO05101281A</t>
  </si>
  <si>
    <t>Keep Value SA de CV</t>
  </si>
  <si>
    <t>KVA1206218G5</t>
  </si>
  <si>
    <t>Kieken Group, S.A. De C.V.</t>
  </si>
  <si>
    <t>KGR090831TH1</t>
  </si>
  <si>
    <t>Kodo Consulting Services, S.A. De C.V.</t>
  </si>
  <si>
    <t>KCS101129867</t>
  </si>
  <si>
    <t>Krolls Telcomm De México SA de CV</t>
  </si>
  <si>
    <t>KTM090212KD9</t>
  </si>
  <si>
    <t>KRO920518AL3</t>
  </si>
  <si>
    <t>La Marquesita S.A.</t>
  </si>
  <si>
    <t>MAR541112CT8</t>
  </si>
  <si>
    <t>La Red De Radiodifusoras y Televisoras Educativas y Culturales De México AC</t>
  </si>
  <si>
    <t>RRT0511075U1</t>
  </si>
  <si>
    <t>La Rueda Roja Publicidad Y Asociados, S.A De C.V.</t>
  </si>
  <si>
    <t>RRP041110839</t>
  </si>
  <si>
    <t>Larson Technology, S.A. De C.V.</t>
  </si>
  <si>
    <t>LTE081024AW1</t>
  </si>
  <si>
    <t>Late Construcciones, S.A. De C.V.</t>
  </si>
  <si>
    <t>LCO850607RX9</t>
  </si>
  <si>
    <t>Latin Id, S.A. De C.V.</t>
  </si>
  <si>
    <t>LID020301KV9</t>
  </si>
  <si>
    <t>Laurentius, S.A. De C.V.</t>
  </si>
  <si>
    <t>LAU7808166Z5</t>
  </si>
  <si>
    <t>Lavisat Limpieza SA de CV</t>
  </si>
  <si>
    <t>LLI090220SUA</t>
  </si>
  <si>
    <t>Lb Sistemas, S.A. De C.V.</t>
  </si>
  <si>
    <t>LSI090130BR5</t>
  </si>
  <si>
    <t>Ld I Associats, S.A. De C.V.</t>
  </si>
  <si>
    <t>LIA9708133A3</t>
  </si>
  <si>
    <t>Ldb Fomento Comercial De México SA de CV</t>
  </si>
  <si>
    <t>LFC140408GN1</t>
  </si>
  <si>
    <t>Leading The Customer Experience S de RL de CV</t>
  </si>
  <si>
    <t>LCE1112086H8</t>
  </si>
  <si>
    <t>Lemonroy Business Solutions, S.A. De C.V.</t>
  </si>
  <si>
    <t>Libros Grano De Sal, S.A. De C.V.</t>
  </si>
  <si>
    <t>LGS170227LGA</t>
  </si>
  <si>
    <t>Líder En Administración De Riesgos Agente De Seguros SA de CV</t>
  </si>
  <si>
    <t>LAR0207252G5</t>
  </si>
  <si>
    <t>Lightech De México S.A. De C.V.</t>
  </si>
  <si>
    <t>LME020918D39</t>
  </si>
  <si>
    <t>Lingo Systems SA de CV</t>
  </si>
  <si>
    <t>LSy010601355</t>
  </si>
  <si>
    <t>Lingos y Educación SAPI De CV</t>
  </si>
  <si>
    <t>LED1405121X5</t>
  </si>
  <si>
    <t>Lirun Rs SA de CV</t>
  </si>
  <si>
    <t>LRS140212U14</t>
  </si>
  <si>
    <t>Lito Grapo, S.A. De C.V.</t>
  </si>
  <si>
    <t>LGR960201IT4</t>
  </si>
  <si>
    <t>Litual Distribuciones, S.A. De C.V.</t>
  </si>
  <si>
    <t>LDI080310TN8</t>
  </si>
  <si>
    <t>Live 13.5, S. De R.L. De C.V.</t>
  </si>
  <si>
    <t>LCT140403S7A</t>
  </si>
  <si>
    <t>Llantas San Rafael, S.A. De C.V.</t>
  </si>
  <si>
    <t>LSR930909EA6</t>
  </si>
  <si>
    <t>Lobbying y Desarrollo Institucional SC</t>
  </si>
  <si>
    <t>LYD110519IK0</t>
  </si>
  <si>
    <t>Logcom México SA de CV</t>
  </si>
  <si>
    <t>LME0903058C3</t>
  </si>
  <si>
    <t>Lógica Aplicaciones Soporte Y Servicio, S.A. De C.V.</t>
  </si>
  <si>
    <t>LAS880427DP8</t>
  </si>
  <si>
    <t>Lógica En Medios, S.A. De C.V.</t>
  </si>
  <si>
    <t>LME020417SU5</t>
  </si>
  <si>
    <t>Ludicorp, S.A. De C.V.</t>
  </si>
  <si>
    <t>LUD060210AC8</t>
  </si>
  <si>
    <t>Luz y Mundo Visual, S.A. de C.V.</t>
  </si>
  <si>
    <t>LMV850410LZ2</t>
  </si>
  <si>
    <t>M&amp;C Desarrollo Laboral Y Personal, S.C.</t>
  </si>
  <si>
    <t>MDL1501164H4</t>
  </si>
  <si>
    <t>Maak &amp; Paak, S.A. De C.V.</t>
  </si>
  <si>
    <t>MAA080520JH5</t>
  </si>
  <si>
    <t>Mac Toner Audio y Video SA de CV</t>
  </si>
  <si>
    <t>TAV051216TN1</t>
  </si>
  <si>
    <t xml:space="preserve">Mactell de México, S.A. de C.V. </t>
  </si>
  <si>
    <t>MME010322PM5</t>
  </si>
  <si>
    <t>Madasi SA de CV</t>
  </si>
  <si>
    <t>MAD100430HN3</t>
  </si>
  <si>
    <t>Mami Pasteles Y Pan Fino, S.A. De C.V.</t>
  </si>
  <si>
    <t>MPP910909RG9</t>
  </si>
  <si>
    <t>Manantiales La Asunción, S.A.P.I. De C.V.</t>
  </si>
  <si>
    <t>MAS880707J27</t>
  </si>
  <si>
    <t>Mantenimiento Y Asesoría En Equipos De Cómputo, S.A. De C.V.</t>
  </si>
  <si>
    <t>MAE890613MH6</t>
  </si>
  <si>
    <t>Mantenimiento Y Construcciones Calego SA de CV</t>
  </si>
  <si>
    <t>MCC110519EZ0</t>
  </si>
  <si>
    <t>Manufactura y Equipamiento Inoxidable, S.A. de C.V.</t>
  </si>
  <si>
    <t>MEI0209236G0</t>
  </si>
  <si>
    <t>Mapfre Tepeyac, S.A.</t>
  </si>
  <si>
    <t>MTE440316E54</t>
  </si>
  <si>
    <t>Maquinas Diesel, S.A. De C.V.</t>
  </si>
  <si>
    <t>MDI931014D37</t>
  </si>
  <si>
    <t>Marca De Agua Ediciones, S. De R.L. De C.V.</t>
  </si>
  <si>
    <t>MAE0002218A2</t>
  </si>
  <si>
    <t>Martez 13, S.A. De C.V.</t>
  </si>
  <si>
    <t>MTR0209062VA</t>
  </si>
  <si>
    <t>Martínez Barranco, S.A. De C.V.</t>
  </si>
  <si>
    <t>MBA960229SJ9</t>
  </si>
  <si>
    <t>Mavape, S.A.P.I. De C.V.</t>
  </si>
  <si>
    <t>MAV130416P62</t>
  </si>
  <si>
    <t>Maxcontrol Private Security, S.A. De C.V.</t>
  </si>
  <si>
    <t>MPS050207821</t>
  </si>
  <si>
    <t>MCS Network Solution, S.A. De C.V.</t>
  </si>
  <si>
    <t>MNS990319C39</t>
  </si>
  <si>
    <t>Mdreieck, S.A. De C.V.</t>
  </si>
  <si>
    <t>MDR0704049NS</t>
  </si>
  <si>
    <t>Medam S de RL de CV</t>
  </si>
  <si>
    <t>MED9705163K2</t>
  </si>
  <si>
    <t>Media Products De México, S.A. De C.V.</t>
  </si>
  <si>
    <t>MPM980601CG3</t>
  </si>
  <si>
    <t>Medical Dimegar, S.A. De C.V.</t>
  </si>
  <si>
    <t>MDI891030IH9</t>
  </si>
  <si>
    <t>Medingenium, S.A. De C.V.</t>
  </si>
  <si>
    <t>MED090630739</t>
  </si>
  <si>
    <t>Medios Alternativos Battaglia, S.A. De C.V.</t>
  </si>
  <si>
    <t>MAB0308048H0</t>
  </si>
  <si>
    <t>Mefintax México, S.C.</t>
  </si>
  <si>
    <t>MME070216MF0</t>
  </si>
  <si>
    <t>Mercado Negro Producciones, S.A. De C.V.</t>
  </si>
  <si>
    <t>MNP040303DQ6</t>
  </si>
  <si>
    <t>Meta 4 México, S.A. De C.V.</t>
  </si>
  <si>
    <t>MCM960712BB6</t>
  </si>
  <si>
    <t>MME920427EM3</t>
  </si>
  <si>
    <t>Mextypsa, S.A. De C.V.</t>
  </si>
  <si>
    <t>MEX0907141P1</t>
  </si>
  <si>
    <t>Miani Tecnologías SA de CV</t>
  </si>
  <si>
    <t>MTE091112I16</t>
  </si>
  <si>
    <t>Milenio Automotriz, S.A. de C.V.</t>
  </si>
  <si>
    <t>MAU980413K91</t>
  </si>
  <si>
    <t>Millenium Technologies, S.A. De C.V.</t>
  </si>
  <si>
    <t>MTE000615LF6</t>
  </si>
  <si>
    <t>Mitsubishi Electric De México, S.A. De C.V.</t>
  </si>
  <si>
    <t>MEM760401DJ7</t>
  </si>
  <si>
    <t>Mobiliarios Ergonómicos De México SA de CV</t>
  </si>
  <si>
    <t>MEM08080175A</t>
  </si>
  <si>
    <t>Modernización y Desarrollo Empresarial SC</t>
  </si>
  <si>
    <t>MDE030220K42</t>
  </si>
  <si>
    <t>Momentos.Com, S. De R.L. De C.V.</t>
  </si>
  <si>
    <t>MOM070709516</t>
  </si>
  <si>
    <t>Momentum Media Design SA de CV</t>
  </si>
  <si>
    <t>MMD020722RQ0</t>
  </si>
  <si>
    <t>Moro Electronic Systems, S.A. De C.V.</t>
  </si>
  <si>
    <t>MES080514CSA</t>
  </si>
  <si>
    <t>Mr Computer Solutions, S.A. De C.V.</t>
  </si>
  <si>
    <t>MCS010116P69</t>
  </si>
  <si>
    <t>Mr. Limpieza, S.A. De C.V.</t>
  </si>
  <si>
    <t>MLI0610289M7</t>
  </si>
  <si>
    <t>Muebles Displan, S.A. De C.V.</t>
  </si>
  <si>
    <t>MDI970520QP8</t>
  </si>
  <si>
    <t>Muebles Roal, S.A. De C.V.</t>
  </si>
  <si>
    <t>MRO940415BL0</t>
  </si>
  <si>
    <t>Multiservicios Damu, S.A. De C.V.</t>
  </si>
  <si>
    <t>MDA150522Q27</t>
  </si>
  <si>
    <t>Mundo Escolar Y De Oficina, S.A. De C.V.</t>
  </si>
  <si>
    <t>MEO131015NB4</t>
  </si>
  <si>
    <t>Music And Images SA de CV</t>
  </si>
  <si>
    <t>MIM931206MV0</t>
  </si>
  <si>
    <t>N Y N Construcciones Y Diseño, S.A.</t>
  </si>
  <si>
    <t>NNC970820QN0</t>
  </si>
  <si>
    <t>Navegantes De La Comunicación Grafica, S.A. De C.V.</t>
  </si>
  <si>
    <t>NCG010320MD0</t>
  </si>
  <si>
    <t>Ncubo Capital SAPI De CV</t>
  </si>
  <si>
    <t>NCA130123NM3</t>
  </si>
  <si>
    <t>Nefesh, S.A. de C.V.</t>
  </si>
  <si>
    <t>NEF010306G90</t>
  </si>
  <si>
    <t>Neta Systems, S.A. De C.V.</t>
  </si>
  <si>
    <t>NSY121012UV0</t>
  </si>
  <si>
    <t>Netrix, S.A. De C.V.</t>
  </si>
  <si>
    <t>NET9807027S0</t>
  </si>
  <si>
    <t>Network Storage Solutions SA de CV</t>
  </si>
  <si>
    <t>NSS030109F59</t>
  </si>
  <si>
    <t>Ng Asesores SA de CV</t>
  </si>
  <si>
    <t>NAS080121LT0</t>
  </si>
  <si>
    <t>NAN060602PW9</t>
  </si>
  <si>
    <t>Nubaj y Nubaj Consulting, S.A. De C.V.</t>
  </si>
  <si>
    <t>NNC121031D79</t>
  </si>
  <si>
    <t>Nueva Imagen Comunicación Y Diseño Integral, S.A. De C.V.</t>
  </si>
  <si>
    <t>NID0701316S1</t>
  </si>
  <si>
    <t>Nuevo Horizonte Editores, S.A. De C.V.</t>
  </si>
  <si>
    <t>NHE9211136J9</t>
  </si>
  <si>
    <t>Nyr Tecnología, S.A. De C.V.</t>
  </si>
  <si>
    <t>NTE0602229T5</t>
  </si>
  <si>
    <t>Observatorio Mexicano De Bioética AC</t>
  </si>
  <si>
    <t>OMB120726KA6</t>
  </si>
  <si>
    <t>Office Coffee Service SA de CV</t>
  </si>
  <si>
    <t>OCS991207Q1A</t>
  </si>
  <si>
    <t>Ogun Bi, S.A. De C.V.</t>
  </si>
  <si>
    <t>OBI1511304KA</t>
  </si>
  <si>
    <t>Ollin Iluminación, S.A. De C.V.</t>
  </si>
  <si>
    <t>OIL0911098P0</t>
  </si>
  <si>
    <t>On Site Destruction México, S.A. De C.V.</t>
  </si>
  <si>
    <t>OSD060317BA4</t>
  </si>
  <si>
    <t>Operación Móvil SA de CV</t>
  </si>
  <si>
    <t>OMO090519453</t>
  </si>
  <si>
    <t>Operadora De Tiendas Voluntarias SA de CV</t>
  </si>
  <si>
    <t>OTV801119HU2</t>
  </si>
  <si>
    <t>Operadora Onis, S.A. De C.V.</t>
  </si>
  <si>
    <t>OON170610R5A</t>
  </si>
  <si>
    <t>Operadora Turística Emporio Reforma, S.A. De C.V.</t>
  </si>
  <si>
    <t>OTE0902104Q2</t>
  </si>
  <si>
    <t>Oracle De México, S.A. De C.V.</t>
  </si>
  <si>
    <t>OME910101TA3</t>
  </si>
  <si>
    <t>Ordicasa Constructora, S.A. De C.V.</t>
  </si>
  <si>
    <t>OCO080702QL8</t>
  </si>
  <si>
    <t>Orgánica Construcciones, S.A. De C.V.</t>
  </si>
  <si>
    <t>OCO060315SJ7</t>
  </si>
  <si>
    <t>Organización Contable Mexicana, S.A. de C.V.</t>
  </si>
  <si>
    <t>OCM840719LG4</t>
  </si>
  <si>
    <t>Organización De Sistemas Constructivos SA de CV</t>
  </si>
  <si>
    <t>OSC900702RL8</t>
  </si>
  <si>
    <t>OMI880218NC4</t>
  </si>
  <si>
    <t>Organización Papelera Del Centro, S.A. De C.V.</t>
  </si>
  <si>
    <t>OPC020131CP4</t>
  </si>
  <si>
    <t>Origen Sap, S.A. De C.V.</t>
  </si>
  <si>
    <t>OSA141010LW4</t>
  </si>
  <si>
    <t>Ormen World Wide, S.A. De C.V.</t>
  </si>
  <si>
    <t>OWW0709124J3</t>
  </si>
  <si>
    <t>Pacal Armoring SA de CV</t>
  </si>
  <si>
    <t>PAR071005CV9</t>
  </si>
  <si>
    <t>Papelera Anzures, S.A. De C.V.</t>
  </si>
  <si>
    <t>Papelería Lozano Hermanos S.A. De C.V.</t>
  </si>
  <si>
    <t>PLH86093081A</t>
  </si>
  <si>
    <t>Papelmetal SC</t>
  </si>
  <si>
    <t>PAP140613F15</t>
  </si>
  <si>
    <t>Paper Less, S.A. de C.V.</t>
  </si>
  <si>
    <t>PLE9608124QA</t>
  </si>
  <si>
    <t>Paradigma Publicidad, S.A. De C.V.</t>
  </si>
  <si>
    <t>PPU950516HI5</t>
  </si>
  <si>
    <t>Pargroup Consultoría SC</t>
  </si>
  <si>
    <t>PCO050105FT7</t>
  </si>
  <si>
    <t>Park Auto, S.A. De C.V.</t>
  </si>
  <si>
    <t>PAU070322DGA</t>
  </si>
  <si>
    <t>Pas Gbs, S.A. De C.V.</t>
  </si>
  <si>
    <t>PGB101111MD8</t>
  </si>
  <si>
    <t>Paupack, S.A. De C.V.</t>
  </si>
  <si>
    <t>PAU101224UC2</t>
  </si>
  <si>
    <t>Pauta Comunicaciones SA de CV</t>
  </si>
  <si>
    <t>PCO1603288L6</t>
  </si>
  <si>
    <t>Pavilion Diseño Y Arquitectura, S.A. De C.V.</t>
  </si>
  <si>
    <t>PDA020118FQ5</t>
  </si>
  <si>
    <t>Pb &amp; Id By Paola Y Federica, S.C.</t>
  </si>
  <si>
    <t>PAI140703GM6</t>
  </si>
  <si>
    <t>Pearl &amp; Pearl SA de CV</t>
  </si>
  <si>
    <t>PPE960925EV2</t>
  </si>
  <si>
    <t>Pegaso Servicio Integral De Turismo SA de CV</t>
  </si>
  <si>
    <t>PSI021114QE1</t>
  </si>
  <si>
    <t>Penguin Random House Grupo Editorial, S.A. De C.V.</t>
  </si>
  <si>
    <t>RHM540924EFA</t>
  </si>
  <si>
    <t>Periódico La Extra SA de CV</t>
  </si>
  <si>
    <t>PEX860211TE5</t>
  </si>
  <si>
    <t>Phonect, S.A. De C.V.</t>
  </si>
  <si>
    <t>PHO130128CI3</t>
  </si>
  <si>
    <t>Pinacoteca 2000, S.A. De C.V.</t>
  </si>
  <si>
    <t>PDM9005286U8</t>
  </si>
  <si>
    <t>Pineda Covalin, S.A. De C.V.</t>
  </si>
  <si>
    <t>PCO960904ST8</t>
  </si>
  <si>
    <t>Pinturas Josfel, S.A. De C.V.</t>
  </si>
  <si>
    <t>PJO0211088R4</t>
  </si>
  <si>
    <t>Pitney Bowes De México, S.A. De C.V.</t>
  </si>
  <si>
    <t>PBM940819HT5</t>
  </si>
  <si>
    <t>Plásticos y Fertilizantes De Morelos SA De C.V.</t>
  </si>
  <si>
    <t>PFM891014836</t>
  </si>
  <si>
    <t>Plata Villa De Polanco, S.A. De C.V.</t>
  </si>
  <si>
    <t>PVP920723D79</t>
  </si>
  <si>
    <t>Plattform Construcciones, S.A. De C.V.</t>
  </si>
  <si>
    <t>PCO100309P55</t>
  </si>
  <si>
    <t>Playmixes, S.A. De C.V.</t>
  </si>
  <si>
    <t>PLA08080861A</t>
  </si>
  <si>
    <t>Plaza Y Valdés, S.A. De C.V.</t>
  </si>
  <si>
    <t>PVA890818IY8</t>
  </si>
  <si>
    <t>Plm México, S.A. De C.V.</t>
  </si>
  <si>
    <t>PME850716PN5</t>
  </si>
  <si>
    <t>Polanco Hermanos, S.A. De C.V.</t>
  </si>
  <si>
    <t>PHE990728DXA</t>
  </si>
  <si>
    <t>Poliservicios, Tecnología E Ingeniería, S.A. De C.V.</t>
  </si>
  <si>
    <t>PTE1210296Y1</t>
  </si>
  <si>
    <t>Politeia Consultores En Evaluación, S.A. De C.V.</t>
  </si>
  <si>
    <t>PCE140407UQ4</t>
  </si>
  <si>
    <t>Polmherd De México SA de CV</t>
  </si>
  <si>
    <t>PME990726LB7</t>
  </si>
  <si>
    <t>Populus Fintec SAPI De CV</t>
  </si>
  <si>
    <t>PFI151110QJ7</t>
  </si>
  <si>
    <t>Por Ti Sea, A.C.</t>
  </si>
  <si>
    <t>TSE151217DCA</t>
  </si>
  <si>
    <t>Power Systems Service, S.A. De C.V.</t>
  </si>
  <si>
    <t>PSS990127RE5</t>
  </si>
  <si>
    <t>Prake Consultores Y Asesores, S.A. De C.V.</t>
  </si>
  <si>
    <t>PCA161013R16</t>
  </si>
  <si>
    <t>Presentation Services, S.A. De C.V.</t>
  </si>
  <si>
    <t>PSE931116PLA</t>
  </si>
  <si>
    <t>Prestigio En Moda SA de CV</t>
  </si>
  <si>
    <t>PMO841026HC2</t>
  </si>
  <si>
    <t>Producción De Eventos Y Display México, S.A. De C.V.</t>
  </si>
  <si>
    <t>PED140325SU5</t>
  </si>
  <si>
    <t>Producciones Balas, S.A. De C.V.</t>
  </si>
  <si>
    <t>PBA160309SM9</t>
  </si>
  <si>
    <t>Producciones De Proyecto Y Construcción Maya, S.A. De C.V.</t>
  </si>
  <si>
    <t>PCC020527TZ7</t>
  </si>
  <si>
    <t>Producciones Kinessis, S.A. De C.V.</t>
  </si>
  <si>
    <t>PKI910806NL9</t>
  </si>
  <si>
    <t>Producciones Video Hills, S.A. De C.V.</t>
  </si>
  <si>
    <t>PVH9005223A1</t>
  </si>
  <si>
    <t>Productos Lyt, S.A. De C.V.</t>
  </si>
  <si>
    <t>PLY911206FC9</t>
  </si>
  <si>
    <t>Productos Metálicos Steele, S.A. De C.V.</t>
  </si>
  <si>
    <t>PMS811203QE6</t>
  </si>
  <si>
    <t>Productos y Sistemas En Informática SA de CV</t>
  </si>
  <si>
    <t>PSI911216KA9</t>
  </si>
  <si>
    <t>Profesionales En Manejo De Datos, S.A. De C.V.</t>
  </si>
  <si>
    <t>PMD030717KGA</t>
  </si>
  <si>
    <t>Profhemsa SA de CV</t>
  </si>
  <si>
    <t>PRO960426EX2</t>
  </si>
  <si>
    <t>PCO891122NB0</t>
  </si>
  <si>
    <t>Promex Extintores, S.A. De C.V.</t>
  </si>
  <si>
    <t>PEX961112RA5</t>
  </si>
  <si>
    <t>Promexar, S.A. De C.V.</t>
  </si>
  <si>
    <t>PRO0804072R0</t>
  </si>
  <si>
    <t>Promotora Audiovisual MZ, S.A. De C.V.</t>
  </si>
  <si>
    <t>PAM1105133L5</t>
  </si>
  <si>
    <t>Promotora Byg S.A. De C.V.</t>
  </si>
  <si>
    <t>PBY091217V60</t>
  </si>
  <si>
    <t>Pronto Repartos Rápidos SA de CV</t>
  </si>
  <si>
    <t>PRR050906KG4</t>
  </si>
  <si>
    <t>Proper Services, S.A. De C.V.</t>
  </si>
  <si>
    <t>PSE9908261P9</t>
  </si>
  <si>
    <t>Propimex, S De R.L. De C.V.</t>
  </si>
  <si>
    <t>PRO840423SG8</t>
  </si>
  <si>
    <t>Prospectiva Informática y Administrativa, S.A. De C.V.</t>
  </si>
  <si>
    <t>PIA900509D77</t>
  </si>
  <si>
    <t>Protecto Glass de México SA de CV</t>
  </si>
  <si>
    <t>PGM940404E10</t>
  </si>
  <si>
    <t>Proveedora Din, S.A. De C.V.</t>
  </si>
  <si>
    <t>PDI120118UF2</t>
  </si>
  <si>
    <t>Proveedora Internacional De Servicios Intitucionales SA de CV</t>
  </si>
  <si>
    <t>PIS130508AA4</t>
  </si>
  <si>
    <t>PNM060331RQ7</t>
  </si>
  <si>
    <t>Proyecta Y Edifica, S.A. De C.V.</t>
  </si>
  <si>
    <t>PED990929PS8</t>
  </si>
  <si>
    <t>Proyecto Día, S.A. De C.V.</t>
  </si>
  <si>
    <t>PDI9512142Q5</t>
  </si>
  <si>
    <t>Proyecto E Instalaciones Integrales En Ingeniería, S.A. De C.V.</t>
  </si>
  <si>
    <t>PII991111CL6</t>
  </si>
  <si>
    <t>Proyectos Alternativos De Comunicación, S.A. De C.V.</t>
  </si>
  <si>
    <t>PAC000704N72</t>
  </si>
  <si>
    <t>Proyectos Edificaciones y Montajes SA de CV</t>
  </si>
  <si>
    <t>PEM050301KS6</t>
  </si>
  <si>
    <t>Proyectos Especiales Tic SA de CV</t>
  </si>
  <si>
    <t>PET1302229B5</t>
  </si>
  <si>
    <t>Proyectos Lumínicos SA</t>
  </si>
  <si>
    <t>PLU8303109G6</t>
  </si>
  <si>
    <t>Proyectos Recuperaciones E Inspecciones De México SA de CV</t>
  </si>
  <si>
    <t>PRI150721256</t>
  </si>
  <si>
    <t>Publicidad A Todo Color, S.A. De C.V.</t>
  </si>
  <si>
    <t>PTC1511179A1</t>
  </si>
  <si>
    <t>Puertas Automáticas De Veracruz, S.A. De C.V.</t>
  </si>
  <si>
    <t>PAV940921S3A</t>
  </si>
  <si>
    <t>Q Plus, S.A. de C.V.</t>
  </si>
  <si>
    <t>QPL980424K9A</t>
  </si>
  <si>
    <t>Qarta Sistemas, S.A. De C.V.</t>
  </si>
  <si>
    <t>QSI990312R52</t>
  </si>
  <si>
    <t>Qrea-t Solutions SA de CV</t>
  </si>
  <si>
    <t>QSO100827UB0</t>
  </si>
  <si>
    <t>Quadrax SA de CV</t>
  </si>
  <si>
    <t>QUA901030322</t>
  </si>
  <si>
    <t>Qualli Servicios Ti, S.A. De C.V.</t>
  </si>
  <si>
    <t>QST120409GU9</t>
  </si>
  <si>
    <t>R3m Soluciones, S.A. De C.V.</t>
  </si>
  <si>
    <t>RSO110727BG3</t>
  </si>
  <si>
    <t>Radamanthis, S.A. De C.V.</t>
  </si>
  <si>
    <t>RAD130715QK9</t>
  </si>
  <si>
    <t>Radefra Comunicación, S.A. De C.V.</t>
  </si>
  <si>
    <t>RCO111214BZ3</t>
  </si>
  <si>
    <t>Radiocomunicaciones Sakda, S.A. De C.V.</t>
  </si>
  <si>
    <t>RSA030408F38</t>
  </si>
  <si>
    <t>Radiomóvil Dipsa, S.A. De C.V.</t>
  </si>
  <si>
    <t>RDI841003QJ4</t>
  </si>
  <si>
    <t>Rasbo Soluciones De Negocios, S.A. De C.V.</t>
  </si>
  <si>
    <t>RSN120327DMA</t>
  </si>
  <si>
    <t>RDO080307KF2</t>
  </si>
  <si>
    <t>Rechtikal, S.A. De C.V.</t>
  </si>
  <si>
    <t>REC121107IMA</t>
  </si>
  <si>
    <t>Recycle Tech SA de CV</t>
  </si>
  <si>
    <t>RTE990419</t>
  </si>
  <si>
    <t>Redes Y Micros Del Oriente, S.A. De C.V.</t>
  </si>
  <si>
    <t>RMO9411122L0</t>
  </si>
  <si>
    <t>Redpack, S.A. De C.V.</t>
  </si>
  <si>
    <t>RED940114JX9</t>
  </si>
  <si>
    <t>Redsyscom, S.A. De C.V.</t>
  </si>
  <si>
    <t>RED020402FZA</t>
  </si>
  <si>
    <t>Refacciones Mexicanas, S.A. de C.V.</t>
  </si>
  <si>
    <t>RME620921HE3</t>
  </si>
  <si>
    <t>Registral Management, S.A. De C.V.</t>
  </si>
  <si>
    <t>RMA031205SQ1</t>
  </si>
  <si>
    <t>Reino Educativo, S.A. De C.V.</t>
  </si>
  <si>
    <t>RED150319QW8</t>
  </si>
  <si>
    <t>Renovacomex, S.A. De C.V.</t>
  </si>
  <si>
    <t>REN171023BW3</t>
  </si>
  <si>
    <t>Representaciones Y Control Administrativo SA de CV</t>
  </si>
  <si>
    <t>RCA940318R83</t>
  </si>
  <si>
    <t>Respuestas Optimas En Mayoreo S.A. De C.V.</t>
  </si>
  <si>
    <t>ROM900628QV1</t>
  </si>
  <si>
    <t>Rilke Management, S.A. De C.V.</t>
  </si>
  <si>
    <t>RMA161031DJ1</t>
  </si>
  <si>
    <t>Rincón Méndez Construcciones, S.A. De C.V.</t>
  </si>
  <si>
    <t>RMC160914FT3</t>
  </si>
  <si>
    <t>Rm Systems, S.A. De C.V.</t>
  </si>
  <si>
    <t>RSY130429NW3</t>
  </si>
  <si>
    <t>Robotec Alta Tecnología En Seguridad Privada, S.A. De C.V.</t>
  </si>
  <si>
    <t>RAT970109BU6</t>
  </si>
  <si>
    <t>Rodriguez y Navarro Consultoría Legal SC</t>
  </si>
  <si>
    <t>RNC1508115GA</t>
  </si>
  <si>
    <t>Roost Control De Plagas Y Servicios, S.A. De C.V.</t>
  </si>
  <si>
    <t>RCP040119SP3</t>
  </si>
  <si>
    <t>Root Technologies, S.C.</t>
  </si>
  <si>
    <t>RTE040625HF8</t>
  </si>
  <si>
    <t>Sabercomo, S.A. De C.V.</t>
  </si>
  <si>
    <t>SAB051015141</t>
  </si>
  <si>
    <t>Sabormex, S.A. De C.V.</t>
  </si>
  <si>
    <t>SAB9407014V3</t>
  </si>
  <si>
    <t>Sacmag De México SA de CV</t>
  </si>
  <si>
    <t>SME850212FD0</t>
  </si>
  <si>
    <t>Sai Consultores SC</t>
  </si>
  <si>
    <t>SAI950920KS8</t>
  </si>
  <si>
    <t>Sales Del Istmo, S.A. De C.V.</t>
  </si>
  <si>
    <t>SIS811210H53</t>
  </si>
  <si>
    <t>Samurai Motors Ciudad De México, S. De R.L. De C.V.</t>
  </si>
  <si>
    <t>SMC171030UG5</t>
  </si>
  <si>
    <t>Sandoval Sacal Cohen Y Compañía SC</t>
  </si>
  <si>
    <t>SSC091020MQ8</t>
  </si>
  <si>
    <t>Sanipap De México, S.A. De C.V.</t>
  </si>
  <si>
    <t>SME0608184Z2</t>
  </si>
  <si>
    <t>Santamaría Reyes Y Asociados, S.A. De C.V.</t>
  </si>
  <si>
    <t>SRA970404QH0</t>
  </si>
  <si>
    <t>Savener Eventos Y Servicios, S.A. De C.V.</t>
  </si>
  <si>
    <t>SES130419489</t>
  </si>
  <si>
    <t>Segtec SA de CV</t>
  </si>
  <si>
    <t>SEG030317E48</t>
  </si>
  <si>
    <t>Segudirecto Agente De Seguros y De Fianzas SA de CV</t>
  </si>
  <si>
    <t>Seguimiento Técnico Ambiental, S.A. De C.V.</t>
  </si>
  <si>
    <t>STA020703444</t>
  </si>
  <si>
    <t>Segurisk, Agente de Seguros y de Fianzas, S.A. de C.V.</t>
  </si>
  <si>
    <t>SAS050314PA2</t>
  </si>
  <si>
    <t>Seguros Inbursa, S.A. Grupo Financiero Inbursa</t>
  </si>
  <si>
    <t>SIN9408027L7</t>
  </si>
  <si>
    <t>Selipro SA de CV</t>
  </si>
  <si>
    <t>SEL140507KH0</t>
  </si>
  <si>
    <t>Serbitecsa, S.A. De C.V.</t>
  </si>
  <si>
    <t>SER080612IY7</t>
  </si>
  <si>
    <t>Serret Derbez Hydraulic Power, S.A. De C.V.</t>
  </si>
  <si>
    <t>SDH050517II7</t>
  </si>
  <si>
    <t>Serretecno SA de CV</t>
  </si>
  <si>
    <t>SER911203JU5</t>
  </si>
  <si>
    <t>Servi Estructuras Alfa SA de CV</t>
  </si>
  <si>
    <t>SEA760803S60</t>
  </si>
  <si>
    <t>Servicio Instalación Mantenimiento Y Asesoría De Equipos De Accesibilidad SA</t>
  </si>
  <si>
    <t>SIM080805SK1</t>
  </si>
  <si>
    <t>Servicio Integral En Computación, S.A. De C.V.</t>
  </si>
  <si>
    <t>SIC940816J2A</t>
  </si>
  <si>
    <t>Servicio Postal Mexicano</t>
  </si>
  <si>
    <t>SPM860820CF5</t>
  </si>
  <si>
    <t>Servicios Akj, S.A. De C.V.</t>
  </si>
  <si>
    <t>SAK11061699A</t>
  </si>
  <si>
    <t>Servicios De Capacitación, Asesoría Y Productividad, S.C.</t>
  </si>
  <si>
    <t>SCA891107NM5</t>
  </si>
  <si>
    <t>Servicios De Energía Ininterrumpible, S.A. De C.V.</t>
  </si>
  <si>
    <t>SEI001019RW3</t>
  </si>
  <si>
    <t>Servicios De Interiorismo Master Key SA de CV</t>
  </si>
  <si>
    <t>SIM150526V66</t>
  </si>
  <si>
    <t>Servicios Especializados En Sistemas De Gestión, S.C.</t>
  </si>
  <si>
    <t>SES0504083N6</t>
  </si>
  <si>
    <t>Servicios Especializados En Teleinformática, S.A. De C.V.</t>
  </si>
  <si>
    <t>SET061122NX8</t>
  </si>
  <si>
    <t>Servicios Integrales De Valoración S de RL de CV</t>
  </si>
  <si>
    <t>SIV141017541</t>
  </si>
  <si>
    <t>Servicios Integrales En Promoción Y Comunicación, S.A. De C.V.</t>
  </si>
  <si>
    <t>SIP121211665</t>
  </si>
  <si>
    <t>Servicios Integrales Vencher SA de CV</t>
  </si>
  <si>
    <t>SIV030412VB3</t>
  </si>
  <si>
    <t>Servicios Jurídicos Sistematizados Serjusis, S.C.</t>
  </si>
  <si>
    <t>SJS0905252R7</t>
  </si>
  <si>
    <t>Servicios Profesionales Ra, S.A. De C.V.</t>
  </si>
  <si>
    <t>SPR050628PX2</t>
  </si>
  <si>
    <t>Servicios Tecnología y Organización SA de CV</t>
  </si>
  <si>
    <t>STO020301G28</t>
  </si>
  <si>
    <t>Servicios Troncalizados SA de CV</t>
  </si>
  <si>
    <t>STR900622ES9</t>
  </si>
  <si>
    <t>Sesiti, S.A. de C.V.</t>
  </si>
  <si>
    <t>SES0305069R7</t>
  </si>
  <si>
    <t>Sffeera Producciones, S.A. De C.V.</t>
  </si>
  <si>
    <t>SPR070207L75</t>
  </si>
  <si>
    <t>Sharp Corporation México, S.A. De C.V.</t>
  </si>
  <si>
    <t>SCM091023TW3</t>
  </si>
  <si>
    <t>Sictel Arrendamiento, S.A. De C.V.</t>
  </si>
  <si>
    <t>SAR000225UE4</t>
  </si>
  <si>
    <t>Sictel Soluciones TI, S.A. de C.V.</t>
  </si>
  <si>
    <t>SST940111LG1</t>
  </si>
  <si>
    <t>Siglo XXI Editores, S.A. De C.V.</t>
  </si>
  <si>
    <t>SVE8210018I5</t>
  </si>
  <si>
    <t>Sinergia Consultoría y Capacitación En Calidad SC</t>
  </si>
  <si>
    <t>SCC0605025Q7</t>
  </si>
  <si>
    <t>Sinergia Participativa, S.A. De C.V.</t>
  </si>
  <si>
    <t>SPA090908CU3</t>
  </si>
  <si>
    <t>Sinteg En México, S.A. De C.V.</t>
  </si>
  <si>
    <t>SME9002277T7</t>
  </si>
  <si>
    <t>Siroel Proyectos SAPI De CV</t>
  </si>
  <si>
    <t>SPR130319LT7</t>
  </si>
  <si>
    <t>Sistema De Energía Ininterrumpida, S.A. de C.V.</t>
  </si>
  <si>
    <t>SEI930315MW9</t>
  </si>
  <si>
    <t>Sistemas De Acondicionamiento Ambiental, S.A. De C.V.</t>
  </si>
  <si>
    <t>SAA7609095Q0</t>
  </si>
  <si>
    <t>Sistemas De Energía Sise, S.A. De C.V.</t>
  </si>
  <si>
    <t>SES101101ENA</t>
  </si>
  <si>
    <t>Sistemas Digitales En Audio Y Video, S.A. De C.V.</t>
  </si>
  <si>
    <t>SDA881122NT7</t>
  </si>
  <si>
    <t>Sistemas Neumáticos De Envíos, S.A. De C.V.</t>
  </si>
  <si>
    <t>Sistemas Sintel, S.A. De C.V.</t>
  </si>
  <si>
    <t>SSI841005TN0</t>
  </si>
  <si>
    <t>Sistemas y Servicios De Alta Tecnología SA de CV</t>
  </si>
  <si>
    <t>SSA010402FA0</t>
  </si>
  <si>
    <t>Siva Consultoría En Seguridad, S.A. De C.V.</t>
  </si>
  <si>
    <t>SCS161122SS1</t>
  </si>
  <si>
    <t>Siva Security Intelligence Vision &amp; Advising, S.A. De C.V.</t>
  </si>
  <si>
    <t>SSI050621GVA</t>
  </si>
  <si>
    <t>Six Flags México, S.A. De C.V.</t>
  </si>
  <si>
    <t>RAV790322QY4</t>
  </si>
  <si>
    <t>Skandatecnology Advisors, S.A. De C.V.</t>
  </si>
  <si>
    <t>SAD090420959</t>
  </si>
  <si>
    <t>Sm Global Fast SA de CV</t>
  </si>
  <si>
    <t>SGF150608D92</t>
  </si>
  <si>
    <t>Soestra SA de CV</t>
  </si>
  <si>
    <t>SOE1505187P8</t>
  </si>
  <si>
    <t>Sofam Motos, S.A. De C.V.</t>
  </si>
  <si>
    <t>SMO120213MA2</t>
  </si>
  <si>
    <t>Soft Computing México SA de CV</t>
  </si>
  <si>
    <t>SCM151211UA4</t>
  </si>
  <si>
    <t>Software Blancco, S.A. De C.V.</t>
  </si>
  <si>
    <t>SBL1008258T0</t>
  </si>
  <si>
    <t>Solecsus SA de CV</t>
  </si>
  <si>
    <t>SOL1303057K6</t>
  </si>
  <si>
    <t>Sollertis Consultores, S.C.</t>
  </si>
  <si>
    <t>SCO110208942</t>
  </si>
  <si>
    <t>Solución Publicitaria y Eventos SA de CV</t>
  </si>
  <si>
    <t>SPE130207LW6</t>
  </si>
  <si>
    <t>Soluciones Alfaeficiencia, S.A. De C.V.</t>
  </si>
  <si>
    <t>SAL090511PV6</t>
  </si>
  <si>
    <t>Soluciones Capitales SA de CV</t>
  </si>
  <si>
    <t>SCA1302219U1</t>
  </si>
  <si>
    <t>Soluciones Integrales A Equipos De Oficina, S.A. De C.V.</t>
  </si>
  <si>
    <t>SIA0909017R8</t>
  </si>
  <si>
    <t>Soluciones Integrales Amr, S.A. De C.V.</t>
  </si>
  <si>
    <t>SIA940408THA</t>
  </si>
  <si>
    <t>Soluciones Integrales En Conscptos SC</t>
  </si>
  <si>
    <t>SIC150610170</t>
  </si>
  <si>
    <t>Soluciones Integrales Para Bibliotecas y Archivos SA de CV</t>
  </si>
  <si>
    <t>SIB050603RK4</t>
  </si>
  <si>
    <t>Soluciones Integrales Para Redes Y Sistemas De Cómputo, S.A. De C.V.</t>
  </si>
  <si>
    <t>SIR99022694A</t>
  </si>
  <si>
    <t>Soluciones Inteligentes Solin SA de CV</t>
  </si>
  <si>
    <t>SIS1211079J4</t>
  </si>
  <si>
    <t>Soluciones para Ti, S.A. de C.V.</t>
  </si>
  <si>
    <t>STI070725SAA</t>
  </si>
  <si>
    <t>Soluciones Samsara Services, S.A. De C.V.</t>
  </si>
  <si>
    <t>SSS111110DKA</t>
  </si>
  <si>
    <t>Soluciones Tecnológicas Especializadas, S.A. De C.V.</t>
  </si>
  <si>
    <t>STE040914LI2</t>
  </si>
  <si>
    <t>Somboruco Films, S.A. De C.V.</t>
  </si>
  <si>
    <t>SFI140905PC6</t>
  </si>
  <si>
    <t>Sonda México SA de CV</t>
  </si>
  <si>
    <t>SME040223T23</t>
  </si>
  <si>
    <t>Soundspace, S.A. De C.V.</t>
  </si>
  <si>
    <t>SOU031210613</t>
  </si>
  <si>
    <t>Sperto Digital SA de CV</t>
  </si>
  <si>
    <t>SDI120926K49</t>
  </si>
  <si>
    <t>Stallum Construcciones Globales, S.A. de C.V.</t>
  </si>
  <si>
    <t>SCG161201TUO</t>
  </si>
  <si>
    <t>Sublicompany SA de CV</t>
  </si>
  <si>
    <t>SUB1304186R4</t>
  </si>
  <si>
    <t>Surman Anzures, S.A. De C.V.</t>
  </si>
  <si>
    <t>SAN070511T77</t>
  </si>
  <si>
    <t>Suven, S.A. De C.V.</t>
  </si>
  <si>
    <t>SUV130405TK8</t>
  </si>
  <si>
    <t>Suzuka Motos, S. De R.L. De C.V.</t>
  </si>
  <si>
    <t>SMO070514DS4</t>
  </si>
  <si>
    <t>Tabacos De Santa Fe, S.A. De C.V.</t>
  </si>
  <si>
    <t>TSF9905049L6</t>
  </si>
  <si>
    <t>Talento SA de CV</t>
  </si>
  <si>
    <t>TAL810120K38</t>
  </si>
  <si>
    <t>Taller Espiral, S.C.</t>
  </si>
  <si>
    <t>TES1006178P2</t>
  </si>
  <si>
    <t>Tares Taller De Arquitectura Y Restauración, S.A. De C.V.</t>
  </si>
  <si>
    <t>TTA091015833</t>
  </si>
  <si>
    <t>TDMA Celular, S.A. De C.V.</t>
  </si>
  <si>
    <t>TDM000815SK4</t>
  </si>
  <si>
    <t>Teaasi Video, S.A. De C.V.</t>
  </si>
  <si>
    <t>TVI130211GD6</t>
  </si>
  <si>
    <t>TEC Electrónica, S.A. De C.V.</t>
  </si>
  <si>
    <t>TEL920701QXA</t>
  </si>
  <si>
    <t>Tech Storm, S.A. De C.V.</t>
  </si>
  <si>
    <t>TST0603206T3</t>
  </si>
  <si>
    <t>Técnicas En Iluminación Urman, S.A. De C.V.</t>
  </si>
  <si>
    <t>TIU140528GLA</t>
  </si>
  <si>
    <t>Tecnología &amp; Contacto SA de CV</t>
  </si>
  <si>
    <t>T&amp;C991118HH5</t>
  </si>
  <si>
    <t>Tecnología En Comunicaciones E Informática, S.A. De C.V.</t>
  </si>
  <si>
    <t>TCI980226AY8</t>
  </si>
  <si>
    <t>Tecnología Especializada Bitcom, S.A. De C.V.</t>
  </si>
  <si>
    <t>TEB1406231E8</t>
  </si>
  <si>
    <t>Tecnología Integral Ronu, S.A. De C.V.</t>
  </si>
  <si>
    <t>TIR140207ED6</t>
  </si>
  <si>
    <t>Tecnología Y Soluciones En Luz, S.A. De C.V.</t>
  </si>
  <si>
    <t>TSL0810061I3</t>
  </si>
  <si>
    <t>Tecnologías Digitales Alternas De México, S. De R.L. De C.V.</t>
  </si>
  <si>
    <t>TDA100816147</t>
  </si>
  <si>
    <t>Tecnoprogramación Humana Especializada en Sistemas Operativos, S.A. de C.V.</t>
  </si>
  <si>
    <t>THE8701087R8</t>
  </si>
  <si>
    <t>Telecomunicaciones De México</t>
  </si>
  <si>
    <t>TME891117F56</t>
  </si>
  <si>
    <t>Telecomunicaciones Multidestino, S.A. De C.V.</t>
  </si>
  <si>
    <t>TMU9308161H5</t>
  </si>
  <si>
    <t>Teléfonos De México, S. A. B. De C. V.</t>
  </si>
  <si>
    <t>Telemática Lefic, S.A. De C.V.</t>
  </si>
  <si>
    <t>TLE931001GT5</t>
  </si>
  <si>
    <t>Teletec De México, S.A.P.I. De C.V.</t>
  </si>
  <si>
    <t>TME910924TL5</t>
  </si>
  <si>
    <t>Thales México, S.A. de C.V.</t>
  </si>
  <si>
    <t>TSS000724HT5</t>
  </si>
  <si>
    <t>The Anglo Mexican Foundation, A.C.</t>
  </si>
  <si>
    <t>AMF430610EK1</t>
  </si>
  <si>
    <t>The Os Del Sureste SA de CV</t>
  </si>
  <si>
    <t>OSU990909393</t>
  </si>
  <si>
    <t>Thorsmex SA de CV</t>
  </si>
  <si>
    <t>THO961212IK7</t>
  </si>
  <si>
    <t>Thyssenkrupp Elevadores, S.A. De C.V.</t>
  </si>
  <si>
    <t>TEL940531FV9</t>
  </si>
  <si>
    <t>Tirant Lo Blanch México S de RL de CV</t>
  </si>
  <si>
    <t>TLB110322C48</t>
  </si>
  <si>
    <t>Tlaseca Construcciones, S.A. De C.V.</t>
  </si>
  <si>
    <t>TCO031121517</t>
  </si>
  <si>
    <t>Todalaprensa SA de CV</t>
  </si>
  <si>
    <t>TOD001012FH8</t>
  </si>
  <si>
    <t>Toldos y Cubiertas A Tensión SA de CV</t>
  </si>
  <si>
    <t>TCT0207232I2</t>
  </si>
  <si>
    <t>Toma De Protesta SA de CV</t>
  </si>
  <si>
    <t>TPR0306184U6</t>
  </si>
  <si>
    <t>Toptel, S. De R.L. De C.V.</t>
  </si>
  <si>
    <t>TOP000419QFA</t>
  </si>
  <si>
    <t>Tqv Mx SA de CV</t>
  </si>
  <si>
    <t>CCA120828H27</t>
  </si>
  <si>
    <t>Tradeleco México, S. De R. L. De C. V.</t>
  </si>
  <si>
    <t>TME140204GP5</t>
  </si>
  <si>
    <t>Trans-Comunicación, S.A. De C.V.</t>
  </si>
  <si>
    <t>TRA1201314F1</t>
  </si>
  <si>
    <t>Transportadora De Protección Y Seguridad, S.A. De C.V.</t>
  </si>
  <si>
    <t>TPS941223UG9</t>
  </si>
  <si>
    <t>Tres News Producciones SA de CV</t>
  </si>
  <si>
    <t>TNP040917SP5</t>
  </si>
  <si>
    <t>Treshwa Blue Solutions, S. De R.L. De C.V.</t>
  </si>
  <si>
    <t>TBS121122U58</t>
  </si>
  <si>
    <t>Treta Iluminación, S.A. De C.V.</t>
  </si>
  <si>
    <t>TIL890220N87</t>
  </si>
  <si>
    <t>Trilce Ediciones SA de CV</t>
  </si>
  <si>
    <t>TED910618C83</t>
  </si>
  <si>
    <t>Trustnet De México, S.A. De C.V.</t>
  </si>
  <si>
    <t>TME001110NR9</t>
  </si>
  <si>
    <t>Turavisión, S.A. De C.V.</t>
  </si>
  <si>
    <t>TUR920807TQ3</t>
  </si>
  <si>
    <t>Turismo Y Convenciones SA de CV</t>
  </si>
  <si>
    <t>TCO920113174</t>
  </si>
  <si>
    <t>Tv Por Internet De Oaxaca, S.A. De C.V.</t>
  </si>
  <si>
    <t>TIO090407278</t>
  </si>
  <si>
    <t>Tvm Técnicos Verticales De México, S.A. De C.V.</t>
  </si>
  <si>
    <t>TTV0711095D2</t>
  </si>
  <si>
    <t>Ubando Ingeniería SA de CV</t>
  </si>
  <si>
    <t>UIN060511EX7</t>
  </si>
  <si>
    <t>Un Logro Mas, S.A. De C.V.</t>
  </si>
  <si>
    <t>ULM011128DC0</t>
  </si>
  <si>
    <t>Único Vidrios, Domos Y Aluminio, S.A. De C.V.</t>
  </si>
  <si>
    <t>UVD0610166TA</t>
  </si>
  <si>
    <t>Uniformes Carsan SA de CV</t>
  </si>
  <si>
    <t>UCA140325TL3</t>
  </si>
  <si>
    <t>Uniformes Médicos y Desechables, S.A. de C.V.</t>
  </si>
  <si>
    <t>UMD100309Q9A</t>
  </si>
  <si>
    <t>Universidad Autónoma Metropolitana</t>
  </si>
  <si>
    <t>UAM740101AR1</t>
  </si>
  <si>
    <t>Universidad Iberoamericana, A.C.</t>
  </si>
  <si>
    <t>UIB540920IT3</t>
  </si>
  <si>
    <t>Universidad La Salle, A.C.</t>
  </si>
  <si>
    <t>USA620620N49</t>
  </si>
  <si>
    <t>Universidad Nacional Autónoma De México</t>
  </si>
  <si>
    <t>UNA2907227Y5</t>
  </si>
  <si>
    <t>Uribe Ingenieros Asociados, S.A. De C.V.</t>
  </si>
  <si>
    <t>UIA840406731</t>
  </si>
  <si>
    <t>Vaday De México SA de CV</t>
  </si>
  <si>
    <t>VME090323463</t>
  </si>
  <si>
    <t>Valet Parking Bps, S. De R.L. De C.V.</t>
  </si>
  <si>
    <t>VPB090903LP4</t>
  </si>
  <si>
    <t>Vanume, S. De R.L. De C.V.</t>
  </si>
  <si>
    <t>VAN120217V12</t>
  </si>
  <si>
    <t>Vari Internacional, S.A. De C.V.</t>
  </si>
  <si>
    <t>VIN970715UB5</t>
  </si>
  <si>
    <t>Vector Impulsor De Proyectos, S.A. De C.V.</t>
  </si>
  <si>
    <t>VIP111024LR4</t>
  </si>
  <si>
    <t>Vehículos Santa Fe, S.A. De C.V.</t>
  </si>
  <si>
    <t>VSF100322GR2</t>
  </si>
  <si>
    <t>Velázquez Focos, S.A. De C.V.</t>
  </si>
  <si>
    <t>VFO841003RS6</t>
  </si>
  <si>
    <t>Ventas Y Servicios Al Consumidor, S.A De C.V</t>
  </si>
  <si>
    <t>VSC8609016J2</t>
  </si>
  <si>
    <t>Ventor Internacional SA de CV</t>
  </si>
  <si>
    <t>VIN000811HT2</t>
  </si>
  <si>
    <t>Versus Focum, S.A. De C.V.</t>
  </si>
  <si>
    <t>VFO071219A39</t>
  </si>
  <si>
    <t>Verticalmex, S.A. De C.V.</t>
  </si>
  <si>
    <t>VER1307057B4</t>
  </si>
  <si>
    <t>Viajes Alpandeire, S.A. De C.V.</t>
  </si>
  <si>
    <t>VAL8601103X4</t>
  </si>
  <si>
    <t>Viajes Gengis Khan SA de CV</t>
  </si>
  <si>
    <t>VGK820210KR1</t>
  </si>
  <si>
    <t>Viajes Helvetia, S.A. De C.V.</t>
  </si>
  <si>
    <t>Viajes Premier, S.A.</t>
  </si>
  <si>
    <t>VPR680820KU9</t>
  </si>
  <si>
    <t>Viajes Saeta SA de CV</t>
  </si>
  <si>
    <t>VSA840915TT0</t>
  </si>
  <si>
    <t>Víctor Enrique Gutiérrez Hernández</t>
  </si>
  <si>
    <t>Vidac, S.A. De C.V.</t>
  </si>
  <si>
    <t>VID9902188A2</t>
  </si>
  <si>
    <t>Videoservicios, S.A. De C.V.</t>
  </si>
  <si>
    <t>VID850330QL2</t>
  </si>
  <si>
    <t>Viejo Ferretería Y Materiales, S.A. De C.V.</t>
  </si>
  <si>
    <t>VFM810514595</t>
  </si>
  <si>
    <t>Vip Vallarta Transportaciones Y Servicios, S. De R.L. De C.V.</t>
  </si>
  <si>
    <t>VVT120821RX4</t>
  </si>
  <si>
    <t>Vitruvio. Ingeniería Cultural SA de CV</t>
  </si>
  <si>
    <t>VIC120831TH9</t>
  </si>
  <si>
    <t>VAN120928ID2</t>
  </si>
  <si>
    <t>Vocación Central, S.C.</t>
  </si>
  <si>
    <t>VCE120816I3A</t>
  </si>
  <si>
    <t>White &amp; Case, S.C.</t>
  </si>
  <si>
    <t>W&amp;C950609I42</t>
  </si>
  <si>
    <t>Wikiempresa SA de CV</t>
  </si>
  <si>
    <t>WIK130301B36</t>
  </si>
  <si>
    <t>World Wide Tech Ventures SAPI De CV</t>
  </si>
  <si>
    <t>WWT1305076R0</t>
  </si>
  <si>
    <t>Zaira Lizbeth Martínez Laurel</t>
  </si>
  <si>
    <t>ZTI071120DX8</t>
  </si>
  <si>
    <t>Zuri 1 Comunicación, S.A. De C.V.</t>
  </si>
  <si>
    <t>ZUC0310205U4</t>
  </si>
  <si>
    <t>GID170104788</t>
  </si>
  <si>
    <t>PIA970404KE8</t>
  </si>
  <si>
    <t>JEFA DE UNIDAD DE RELACIONES LABORALES Y SERVICIOS</t>
  </si>
  <si>
    <t>MTRO. LUIS GENARO VÁSQUEZ RODRIGUEZ</t>
  </si>
  <si>
    <t>DIRECTOR GENERAL DE ASUNTOS JURÍDICOS</t>
  </si>
  <si>
    <t>NOMBRE</t>
  </si>
  <si>
    <t>CARGO</t>
  </si>
  <si>
    <t>MTRA. RUTH BERRONES ROMERO</t>
  </si>
  <si>
    <t>ING. ÁNGEL ADRIÁN ALCÁNTARA ARRIETA</t>
  </si>
  <si>
    <t>LIC. DEMETRIO FIDEL ORTIZ BARRAGÁN</t>
  </si>
  <si>
    <t>LIC. JOSÉ MÁRQUEZ BORBOLLA</t>
  </si>
  <si>
    <t>ING. JORGE ALBERTO LAGARD REYES</t>
  </si>
  <si>
    <t>ING. JESÚS ANTONIO CANCHE PECH</t>
  </si>
  <si>
    <t>DIRECTOR DE INGENIERÍA Y OPERACIONES DEL CANAL DEL CONGRESO</t>
  </si>
  <si>
    <t>DIRECTOR GENERAL DE RESGUARDO PARLAMENTARIO</t>
  </si>
  <si>
    <t>JEFE DE LA UNIDAD DE EVENTOS</t>
  </si>
  <si>
    <t>DIRECTOR GENERAL DE INFORMÁTICA Y TELECOMUNICACIONES</t>
  </si>
  <si>
    <t>DIRECTOR DE MANTENIMIENTO DE BIENES MUEBLES E INMUEBLES</t>
  </si>
  <si>
    <t>LIC. JORGE ALBERTO MEDINA GONZÁLEZ</t>
  </si>
  <si>
    <t>DIRECTOR GENERAL DE RECURSOS MATERIALES Y SERVICIOS</t>
  </si>
  <si>
    <t>LIC. CARLOS ENRIQUE ROSALES GUEVARA</t>
  </si>
  <si>
    <t>ING. ALEJANDRA CARMONA ROSARIO</t>
  </si>
  <si>
    <t>JEFA DE DEPARTAMENTO DE PEDIDOS Y CONTRATOS</t>
  </si>
  <si>
    <t>LIC. DIEGO ISAÍAS LEAL RIVERA</t>
  </si>
  <si>
    <t>SUBDIRECTOR DE PROGRAMAS Y CONTRATOS DE ADQUISICIONES</t>
  </si>
  <si>
    <t>LIC. ANA ELBA MAC LIBERTY NOVELO</t>
  </si>
  <si>
    <t>DIRECTORA DE ADQUISICIONES</t>
  </si>
  <si>
    <t>DIRECTOR DE GESTIÓN ADMINISTRATIVA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</si>
</sst>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8" formatCode="&quot;$&quot;#,##0.00;[Red]\-&quot;$&quot;#,##0.00"/>
    <numFmt numFmtId="44" formatCode="_-&quot;$&quot;* #,##0.00_-;\-&quot;$&quot;* #,##0.00_-;_-&quot;$&quot;* &quot;-&quot;??_-;_-@_-"/>
    <numFmt numFmtId="43" formatCode="_-* #,##0.00_-;\-* #,##0.00_-;_-* &quot;-&quot;??_-;_-@_-"/>
    <numFmt numFmtId="164" formatCode="_-&quot;US$&quot;* #,##0.00_-;\-&quot;US$&quot;* #,##0.00_-;_-&quot;US$&quot;* &quot;-&quot;??_-;_-@_-"/>
    <numFmt numFmtId="165" formatCode="[$$-80A]#,##0.00"/>
    <numFmt numFmtId="166" formatCode="&quot;US$&quot;#,##0.00"/>
    <numFmt numFmtId="167" formatCode="[$$-80A]#,##0.0000"/>
    <numFmt numFmtId="168" formatCode="_-[$$-80A]* #,##0.00_-;\-[$$-80A]* #,##0.00_-;_-[$$-80A]* &quot;-&quot;??_-;_-@_-"/>
    <numFmt numFmtId="169" formatCode="[$$-409]#,##0.00"/>
    <numFmt numFmtId="170" formatCode="&quot;$&quot;#,##0.00"/>
    <numFmt numFmtId="171" formatCode="0.0000000%"/>
    <numFmt numFmtId="172" formatCode="0.00000000%"/>
    <numFmt numFmtId="173" formatCode="_-* #,##0.0000000000_-;\-* #,##0.0000000000_-;_-* &quot;-&quot;??_-;_-@_-"/>
    <numFmt numFmtId="174" formatCode="_-* #,##0.000_-;\-* #,##0.000_-;_-* &quot;-&quot;??_-;_-@_-"/>
    <numFmt numFmtId="175" formatCode="_-* #,##0_-;\-* #,##0_-;_-* &quot;-&quot;??_-;_-@_-"/>
    <numFmt numFmtId="176" formatCode="0.0000%"/>
  </numFmts>
  <fonts count="103"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
      <scheme val="minor"/>
    </font>
    <font>
      <sz val="11"/>
      <color rgb="FFFF0000"/>
      <name val="Calibri"/>
      <family val="2"/>
      <charset val="1"/>
      <scheme val="minor"/>
    </font>
    <font>
      <b/>
      <sz val="11"/>
      <name val="Calibri"/>
      <family val="2"/>
      <scheme val="minor"/>
    </font>
    <font>
      <b/>
      <sz val="11"/>
      <color theme="1"/>
      <name val="Calibri"/>
      <family val="2"/>
      <scheme val="minor"/>
    </font>
    <font>
      <b/>
      <sz val="11"/>
      <color rgb="FFFF0000"/>
      <name val="Calibri"/>
      <family val="2"/>
      <scheme val="minor"/>
    </font>
    <font>
      <sz val="11"/>
      <name val="Calibri"/>
      <family val="2"/>
      <scheme val="minor"/>
    </font>
    <font>
      <sz val="10"/>
      <color theme="1"/>
      <name val="Calibri"/>
      <family val="2"/>
      <charset val="1"/>
      <scheme val="minor"/>
    </font>
    <font>
      <b/>
      <sz val="10"/>
      <color theme="1"/>
      <name val="Calibri"/>
      <family val="2"/>
      <scheme val="minor"/>
    </font>
    <font>
      <sz val="9"/>
      <color theme="1"/>
      <name val="Calibri"/>
      <family val="2"/>
      <charset val="1"/>
      <scheme val="minor"/>
    </font>
    <font>
      <sz val="11"/>
      <color theme="1"/>
      <name val="Calibri"/>
      <family val="2"/>
      <scheme val="minor"/>
    </font>
    <font>
      <sz val="11"/>
      <color rgb="FFFF0000"/>
      <name val="Calibri"/>
      <family val="2"/>
      <scheme val="minor"/>
    </font>
    <font>
      <sz val="11"/>
      <name val="Calibri"/>
      <family val="2"/>
      <charset val="1"/>
      <scheme val="minor"/>
    </font>
    <font>
      <sz val="9"/>
      <color theme="1"/>
      <name val="Calibri"/>
      <family val="2"/>
      <scheme val="minor"/>
    </font>
    <font>
      <sz val="8"/>
      <color theme="1"/>
      <name val="Calibri"/>
      <family val="2"/>
      <scheme val="minor"/>
    </font>
    <font>
      <sz val="10"/>
      <color theme="1"/>
      <name val="Calibri"/>
      <family val="2"/>
      <scheme val="minor"/>
    </font>
    <font>
      <sz val="8"/>
      <name val="Calibri"/>
      <family val="2"/>
    </font>
    <font>
      <b/>
      <sz val="11"/>
      <color rgb="FF7030A0"/>
      <name val="Calibri"/>
      <family val="2"/>
      <scheme val="minor"/>
    </font>
    <font>
      <b/>
      <sz val="14"/>
      <color theme="1"/>
      <name val="Calibri"/>
      <family val="2"/>
      <scheme val="minor"/>
    </font>
    <font>
      <sz val="11"/>
      <color indexed="8"/>
      <name val="Calibri"/>
      <family val="2"/>
      <scheme val="minor"/>
    </font>
    <font>
      <sz val="9"/>
      <color indexed="8"/>
      <name val="Calibri"/>
      <family val="2"/>
      <scheme val="minor"/>
    </font>
    <font>
      <b/>
      <sz val="11"/>
      <color theme="0"/>
      <name val="Calibri"/>
      <family val="2"/>
      <scheme val="minor"/>
    </font>
    <font>
      <sz val="11"/>
      <color rgb="FF006100"/>
      <name val="Calibri"/>
      <family val="2"/>
      <scheme val="minor"/>
    </font>
    <font>
      <sz val="11"/>
      <color rgb="FF00B050"/>
      <name val="Calibri"/>
      <family val="2"/>
      <scheme val="minor"/>
    </font>
    <font>
      <sz val="10"/>
      <color rgb="FF00B050"/>
      <name val="Calibri"/>
      <family val="2"/>
      <scheme val="minor"/>
    </font>
    <font>
      <b/>
      <sz val="12"/>
      <color theme="1"/>
      <name val="Calibri"/>
      <family val="2"/>
      <scheme val="minor"/>
    </font>
    <font>
      <sz val="11"/>
      <color rgb="FF7030A0"/>
      <name val="Calibri"/>
      <family val="2"/>
      <scheme val="minor"/>
    </font>
    <font>
      <i/>
      <sz val="11"/>
      <color theme="1"/>
      <name val="Calibri"/>
      <family val="2"/>
      <scheme val="minor"/>
    </font>
    <font>
      <b/>
      <sz val="10"/>
      <color theme="0"/>
      <name val="Calibri"/>
      <family val="2"/>
      <scheme val="minor"/>
    </font>
    <font>
      <b/>
      <sz val="9"/>
      <color theme="0"/>
      <name val="Calibri"/>
      <family val="2"/>
      <scheme val="minor"/>
    </font>
    <font>
      <sz val="11"/>
      <color theme="4" tint="-0.249977111117893"/>
      <name val="Calibri"/>
      <family val="2"/>
      <scheme val="minor"/>
    </font>
    <font>
      <sz val="11"/>
      <color theme="4" tint="-0.249977111117893"/>
      <name val="Calibri"/>
      <family val="2"/>
      <charset val="1"/>
      <scheme val="minor"/>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sz val="10"/>
      <name val="Arial"/>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1"/>
      <color rgb="FF18B836"/>
      <name val="Calibri"/>
      <family val="2"/>
      <charset val="1"/>
      <scheme val="minor"/>
    </font>
    <font>
      <sz val="11"/>
      <color rgb="FF00B050"/>
      <name val="Calibri"/>
      <family val="2"/>
      <charset val="1"/>
      <scheme val="minor"/>
    </font>
    <font>
      <sz val="11"/>
      <color rgb="FF0070C0"/>
      <name val="Calibri"/>
      <family val="2"/>
      <charset val="1"/>
      <scheme val="minor"/>
    </font>
    <font>
      <sz val="11"/>
      <color rgb="FF7030A0"/>
      <name val="Calibri"/>
      <family val="2"/>
      <charset val="1"/>
      <scheme val="minor"/>
    </font>
    <font>
      <sz val="9"/>
      <color rgb="FF00B050"/>
      <name val="Calibri"/>
      <family val="2"/>
      <scheme val="minor"/>
    </font>
    <font>
      <b/>
      <sz val="9"/>
      <color rgb="FF7030A0"/>
      <name val="Calibri"/>
      <family val="2"/>
      <scheme val="minor"/>
    </font>
    <font>
      <sz val="11"/>
      <name val="Calibri"/>
      <family val="2"/>
    </font>
    <font>
      <sz val="10"/>
      <name val="Arial Narrow"/>
      <family val="2"/>
    </font>
    <font>
      <sz val="11"/>
      <color rgb="FF000000"/>
      <name val="Calibri"/>
      <family val="2"/>
      <charset val="1"/>
    </font>
    <font>
      <sz val="12"/>
      <color theme="1"/>
      <name val="Calibri"/>
      <family val="2"/>
      <charset val="1"/>
      <scheme val="minor"/>
    </font>
    <font>
      <sz val="11"/>
      <color rgb="FFFF0000"/>
      <name val="Calibri"/>
      <family val="2"/>
    </font>
    <font>
      <sz val="11"/>
      <color theme="1"/>
      <name val="Calibri"/>
      <family val="2"/>
    </font>
    <font>
      <sz val="11"/>
      <color rgb="FF000000"/>
      <name val="Calibri"/>
      <family val="2"/>
    </font>
    <font>
      <sz val="12"/>
      <color theme="1"/>
      <name val="Calibri Light"/>
      <family val="2"/>
    </font>
    <font>
      <sz val="8"/>
      <name val="Calibri"/>
      <family val="2"/>
      <charset val="1"/>
      <scheme val="minor"/>
    </font>
    <font>
      <b/>
      <i/>
      <sz val="16"/>
      <color theme="4"/>
      <name val="Calibri"/>
      <family val="2"/>
      <scheme val="minor"/>
    </font>
    <font>
      <sz val="14"/>
      <color theme="1"/>
      <name val="Calibri"/>
      <family val="2"/>
      <scheme val="minor"/>
    </font>
    <font>
      <b/>
      <sz val="14"/>
      <color theme="8" tint="-0.249977111117893"/>
      <name val="Calibri"/>
      <family val="2"/>
      <scheme val="minor"/>
    </font>
    <font>
      <sz val="12"/>
      <color theme="1"/>
      <name val="Calibri"/>
      <family val="2"/>
      <scheme val="minor"/>
    </font>
    <font>
      <sz val="9"/>
      <color indexed="81"/>
      <name val="Tahoma"/>
      <family val="2"/>
    </font>
    <font>
      <b/>
      <sz val="12"/>
      <color indexed="81"/>
      <name val="Tahoma"/>
      <family val="2"/>
    </font>
    <font>
      <b/>
      <sz val="9"/>
      <color indexed="81"/>
      <name val="Tahoma"/>
      <family val="2"/>
    </font>
    <font>
      <b/>
      <sz val="10"/>
      <name val="Arial"/>
      <family val="2"/>
    </font>
    <font>
      <b/>
      <sz val="11"/>
      <color theme="1"/>
      <name val="Calibri"/>
      <family val="2"/>
      <charset val="1"/>
      <scheme val="minor"/>
    </font>
    <font>
      <b/>
      <sz val="16"/>
      <color theme="1"/>
      <name val="Calibri"/>
      <family val="2"/>
      <scheme val="minor"/>
    </font>
    <font>
      <b/>
      <sz val="11"/>
      <color rgb="FFC00000"/>
      <name val="Calibri"/>
      <family val="2"/>
      <scheme val="minor"/>
    </font>
    <font>
      <b/>
      <sz val="8"/>
      <color theme="1"/>
      <name val="Calibri"/>
      <family val="2"/>
      <scheme val="minor"/>
    </font>
    <font>
      <sz val="11"/>
      <color rgb="FF9966FF"/>
      <name val="Calibri"/>
      <family val="2"/>
      <scheme val="minor"/>
    </font>
    <font>
      <sz val="11"/>
      <name val="Arial Narrow"/>
      <family val="2"/>
    </font>
    <font>
      <sz val="12"/>
      <name val="Calibri"/>
      <family val="2"/>
      <scheme val="minor"/>
    </font>
    <font>
      <sz val="11"/>
      <color theme="1"/>
      <name val="Calibri Light"/>
      <family val="2"/>
    </font>
    <font>
      <sz val="10.5"/>
      <color theme="1"/>
      <name val="Calibri"/>
      <family val="2"/>
      <scheme val="minor"/>
    </font>
    <font>
      <b/>
      <sz val="11"/>
      <name val="Calibri Light"/>
      <family val="2"/>
      <scheme val="major"/>
    </font>
    <font>
      <sz val="11"/>
      <color theme="1"/>
      <name val="Calibri Light"/>
      <family val="2"/>
      <scheme val="major"/>
    </font>
    <font>
      <sz val="11"/>
      <color rgb="FF00B050"/>
      <name val="Calibri Light"/>
      <family val="2"/>
      <scheme val="major"/>
    </font>
    <font>
      <sz val="11"/>
      <name val="Calibri Light"/>
      <family val="2"/>
      <scheme val="major"/>
    </font>
    <font>
      <sz val="11"/>
      <color indexed="8"/>
      <name val="Calibri Light"/>
      <family val="2"/>
      <scheme val="major"/>
    </font>
    <font>
      <b/>
      <sz val="11"/>
      <color theme="1"/>
      <name val="Calibri Light"/>
      <family val="2"/>
      <scheme val="major"/>
    </font>
    <font>
      <sz val="11"/>
      <color rgb="FF000000"/>
      <name val="Calibri Light"/>
      <family val="2"/>
    </font>
    <font>
      <b/>
      <sz val="10"/>
      <name val="Calibri Light"/>
      <family val="2"/>
    </font>
    <font>
      <sz val="10"/>
      <color theme="1"/>
      <name val="Calibri Light"/>
      <family val="2"/>
    </font>
    <font>
      <sz val="10"/>
      <color indexed="8"/>
      <name val="Calibri Light"/>
      <family val="2"/>
    </font>
    <font>
      <sz val="10"/>
      <name val="Calibri Light"/>
      <family val="2"/>
    </font>
    <font>
      <b/>
      <sz val="12"/>
      <name val="Calibri Light"/>
      <family val="2"/>
    </font>
    <font>
      <b/>
      <sz val="12"/>
      <name val="Calibri Light"/>
      <family val="2"/>
      <scheme val="major"/>
    </font>
    <font>
      <b/>
      <sz val="11"/>
      <color rgb="FF00B050"/>
      <name val="Calibri Light"/>
      <family val="2"/>
      <scheme val="major"/>
    </font>
    <font>
      <b/>
      <sz val="11"/>
      <color rgb="FF000000"/>
      <name val="Calibri"/>
      <family val="2"/>
      <scheme val="minor"/>
    </font>
  </fonts>
  <fills count="77">
    <fill>
      <patternFill patternType="none"/>
    </fill>
    <fill>
      <patternFill patternType="gray125"/>
    </fill>
    <fill>
      <patternFill patternType="solid">
        <fgColor rgb="FFCCCCFF"/>
        <bgColor indexed="64"/>
      </patternFill>
    </fill>
    <fill>
      <patternFill patternType="solid">
        <fgColor rgb="FFFF99FF"/>
        <bgColor indexed="64"/>
      </patternFill>
    </fill>
    <fill>
      <patternFill patternType="solid">
        <fgColor theme="4" tint="0.39997558519241921"/>
        <bgColor indexed="64"/>
      </patternFill>
    </fill>
    <fill>
      <patternFill patternType="solid">
        <fgColor rgb="FFFFFF99"/>
        <bgColor indexed="64"/>
      </patternFill>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indexed="2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92D050"/>
        <bgColor indexed="64"/>
      </patternFill>
    </fill>
    <fill>
      <patternFill patternType="solid">
        <fgColor rgb="FF00B050"/>
        <bgColor indexed="64"/>
      </patternFill>
    </fill>
    <fill>
      <patternFill patternType="solid">
        <fgColor rgb="FFC6EFCE"/>
      </patternFill>
    </fill>
    <fill>
      <patternFill patternType="solid">
        <fgColor rgb="FF9966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9" tint="0.79998168889431442"/>
        <bgColor indexed="64"/>
      </patternFill>
    </fill>
    <fill>
      <patternFill patternType="solid">
        <fgColor theme="9"/>
        <bgColor indexed="64"/>
      </patternFill>
    </fill>
    <fill>
      <patternFill patternType="solid">
        <fgColor rgb="FF99FF99"/>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66CCFF"/>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rgb="FFFF99FF"/>
        <bgColor rgb="FF000000"/>
      </patternFill>
    </fill>
    <fill>
      <patternFill patternType="solid">
        <fgColor theme="7" tint="0.79998168889431442"/>
        <bgColor indexed="64"/>
      </patternFill>
    </fill>
    <fill>
      <patternFill patternType="solid">
        <fgColor rgb="FFF187EC"/>
        <bgColor indexed="64"/>
      </patternFill>
    </fill>
    <fill>
      <patternFill patternType="solid">
        <fgColor rgb="FFF8CBAD"/>
        <bgColor rgb="FF000000"/>
      </patternFill>
    </fill>
    <fill>
      <patternFill patternType="solid">
        <fgColor rgb="FFFFFF00"/>
        <bgColor rgb="FF000000"/>
      </patternFill>
    </fill>
    <fill>
      <patternFill patternType="solid">
        <fgColor theme="0" tint="-0.14999847407452621"/>
        <bgColor indexed="64"/>
      </patternFill>
    </fill>
    <fill>
      <patternFill patternType="solid">
        <fgColor theme="5" tint="0.39997558519241921"/>
        <bgColor indexed="64"/>
      </patternFill>
    </fill>
    <fill>
      <patternFill patternType="solid">
        <fgColor rgb="FFCCECFF"/>
        <bgColor indexed="64"/>
      </patternFill>
    </fill>
    <fill>
      <patternFill patternType="solid">
        <fgColor theme="8" tint="0.39997558519241921"/>
        <bgColor indexed="64"/>
      </patternFill>
    </fill>
    <fill>
      <patternFill patternType="solid">
        <fgColor rgb="FF002060"/>
        <bgColor indexed="64"/>
      </patternFill>
    </fill>
    <fill>
      <patternFill patternType="solid">
        <fgColor indexed="45"/>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D9FF"/>
        <bgColor indexed="64"/>
      </patternFill>
    </fill>
    <fill>
      <patternFill patternType="solid">
        <fgColor rgb="FFC7F1C7"/>
        <bgColor indexed="64"/>
      </patternFill>
    </fill>
    <fill>
      <patternFill patternType="solid">
        <fgColor rgb="FFDDFFFF"/>
        <bgColor indexed="64"/>
      </patternFill>
    </fill>
    <fill>
      <patternFill patternType="solid">
        <fgColor rgb="FFE1E1FF"/>
        <bgColor indexed="64"/>
      </patternFill>
    </fill>
    <fill>
      <patternFill patternType="solid">
        <fgColor theme="0" tint="-4.9989318521683403E-2"/>
        <bgColor indexed="64"/>
      </patternFill>
    </fill>
    <fill>
      <patternFill patternType="solid">
        <fgColor theme="2"/>
        <bgColor indexed="64"/>
      </patternFill>
    </fill>
    <fill>
      <patternFill patternType="solid">
        <fgColor rgb="FFFFC9C9"/>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7030A0"/>
      </left>
      <right style="thin">
        <color rgb="FF7030A0"/>
      </right>
      <top style="thin">
        <color rgb="FF7030A0"/>
      </top>
      <bottom style="thin">
        <color rgb="FF7030A0"/>
      </bottom>
      <diagonal/>
    </border>
    <border>
      <left style="thin">
        <color rgb="FF7030A0"/>
      </left>
      <right style="thin">
        <color indexed="64"/>
      </right>
      <top/>
      <bottom style="thin">
        <color rgb="FF7030A0"/>
      </bottom>
      <diagonal/>
    </border>
    <border>
      <left style="thin">
        <color indexed="64"/>
      </left>
      <right style="thin">
        <color indexed="64"/>
      </right>
      <top/>
      <bottom style="thin">
        <color rgb="FF7030A0"/>
      </bottom>
      <diagonal/>
    </border>
    <border>
      <left style="thin">
        <color rgb="FF7030A0"/>
      </left>
      <right/>
      <top style="thin">
        <color rgb="FF7030A0"/>
      </top>
      <bottom style="thin">
        <color rgb="FF7030A0"/>
      </bottom>
      <diagonal/>
    </border>
    <border>
      <left style="thin">
        <color indexed="64"/>
      </left>
      <right/>
      <top/>
      <bottom style="thin">
        <color rgb="FF7030A0"/>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7030A0"/>
      </left>
      <right style="thin">
        <color rgb="FF7030A0"/>
      </right>
      <top style="thin">
        <color rgb="FF7030A0"/>
      </top>
      <bottom/>
      <diagonal/>
    </border>
    <border>
      <left style="thin">
        <color rgb="FF7030A0"/>
      </left>
      <right style="thin">
        <color rgb="FF7030A0"/>
      </right>
      <top/>
      <bottom/>
      <diagonal/>
    </border>
    <border>
      <left style="thin">
        <color rgb="FF7030A0"/>
      </left>
      <right style="thin">
        <color rgb="FF7030A0"/>
      </right>
      <top style="thin">
        <color indexed="64"/>
      </top>
      <bottom/>
      <diagonal/>
    </border>
    <border>
      <left/>
      <right style="thin">
        <color rgb="FF7030A0"/>
      </right>
      <top style="thin">
        <color rgb="FF7030A0"/>
      </top>
      <bottom style="thin">
        <color rgb="FF7030A0"/>
      </bottom>
      <diagonal/>
    </border>
    <border>
      <left/>
      <right style="thin">
        <color rgb="FF7030A0"/>
      </right>
      <top style="thin">
        <color rgb="FF7030A0"/>
      </top>
      <bottom/>
      <diagonal/>
    </border>
    <border>
      <left style="thin">
        <color rgb="FF7030A0"/>
      </left>
      <right/>
      <top/>
      <bottom/>
      <diagonal/>
    </border>
    <border>
      <left style="thin">
        <color rgb="FF7030A0"/>
      </left>
      <right/>
      <top style="thin">
        <color rgb="FF7030A0"/>
      </top>
      <bottom/>
      <diagonal/>
    </border>
    <border>
      <left style="thin">
        <color rgb="FF7030A0"/>
      </left>
      <right style="thin">
        <color rgb="FF7030A0"/>
      </right>
      <top/>
      <bottom style="thin">
        <color rgb="FF7030A0"/>
      </bottom>
      <diagonal/>
    </border>
    <border>
      <left style="thin">
        <color indexed="64"/>
      </left>
      <right/>
      <top/>
      <bottom/>
      <diagonal/>
    </border>
    <border>
      <left/>
      <right style="thin">
        <color rgb="FF7030A0"/>
      </right>
      <top/>
      <bottom style="thin">
        <color rgb="FF7030A0"/>
      </bottom>
      <diagonal/>
    </border>
    <border>
      <left style="thin">
        <color indexed="64"/>
      </left>
      <right style="thin">
        <color indexed="64"/>
      </right>
      <top/>
      <bottom style="thin">
        <color indexed="64"/>
      </bottom>
      <diagonal/>
    </border>
    <border>
      <left style="thin">
        <color rgb="FF7030A0"/>
      </left>
      <right/>
      <top/>
      <bottom style="thin">
        <color rgb="FF7030A0"/>
      </bottom>
      <diagonal/>
    </border>
    <border>
      <left style="thin">
        <color rgb="FF0070C0"/>
      </left>
      <right style="thin">
        <color rgb="FF0070C0"/>
      </right>
      <top style="thin">
        <color rgb="FF0070C0"/>
      </top>
      <bottom style="thin">
        <color rgb="FF0070C0"/>
      </bottom>
      <diagonal/>
    </border>
    <border>
      <left style="thin">
        <color auto="1"/>
      </left>
      <right style="thin">
        <color auto="1"/>
      </right>
      <top style="thin">
        <color auto="1"/>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90">
    <xf numFmtId="0" fontId="0" fillId="0" borderId="0"/>
    <xf numFmtId="164" fontId="6" fillId="0" borderId="0" applyFont="0" applyFill="0" applyBorder="0" applyAlignment="0" applyProtection="0"/>
    <xf numFmtId="0" fontId="15" fillId="0" borderId="0" applyBorder="0"/>
    <xf numFmtId="43" fontId="6" fillId="0" borderId="0" applyFont="0" applyFill="0" applyBorder="0" applyAlignment="0" applyProtection="0"/>
    <xf numFmtId="43" fontId="15" fillId="0" borderId="0" applyFont="0" applyFill="0" applyBorder="0" applyAlignment="0" applyProtection="0"/>
    <xf numFmtId="0" fontId="27" fillId="17" borderId="0" applyNumberFormat="0" applyBorder="0" applyAlignment="0" applyProtection="0"/>
    <xf numFmtId="0" fontId="37" fillId="0" borderId="0"/>
    <xf numFmtId="0" fontId="38"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38" fillId="22" borderId="0" applyNumberFormat="0" applyBorder="0" applyAlignment="0" applyProtection="0"/>
    <xf numFmtId="0" fontId="38" fillId="25" borderId="0" applyNumberFormat="0" applyBorder="0" applyAlignment="0" applyProtection="0"/>
    <xf numFmtId="0" fontId="38" fillId="28" borderId="0" applyNumberFormat="0" applyBorder="0" applyAlignment="0" applyProtection="0"/>
    <xf numFmtId="0" fontId="38" fillId="25"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38" fillId="22" borderId="0" applyNumberFormat="0" applyBorder="0" applyAlignment="0" applyProtection="0"/>
    <xf numFmtId="0" fontId="38" fillId="25" borderId="0" applyNumberFormat="0" applyBorder="0" applyAlignment="0" applyProtection="0"/>
    <xf numFmtId="0" fontId="38" fillId="28" borderId="0" applyNumberFormat="0" applyBorder="0" applyAlignment="0" applyProtection="0"/>
    <xf numFmtId="0" fontId="39" fillId="29" borderId="0" applyNumberFormat="0" applyBorder="0" applyAlignment="0" applyProtection="0"/>
    <xf numFmtId="0" fontId="39" fillId="26" borderId="0" applyNumberFormat="0" applyBorder="0" applyAlignment="0" applyProtection="0"/>
    <xf numFmtId="0" fontId="39" fillId="27" borderId="0" applyNumberFormat="0" applyBorder="0" applyAlignment="0" applyProtection="0"/>
    <xf numFmtId="0" fontId="39" fillId="30" borderId="0" applyNumberFormat="0" applyBorder="0" applyAlignment="0" applyProtection="0"/>
    <xf numFmtId="0" fontId="39" fillId="31" borderId="0" applyNumberFormat="0" applyBorder="0" applyAlignment="0" applyProtection="0"/>
    <xf numFmtId="0" fontId="39" fillId="32" borderId="0" applyNumberFormat="0" applyBorder="0" applyAlignment="0" applyProtection="0"/>
    <xf numFmtId="0" fontId="39" fillId="29" borderId="0" applyNumberFormat="0" applyBorder="0" applyAlignment="0" applyProtection="0"/>
    <xf numFmtId="0" fontId="39" fillId="26" borderId="0" applyNumberFormat="0" applyBorder="0" applyAlignment="0" applyProtection="0"/>
    <xf numFmtId="0" fontId="39" fillId="27" borderId="0" applyNumberFormat="0" applyBorder="0" applyAlignment="0" applyProtection="0"/>
    <xf numFmtId="0" fontId="39" fillId="30" borderId="0" applyNumberFormat="0" applyBorder="0" applyAlignment="0" applyProtection="0"/>
    <xf numFmtId="0" fontId="39" fillId="31"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4" borderId="0" applyNumberFormat="0" applyBorder="0" applyAlignment="0" applyProtection="0"/>
    <xf numFmtId="0" fontId="39" fillId="35" borderId="0" applyNumberFormat="0" applyBorder="0" applyAlignment="0" applyProtection="0"/>
    <xf numFmtId="0" fontId="39" fillId="30" borderId="0" applyNumberFormat="0" applyBorder="0" applyAlignment="0" applyProtection="0"/>
    <xf numFmtId="0" fontId="39" fillId="31" borderId="0" applyNumberFormat="0" applyBorder="0" applyAlignment="0" applyProtection="0"/>
    <xf numFmtId="0" fontId="39" fillId="36" borderId="0" applyNumberFormat="0" applyBorder="0" applyAlignment="0" applyProtection="0"/>
    <xf numFmtId="0" fontId="40" fillId="20" borderId="0" applyNumberFormat="0" applyBorder="0" applyAlignment="0" applyProtection="0"/>
    <xf numFmtId="0" fontId="41" fillId="21" borderId="0" applyNumberFormat="0" applyBorder="0" applyAlignment="0" applyProtection="0"/>
    <xf numFmtId="0" fontId="42" fillId="37" borderId="9" applyNumberFormat="0" applyAlignment="0" applyProtection="0"/>
    <xf numFmtId="0" fontId="42" fillId="37" borderId="9" applyNumberFormat="0" applyAlignment="0" applyProtection="0"/>
    <xf numFmtId="0" fontId="43" fillId="38" borderId="10" applyNumberFormat="0" applyAlignment="0" applyProtection="0"/>
    <xf numFmtId="0" fontId="44" fillId="0" borderId="11" applyNumberFormat="0" applyFill="0" applyAlignment="0" applyProtection="0"/>
    <xf numFmtId="0" fontId="43" fillId="38" borderId="10" applyNumberFormat="0" applyAlignment="0" applyProtection="0"/>
    <xf numFmtId="0" fontId="45" fillId="0" borderId="0" applyNumberFormat="0" applyFill="0" applyBorder="0" applyAlignment="0" applyProtection="0"/>
    <xf numFmtId="0" fontId="39" fillId="33" borderId="0" applyNumberFormat="0" applyBorder="0" applyAlignment="0" applyProtection="0"/>
    <xf numFmtId="0" fontId="39" fillId="34" borderId="0" applyNumberFormat="0" applyBorder="0" applyAlignment="0" applyProtection="0"/>
    <xf numFmtId="0" fontId="39" fillId="35" borderId="0" applyNumberFormat="0" applyBorder="0" applyAlignment="0" applyProtection="0"/>
    <xf numFmtId="0" fontId="39" fillId="30" borderId="0" applyNumberFormat="0" applyBorder="0" applyAlignment="0" applyProtection="0"/>
    <xf numFmtId="0" fontId="39" fillId="31" borderId="0" applyNumberFormat="0" applyBorder="0" applyAlignment="0" applyProtection="0"/>
    <xf numFmtId="0" fontId="39" fillId="36" borderId="0" applyNumberFormat="0" applyBorder="0" applyAlignment="0" applyProtection="0"/>
    <xf numFmtId="0" fontId="46" fillId="24" borderId="9" applyNumberFormat="0" applyAlignment="0" applyProtection="0"/>
    <xf numFmtId="0" fontId="47" fillId="0" borderId="0" applyNumberFormat="0" applyFill="0" applyBorder="0" applyAlignment="0" applyProtection="0"/>
    <xf numFmtId="0" fontId="41" fillId="21" borderId="0" applyNumberFormat="0" applyBorder="0" applyAlignment="0" applyProtection="0"/>
    <xf numFmtId="0" fontId="48" fillId="0" borderId="12" applyNumberFormat="0" applyFill="0" applyAlignment="0" applyProtection="0"/>
    <xf numFmtId="0" fontId="49" fillId="0" borderId="13" applyNumberFormat="0" applyFill="0" applyAlignment="0" applyProtection="0"/>
    <xf numFmtId="0" fontId="45" fillId="0" borderId="14" applyNumberFormat="0" applyFill="0" applyAlignment="0" applyProtection="0"/>
    <xf numFmtId="0" fontId="45" fillId="0" borderId="0" applyNumberFormat="0" applyFill="0" applyBorder="0" applyAlignment="0" applyProtection="0"/>
    <xf numFmtId="0" fontId="40" fillId="20" borderId="0" applyNumberFormat="0" applyBorder="0" applyAlignment="0" applyProtection="0"/>
    <xf numFmtId="0" fontId="46" fillId="24" borderId="9" applyNumberFormat="0" applyAlignment="0" applyProtection="0"/>
    <xf numFmtId="0" fontId="44" fillId="0" borderId="11" applyNumberFormat="0" applyFill="0" applyAlignment="0" applyProtection="0"/>
    <xf numFmtId="0" fontId="50" fillId="39" borderId="0" applyNumberFormat="0" applyBorder="0" applyAlignment="0" applyProtection="0"/>
    <xf numFmtId="0" fontId="51" fillId="40" borderId="15" applyNumberFormat="0" applyFont="0" applyAlignment="0" applyProtection="0"/>
    <xf numFmtId="0" fontId="38" fillId="40" borderId="15" applyNumberFormat="0" applyFont="0" applyAlignment="0" applyProtection="0"/>
    <xf numFmtId="0" fontId="52" fillId="37" borderId="16" applyNumberFormat="0" applyAlignment="0" applyProtection="0"/>
    <xf numFmtId="0" fontId="52" fillId="37" borderId="16" applyNumberFormat="0" applyAlignment="0" applyProtection="0"/>
    <xf numFmtId="0" fontId="53" fillId="0" borderId="0" applyNumberFormat="0" applyFill="0" applyBorder="0" applyAlignment="0" applyProtection="0"/>
    <xf numFmtId="0" fontId="47"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48" fillId="0" borderId="12" applyNumberFormat="0" applyFill="0" applyAlignment="0" applyProtection="0"/>
    <xf numFmtId="0" fontId="49" fillId="0" borderId="13" applyNumberFormat="0" applyFill="0" applyAlignment="0" applyProtection="0"/>
    <xf numFmtId="0" fontId="45" fillId="0" borderId="14" applyNumberFormat="0" applyFill="0" applyAlignment="0" applyProtection="0"/>
    <xf numFmtId="0" fontId="55" fillId="0" borderId="17" applyNumberFormat="0" applyFill="0" applyAlignment="0" applyProtection="0"/>
    <xf numFmtId="0" fontId="53" fillId="0" borderId="0" applyNumberFormat="0" applyFill="0" applyBorder="0" applyAlignment="0" applyProtection="0"/>
    <xf numFmtId="43" fontId="37" fillId="0" borderId="0" applyFont="0" applyFill="0" applyBorder="0" applyAlignment="0" applyProtection="0"/>
    <xf numFmtId="44" fontId="37" fillId="0" borderId="0" applyFont="0" applyFill="0" applyBorder="0" applyAlignment="0" applyProtection="0"/>
    <xf numFmtId="9" fontId="6" fillId="0" borderId="0" applyFont="0" applyFill="0" applyBorder="0" applyAlignment="0" applyProtection="0"/>
  </cellStyleXfs>
  <cellXfs count="1096">
    <xf numFmtId="0" fontId="0" fillId="0" borderId="0" xfId="0"/>
    <xf numFmtId="0" fontId="0" fillId="0" borderId="0" xfId="0" applyAlignment="1">
      <alignment horizontal="center"/>
    </xf>
    <xf numFmtId="165" fontId="0" fillId="0" borderId="0" xfId="0" applyNumberFormat="1" applyAlignment="1">
      <alignment horizontal="right"/>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7" borderId="1" xfId="0" applyFill="1" applyBorder="1" applyAlignment="1">
      <alignment horizontal="center" vertical="center" wrapText="1"/>
    </xf>
    <xf numFmtId="14" fontId="0" fillId="0" borderId="1" xfId="0" applyNumberFormat="1" applyBorder="1" applyAlignment="1">
      <alignment horizontal="center" vertical="center" wrapText="1"/>
    </xf>
    <xf numFmtId="165" fontId="0" fillId="0" borderId="0" xfId="0" applyNumberFormat="1"/>
    <xf numFmtId="0" fontId="11" fillId="0" borderId="1" xfId="0" applyFont="1" applyBorder="1" applyAlignment="1">
      <alignment horizontal="center" vertical="center" wrapText="1"/>
    </xf>
    <xf numFmtId="15" fontId="0" fillId="0" borderId="0" xfId="0" applyNumberFormat="1" applyAlignment="1">
      <alignment horizontal="center"/>
    </xf>
    <xf numFmtId="43" fontId="0" fillId="0" borderId="0" xfId="3" applyFont="1"/>
    <xf numFmtId="15" fontId="0" fillId="0" borderId="0" xfId="0" applyNumberFormat="1" applyAlignment="1">
      <alignment horizontal="right"/>
    </xf>
    <xf numFmtId="165" fontId="0" fillId="7" borderId="0" xfId="0" applyNumberFormat="1" applyFill="1" applyAlignment="1">
      <alignment horizontal="right"/>
    </xf>
    <xf numFmtId="165" fontId="16" fillId="0" borderId="0" xfId="0" applyNumberFormat="1" applyFont="1" applyAlignment="1">
      <alignment horizontal="right"/>
    </xf>
    <xf numFmtId="0" fontId="0" fillId="0" borderId="0" xfId="0" applyAlignment="1">
      <alignment horizontal="left" vertical="center" wrapText="1"/>
    </xf>
    <xf numFmtId="165" fontId="11" fillId="0" borderId="0" xfId="0" applyNumberFormat="1" applyFont="1" applyAlignment="1">
      <alignment horizontal="right"/>
    </xf>
    <xf numFmtId="43" fontId="0" fillId="0" borderId="0" xfId="0" applyNumberFormat="1"/>
    <xf numFmtId="0" fontId="25" fillId="0" borderId="1" xfId="0" applyFont="1" applyBorder="1" applyAlignment="1">
      <alignment horizontal="left" vertical="center" wrapText="1" shrinkToFit="1"/>
    </xf>
    <xf numFmtId="0" fontId="20" fillId="0" borderId="1" xfId="0" applyFont="1" applyBorder="1" applyAlignment="1">
      <alignment horizontal="left" vertical="center" wrapText="1"/>
    </xf>
    <xf numFmtId="0" fontId="20" fillId="0" borderId="0" xfId="0" applyFont="1"/>
    <xf numFmtId="0" fontId="22" fillId="0" borderId="0" xfId="0" applyFont="1" applyAlignment="1">
      <alignment horizontal="center" vertical="center"/>
    </xf>
    <xf numFmtId="0" fontId="26" fillId="18" borderId="3" xfId="0" applyFont="1" applyFill="1" applyBorder="1" applyAlignment="1">
      <alignment horizontal="center" vertical="center" wrapText="1"/>
    </xf>
    <xf numFmtId="0" fontId="30" fillId="2" borderId="3"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13" fillId="2" borderId="3" xfId="0" applyFont="1" applyFill="1" applyBorder="1" applyAlignment="1">
      <alignment horizontal="center" vertical="center" wrapText="1"/>
    </xf>
    <xf numFmtId="165" fontId="9" fillId="2" borderId="3" xfId="0" applyNumberFormat="1" applyFont="1" applyFill="1" applyBorder="1" applyAlignment="1">
      <alignment horizontal="center" vertical="center" wrapText="1"/>
    </xf>
    <xf numFmtId="165" fontId="8" fillId="2" borderId="3" xfId="0" applyNumberFormat="1" applyFont="1" applyFill="1" applyBorder="1" applyAlignment="1">
      <alignment horizontal="center" vertical="center" wrapText="1"/>
    </xf>
    <xf numFmtId="165" fontId="10" fillId="2" borderId="3" xfId="0" applyNumberFormat="1" applyFont="1" applyFill="1" applyBorder="1" applyAlignment="1">
      <alignment horizontal="center" vertical="center" wrapText="1"/>
    </xf>
    <xf numFmtId="165" fontId="26" fillId="18" borderId="3" xfId="0" applyNumberFormat="1" applyFont="1" applyFill="1" applyBorder="1" applyAlignment="1">
      <alignment horizontal="center" vertical="center" wrapText="1"/>
    </xf>
    <xf numFmtId="15" fontId="9" fillId="2" borderId="3" xfId="0" applyNumberFormat="1" applyFont="1" applyFill="1" applyBorder="1" applyAlignment="1">
      <alignment horizontal="center" vertical="center" wrapText="1"/>
    </xf>
    <xf numFmtId="15" fontId="26" fillId="18" borderId="3" xfId="0" applyNumberFormat="1" applyFont="1" applyFill="1" applyBorder="1" applyAlignment="1">
      <alignment horizontal="center" vertical="center" wrapText="1"/>
    </xf>
    <xf numFmtId="0" fontId="8" fillId="3"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165" fontId="9" fillId="5" borderId="3" xfId="0" applyNumberFormat="1" applyFont="1" applyFill="1" applyBorder="1" applyAlignment="1">
      <alignment horizontal="center" vertical="center" wrapText="1"/>
    </xf>
    <xf numFmtId="0" fontId="27" fillId="17" borderId="3" xfId="5" applyNumberFormat="1" applyBorder="1" applyAlignment="1">
      <alignment horizontal="center" vertical="center" textRotation="90" wrapText="1"/>
    </xf>
    <xf numFmtId="166" fontId="9" fillId="2" borderId="3" xfId="0" applyNumberFormat="1" applyFont="1" applyFill="1" applyBorder="1" applyAlignment="1">
      <alignment horizontal="center" vertical="center" wrapText="1"/>
    </xf>
    <xf numFmtId="0" fontId="28" fillId="0" borderId="3" xfId="0" applyFont="1" applyBorder="1" applyAlignment="1">
      <alignment horizontal="center" vertical="center" wrapText="1"/>
    </xf>
    <xf numFmtId="0" fontId="29" fillId="0" borderId="3" xfId="0" applyFont="1" applyBorder="1" applyAlignment="1">
      <alignment horizontal="center" vertical="center" wrapText="1"/>
    </xf>
    <xf numFmtId="0" fontId="0" fillId="0" borderId="3" xfId="0" applyBorder="1" applyAlignment="1">
      <alignment horizontal="left" vertical="center" wrapText="1"/>
    </xf>
    <xf numFmtId="0" fontId="0" fillId="0" borderId="3" xfId="0" applyBorder="1" applyAlignment="1">
      <alignment horizontal="center" vertical="center" wrapText="1"/>
    </xf>
    <xf numFmtId="0" fontId="20" fillId="0" borderId="3" xfId="0" applyFont="1" applyBorder="1" applyAlignment="1">
      <alignment horizontal="left" vertical="center" wrapText="1"/>
    </xf>
    <xf numFmtId="0" fontId="25" fillId="0" borderId="3" xfId="0" applyFont="1" applyBorder="1" applyAlignment="1">
      <alignment horizontal="left" vertical="center" wrapText="1" shrinkToFit="1"/>
    </xf>
    <xf numFmtId="0" fontId="24" fillId="0" borderId="3" xfId="0" applyFont="1" applyBorder="1" applyAlignment="1">
      <alignment horizontal="left" vertical="center" wrapText="1" shrinkToFit="1" readingOrder="1"/>
    </xf>
    <xf numFmtId="49" fontId="11" fillId="0" borderId="3" xfId="0" applyNumberFormat="1" applyFont="1" applyBorder="1" applyAlignment="1">
      <alignment horizontal="left" vertical="center" wrapText="1"/>
    </xf>
    <xf numFmtId="165" fontId="0" fillId="0" borderId="3" xfId="0" applyNumberFormat="1" applyBorder="1" applyAlignment="1">
      <alignment horizontal="right" vertical="center" wrapText="1"/>
    </xf>
    <xf numFmtId="165" fontId="16" fillId="0" borderId="3" xfId="0" applyNumberFormat="1" applyFont="1" applyBorder="1" applyAlignment="1">
      <alignment horizontal="right" vertical="center" wrapText="1"/>
    </xf>
    <xf numFmtId="165" fontId="11" fillId="0" borderId="3" xfId="0" applyNumberFormat="1" applyFont="1" applyBorder="1" applyAlignment="1">
      <alignment horizontal="right" vertical="center" wrapText="1"/>
    </xf>
    <xf numFmtId="165" fontId="7" fillId="0" borderId="3" xfId="0" applyNumberFormat="1" applyFont="1" applyBorder="1" applyAlignment="1">
      <alignment horizontal="right" vertical="center" wrapText="1"/>
    </xf>
    <xf numFmtId="15" fontId="0" fillId="0" borderId="3" xfId="0" applyNumberFormat="1" applyBorder="1" applyAlignment="1">
      <alignment horizontal="center" vertical="center" wrapText="1"/>
    </xf>
    <xf numFmtId="165" fontId="0" fillId="0" borderId="3" xfId="0" applyNumberFormat="1" applyBorder="1" applyAlignment="1">
      <alignment horizontal="center" vertical="center" wrapText="1"/>
    </xf>
    <xf numFmtId="15" fontId="0" fillId="0" borderId="3" xfId="0" applyNumberFormat="1" applyBorder="1" applyAlignment="1">
      <alignment horizontal="left" vertical="center" wrapText="1"/>
    </xf>
    <xf numFmtId="166" fontId="0" fillId="0" borderId="3" xfId="0" applyNumberFormat="1" applyBorder="1" applyAlignment="1">
      <alignment horizontal="left" vertical="center" wrapText="1"/>
    </xf>
    <xf numFmtId="165" fontId="0" fillId="0" borderId="3" xfId="0" applyNumberFormat="1" applyBorder="1" applyAlignment="1">
      <alignment horizontal="left" vertical="center" wrapText="1"/>
    </xf>
    <xf numFmtId="16" fontId="0" fillId="0" borderId="3" xfId="0" applyNumberFormat="1" applyBorder="1" applyAlignment="1">
      <alignment horizontal="left" vertical="center" wrapText="1"/>
    </xf>
    <xf numFmtId="165" fontId="11" fillId="0" borderId="3" xfId="0" applyNumberFormat="1" applyFont="1" applyBorder="1" applyAlignment="1">
      <alignment horizontal="center" vertical="center" wrapText="1"/>
    </xf>
    <xf numFmtId="0" fontId="18" fillId="0" borderId="3" xfId="0" applyFont="1" applyBorder="1" applyAlignment="1">
      <alignment horizontal="left" vertical="center" wrapText="1"/>
    </xf>
    <xf numFmtId="0" fontId="21" fillId="0" borderId="3" xfId="0" applyFont="1" applyBorder="1" applyAlignment="1">
      <alignment horizontal="center" vertical="center" wrapText="1"/>
    </xf>
    <xf numFmtId="0" fontId="20" fillId="0" borderId="3" xfId="0" applyFont="1" applyBorder="1" applyAlignment="1">
      <alignment horizontal="center" vertical="center" wrapText="1"/>
    </xf>
    <xf numFmtId="16" fontId="0" fillId="0" borderId="3" xfId="0" applyNumberFormat="1" applyBorder="1" applyAlignment="1">
      <alignment horizontal="center" vertical="center" wrapText="1"/>
    </xf>
    <xf numFmtId="14" fontId="0" fillId="0" borderId="3" xfId="0" applyNumberFormat="1" applyBorder="1" applyAlignment="1">
      <alignment horizontal="center" vertical="center" wrapText="1"/>
    </xf>
    <xf numFmtId="0" fontId="9" fillId="3" borderId="3" xfId="0" applyFont="1" applyFill="1" applyBorder="1" applyAlignment="1">
      <alignment horizontal="center" vertical="center" wrapText="1"/>
    </xf>
    <xf numFmtId="165" fontId="9" fillId="0" borderId="3" xfId="0" applyNumberFormat="1" applyFont="1" applyBorder="1" applyAlignment="1">
      <alignment horizontal="center" vertical="center" wrapText="1"/>
    </xf>
    <xf numFmtId="14" fontId="0" fillId="0" borderId="6" xfId="0" applyNumberFormat="1" applyBorder="1" applyAlignment="1">
      <alignment horizontal="center" vertical="center" wrapText="1"/>
    </xf>
    <xf numFmtId="0" fontId="0" fillId="0" borderId="6" xfId="0" applyBorder="1" applyAlignment="1">
      <alignment horizontal="center" vertical="center" wrapText="1"/>
    </xf>
    <xf numFmtId="0" fontId="26" fillId="18" borderId="7" xfId="0" applyFont="1" applyFill="1" applyBorder="1" applyAlignment="1">
      <alignment horizontal="center" vertical="center" wrapText="1"/>
    </xf>
    <xf numFmtId="0" fontId="22" fillId="0" borderId="1" xfId="0" applyFont="1" applyBorder="1" applyAlignment="1">
      <alignment horizontal="center" vertical="center"/>
    </xf>
    <xf numFmtId="14" fontId="31" fillId="0" borderId="1" xfId="0" applyNumberFormat="1" applyFont="1" applyBorder="1" applyAlignment="1">
      <alignment horizontal="center" vertical="center" wrapText="1"/>
    </xf>
    <xf numFmtId="14" fontId="11" fillId="0" borderId="1" xfId="0" applyNumberFormat="1" applyFont="1" applyBorder="1" applyAlignment="1">
      <alignment horizontal="center" vertical="center" wrapText="1"/>
    </xf>
    <xf numFmtId="0" fontId="31" fillId="0" borderId="1" xfId="0" applyFont="1" applyBorder="1" applyAlignment="1">
      <alignment horizontal="center" vertical="center" wrapText="1"/>
    </xf>
    <xf numFmtId="0" fontId="31" fillId="0" borderId="8" xfId="0" applyFont="1" applyBorder="1" applyAlignment="1">
      <alignment horizontal="center" vertical="center" wrapText="1"/>
    </xf>
    <xf numFmtId="0" fontId="0" fillId="0" borderId="8" xfId="0" applyBorder="1"/>
    <xf numFmtId="0" fontId="0" fillId="7" borderId="3" xfId="0" applyFill="1" applyBorder="1" applyAlignment="1">
      <alignment horizontal="left" vertical="center" wrapText="1"/>
    </xf>
    <xf numFmtId="0" fontId="22" fillId="7" borderId="0" xfId="0" applyFont="1" applyFill="1" applyAlignment="1">
      <alignment horizontal="center" vertical="center"/>
    </xf>
    <xf numFmtId="0" fontId="0" fillId="7" borderId="3" xfId="0" applyFill="1" applyBorder="1" applyAlignment="1">
      <alignment horizontal="center" vertical="center" wrapText="1"/>
    </xf>
    <xf numFmtId="0" fontId="33" fillId="18" borderId="5" xfId="0" applyFont="1" applyFill="1" applyBorder="1" applyAlignment="1">
      <alignment horizontal="center" vertical="center" wrapText="1"/>
    </xf>
    <xf numFmtId="0" fontId="34" fillId="18" borderId="5" xfId="0" applyFont="1" applyFill="1" applyBorder="1" applyAlignment="1">
      <alignment horizontal="center" vertical="center" wrapText="1"/>
    </xf>
    <xf numFmtId="0" fontId="34" fillId="18" borderId="7" xfId="0" applyFont="1" applyFill="1" applyBorder="1" applyAlignment="1">
      <alignment horizontal="center" vertical="center" wrapText="1"/>
    </xf>
    <xf numFmtId="0" fontId="33" fillId="18" borderId="1" xfId="0" applyFont="1" applyFill="1" applyBorder="1" applyAlignment="1">
      <alignment horizontal="center" vertical="center" wrapText="1"/>
    </xf>
    <xf numFmtId="0" fontId="33" fillId="18" borderId="8" xfId="0" applyFont="1" applyFill="1" applyBorder="1" applyAlignment="1">
      <alignment horizontal="center" vertical="center" wrapText="1"/>
    </xf>
    <xf numFmtId="14" fontId="33" fillId="18" borderId="3" xfId="0" applyNumberFormat="1" applyFont="1" applyFill="1" applyBorder="1" applyAlignment="1">
      <alignment horizontal="center" vertical="center" wrapText="1"/>
    </xf>
    <xf numFmtId="0" fontId="33" fillId="18" borderId="4" xfId="0" applyFont="1" applyFill="1" applyBorder="1" applyAlignment="1">
      <alignment horizontal="center" vertical="center" wrapText="1"/>
    </xf>
    <xf numFmtId="0" fontId="24" fillId="0" borderId="3" xfId="0" applyFont="1" applyBorder="1" applyAlignment="1">
      <alignment horizontal="left" vertical="center" wrapText="1"/>
    </xf>
    <xf numFmtId="0" fontId="24" fillId="0" borderId="3" xfId="0" applyFont="1" applyBorder="1" applyAlignment="1">
      <alignment horizontal="left" vertical="center" wrapText="1" shrinkToFit="1"/>
    </xf>
    <xf numFmtId="170" fontId="26" fillId="18" borderId="7" xfId="0" applyNumberFormat="1" applyFont="1" applyFill="1" applyBorder="1" applyAlignment="1">
      <alignment horizontal="center" vertical="center" wrapText="1"/>
    </xf>
    <xf numFmtId="170" fontId="0" fillId="0" borderId="0" xfId="0" applyNumberFormat="1"/>
    <xf numFmtId="170" fontId="9" fillId="0" borderId="0" xfId="0" applyNumberFormat="1" applyFont="1"/>
    <xf numFmtId="170" fontId="0" fillId="0" borderId="0" xfId="0" applyNumberFormat="1" applyAlignment="1">
      <alignment wrapText="1"/>
    </xf>
    <xf numFmtId="0" fontId="24" fillId="7" borderId="3" xfId="0" applyFont="1" applyFill="1" applyBorder="1" applyAlignment="1">
      <alignment horizontal="left" vertical="center" wrapText="1"/>
    </xf>
    <xf numFmtId="0" fontId="25" fillId="7" borderId="3" xfId="0" applyFont="1" applyFill="1" applyBorder="1" applyAlignment="1">
      <alignment horizontal="left" vertical="center" wrapText="1" shrinkToFit="1"/>
    </xf>
    <xf numFmtId="0" fontId="24" fillId="7" borderId="3" xfId="0" applyFont="1" applyFill="1" applyBorder="1" applyAlignment="1">
      <alignment horizontal="left" vertical="center" wrapText="1" shrinkToFit="1" readingOrder="1"/>
    </xf>
    <xf numFmtId="165" fontId="0" fillId="7" borderId="3" xfId="0" applyNumberFormat="1" applyFill="1" applyBorder="1" applyAlignment="1">
      <alignment horizontal="right" vertical="center" wrapText="1"/>
    </xf>
    <xf numFmtId="165" fontId="16" fillId="7" borderId="3" xfId="0" applyNumberFormat="1" applyFont="1" applyFill="1" applyBorder="1" applyAlignment="1">
      <alignment horizontal="right" vertical="center" wrapText="1"/>
    </xf>
    <xf numFmtId="165" fontId="11" fillId="7" borderId="3" xfId="0" applyNumberFormat="1" applyFont="1" applyFill="1" applyBorder="1" applyAlignment="1">
      <alignment horizontal="right" vertical="center" wrapText="1"/>
    </xf>
    <xf numFmtId="165" fontId="7" fillId="7" borderId="3" xfId="0" applyNumberFormat="1" applyFont="1" applyFill="1" applyBorder="1" applyAlignment="1">
      <alignment horizontal="right" vertical="center" wrapText="1"/>
    </xf>
    <xf numFmtId="15" fontId="0" fillId="7" borderId="3" xfId="0" applyNumberFormat="1" applyFill="1" applyBorder="1" applyAlignment="1">
      <alignment horizontal="center" vertical="center" wrapText="1"/>
    </xf>
    <xf numFmtId="14" fontId="0" fillId="7" borderId="3" xfId="0" applyNumberFormat="1" applyFill="1" applyBorder="1" applyAlignment="1">
      <alignment horizontal="center" vertical="center" wrapText="1"/>
    </xf>
    <xf numFmtId="16" fontId="0" fillId="7" borderId="3" xfId="0" applyNumberFormat="1" applyFill="1" applyBorder="1" applyAlignment="1">
      <alignment horizontal="center" vertical="center" wrapText="1"/>
    </xf>
    <xf numFmtId="0" fontId="31" fillId="7" borderId="1" xfId="0" applyFont="1" applyFill="1" applyBorder="1" applyAlignment="1">
      <alignment horizontal="center" vertical="center" wrapText="1"/>
    </xf>
    <xf numFmtId="0" fontId="31" fillId="7" borderId="8" xfId="0" applyFont="1" applyFill="1" applyBorder="1" applyAlignment="1">
      <alignment horizontal="center" vertical="center" wrapText="1"/>
    </xf>
    <xf numFmtId="170" fontId="0" fillId="7" borderId="0" xfId="0" applyNumberFormat="1" applyFill="1"/>
    <xf numFmtId="0" fontId="36" fillId="0" borderId="3" xfId="0" applyFont="1" applyBorder="1" applyAlignment="1">
      <alignment horizontal="left" vertical="center" wrapText="1"/>
    </xf>
    <xf numFmtId="15" fontId="36" fillId="0" borderId="3" xfId="0" applyNumberFormat="1" applyFont="1" applyBorder="1" applyAlignment="1">
      <alignment horizontal="left" vertical="center" wrapText="1"/>
    </xf>
    <xf numFmtId="165" fontId="36" fillId="0" borderId="3" xfId="0" applyNumberFormat="1" applyFont="1" applyBorder="1" applyAlignment="1">
      <alignment horizontal="right" vertical="center" wrapText="1"/>
    </xf>
    <xf numFmtId="0" fontId="35" fillId="0" borderId="3" xfId="0" applyFont="1" applyBorder="1" applyAlignment="1">
      <alignment horizontal="left" vertical="center" wrapText="1"/>
    </xf>
    <xf numFmtId="15" fontId="35" fillId="0" borderId="3" xfId="0" applyNumberFormat="1" applyFont="1" applyBorder="1" applyAlignment="1">
      <alignment horizontal="left" vertical="center" wrapText="1"/>
    </xf>
    <xf numFmtId="165" fontId="35" fillId="0" borderId="3" xfId="0" applyNumberFormat="1" applyFont="1" applyBorder="1" applyAlignment="1">
      <alignment horizontal="right" vertical="center" wrapText="1"/>
    </xf>
    <xf numFmtId="15" fontId="36" fillId="8" borderId="3" xfId="0" applyNumberFormat="1" applyFont="1" applyFill="1" applyBorder="1" applyAlignment="1">
      <alignment horizontal="left" vertical="center" wrapText="1"/>
    </xf>
    <xf numFmtId="15" fontId="36" fillId="0" borderId="3" xfId="0" applyNumberFormat="1" applyFont="1" applyBorder="1" applyAlignment="1">
      <alignment horizontal="center" vertical="center" wrapText="1"/>
    </xf>
    <xf numFmtId="0" fontId="56" fillId="0" borderId="3" xfId="0" applyFont="1" applyBorder="1" applyAlignment="1">
      <alignment horizontal="left" vertical="center" wrapText="1"/>
    </xf>
    <xf numFmtId="17" fontId="0" fillId="0" borderId="3" xfId="0" applyNumberFormat="1" applyBorder="1" applyAlignment="1">
      <alignment horizontal="center" vertical="center" wrapText="1"/>
    </xf>
    <xf numFmtId="0" fontId="0" fillId="8" borderId="3" xfId="0" applyFill="1" applyBorder="1" applyAlignment="1">
      <alignment horizontal="left" vertical="center" wrapText="1"/>
    </xf>
    <xf numFmtId="165" fontId="0" fillId="8" borderId="3" xfId="0" applyNumberFormat="1" applyFill="1" applyBorder="1" applyAlignment="1">
      <alignment horizontal="right" vertical="center" wrapText="1"/>
    </xf>
    <xf numFmtId="0" fontId="7" fillId="16" borderId="3" xfId="0" applyFont="1" applyFill="1" applyBorder="1" applyAlignment="1">
      <alignment horizontal="left" vertical="center" wrapText="1"/>
    </xf>
    <xf numFmtId="15" fontId="7" fillId="16" borderId="3" xfId="0" applyNumberFormat="1" applyFont="1" applyFill="1" applyBorder="1" applyAlignment="1">
      <alignment horizontal="left" vertical="center" wrapText="1"/>
    </xf>
    <xf numFmtId="0" fontId="57" fillId="0" borderId="3" xfId="0" applyFont="1" applyBorder="1" applyAlignment="1">
      <alignment horizontal="left" vertical="center" wrapText="1"/>
    </xf>
    <xf numFmtId="15" fontId="57" fillId="0" borderId="3" xfId="0" applyNumberFormat="1" applyFont="1" applyBorder="1" applyAlignment="1">
      <alignment horizontal="left" vertical="center" wrapText="1"/>
    </xf>
    <xf numFmtId="165" fontId="57" fillId="0" borderId="3" xfId="0" applyNumberFormat="1" applyFont="1" applyBorder="1" applyAlignment="1">
      <alignment horizontal="right" vertical="center" wrapText="1"/>
    </xf>
    <xf numFmtId="14" fontId="35" fillId="0" borderId="3" xfId="0" applyNumberFormat="1" applyFont="1" applyBorder="1" applyAlignment="1">
      <alignment horizontal="left" vertical="center" wrapText="1"/>
    </xf>
    <xf numFmtId="0" fontId="58" fillId="0" borderId="3" xfId="0" applyFont="1" applyBorder="1" applyAlignment="1">
      <alignment horizontal="left" vertical="center" wrapText="1"/>
    </xf>
    <xf numFmtId="15" fontId="58" fillId="0" borderId="3" xfId="0" applyNumberFormat="1" applyFont="1" applyBorder="1" applyAlignment="1">
      <alignment horizontal="left" vertical="center" wrapText="1"/>
    </xf>
    <xf numFmtId="165" fontId="58" fillId="0" borderId="3" xfId="0" applyNumberFormat="1" applyFont="1" applyBorder="1" applyAlignment="1">
      <alignment horizontal="right" vertical="center" wrapText="1"/>
    </xf>
    <xf numFmtId="0" fontId="59" fillId="0" borderId="3" xfId="0" applyFont="1" applyBorder="1" applyAlignment="1">
      <alignment horizontal="left" vertical="center" wrapText="1"/>
    </xf>
    <xf numFmtId="15" fontId="59" fillId="0" borderId="3" xfId="0" applyNumberFormat="1" applyFont="1" applyBorder="1" applyAlignment="1">
      <alignment horizontal="left" vertical="center" wrapText="1"/>
    </xf>
    <xf numFmtId="165" fontId="59" fillId="0" borderId="3" xfId="0" applyNumberFormat="1" applyFont="1" applyBorder="1" applyAlignment="1">
      <alignment horizontal="right" vertical="center" wrapText="1"/>
    </xf>
    <xf numFmtId="14" fontId="8" fillId="3" borderId="3" xfId="0" applyNumberFormat="1" applyFont="1" applyFill="1" applyBorder="1" applyAlignment="1">
      <alignment horizontal="center" vertical="center" wrapText="1"/>
    </xf>
    <xf numFmtId="14" fontId="28" fillId="0" borderId="3" xfId="0" applyNumberFormat="1" applyFont="1" applyBorder="1" applyAlignment="1">
      <alignment horizontal="center" vertical="center" wrapText="1"/>
    </xf>
    <xf numFmtId="14" fontId="22" fillId="0" borderId="0" xfId="0" applyNumberFormat="1" applyFont="1" applyAlignment="1">
      <alignment horizontal="center" vertical="center" wrapText="1"/>
    </xf>
    <xf numFmtId="14" fontId="22" fillId="0" borderId="0" xfId="0" applyNumberFormat="1" applyFont="1" applyAlignment="1">
      <alignment horizontal="center" vertical="center"/>
    </xf>
    <xf numFmtId="0" fontId="26" fillId="18" borderId="3" xfId="0" applyFont="1" applyFill="1" applyBorder="1" applyAlignment="1">
      <alignment horizontal="center" vertical="center" textRotation="90" wrapText="1"/>
    </xf>
    <xf numFmtId="0" fontId="0" fillId="41" borderId="3" xfId="0" applyFill="1" applyBorder="1" applyAlignment="1">
      <alignment horizontal="left" vertical="center" wrapText="1"/>
    </xf>
    <xf numFmtId="0" fontId="0" fillId="41" borderId="3" xfId="0" applyFill="1" applyBorder="1" applyAlignment="1">
      <alignment horizontal="center" vertical="center" wrapText="1"/>
    </xf>
    <xf numFmtId="0" fontId="20" fillId="41" borderId="3" xfId="0" applyFont="1" applyFill="1" applyBorder="1" applyAlignment="1">
      <alignment horizontal="left" vertical="center" wrapText="1"/>
    </xf>
    <xf numFmtId="0" fontId="25" fillId="41" borderId="3" xfId="0" applyFont="1" applyFill="1" applyBorder="1" applyAlignment="1">
      <alignment horizontal="left" vertical="center" wrapText="1" shrinkToFit="1"/>
    </xf>
    <xf numFmtId="0" fontId="24" fillId="41" borderId="3" xfId="0" applyFont="1" applyFill="1" applyBorder="1" applyAlignment="1">
      <alignment horizontal="left" vertical="center" wrapText="1" shrinkToFit="1" readingOrder="1"/>
    </xf>
    <xf numFmtId="165" fontId="0" fillId="41" borderId="3" xfId="0" applyNumberFormat="1" applyFill="1" applyBorder="1" applyAlignment="1">
      <alignment horizontal="right" vertical="center" wrapText="1"/>
    </xf>
    <xf numFmtId="165" fontId="16" fillId="41" borderId="3" xfId="0" applyNumberFormat="1" applyFont="1" applyFill="1" applyBorder="1" applyAlignment="1">
      <alignment horizontal="right" vertical="center" wrapText="1"/>
    </xf>
    <xf numFmtId="165" fontId="11" fillId="41" borderId="3" xfId="0" applyNumberFormat="1" applyFont="1" applyFill="1" applyBorder="1" applyAlignment="1">
      <alignment horizontal="right" vertical="center" wrapText="1"/>
    </xf>
    <xf numFmtId="165" fontId="7" fillId="41" borderId="3" xfId="0" applyNumberFormat="1" applyFont="1" applyFill="1" applyBorder="1" applyAlignment="1">
      <alignment horizontal="right" vertical="center" wrapText="1"/>
    </xf>
    <xf numFmtId="15" fontId="0" fillId="41" borderId="3" xfId="0" applyNumberFormat="1" applyFill="1" applyBorder="1" applyAlignment="1">
      <alignment horizontal="center" vertical="center" wrapText="1"/>
    </xf>
    <xf numFmtId="17" fontId="0" fillId="41" borderId="3" xfId="0" applyNumberFormat="1" applyFill="1" applyBorder="1" applyAlignment="1">
      <alignment horizontal="center" vertical="center" wrapText="1"/>
    </xf>
    <xf numFmtId="14" fontId="0" fillId="41" borderId="3" xfId="0" applyNumberFormat="1" applyFill="1" applyBorder="1" applyAlignment="1">
      <alignment horizontal="center" vertical="center" wrapText="1"/>
    </xf>
    <xf numFmtId="15" fontId="0" fillId="41" borderId="3" xfId="0" applyNumberFormat="1" applyFill="1" applyBorder="1" applyAlignment="1">
      <alignment horizontal="left" vertical="center" wrapText="1"/>
    </xf>
    <xf numFmtId="166" fontId="0" fillId="41" borderId="3" xfId="0" applyNumberFormat="1" applyFill="1" applyBorder="1" applyAlignment="1">
      <alignment horizontal="left" vertical="center" wrapText="1"/>
    </xf>
    <xf numFmtId="165" fontId="0" fillId="41" borderId="3" xfId="0" applyNumberFormat="1" applyFill="1" applyBorder="1" applyAlignment="1">
      <alignment horizontal="left" vertical="center" wrapText="1"/>
    </xf>
    <xf numFmtId="14" fontId="0" fillId="41" borderId="6" xfId="0" applyNumberFormat="1" applyFill="1" applyBorder="1" applyAlignment="1">
      <alignment horizontal="center" vertical="center" wrapText="1"/>
    </xf>
    <xf numFmtId="14" fontId="0" fillId="41" borderId="1" xfId="0" applyNumberFormat="1" applyFill="1" applyBorder="1" applyAlignment="1">
      <alignment horizontal="center" vertical="center" wrapText="1"/>
    </xf>
    <xf numFmtId="0" fontId="0" fillId="41" borderId="8" xfId="0" applyFill="1" applyBorder="1"/>
    <xf numFmtId="170" fontId="0" fillId="41" borderId="0" xfId="0" applyNumberFormat="1" applyFill="1"/>
    <xf numFmtId="165" fontId="25" fillId="0" borderId="3" xfId="0" applyNumberFormat="1" applyFont="1" applyBorder="1" applyAlignment="1">
      <alignment horizontal="left" vertical="center" wrapText="1" shrinkToFit="1"/>
    </xf>
    <xf numFmtId="0" fontId="0" fillId="6" borderId="3" xfId="0" applyFill="1" applyBorder="1" applyAlignment="1">
      <alignment horizontal="center" vertical="center" wrapText="1"/>
    </xf>
    <xf numFmtId="15" fontId="0" fillId="6" borderId="3" xfId="0" applyNumberFormat="1" applyFill="1" applyBorder="1" applyAlignment="1">
      <alignment horizontal="center" vertical="center" wrapText="1"/>
    </xf>
    <xf numFmtId="14" fontId="0" fillId="6" borderId="3" xfId="0" applyNumberFormat="1" applyFill="1" applyBorder="1" applyAlignment="1">
      <alignment horizontal="center" vertical="center" wrapText="1"/>
    </xf>
    <xf numFmtId="0" fontId="34" fillId="3" borderId="5" xfId="0" applyFont="1" applyFill="1" applyBorder="1" applyAlignment="1">
      <alignment horizontal="center" vertical="center" wrapText="1"/>
    </xf>
    <xf numFmtId="0" fontId="33" fillId="3" borderId="5"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0" fillId="42" borderId="3" xfId="0" applyFill="1" applyBorder="1" applyAlignment="1">
      <alignment horizontal="center" vertical="center" wrapText="1"/>
    </xf>
    <xf numFmtId="0" fontId="20" fillId="7" borderId="3" xfId="0" applyFont="1" applyFill="1" applyBorder="1" applyAlignment="1">
      <alignment horizontal="left" vertical="center" wrapText="1"/>
    </xf>
    <xf numFmtId="0" fontId="34" fillId="18" borderId="3" xfId="0" applyFont="1" applyFill="1" applyBorder="1" applyAlignment="1">
      <alignment horizontal="center" vertical="center" wrapText="1"/>
    </xf>
    <xf numFmtId="0" fontId="60" fillId="0" borderId="3" xfId="0" applyFont="1" applyBorder="1" applyAlignment="1">
      <alignment horizontal="center" vertical="center" wrapText="1"/>
    </xf>
    <xf numFmtId="0" fontId="18" fillId="7" borderId="3" xfId="0" applyFont="1" applyFill="1" applyBorder="1" applyAlignment="1">
      <alignment horizontal="left" vertical="center" wrapText="1"/>
    </xf>
    <xf numFmtId="0" fontId="18" fillId="0" borderId="3" xfId="0" applyFont="1" applyBorder="1" applyAlignment="1">
      <alignment horizontal="center" vertical="center" wrapText="1"/>
    </xf>
    <xf numFmtId="165" fontId="18" fillId="7" borderId="0" xfId="0" applyNumberFormat="1" applyFont="1" applyFill="1" applyAlignment="1">
      <alignment horizontal="right"/>
    </xf>
    <xf numFmtId="0" fontId="61" fillId="7" borderId="0" xfId="0" applyFont="1" applyFill="1" applyAlignment="1">
      <alignment horizontal="center" vertical="center"/>
    </xf>
    <xf numFmtId="0" fontId="0" fillId="43" borderId="3" xfId="0" applyFill="1" applyBorder="1" applyAlignment="1">
      <alignment horizontal="center" vertical="center" wrapText="1"/>
    </xf>
    <xf numFmtId="14" fontId="0" fillId="0" borderId="18" xfId="0" applyNumberFormat="1" applyBorder="1" applyAlignment="1">
      <alignment horizontal="center" vertical="center" wrapText="1"/>
    </xf>
    <xf numFmtId="14" fontId="0" fillId="0" borderId="0" xfId="0" applyNumberFormat="1" applyAlignment="1">
      <alignment horizontal="center" vertical="center" wrapText="1"/>
    </xf>
    <xf numFmtId="14" fontId="0" fillId="0" borderId="19" xfId="0" applyNumberFormat="1" applyBorder="1" applyAlignment="1">
      <alignment horizontal="center" vertical="center" wrapText="1"/>
    </xf>
    <xf numFmtId="0" fontId="0" fillId="0" borderId="21" xfId="0" applyBorder="1" applyAlignment="1">
      <alignment horizontal="left" vertical="center" wrapText="1"/>
    </xf>
    <xf numFmtId="0" fontId="0" fillId="14" borderId="6" xfId="0" applyFill="1" applyBorder="1" applyAlignment="1">
      <alignment horizontal="left" vertical="center" wrapText="1"/>
    </xf>
    <xf numFmtId="0" fontId="0" fillId="44" borderId="3" xfId="0" applyFill="1" applyBorder="1" applyAlignment="1">
      <alignment horizontal="center" vertical="center" wrapText="1"/>
    </xf>
    <xf numFmtId="15" fontId="0" fillId="3" borderId="3" xfId="0" applyNumberFormat="1" applyFill="1" applyBorder="1" applyAlignment="1">
      <alignment horizontal="center" vertical="center" wrapText="1"/>
    </xf>
    <xf numFmtId="15" fontId="9" fillId="3" borderId="3" xfId="0" applyNumberFormat="1" applyFont="1" applyFill="1" applyBorder="1" applyAlignment="1">
      <alignment horizontal="center" vertical="center" wrapText="1"/>
    </xf>
    <xf numFmtId="0" fontId="28" fillId="3" borderId="3" xfId="0" applyFont="1" applyFill="1" applyBorder="1" applyAlignment="1">
      <alignment horizontal="center" vertical="center" wrapText="1"/>
    </xf>
    <xf numFmtId="15" fontId="0" fillId="3" borderId="3" xfId="0" applyNumberFormat="1" applyFill="1" applyBorder="1" applyAlignment="1">
      <alignment horizontal="left" vertical="center" wrapText="1"/>
    </xf>
    <xf numFmtId="15" fontId="0" fillId="3" borderId="0" xfId="0" applyNumberFormat="1" applyFill="1" applyAlignment="1">
      <alignment horizontal="right"/>
    </xf>
    <xf numFmtId="0" fontId="22" fillId="3" borderId="0" xfId="0" applyFont="1" applyFill="1" applyAlignment="1">
      <alignment horizontal="center" vertical="center"/>
    </xf>
    <xf numFmtId="0" fontId="62" fillId="0" borderId="3" xfId="0" applyFont="1" applyBorder="1" applyAlignment="1">
      <alignment horizontal="center" vertical="center" wrapText="1"/>
    </xf>
    <xf numFmtId="0" fontId="28" fillId="0" borderId="6" xfId="0" applyFont="1" applyBorder="1" applyAlignment="1">
      <alignment horizontal="center" vertical="center" wrapText="1"/>
    </xf>
    <xf numFmtId="14" fontId="31" fillId="0" borderId="3"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0" fillId="0" borderId="3" xfId="0" applyBorder="1"/>
    <xf numFmtId="0" fontId="28" fillId="0" borderId="8" xfId="0" applyFont="1" applyBorder="1" applyAlignment="1">
      <alignment horizontal="center" vertical="center" wrapText="1"/>
    </xf>
    <xf numFmtId="14" fontId="37" fillId="0" borderId="3" xfId="0" applyNumberFormat="1" applyFont="1" applyBorder="1" applyAlignment="1">
      <alignment horizontal="center" vertical="center" wrapText="1"/>
    </xf>
    <xf numFmtId="14" fontId="0" fillId="3" borderId="3" xfId="0" applyNumberFormat="1" applyFill="1" applyBorder="1" applyAlignment="1">
      <alignment horizontal="center" vertical="center" wrapText="1"/>
    </xf>
    <xf numFmtId="0" fontId="0" fillId="0" borderId="3" xfId="0" applyBorder="1" applyAlignment="1">
      <alignment horizontal="left" vertical="top" wrapText="1"/>
    </xf>
    <xf numFmtId="14" fontId="0" fillId="9" borderId="3" xfId="0" applyNumberFormat="1" applyFill="1" applyBorder="1" applyAlignment="1">
      <alignment horizontal="center" vertical="center" wrapText="1"/>
    </xf>
    <xf numFmtId="14" fontId="0" fillId="3" borderId="6" xfId="0" applyNumberFormat="1" applyFill="1" applyBorder="1" applyAlignment="1">
      <alignment horizontal="center" vertical="center" wrapText="1"/>
    </xf>
    <xf numFmtId="165" fontId="24" fillId="0" borderId="3" xfId="0" applyNumberFormat="1" applyFont="1" applyBorder="1" applyAlignment="1">
      <alignment horizontal="left" vertical="center" wrapText="1"/>
    </xf>
    <xf numFmtId="0" fontId="0" fillId="0" borderId="6" xfId="0" applyBorder="1" applyAlignment="1">
      <alignment horizontal="left" vertical="center" wrapText="1"/>
    </xf>
    <xf numFmtId="0" fontId="26" fillId="18" borderId="6" xfId="0" applyFont="1" applyFill="1" applyBorder="1" applyAlignment="1">
      <alignment horizontal="center" vertical="center" wrapText="1"/>
    </xf>
    <xf numFmtId="0" fontId="0" fillId="45" borderId="6" xfId="0" applyFill="1" applyBorder="1" applyAlignment="1">
      <alignment horizontal="left" vertical="center" wrapText="1"/>
    </xf>
    <xf numFmtId="0" fontId="9" fillId="2" borderId="21" xfId="0" applyFont="1" applyFill="1" applyBorder="1" applyAlignment="1">
      <alignment horizontal="center" vertical="center" wrapText="1"/>
    </xf>
    <xf numFmtId="0" fontId="28" fillId="0" borderId="21" xfId="0" applyFont="1" applyBorder="1" applyAlignment="1">
      <alignment horizontal="center" vertical="center" wrapText="1"/>
    </xf>
    <xf numFmtId="0" fontId="0" fillId="7" borderId="21" xfId="0" applyFill="1" applyBorder="1" applyAlignment="1">
      <alignment horizontal="left" vertical="center" wrapText="1"/>
    </xf>
    <xf numFmtId="0" fontId="30" fillId="2" borderId="1" xfId="0" applyFont="1" applyFill="1" applyBorder="1" applyAlignment="1">
      <alignment horizontal="center" vertical="center" wrapText="1"/>
    </xf>
    <xf numFmtId="14" fontId="0" fillId="46" borderId="3" xfId="0" applyNumberFormat="1" applyFill="1" applyBorder="1" applyAlignment="1">
      <alignment horizontal="center" vertical="center" wrapText="1"/>
    </xf>
    <xf numFmtId="0" fontId="0" fillId="8" borderId="6" xfId="0" applyFill="1" applyBorder="1" applyAlignment="1">
      <alignment horizontal="left" vertical="center" wrapText="1"/>
    </xf>
    <xf numFmtId="168" fontId="0" fillId="0" borderId="3" xfId="1" applyNumberFormat="1" applyFont="1" applyFill="1" applyBorder="1" applyAlignment="1">
      <alignment horizontal="center" vertical="center" wrapText="1"/>
    </xf>
    <xf numFmtId="0" fontId="0" fillId="47" borderId="3" xfId="0" applyFill="1" applyBorder="1" applyAlignment="1">
      <alignment horizontal="center" vertical="center" wrapText="1"/>
    </xf>
    <xf numFmtId="0" fontId="0" fillId="13" borderId="3" xfId="0" applyFill="1" applyBorder="1" applyAlignment="1">
      <alignment horizontal="left" vertical="center" wrapText="1"/>
    </xf>
    <xf numFmtId="0" fontId="63" fillId="0" borderId="0" xfId="0" applyFont="1" applyAlignment="1">
      <alignment wrapText="1"/>
    </xf>
    <xf numFmtId="0" fontId="9" fillId="48" borderId="6" xfId="0" applyFont="1" applyFill="1" applyBorder="1" applyAlignment="1">
      <alignment horizontal="left" vertical="center" wrapText="1"/>
    </xf>
    <xf numFmtId="0" fontId="0" fillId="0" borderId="0" xfId="0" applyAlignment="1">
      <alignment horizontal="center" vertical="center" wrapText="1"/>
    </xf>
    <xf numFmtId="0" fontId="0" fillId="50" borderId="6" xfId="0" applyFill="1" applyBorder="1" applyAlignment="1">
      <alignment horizontal="left" vertical="center" wrapText="1"/>
    </xf>
    <xf numFmtId="16" fontId="0" fillId="41" borderId="3" xfId="0" applyNumberFormat="1" applyFill="1" applyBorder="1" applyAlignment="1">
      <alignment horizontal="center" vertical="center" wrapText="1"/>
    </xf>
    <xf numFmtId="0" fontId="0" fillId="12" borderId="3" xfId="0" applyFill="1" applyBorder="1" applyAlignment="1">
      <alignment horizontal="left" vertical="center" wrapText="1"/>
    </xf>
    <xf numFmtId="165" fontId="0" fillId="0" borderId="0" xfId="0" applyNumberFormat="1" applyAlignment="1">
      <alignment horizontal="right" vertical="center" wrapText="1"/>
    </xf>
    <xf numFmtId="0" fontId="0" fillId="8" borderId="3" xfId="0" applyFill="1" applyBorder="1" applyAlignment="1">
      <alignment horizontal="center" vertical="center" wrapText="1"/>
    </xf>
    <xf numFmtId="14" fontId="0" fillId="8" borderId="3" xfId="0" applyNumberFormat="1" applyFill="1" applyBorder="1" applyAlignment="1">
      <alignment horizontal="center" vertical="center" wrapText="1"/>
    </xf>
    <xf numFmtId="0" fontId="9" fillId="8" borderId="3" xfId="0" applyFont="1" applyFill="1" applyBorder="1" applyAlignment="1">
      <alignment horizontal="center" vertical="center" wrapText="1"/>
    </xf>
    <xf numFmtId="166" fontId="0" fillId="12" borderId="0" xfId="1" applyNumberFormat="1" applyFont="1" applyFill="1"/>
    <xf numFmtId="0" fontId="0" fillId="14" borderId="3" xfId="0" applyFill="1" applyBorder="1" applyAlignment="1">
      <alignment horizontal="left" vertical="center" wrapText="1"/>
    </xf>
    <xf numFmtId="165" fontId="11" fillId="14" borderId="3" xfId="0" applyNumberFormat="1" applyFont="1" applyFill="1" applyBorder="1" applyAlignment="1">
      <alignment horizontal="right" vertical="center" wrapText="1"/>
    </xf>
    <xf numFmtId="15" fontId="0" fillId="14" borderId="3" xfId="0" applyNumberFormat="1" applyFill="1" applyBorder="1" applyAlignment="1">
      <alignment horizontal="center" vertical="center" wrapText="1"/>
    </xf>
    <xf numFmtId="0" fontId="63" fillId="14" borderId="0" xfId="0" applyFont="1" applyFill="1" applyAlignment="1">
      <alignment horizontal="center" vertical="center" wrapText="1"/>
    </xf>
    <xf numFmtId="165" fontId="0" fillId="14" borderId="3" xfId="0" applyNumberFormat="1" applyFill="1" applyBorder="1" applyAlignment="1">
      <alignment horizontal="right" vertical="center" wrapText="1"/>
    </xf>
    <xf numFmtId="165" fontId="62" fillId="0" borderId="3" xfId="0" applyNumberFormat="1" applyFont="1" applyBorder="1" applyAlignment="1">
      <alignment horizontal="right" vertical="center" wrapText="1"/>
    </xf>
    <xf numFmtId="15" fontId="37" fillId="3" borderId="3" xfId="0" applyNumberFormat="1" applyFont="1" applyFill="1" applyBorder="1" applyAlignment="1">
      <alignment horizontal="center" vertical="center" wrapText="1"/>
    </xf>
    <xf numFmtId="15" fontId="0" fillId="14" borderId="3" xfId="0" applyNumberFormat="1" applyFill="1" applyBorder="1" applyAlignment="1">
      <alignment horizontal="left" vertical="center" wrapText="1"/>
    </xf>
    <xf numFmtId="15" fontId="0" fillId="54" borderId="3" xfId="0" applyNumberFormat="1" applyFill="1" applyBorder="1" applyAlignment="1">
      <alignment horizontal="left" vertical="center" wrapText="1"/>
    </xf>
    <xf numFmtId="165" fontId="0" fillId="54" borderId="3" xfId="0" applyNumberFormat="1" applyFill="1" applyBorder="1" applyAlignment="1">
      <alignment horizontal="right" vertical="center" wrapText="1"/>
    </xf>
    <xf numFmtId="15" fontId="0" fillId="54" borderId="3" xfId="0" applyNumberFormat="1" applyFill="1" applyBorder="1" applyAlignment="1">
      <alignment horizontal="center" vertical="center" wrapText="1"/>
    </xf>
    <xf numFmtId="0" fontId="0" fillId="54" borderId="3" xfId="0" applyFill="1" applyBorder="1" applyAlignment="1">
      <alignment horizontal="left" vertical="center" wrapText="1"/>
    </xf>
    <xf numFmtId="14" fontId="64" fillId="55" borderId="3" xfId="0" applyNumberFormat="1" applyFont="1" applyFill="1" applyBorder="1" applyAlignment="1">
      <alignment horizontal="center" vertical="center" wrapText="1"/>
    </xf>
    <xf numFmtId="165" fontId="11" fillId="8" borderId="3" xfId="0" applyNumberFormat="1" applyFont="1" applyFill="1" applyBorder="1" applyAlignment="1">
      <alignment horizontal="right" vertical="center" wrapText="1"/>
    </xf>
    <xf numFmtId="0" fontId="0" fillId="0" borderId="19" xfId="0" applyBorder="1" applyAlignment="1">
      <alignment horizontal="center" vertical="center" wrapText="1"/>
    </xf>
    <xf numFmtId="9" fontId="0" fillId="0" borderId="3" xfId="0" applyNumberFormat="1" applyBorder="1" applyAlignment="1">
      <alignment horizontal="center" vertical="center" wrapText="1"/>
    </xf>
    <xf numFmtId="14" fontId="0" fillId="46" borderId="18" xfId="0" applyNumberFormat="1" applyFill="1" applyBorder="1" applyAlignment="1">
      <alignment horizontal="center" vertical="center" wrapText="1"/>
    </xf>
    <xf numFmtId="14" fontId="0" fillId="46" borderId="20" xfId="0" applyNumberFormat="1" applyFill="1" applyBorder="1" applyAlignment="1">
      <alignment horizontal="center" vertical="center" wrapText="1"/>
    </xf>
    <xf numFmtId="0" fontId="0" fillId="56" borderId="3" xfId="0" applyFill="1" applyBorder="1" applyAlignment="1">
      <alignment horizontal="left" vertical="center" wrapText="1"/>
    </xf>
    <xf numFmtId="170" fontId="0" fillId="0" borderId="3" xfId="0" applyNumberFormat="1" applyBorder="1" applyAlignment="1">
      <alignment horizontal="center" vertical="center" wrapText="1"/>
    </xf>
    <xf numFmtId="0" fontId="9" fillId="12" borderId="3" xfId="0" applyFont="1" applyFill="1" applyBorder="1" applyAlignment="1">
      <alignment horizontal="center" vertical="center" wrapText="1"/>
    </xf>
    <xf numFmtId="0" fontId="0" fillId="57" borderId="3" xfId="0" applyFill="1" applyBorder="1" applyAlignment="1">
      <alignment horizontal="left" vertical="center" wrapText="1"/>
    </xf>
    <xf numFmtId="0" fontId="0" fillId="10" borderId="3" xfId="0" applyFill="1" applyBorder="1" applyAlignment="1">
      <alignment horizontal="left" vertical="center" wrapText="1"/>
    </xf>
    <xf numFmtId="15" fontId="0" fillId="10" borderId="3" xfId="0" applyNumberFormat="1" applyFill="1" applyBorder="1" applyAlignment="1">
      <alignment horizontal="left" vertical="center" wrapText="1"/>
    </xf>
    <xf numFmtId="165" fontId="0" fillId="10" borderId="3" xfId="0" applyNumberFormat="1" applyFill="1" applyBorder="1" applyAlignment="1">
      <alignment horizontal="right" vertical="center" wrapText="1"/>
    </xf>
    <xf numFmtId="164" fontId="0" fillId="0" borderId="3" xfId="1" applyFont="1" applyBorder="1" applyAlignment="1">
      <alignment horizontal="center" vertical="center" wrapText="1"/>
    </xf>
    <xf numFmtId="168" fontId="0" fillId="0" borderId="3" xfId="1" applyNumberFormat="1" applyFont="1" applyBorder="1" applyAlignment="1">
      <alignment horizontal="center" vertical="center" wrapText="1"/>
    </xf>
    <xf numFmtId="170" fontId="0" fillId="54" borderId="0" xfId="0" applyNumberFormat="1" applyFill="1"/>
    <xf numFmtId="170" fontId="0" fillId="0" borderId="0" xfId="0" applyNumberFormat="1" applyAlignment="1">
      <alignment horizontal="center" vertical="center"/>
    </xf>
    <xf numFmtId="0" fontId="0" fillId="48" borderId="6" xfId="0" applyFill="1" applyBorder="1" applyAlignment="1">
      <alignment horizontal="left" vertical="center" wrapText="1"/>
    </xf>
    <xf numFmtId="15" fontId="0" fillId="10" borderId="3" xfId="0" applyNumberFormat="1" applyFill="1" applyBorder="1" applyAlignment="1">
      <alignment horizontal="center" vertical="center" wrapText="1"/>
    </xf>
    <xf numFmtId="170" fontId="0" fillId="14" borderId="0" xfId="0" applyNumberFormat="1" applyFill="1"/>
    <xf numFmtId="165" fontId="9" fillId="10" borderId="3" xfId="0" applyNumberFormat="1" applyFont="1" applyFill="1" applyBorder="1" applyAlignment="1">
      <alignment horizontal="center" vertical="center" wrapText="1"/>
    </xf>
    <xf numFmtId="170" fontId="65" fillId="0" borderId="3" xfId="0" applyNumberFormat="1" applyFont="1" applyBorder="1" applyAlignment="1">
      <alignment horizontal="center" vertical="center" wrapText="1"/>
    </xf>
    <xf numFmtId="0" fontId="9" fillId="53" borderId="6" xfId="0" applyFont="1" applyFill="1" applyBorder="1" applyAlignment="1">
      <alignment horizontal="left" vertical="center" wrapText="1"/>
    </xf>
    <xf numFmtId="168" fontId="11" fillId="0" borderId="3" xfId="1" applyNumberFormat="1" applyFont="1" applyBorder="1" applyAlignment="1">
      <alignment horizontal="right" vertical="center" wrapText="1"/>
    </xf>
    <xf numFmtId="165" fontId="7" fillId="10" borderId="3" xfId="0" applyNumberFormat="1" applyFont="1" applyFill="1" applyBorder="1" applyAlignment="1">
      <alignment horizontal="right" vertical="center" wrapText="1"/>
    </xf>
    <xf numFmtId="0" fontId="0" fillId="6" borderId="6" xfId="0" applyFill="1" applyBorder="1" applyAlignment="1">
      <alignment horizontal="left" vertical="center" wrapText="1"/>
    </xf>
    <xf numFmtId="14" fontId="0" fillId="14" borderId="3" xfId="0" applyNumberFormat="1" applyFill="1" applyBorder="1" applyAlignment="1">
      <alignment horizontal="center" vertical="center" wrapText="1"/>
    </xf>
    <xf numFmtId="0" fontId="0" fillId="52" borderId="3" xfId="0" applyFill="1" applyBorder="1" applyAlignment="1">
      <alignment horizontal="left" vertical="center" wrapText="1"/>
    </xf>
    <xf numFmtId="0" fontId="0" fillId="6" borderId="24" xfId="0" applyFill="1" applyBorder="1" applyAlignment="1">
      <alignment horizontal="left" vertical="center" wrapText="1"/>
    </xf>
    <xf numFmtId="0" fontId="0" fillId="14" borderId="1" xfId="0" applyFill="1" applyBorder="1" applyAlignment="1">
      <alignment horizontal="center" vertical="center" wrapText="1"/>
    </xf>
    <xf numFmtId="14" fontId="0" fillId="0" borderId="21" xfId="0" applyNumberFormat="1" applyBorder="1" applyAlignment="1">
      <alignment horizontal="center" vertical="center" wrapText="1"/>
    </xf>
    <xf numFmtId="0" fontId="28" fillId="0" borderId="18" xfId="0" applyFont="1" applyBorder="1" applyAlignment="1">
      <alignment horizontal="center" vertical="center" wrapText="1"/>
    </xf>
    <xf numFmtId="14" fontId="0" fillId="9" borderId="1" xfId="0" applyNumberFormat="1" applyFill="1" applyBorder="1" applyAlignment="1">
      <alignment horizontal="center" vertical="center" wrapText="1"/>
    </xf>
    <xf numFmtId="14" fontId="0" fillId="0" borderId="3" xfId="0" applyNumberFormat="1" applyBorder="1" applyAlignment="1">
      <alignment horizontal="left" vertical="center" wrapText="1"/>
    </xf>
    <xf numFmtId="14" fontId="0" fillId="0" borderId="0" xfId="0" applyNumberFormat="1"/>
    <xf numFmtId="165" fontId="66" fillId="0" borderId="3" xfId="0" applyNumberFormat="1" applyFont="1" applyBorder="1" applyAlignment="1">
      <alignment horizontal="right" vertical="center" wrapText="1"/>
    </xf>
    <xf numFmtId="0" fontId="11" fillId="14" borderId="1" xfId="0" applyFont="1" applyFill="1" applyBorder="1" applyAlignment="1">
      <alignment horizontal="center" vertical="center" wrapText="1"/>
    </xf>
    <xf numFmtId="170" fontId="0" fillId="0" borderId="3" xfId="0" applyNumberFormat="1" applyBorder="1"/>
    <xf numFmtId="0" fontId="0" fillId="0" borderId="6" xfId="0" applyBorder="1"/>
    <xf numFmtId="0" fontId="37" fillId="8" borderId="6" xfId="0" applyFont="1" applyFill="1" applyBorder="1" applyAlignment="1">
      <alignment horizontal="left" vertical="center" wrapText="1"/>
    </xf>
    <xf numFmtId="170" fontId="26" fillId="18" borderId="26" xfId="0" applyNumberFormat="1" applyFont="1" applyFill="1" applyBorder="1" applyAlignment="1">
      <alignment horizontal="center" vertical="center" wrapText="1"/>
    </xf>
    <xf numFmtId="0" fontId="0" fillId="0" borderId="25" xfId="0" applyBorder="1" applyAlignment="1">
      <alignment horizontal="left" vertical="center" wrapText="1"/>
    </xf>
    <xf numFmtId="16" fontId="0" fillId="14" borderId="1" xfId="0" applyNumberFormat="1" applyFill="1" applyBorder="1" applyAlignment="1">
      <alignment horizontal="center" vertical="center"/>
    </xf>
    <xf numFmtId="0" fontId="0" fillId="14" borderId="1" xfId="0" applyFill="1" applyBorder="1" applyAlignment="1">
      <alignment horizontal="center" vertical="center"/>
    </xf>
    <xf numFmtId="0" fontId="25" fillId="0" borderId="18" xfId="0" applyFont="1" applyBorder="1" applyAlignment="1">
      <alignment horizontal="left" vertical="center" wrapText="1" shrinkToFit="1"/>
    </xf>
    <xf numFmtId="0" fontId="25" fillId="0" borderId="25" xfId="0" applyFont="1" applyBorder="1" applyAlignment="1">
      <alignment horizontal="left" vertical="center" wrapText="1" shrinkToFit="1"/>
    </xf>
    <xf numFmtId="0" fontId="25" fillId="0" borderId="27" xfId="0" applyFont="1" applyBorder="1" applyAlignment="1">
      <alignment horizontal="left" vertical="center" wrapText="1" shrinkToFit="1"/>
    </xf>
    <xf numFmtId="43" fontId="0" fillId="0" borderId="3" xfId="3" applyFont="1" applyBorder="1" applyAlignment="1">
      <alignment horizontal="right" vertical="center" wrapText="1"/>
    </xf>
    <xf numFmtId="16" fontId="0" fillId="9" borderId="1" xfId="0" applyNumberFormat="1" applyFill="1" applyBorder="1" applyAlignment="1">
      <alignment horizontal="center" vertical="center" wrapText="1"/>
    </xf>
    <xf numFmtId="0" fontId="0" fillId="0" borderId="18" xfId="0" applyBorder="1" applyAlignment="1">
      <alignment horizontal="center" vertical="center" wrapText="1"/>
    </xf>
    <xf numFmtId="0" fontId="0" fillId="0" borderId="25" xfId="0" applyBorder="1" applyAlignment="1">
      <alignment horizontal="center" vertical="center" wrapText="1"/>
    </xf>
    <xf numFmtId="0" fontId="24" fillId="0" borderId="24" xfId="0" applyFont="1" applyBorder="1" applyAlignment="1">
      <alignment horizontal="left" vertical="center" wrapText="1"/>
    </xf>
    <xf numFmtId="0" fontId="24" fillId="0" borderId="1" xfId="0" applyFont="1" applyBorder="1" applyAlignment="1">
      <alignment horizontal="left" vertical="center" wrapText="1"/>
    </xf>
    <xf numFmtId="0" fontId="24" fillId="0" borderId="18" xfId="0" applyFont="1" applyBorder="1" applyAlignment="1">
      <alignment horizontal="left" vertical="center" wrapText="1"/>
    </xf>
    <xf numFmtId="0" fontId="0" fillId="0" borderId="28" xfId="0" applyBorder="1" applyAlignment="1">
      <alignment horizontal="center" vertical="center" wrapText="1"/>
    </xf>
    <xf numFmtId="165" fontId="0" fillId="0" borderId="0" xfId="3" applyNumberFormat="1" applyFont="1"/>
    <xf numFmtId="14" fontId="33" fillId="18" borderId="4" xfId="0" applyNumberFormat="1" applyFont="1" applyFill="1" applyBorder="1" applyAlignment="1">
      <alignment horizontal="center" vertical="center" wrapText="1"/>
    </xf>
    <xf numFmtId="0" fontId="20" fillId="0" borderId="18" xfId="0" applyFont="1" applyBorder="1" applyAlignment="1">
      <alignment horizontal="left" vertical="center" wrapText="1"/>
    </xf>
    <xf numFmtId="15" fontId="0" fillId="3" borderId="1" xfId="0" applyNumberFormat="1" applyFill="1" applyBorder="1" applyAlignment="1">
      <alignment horizontal="center" vertical="center" wrapText="1"/>
    </xf>
    <xf numFmtId="0" fontId="20" fillId="0" borderId="0" xfId="0" applyFont="1" applyAlignment="1">
      <alignment horizontal="left" vertical="center" wrapText="1"/>
    </xf>
    <xf numFmtId="0" fontId="0" fillId="0" borderId="22" xfId="0" applyBorder="1" applyAlignment="1">
      <alignment horizontal="left" vertical="center" wrapText="1"/>
    </xf>
    <xf numFmtId="0" fontId="0" fillId="6" borderId="29" xfId="0" applyFill="1" applyBorder="1" applyAlignment="1">
      <alignment horizontal="left" vertical="center" wrapText="1"/>
    </xf>
    <xf numFmtId="0" fontId="0" fillId="0" borderId="27" xfId="0" applyBorder="1" applyAlignment="1">
      <alignment horizontal="left" vertical="center" wrapText="1"/>
    </xf>
    <xf numFmtId="0" fontId="0" fillId="6" borderId="1" xfId="0" applyFill="1" applyBorder="1" applyAlignment="1">
      <alignment horizontal="left" vertical="center" wrapText="1"/>
    </xf>
    <xf numFmtId="0" fontId="11" fillId="0" borderId="3" xfId="0" applyFont="1" applyBorder="1" applyAlignment="1">
      <alignment horizontal="center" vertical="center" wrapText="1"/>
    </xf>
    <xf numFmtId="14" fontId="11" fillId="0" borderId="3" xfId="0" applyNumberFormat="1" applyFont="1" applyBorder="1" applyAlignment="1">
      <alignment horizontal="center" vertical="center" wrapText="1"/>
    </xf>
    <xf numFmtId="0" fontId="11" fillId="0" borderId="0" xfId="0" applyFont="1"/>
    <xf numFmtId="43" fontId="11" fillId="0" borderId="3" xfId="3" applyFont="1" applyBorder="1" applyAlignment="1">
      <alignment horizontal="center" vertical="center" wrapText="1"/>
    </xf>
    <xf numFmtId="43" fontId="26" fillId="18" borderId="3" xfId="3" applyFont="1" applyFill="1" applyBorder="1" applyAlignment="1">
      <alignment horizontal="center" vertical="center" wrapText="1"/>
    </xf>
    <xf numFmtId="43" fontId="8" fillId="2" borderId="3" xfId="3" applyFont="1" applyFill="1" applyBorder="1" applyAlignment="1">
      <alignment horizontal="center" vertical="center" wrapText="1"/>
    </xf>
    <xf numFmtId="43" fontId="0" fillId="0" borderId="21" xfId="3" applyFont="1" applyBorder="1" applyAlignment="1">
      <alignment horizontal="right" vertical="center" wrapText="1"/>
    </xf>
    <xf numFmtId="14" fontId="9" fillId="2" borderId="3" xfId="0" applyNumberFormat="1" applyFont="1" applyFill="1" applyBorder="1" applyAlignment="1">
      <alignment horizontal="center" vertical="center" wrapText="1"/>
    </xf>
    <xf numFmtId="14" fontId="26" fillId="18" borderId="3" xfId="0" applyNumberFormat="1" applyFont="1" applyFill="1" applyBorder="1" applyAlignment="1">
      <alignment horizontal="center" vertical="center" wrapText="1"/>
    </xf>
    <xf numFmtId="14" fontId="0" fillId="0" borderId="0" xfId="0" applyNumberFormat="1" applyAlignment="1">
      <alignment wrapText="1"/>
    </xf>
    <xf numFmtId="43" fontId="9" fillId="5" borderId="3" xfId="3" applyFont="1" applyFill="1" applyBorder="1" applyAlignment="1">
      <alignment horizontal="center" vertical="center" wrapText="1"/>
    </xf>
    <xf numFmtId="43" fontId="0" fillId="0" borderId="3" xfId="3" applyFont="1" applyBorder="1" applyAlignment="1">
      <alignment horizontal="center" vertical="center" wrapText="1"/>
    </xf>
    <xf numFmtId="43" fontId="10" fillId="2" borderId="3" xfId="3" applyFont="1" applyFill="1" applyBorder="1" applyAlignment="1">
      <alignment horizontal="center" vertical="center" wrapText="1"/>
    </xf>
    <xf numFmtId="0" fontId="11" fillId="0" borderId="3" xfId="0" applyFont="1" applyBorder="1" applyAlignment="1">
      <alignment horizontal="left" vertical="center" wrapText="1"/>
    </xf>
    <xf numFmtId="14" fontId="9" fillId="5" borderId="3" xfId="0" applyNumberFormat="1" applyFont="1" applyFill="1" applyBorder="1" applyAlignment="1">
      <alignment horizontal="center" vertical="center" wrapText="1"/>
    </xf>
    <xf numFmtId="14" fontId="33" fillId="18" borderId="5" xfId="0" applyNumberFormat="1" applyFont="1" applyFill="1" applyBorder="1" applyAlignment="1">
      <alignment horizontal="center" vertical="center" wrapText="1"/>
    </xf>
    <xf numFmtId="14" fontId="34" fillId="3" borderId="5" xfId="0" applyNumberFormat="1" applyFont="1" applyFill="1" applyBorder="1" applyAlignment="1">
      <alignment horizontal="center" vertical="center" wrapText="1"/>
    </xf>
    <xf numFmtId="14" fontId="33" fillId="3" borderId="5" xfId="0" applyNumberFormat="1" applyFont="1" applyFill="1" applyBorder="1" applyAlignment="1">
      <alignment horizontal="center" vertical="center" wrapText="1"/>
    </xf>
    <xf numFmtId="43" fontId="11" fillId="0" borderId="0" xfId="3" applyFont="1"/>
    <xf numFmtId="43" fontId="11" fillId="0" borderId="3" xfId="3" applyFont="1" applyBorder="1" applyAlignment="1">
      <alignment horizontal="left" vertical="center" wrapText="1"/>
    </xf>
    <xf numFmtId="0" fontId="0" fillId="0" borderId="0" xfId="0" applyAlignment="1">
      <alignment horizontal="left"/>
    </xf>
    <xf numFmtId="0" fontId="67" fillId="0" borderId="3" xfId="0" applyFont="1" applyBorder="1" applyAlignment="1">
      <alignment horizontal="left" vertical="center"/>
    </xf>
    <xf numFmtId="0" fontId="11" fillId="0" borderId="6" xfId="0" applyFont="1" applyBorder="1" applyAlignment="1">
      <alignment horizontal="left" vertical="center" wrapText="1"/>
    </xf>
    <xf numFmtId="0" fontId="28" fillId="0" borderId="3" xfId="3" applyNumberFormat="1" applyFont="1" applyBorder="1" applyAlignment="1">
      <alignment horizontal="center" vertical="center" wrapText="1"/>
    </xf>
    <xf numFmtId="14" fontId="11" fillId="0" borderId="3" xfId="3" applyNumberFormat="1" applyFont="1" applyBorder="1" applyAlignment="1">
      <alignment horizontal="center" vertical="center" wrapText="1"/>
    </xf>
    <xf numFmtId="0" fontId="11" fillId="8" borderId="6" xfId="0" applyFont="1" applyFill="1" applyBorder="1" applyAlignment="1">
      <alignment horizontal="left" vertical="center" wrapText="1"/>
    </xf>
    <xf numFmtId="0" fontId="67" fillId="0" borderId="3" xfId="0" applyFont="1" applyBorder="1" applyAlignment="1">
      <alignment horizontal="left" vertical="center" wrapText="1"/>
    </xf>
    <xf numFmtId="43" fontId="0" fillId="0" borderId="3" xfId="3" applyFont="1" applyFill="1" applyBorder="1" applyAlignment="1">
      <alignment horizontal="right" vertical="center" wrapText="1"/>
    </xf>
    <xf numFmtId="165" fontId="0" fillId="46" borderId="3" xfId="0" applyNumberFormat="1" applyFill="1" applyBorder="1" applyAlignment="1">
      <alignment horizontal="right" vertical="center" wrapText="1"/>
    </xf>
    <xf numFmtId="43" fontId="11" fillId="46" borderId="3" xfId="3" applyFont="1" applyFill="1" applyBorder="1" applyAlignment="1">
      <alignment horizontal="center" vertical="center" wrapText="1"/>
    </xf>
    <xf numFmtId="43" fontId="11" fillId="0" borderId="3" xfId="3" applyFont="1" applyFill="1" applyBorder="1" applyAlignment="1">
      <alignment horizontal="center" vertical="center" wrapText="1"/>
    </xf>
    <xf numFmtId="171" fontId="11" fillId="0" borderId="3" xfId="0" applyNumberFormat="1" applyFont="1" applyBorder="1" applyAlignment="1">
      <alignment horizontal="left" vertical="center" wrapText="1"/>
    </xf>
    <xf numFmtId="172" fontId="11" fillId="0" borderId="3" xfId="0" applyNumberFormat="1" applyFont="1" applyBorder="1" applyAlignment="1">
      <alignment horizontal="left" vertical="center" wrapText="1"/>
    </xf>
    <xf numFmtId="0" fontId="25" fillId="0" borderId="21" xfId="0" applyFont="1" applyBorder="1" applyAlignment="1">
      <alignment horizontal="left" vertical="center" wrapText="1" shrinkToFit="1"/>
    </xf>
    <xf numFmtId="173" fontId="11" fillId="0" borderId="3" xfId="3" applyNumberFormat="1" applyFont="1" applyBorder="1" applyAlignment="1">
      <alignment horizontal="center" vertical="center" wrapText="1"/>
    </xf>
    <xf numFmtId="0" fontId="25" fillId="0" borderId="3" xfId="0" applyFont="1" applyBorder="1" applyAlignment="1">
      <alignment horizontal="center" vertical="center" wrapText="1" shrinkToFit="1"/>
    </xf>
    <xf numFmtId="0" fontId="25" fillId="0" borderId="18" xfId="0" applyFont="1" applyBorder="1" applyAlignment="1">
      <alignment horizontal="center" vertical="center" wrapText="1" shrinkToFit="1"/>
    </xf>
    <xf numFmtId="0" fontId="0" fillId="0" borderId="3" xfId="0" applyBorder="1" applyAlignment="1">
      <alignment vertical="center" wrapText="1"/>
    </xf>
    <xf numFmtId="0" fontId="0" fillId="0" borderId="0" xfId="0" applyAlignment="1">
      <alignment horizontal="center" wrapText="1"/>
    </xf>
    <xf numFmtId="43" fontId="72" fillId="0" borderId="32" xfId="3" applyFont="1" applyFill="1" applyBorder="1" applyAlignment="1">
      <alignment horizontal="center" vertical="center" wrapText="1"/>
    </xf>
    <xf numFmtId="43" fontId="72" fillId="0" borderId="33" xfId="3" applyFont="1" applyFill="1" applyBorder="1" applyAlignment="1">
      <alignment horizontal="center" vertical="center" wrapText="1"/>
    </xf>
    <xf numFmtId="0" fontId="72" fillId="0" borderId="32" xfId="3" applyNumberFormat="1" applyFont="1" applyFill="1" applyBorder="1" applyAlignment="1">
      <alignment horizontal="center" vertical="center" wrapText="1"/>
    </xf>
    <xf numFmtId="43" fontId="23" fillId="0" borderId="32" xfId="3" applyFont="1" applyFill="1" applyBorder="1" applyAlignment="1">
      <alignment horizontal="center" vertical="center" wrapText="1"/>
    </xf>
    <xf numFmtId="0" fontId="23" fillId="0" borderId="32" xfId="0" applyFont="1" applyBorder="1" applyAlignment="1">
      <alignment horizontal="center" vertical="center" wrapText="1"/>
    </xf>
    <xf numFmtId="43" fontId="72" fillId="0" borderId="34" xfId="3" applyFont="1" applyFill="1" applyBorder="1" applyAlignment="1">
      <alignment horizontal="center" vertical="center" wrapText="1"/>
    </xf>
    <xf numFmtId="0" fontId="72" fillId="0" borderId="32" xfId="0" applyFont="1" applyBorder="1" applyAlignment="1">
      <alignment horizontal="center" vertical="center" wrapText="1"/>
    </xf>
    <xf numFmtId="43" fontId="72" fillId="0" borderId="35" xfId="3" applyFont="1" applyFill="1" applyBorder="1" applyAlignment="1">
      <alignment horizontal="center" vertical="center" wrapText="1"/>
    </xf>
    <xf numFmtId="43" fontId="72" fillId="0" borderId="36" xfId="3" applyFont="1" applyFill="1" applyBorder="1" applyAlignment="1">
      <alignment horizontal="center" vertical="center" wrapText="1"/>
    </xf>
    <xf numFmtId="0" fontId="72" fillId="0" borderId="35" xfId="3" applyNumberFormat="1" applyFont="1" applyFill="1" applyBorder="1" applyAlignment="1">
      <alignment horizontal="center" vertical="center" wrapText="1"/>
    </xf>
    <xf numFmtId="0" fontId="72" fillId="0" borderId="0" xfId="0" applyFont="1" applyAlignment="1">
      <alignment horizontal="center" vertical="center" wrapText="1"/>
    </xf>
    <xf numFmtId="43" fontId="73" fillId="0" borderId="0" xfId="0" applyNumberFormat="1" applyFont="1" applyAlignment="1">
      <alignment horizontal="center" vertical="center" wrapText="1"/>
    </xf>
    <xf numFmtId="0" fontId="74" fillId="0" borderId="0" xfId="0" applyFont="1" applyAlignment="1">
      <alignment horizontal="center" vertical="center" wrapText="1"/>
    </xf>
    <xf numFmtId="0" fontId="0" fillId="15" borderId="3" xfId="0" applyFill="1" applyBorder="1" applyAlignment="1">
      <alignment horizontal="left" vertical="center" wrapText="1"/>
    </xf>
    <xf numFmtId="0" fontId="0" fillId="15" borderId="3" xfId="0" applyFill="1" applyBorder="1" applyAlignment="1">
      <alignment horizontal="center" vertical="center" wrapText="1"/>
    </xf>
    <xf numFmtId="0" fontId="20" fillId="15" borderId="3" xfId="0" applyFont="1" applyFill="1" applyBorder="1" applyAlignment="1">
      <alignment horizontal="left" vertical="center" wrapText="1"/>
    </xf>
    <xf numFmtId="0" fontId="24" fillId="15" borderId="3" xfId="0" applyFont="1" applyFill="1" applyBorder="1" applyAlignment="1">
      <alignment horizontal="left" vertical="center" wrapText="1"/>
    </xf>
    <xf numFmtId="0" fontId="25" fillId="15" borderId="3" xfId="0" applyFont="1" applyFill="1" applyBorder="1" applyAlignment="1">
      <alignment horizontal="left" vertical="center" wrapText="1" shrinkToFit="1"/>
    </xf>
    <xf numFmtId="0" fontId="24" fillId="15" borderId="3" xfId="0" applyFont="1" applyFill="1" applyBorder="1" applyAlignment="1">
      <alignment horizontal="left" vertical="center" wrapText="1" shrinkToFit="1" readingOrder="1"/>
    </xf>
    <xf numFmtId="165" fontId="0" fillId="15" borderId="3" xfId="0" applyNumberFormat="1" applyFill="1" applyBorder="1" applyAlignment="1">
      <alignment horizontal="right" vertical="center" wrapText="1"/>
    </xf>
    <xf numFmtId="165" fontId="16" fillId="15" borderId="3" xfId="0" applyNumberFormat="1" applyFont="1" applyFill="1" applyBorder="1" applyAlignment="1">
      <alignment horizontal="right" vertical="center" wrapText="1"/>
    </xf>
    <xf numFmtId="165" fontId="11" fillId="15" borderId="3" xfId="0" applyNumberFormat="1" applyFont="1" applyFill="1" applyBorder="1" applyAlignment="1">
      <alignment horizontal="right" vertical="center" wrapText="1"/>
    </xf>
    <xf numFmtId="165" fontId="7" fillId="15" borderId="3" xfId="0" applyNumberFormat="1" applyFont="1" applyFill="1" applyBorder="1" applyAlignment="1">
      <alignment horizontal="right" vertical="center" wrapText="1"/>
    </xf>
    <xf numFmtId="15" fontId="0" fillId="15" borderId="3" xfId="0" applyNumberFormat="1" applyFill="1" applyBorder="1" applyAlignment="1">
      <alignment horizontal="center" vertical="center" wrapText="1"/>
    </xf>
    <xf numFmtId="165" fontId="0" fillId="15" borderId="3" xfId="0" applyNumberFormat="1" applyFill="1" applyBorder="1" applyAlignment="1">
      <alignment horizontal="center" vertical="center" wrapText="1"/>
    </xf>
    <xf numFmtId="2" fontId="0" fillId="15" borderId="3" xfId="0" applyNumberFormat="1" applyFill="1" applyBorder="1" applyAlignment="1">
      <alignment horizontal="center" vertical="center" wrapText="1"/>
    </xf>
    <xf numFmtId="15" fontId="0" fillId="15" borderId="3" xfId="0" applyNumberFormat="1" applyFill="1" applyBorder="1" applyAlignment="1">
      <alignment horizontal="left" vertical="center" wrapText="1"/>
    </xf>
    <xf numFmtId="166" fontId="0" fillId="15" borderId="3" xfId="0" applyNumberFormat="1" applyFill="1" applyBorder="1" applyAlignment="1">
      <alignment horizontal="left" vertical="center" wrapText="1"/>
    </xf>
    <xf numFmtId="165" fontId="0" fillId="15" borderId="3" xfId="0" applyNumberFormat="1" applyFill="1" applyBorder="1" applyAlignment="1">
      <alignment horizontal="left" vertical="center" wrapText="1"/>
    </xf>
    <xf numFmtId="14" fontId="0" fillId="15" borderId="3" xfId="0" applyNumberFormat="1" applyFill="1" applyBorder="1" applyAlignment="1">
      <alignment horizontal="center" vertical="center" wrapText="1"/>
    </xf>
    <xf numFmtId="16" fontId="0" fillId="15" borderId="3" xfId="0" applyNumberFormat="1" applyFill="1" applyBorder="1" applyAlignment="1">
      <alignment horizontal="center" vertical="center" wrapText="1"/>
    </xf>
    <xf numFmtId="14" fontId="0" fillId="15" borderId="6" xfId="0" applyNumberFormat="1" applyFill="1" applyBorder="1" applyAlignment="1">
      <alignment horizontal="center" vertical="center" wrapText="1"/>
    </xf>
    <xf numFmtId="0" fontId="31" fillId="15" borderId="1" xfId="0" applyFont="1" applyFill="1" applyBorder="1" applyAlignment="1">
      <alignment horizontal="center" vertical="center" wrapText="1"/>
    </xf>
    <xf numFmtId="0" fontId="31" fillId="15" borderId="8" xfId="0" applyFont="1" applyFill="1" applyBorder="1" applyAlignment="1">
      <alignment horizontal="center" vertical="center" wrapText="1"/>
    </xf>
    <xf numFmtId="170" fontId="0" fillId="15" borderId="0" xfId="0" applyNumberFormat="1" applyFill="1"/>
    <xf numFmtId="170" fontId="0" fillId="15" borderId="0" xfId="0" applyNumberFormat="1" applyFill="1" applyAlignment="1">
      <alignment wrapText="1"/>
    </xf>
    <xf numFmtId="0" fontId="0" fillId="15" borderId="0" xfId="0" applyFill="1"/>
    <xf numFmtId="0" fontId="9" fillId="15" borderId="3" xfId="0" applyFont="1" applyFill="1" applyBorder="1" applyAlignment="1">
      <alignment horizontal="left" vertical="center" wrapText="1"/>
    </xf>
    <xf numFmtId="0" fontId="0" fillId="43" borderId="25" xfId="0" applyFill="1" applyBorder="1" applyAlignment="1">
      <alignment horizontal="center" vertical="center" wrapText="1"/>
    </xf>
    <xf numFmtId="0" fontId="19" fillId="15" borderId="3" xfId="0" applyFont="1" applyFill="1" applyBorder="1" applyAlignment="1">
      <alignment horizontal="left" vertical="center" wrapText="1"/>
    </xf>
    <xf numFmtId="0" fontId="0" fillId="15" borderId="8" xfId="0" applyFill="1" applyBorder="1"/>
    <xf numFmtId="170" fontId="7" fillId="15" borderId="0" xfId="0" applyNumberFormat="1" applyFont="1" applyFill="1" applyAlignment="1">
      <alignment wrapText="1"/>
    </xf>
    <xf numFmtId="0" fontId="0" fillId="15" borderId="0" xfId="0" applyFill="1" applyAlignment="1">
      <alignment horizontal="left" vertical="center"/>
    </xf>
    <xf numFmtId="0" fontId="0" fillId="0" borderId="0" xfId="0" applyAlignment="1">
      <alignment vertical="center"/>
    </xf>
    <xf numFmtId="0" fontId="9" fillId="15" borderId="1" xfId="0" applyFont="1" applyFill="1" applyBorder="1" applyAlignment="1">
      <alignment horizontal="left" vertical="center" wrapText="1"/>
    </xf>
    <xf numFmtId="0" fontId="0" fillId="15" borderId="1" xfId="0" applyFill="1" applyBorder="1" applyAlignment="1">
      <alignment horizontal="left" vertical="center" wrapText="1"/>
    </xf>
    <xf numFmtId="0" fontId="0" fillId="15" borderId="0" xfId="0" applyFill="1" applyAlignment="1">
      <alignment horizontal="left" vertical="center" wrapText="1"/>
    </xf>
    <xf numFmtId="43" fontId="72" fillId="0" borderId="37" xfId="3" applyFont="1" applyFill="1" applyBorder="1" applyAlignment="1">
      <alignment horizontal="center" vertical="center" wrapText="1"/>
    </xf>
    <xf numFmtId="0" fontId="0" fillId="6" borderId="0" xfId="0" applyFill="1" applyAlignment="1">
      <alignment horizontal="left" vertical="center" wrapText="1"/>
    </xf>
    <xf numFmtId="0" fontId="24" fillId="0" borderId="1" xfId="0" applyFont="1" applyBorder="1" applyAlignment="1">
      <alignment horizontal="left" vertical="center" wrapText="1" shrinkToFit="1" readingOrder="1"/>
    </xf>
    <xf numFmtId="0" fontId="67" fillId="0" borderId="1" xfId="0" applyFont="1" applyBorder="1" applyAlignment="1">
      <alignment horizontal="left" vertical="center"/>
    </xf>
    <xf numFmtId="43" fontId="0" fillId="0" borderId="0" xfId="3" applyFont="1" applyFill="1" applyAlignment="1">
      <alignment horizontal="center" vertical="center" wrapText="1"/>
    </xf>
    <xf numFmtId="43" fontId="72" fillId="0" borderId="0" xfId="0" applyNumberFormat="1" applyFont="1" applyAlignment="1">
      <alignment horizontal="center" vertical="center" wrapText="1"/>
    </xf>
    <xf numFmtId="43" fontId="72" fillId="41" borderId="32" xfId="3" applyFont="1" applyFill="1" applyBorder="1" applyAlignment="1">
      <alignment horizontal="center" vertical="center" wrapText="1"/>
    </xf>
    <xf numFmtId="43" fontId="72" fillId="41" borderId="37" xfId="3" applyFont="1" applyFill="1" applyBorder="1" applyAlignment="1">
      <alignment horizontal="center" vertical="center" wrapText="1"/>
    </xf>
    <xf numFmtId="0" fontId="0" fillId="15" borderId="6" xfId="0" applyFill="1" applyBorder="1" applyAlignment="1">
      <alignment horizontal="left" vertical="center" wrapText="1"/>
    </xf>
    <xf numFmtId="0" fontId="9" fillId="15" borderId="6" xfId="0" applyFont="1" applyFill="1" applyBorder="1" applyAlignment="1">
      <alignment horizontal="left" vertical="center" wrapText="1"/>
    </xf>
    <xf numFmtId="165" fontId="0" fillId="0" borderId="1" xfId="0" applyNumberFormat="1" applyBorder="1" applyAlignment="1">
      <alignment horizontal="right" vertical="center" wrapText="1"/>
    </xf>
    <xf numFmtId="165" fontId="16" fillId="0" borderId="1" xfId="0" applyNumberFormat="1" applyFont="1" applyBorder="1" applyAlignment="1">
      <alignment horizontal="right" vertical="center" wrapText="1"/>
    </xf>
    <xf numFmtId="165" fontId="11" fillId="0" borderId="1" xfId="0" applyNumberFormat="1" applyFont="1" applyBorder="1" applyAlignment="1">
      <alignment horizontal="right" vertical="center" wrapText="1"/>
    </xf>
    <xf numFmtId="165" fontId="7" fillId="0" borderId="1" xfId="0" applyNumberFormat="1" applyFont="1" applyBorder="1" applyAlignment="1">
      <alignment horizontal="right" vertical="center" wrapText="1"/>
    </xf>
    <xf numFmtId="15" fontId="0" fillId="0" borderId="1" xfId="0" applyNumberFormat="1" applyBorder="1" applyAlignment="1">
      <alignment horizontal="center" vertical="center" wrapText="1"/>
    </xf>
    <xf numFmtId="15" fontId="0" fillId="0" borderId="1" xfId="0" applyNumberFormat="1" applyBorder="1" applyAlignment="1">
      <alignment horizontal="left" vertical="center" wrapText="1"/>
    </xf>
    <xf numFmtId="170" fontId="7" fillId="0" borderId="0" xfId="0" applyNumberFormat="1" applyFont="1" applyAlignment="1">
      <alignment wrapText="1"/>
    </xf>
    <xf numFmtId="0" fontId="8" fillId="15" borderId="6" xfId="0" applyFont="1" applyFill="1" applyBorder="1" applyAlignment="1">
      <alignment horizontal="left" vertical="center" wrapText="1"/>
    </xf>
    <xf numFmtId="0" fontId="78" fillId="15" borderId="6" xfId="0" applyFont="1" applyFill="1" applyBorder="1" applyAlignment="1">
      <alignment horizontal="left" vertical="center" wrapText="1"/>
    </xf>
    <xf numFmtId="0" fontId="79" fillId="15" borderId="6" xfId="0" applyFont="1" applyFill="1" applyBorder="1" applyAlignment="1">
      <alignment horizontal="left" vertical="center" wrapText="1"/>
    </xf>
    <xf numFmtId="0" fontId="23" fillId="60" borderId="31" xfId="0" applyFont="1" applyFill="1" applyBorder="1" applyAlignment="1">
      <alignment horizontal="center" vertical="center" wrapText="1"/>
    </xf>
    <xf numFmtId="43" fontId="9" fillId="0" borderId="0" xfId="0" applyNumberFormat="1" applyFont="1"/>
    <xf numFmtId="43" fontId="0" fillId="0" borderId="18" xfId="3" applyFont="1" applyBorder="1" applyAlignment="1">
      <alignment horizontal="right" vertical="center" wrapText="1"/>
    </xf>
    <xf numFmtId="0" fontId="0" fillId="0" borderId="18" xfId="0" applyBorder="1" applyAlignment="1">
      <alignment horizontal="left" vertical="center" wrapText="1"/>
    </xf>
    <xf numFmtId="16" fontId="0" fillId="0" borderId="18" xfId="0" applyNumberFormat="1" applyBorder="1" applyAlignment="1">
      <alignment horizontal="left" vertical="center" wrapText="1"/>
    </xf>
    <xf numFmtId="14" fontId="0" fillId="0" borderId="18" xfId="0" applyNumberFormat="1" applyBorder="1" applyAlignment="1">
      <alignment horizontal="left" vertical="center" wrapText="1"/>
    </xf>
    <xf numFmtId="0" fontId="0" fillId="43" borderId="18" xfId="0" applyFill="1" applyBorder="1" applyAlignment="1">
      <alignment horizontal="center" vertical="center" wrapText="1"/>
    </xf>
    <xf numFmtId="14" fontId="0" fillId="3" borderId="18" xfId="0" applyNumberFormat="1" applyFill="1" applyBorder="1" applyAlignment="1">
      <alignment horizontal="center" vertical="center" wrapText="1"/>
    </xf>
    <xf numFmtId="0" fontId="0" fillId="6" borderId="28" xfId="0" applyFill="1" applyBorder="1" applyAlignment="1">
      <alignment horizontal="left" vertical="center" wrapText="1"/>
    </xf>
    <xf numFmtId="0" fontId="0" fillId="0" borderId="28" xfId="0" applyBorder="1" applyAlignment="1">
      <alignment horizontal="left" vertical="center" wrapText="1"/>
    </xf>
    <xf numFmtId="0" fontId="24" fillId="0" borderId="28" xfId="0" applyFont="1" applyBorder="1" applyAlignment="1">
      <alignment horizontal="left" vertical="center" wrapText="1"/>
    </xf>
    <xf numFmtId="43" fontId="0" fillId="0" borderId="27" xfId="3" applyFont="1" applyBorder="1" applyAlignment="1">
      <alignment horizontal="right" vertical="center" wrapText="1"/>
    </xf>
    <xf numFmtId="43" fontId="0" fillId="0" borderId="25" xfId="3" applyFont="1" applyBorder="1" applyAlignment="1">
      <alignment horizontal="right" vertical="center" wrapText="1"/>
    </xf>
    <xf numFmtId="14" fontId="0" fillId="0" borderId="25" xfId="0" applyNumberFormat="1" applyBorder="1" applyAlignment="1">
      <alignment horizontal="center" vertical="center" wrapText="1"/>
    </xf>
    <xf numFmtId="16" fontId="0" fillId="0" borderId="25" xfId="0" applyNumberFormat="1" applyBorder="1" applyAlignment="1">
      <alignment horizontal="left" vertical="center" wrapText="1"/>
    </xf>
    <xf numFmtId="14" fontId="0" fillId="0" borderId="25" xfId="0" applyNumberFormat="1" applyBorder="1" applyAlignment="1">
      <alignment horizontal="left" vertical="center" wrapText="1"/>
    </xf>
    <xf numFmtId="14" fontId="0" fillId="3" borderId="25" xfId="0" applyNumberFormat="1" applyFill="1" applyBorder="1" applyAlignment="1">
      <alignment horizontal="center" vertical="center" wrapText="1"/>
    </xf>
    <xf numFmtId="14" fontId="0" fillId="46" borderId="25" xfId="0" applyNumberFormat="1" applyFill="1" applyBorder="1" applyAlignment="1">
      <alignment horizontal="center" vertical="center" wrapText="1"/>
    </xf>
    <xf numFmtId="43" fontId="0" fillId="0" borderId="1" xfId="3" applyFont="1" applyBorder="1" applyAlignment="1">
      <alignment horizontal="right" vertical="center" wrapText="1"/>
    </xf>
    <xf numFmtId="16" fontId="0" fillId="0" borderId="1" xfId="0" applyNumberFormat="1" applyBorder="1" applyAlignment="1">
      <alignment horizontal="left" vertical="center" wrapText="1"/>
    </xf>
    <xf numFmtId="14" fontId="0" fillId="0" borderId="1" xfId="0" applyNumberFormat="1" applyBorder="1" applyAlignment="1">
      <alignment horizontal="left" vertical="center" wrapText="1"/>
    </xf>
    <xf numFmtId="0" fontId="0" fillId="43"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14" fontId="0" fillId="46" borderId="1" xfId="0" applyNumberFormat="1" applyFill="1" applyBorder="1" applyAlignment="1">
      <alignment horizontal="center" vertical="center" wrapText="1"/>
    </xf>
    <xf numFmtId="0" fontId="0" fillId="8" borderId="1" xfId="0" applyFill="1" applyBorder="1" applyAlignment="1">
      <alignment horizontal="left" vertical="center" wrapText="1"/>
    </xf>
    <xf numFmtId="14" fontId="11" fillId="0" borderId="18" xfId="0" applyNumberFormat="1" applyFont="1" applyBorder="1" applyAlignment="1">
      <alignment horizontal="center" vertical="center" wrapText="1"/>
    </xf>
    <xf numFmtId="14" fontId="0" fillId="0" borderId="0" xfId="0" applyNumberFormat="1" applyAlignment="1">
      <alignment horizontal="center" vertical="center"/>
    </xf>
    <xf numFmtId="0" fontId="9" fillId="2" borderId="3" xfId="0" applyFont="1" applyFill="1" applyBorder="1" applyAlignment="1">
      <alignment horizontal="left" vertical="center" wrapText="1"/>
    </xf>
    <xf numFmtId="0" fontId="28" fillId="0" borderId="3" xfId="0" applyFont="1" applyBorder="1" applyAlignment="1">
      <alignment horizontal="left" vertical="center" wrapText="1"/>
    </xf>
    <xf numFmtId="0" fontId="24" fillId="0" borderId="18" xfId="0" applyFont="1" applyBorder="1" applyAlignment="1">
      <alignment horizontal="left" vertical="center" wrapText="1" shrinkToFit="1" readingOrder="1"/>
    </xf>
    <xf numFmtId="165" fontId="0" fillId="0" borderId="3" xfId="3" applyNumberFormat="1" applyFont="1" applyBorder="1" applyAlignment="1">
      <alignment horizontal="right" vertical="center" wrapText="1"/>
    </xf>
    <xf numFmtId="0" fontId="8" fillId="8" borderId="6" xfId="0" applyFont="1" applyFill="1" applyBorder="1" applyAlignment="1">
      <alignment horizontal="left" vertical="center" wrapText="1"/>
    </xf>
    <xf numFmtId="43" fontId="0" fillId="8" borderId="0" xfId="3" applyFont="1" applyFill="1"/>
    <xf numFmtId="0" fontId="9" fillId="2" borderId="21" xfId="0" applyFont="1" applyFill="1" applyBorder="1" applyAlignment="1">
      <alignment horizontal="left" vertical="center" wrapText="1"/>
    </xf>
    <xf numFmtId="0" fontId="28" fillId="0" borderId="21" xfId="0" applyFont="1" applyBorder="1" applyAlignment="1">
      <alignment horizontal="left" vertical="center" wrapText="1"/>
    </xf>
    <xf numFmtId="0" fontId="11" fillId="0" borderId="21" xfId="0" applyFont="1" applyBorder="1" applyAlignment="1">
      <alignment horizontal="left" vertical="center" wrapText="1"/>
    </xf>
    <xf numFmtId="0" fontId="11" fillId="0" borderId="18" xfId="0" applyFont="1" applyBorder="1" applyAlignment="1">
      <alignment horizontal="left" vertical="center" wrapText="1"/>
    </xf>
    <xf numFmtId="0" fontId="11" fillId="0" borderId="25" xfId="0" applyFont="1" applyBorder="1" applyAlignment="1">
      <alignment horizontal="left" vertical="center" wrapText="1"/>
    </xf>
    <xf numFmtId="0" fontId="8" fillId="61" borderId="1" xfId="0" applyFont="1" applyFill="1" applyBorder="1" applyAlignment="1">
      <alignment horizontal="center" vertical="center" wrapText="1"/>
    </xf>
    <xf numFmtId="0" fontId="80" fillId="3" borderId="1" xfId="0" applyFont="1" applyFill="1" applyBorder="1" applyAlignment="1">
      <alignment horizontal="center" vertical="center" wrapText="1"/>
    </xf>
    <xf numFmtId="0" fontId="9" fillId="61" borderId="1" xfId="0" applyFont="1" applyFill="1" applyBorder="1" applyAlignment="1">
      <alignment horizontal="center" vertical="center" wrapText="1"/>
    </xf>
    <xf numFmtId="0" fontId="13" fillId="61" borderId="1" xfId="0" applyFont="1" applyFill="1" applyBorder="1" applyAlignment="1">
      <alignment horizontal="center" vertical="center" wrapText="1"/>
    </xf>
    <xf numFmtId="0" fontId="81" fillId="62" borderId="1" xfId="0" applyFont="1" applyFill="1" applyBorder="1" applyAlignment="1">
      <alignment horizontal="center" vertical="center" wrapText="1"/>
    </xf>
    <xf numFmtId="165" fontId="9" fillId="61" borderId="1" xfId="0" applyNumberFormat="1" applyFont="1" applyFill="1" applyBorder="1" applyAlignment="1">
      <alignment horizontal="center" vertical="center" wrapText="1"/>
    </xf>
    <xf numFmtId="165" fontId="10" fillId="14" borderId="1" xfId="0" applyNumberFormat="1" applyFont="1" applyFill="1" applyBorder="1" applyAlignment="1">
      <alignment horizontal="center" vertical="center" wrapText="1"/>
    </xf>
    <xf numFmtId="165" fontId="8" fillId="61" borderId="1" xfId="0" applyNumberFormat="1" applyFont="1" applyFill="1" applyBorder="1" applyAlignment="1">
      <alignment horizontal="center" vertical="center" wrapText="1"/>
    </xf>
    <xf numFmtId="0" fontId="82" fillId="63" borderId="1" xfId="0" applyFont="1" applyFill="1" applyBorder="1" applyAlignment="1">
      <alignment horizontal="center" vertical="center" wrapText="1"/>
    </xf>
    <xf numFmtId="15" fontId="9" fillId="61" borderId="1" xfId="0" applyNumberFormat="1" applyFont="1" applyFill="1" applyBorder="1" applyAlignment="1">
      <alignment horizontal="center" vertical="center" wrapText="1"/>
    </xf>
    <xf numFmtId="0" fontId="9" fillId="3" borderId="1" xfId="0" applyFont="1" applyFill="1" applyBorder="1" applyAlignment="1">
      <alignment horizontal="center" vertical="center" wrapText="1"/>
    </xf>
    <xf numFmtId="0" fontId="26" fillId="6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165" fontId="9" fillId="5" borderId="1" xfId="0" applyNumberFormat="1" applyFont="1" applyFill="1" applyBorder="1" applyAlignment="1">
      <alignment horizontal="center" vertical="center" wrapText="1"/>
    </xf>
    <xf numFmtId="0" fontId="8" fillId="65" borderId="1" xfId="0" applyFont="1" applyFill="1" applyBorder="1" applyAlignment="1">
      <alignment horizontal="center" vertical="center" textRotation="90" wrapText="1"/>
    </xf>
    <xf numFmtId="166" fontId="9" fillId="61" borderId="1" xfId="0" applyNumberFormat="1" applyFont="1" applyFill="1" applyBorder="1" applyAlignment="1">
      <alignment horizontal="center" vertical="center" wrapText="1"/>
    </xf>
    <xf numFmtId="14" fontId="9" fillId="61" borderId="3" xfId="0" applyNumberFormat="1" applyFont="1" applyFill="1" applyBorder="1" applyAlignment="1">
      <alignment horizontal="center" vertical="center" wrapText="1"/>
    </xf>
    <xf numFmtId="0" fontId="9" fillId="61" borderId="4" xfId="0" applyFont="1" applyFill="1" applyBorder="1" applyAlignment="1">
      <alignment horizontal="center" vertical="center" wrapText="1"/>
    </xf>
    <xf numFmtId="0" fontId="9" fillId="61" borderId="5" xfId="0" applyFont="1" applyFill="1" applyBorder="1" applyAlignment="1">
      <alignment horizontal="center" vertical="center" wrapText="1"/>
    </xf>
    <xf numFmtId="14" fontId="9" fillId="61" borderId="5" xfId="0" applyNumberFormat="1" applyFont="1" applyFill="1" applyBorder="1" applyAlignment="1">
      <alignment horizontal="center" vertical="center" wrapText="1"/>
    </xf>
    <xf numFmtId="0" fontId="9" fillId="61" borderId="7" xfId="0" applyFont="1" applyFill="1" applyBorder="1" applyAlignment="1">
      <alignment horizontal="center" vertical="center" wrapText="1"/>
    </xf>
    <xf numFmtId="0" fontId="9" fillId="0" borderId="1" xfId="0" applyFont="1" applyBorder="1" applyAlignment="1">
      <alignment wrapText="1"/>
    </xf>
    <xf numFmtId="0" fontId="20" fillId="0" borderId="1" xfId="0" applyFont="1"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wrapText="1"/>
    </xf>
    <xf numFmtId="49" fontId="11" fillId="0" borderId="1" xfId="0" applyNumberFormat="1" applyFont="1" applyBorder="1" applyAlignment="1">
      <alignment horizontal="left" vertical="center" wrapText="1"/>
    </xf>
    <xf numFmtId="165" fontId="0" fillId="0" borderId="1" xfId="0" applyNumberFormat="1" applyBorder="1" applyAlignment="1">
      <alignment horizontal="center" vertical="center" wrapText="1"/>
    </xf>
    <xf numFmtId="166" fontId="0" fillId="0" borderId="1" xfId="0" applyNumberFormat="1" applyBorder="1" applyAlignment="1">
      <alignment horizontal="left" vertical="center" wrapText="1"/>
    </xf>
    <xf numFmtId="165" fontId="0" fillId="0" borderId="1" xfId="0" applyNumberFormat="1" applyBorder="1" applyAlignment="1">
      <alignment horizontal="left" vertical="center" wrapText="1"/>
    </xf>
    <xf numFmtId="165" fontId="11" fillId="0" borderId="1" xfId="0" applyNumberFormat="1" applyFont="1" applyBorder="1" applyAlignment="1">
      <alignment horizontal="center" vertical="center" wrapText="1"/>
    </xf>
    <xf numFmtId="0" fontId="18" fillId="0" borderId="1" xfId="0" applyFont="1" applyBorder="1" applyAlignment="1">
      <alignment horizontal="left" vertical="center" wrapText="1"/>
    </xf>
    <xf numFmtId="14" fontId="32" fillId="0" borderId="1" xfId="0" applyNumberFormat="1" applyFont="1" applyBorder="1" applyAlignment="1">
      <alignment horizontal="center" vertical="center"/>
    </xf>
    <xf numFmtId="16" fontId="0" fillId="0" borderId="1" xfId="0" applyNumberFormat="1" applyBorder="1" applyAlignment="1">
      <alignment horizontal="center" vertical="center" wrapText="1"/>
    </xf>
    <xf numFmtId="165" fontId="35" fillId="0" borderId="1" xfId="0" applyNumberFormat="1" applyFont="1" applyBorder="1" applyAlignment="1">
      <alignment horizontal="right" vertical="center" wrapText="1"/>
    </xf>
    <xf numFmtId="17" fontId="0" fillId="0" borderId="1" xfId="0" applyNumberFormat="1" applyBorder="1" applyAlignment="1">
      <alignment horizontal="center" vertical="center" wrapText="1"/>
    </xf>
    <xf numFmtId="3" fontId="0" fillId="0" borderId="3" xfId="0" applyNumberFormat="1" applyBorder="1" applyAlignment="1">
      <alignment horizontal="center" vertical="center" wrapText="1"/>
    </xf>
    <xf numFmtId="0" fontId="16" fillId="68" borderId="0" xfId="0" applyFont="1" applyFill="1"/>
    <xf numFmtId="0" fontId="0" fillId="68" borderId="0" xfId="0" applyFill="1"/>
    <xf numFmtId="43" fontId="0" fillId="0" borderId="1" xfId="3" applyFont="1" applyBorder="1"/>
    <xf numFmtId="175" fontId="0" fillId="0" borderId="1" xfId="3" applyNumberFormat="1" applyFont="1" applyBorder="1"/>
    <xf numFmtId="175" fontId="9" fillId="0" borderId="0" xfId="0" applyNumberFormat="1" applyFont="1"/>
    <xf numFmtId="165" fontId="0" fillId="0" borderId="18" xfId="0" applyNumberFormat="1" applyBorder="1" applyAlignment="1">
      <alignment horizontal="right" vertical="center" wrapText="1"/>
    </xf>
    <xf numFmtId="165" fontId="16" fillId="0" borderId="18" xfId="0" applyNumberFormat="1" applyFont="1" applyBorder="1" applyAlignment="1">
      <alignment horizontal="right" vertical="center" wrapText="1"/>
    </xf>
    <xf numFmtId="165" fontId="11" fillId="0" borderId="18" xfId="0" applyNumberFormat="1" applyFont="1" applyBorder="1" applyAlignment="1">
      <alignment horizontal="right" vertical="center" wrapText="1"/>
    </xf>
    <xf numFmtId="165" fontId="7" fillId="0" borderId="18" xfId="0" applyNumberFormat="1" applyFont="1" applyBorder="1" applyAlignment="1">
      <alignment horizontal="right" vertical="center" wrapText="1"/>
    </xf>
    <xf numFmtId="15" fontId="0" fillId="0" borderId="18" xfId="0" applyNumberFormat="1" applyBorder="1" applyAlignment="1">
      <alignment horizontal="center" vertical="center" wrapText="1"/>
    </xf>
    <xf numFmtId="15" fontId="0" fillId="0" borderId="18" xfId="0" applyNumberFormat="1" applyBorder="1" applyAlignment="1">
      <alignment horizontal="left" vertical="center" wrapText="1"/>
    </xf>
    <xf numFmtId="166" fontId="0" fillId="0" borderId="18" xfId="0" applyNumberFormat="1" applyBorder="1" applyAlignment="1">
      <alignment horizontal="left" vertical="center" wrapText="1"/>
    </xf>
    <xf numFmtId="165" fontId="0" fillId="0" borderId="18" xfId="0" applyNumberFormat="1" applyBorder="1" applyAlignment="1">
      <alignment horizontal="left" vertical="center" wrapText="1"/>
    </xf>
    <xf numFmtId="15" fontId="0" fillId="3" borderId="18" xfId="0" applyNumberFormat="1" applyFill="1" applyBorder="1" applyAlignment="1">
      <alignment horizontal="center" vertical="center" wrapText="1"/>
    </xf>
    <xf numFmtId="16" fontId="0" fillId="0" borderId="18" xfId="0" applyNumberFormat="1" applyBorder="1" applyAlignment="1">
      <alignment horizontal="center" vertical="center" wrapText="1"/>
    </xf>
    <xf numFmtId="14" fontId="0" fillId="9" borderId="18" xfId="0" applyNumberFormat="1" applyFill="1" applyBorder="1" applyAlignment="1">
      <alignment horizontal="center" vertical="center" wrapText="1"/>
    </xf>
    <xf numFmtId="0" fontId="11" fillId="0" borderId="0" xfId="0" applyFont="1" applyAlignment="1">
      <alignment horizontal="center" vertical="center" wrapText="1"/>
    </xf>
    <xf numFmtId="0" fontId="24" fillId="0" borderId="0" xfId="0" applyFont="1" applyAlignment="1">
      <alignment horizontal="left" vertical="center" wrapText="1"/>
    </xf>
    <xf numFmtId="0" fontId="25" fillId="0" borderId="0" xfId="0" applyFont="1" applyAlignment="1">
      <alignment horizontal="left" vertical="center" wrapText="1" shrinkToFit="1"/>
    </xf>
    <xf numFmtId="0" fontId="24" fillId="0" borderId="0" xfId="0" applyFont="1" applyAlignment="1">
      <alignment horizontal="left" vertical="center" wrapText="1" shrinkToFit="1" readingOrder="1"/>
    </xf>
    <xf numFmtId="0" fontId="0" fillId="0" borderId="0" xfId="0" applyAlignment="1">
      <alignment vertical="center" wrapText="1"/>
    </xf>
    <xf numFmtId="165" fontId="16" fillId="0" borderId="0" xfId="0" applyNumberFormat="1" applyFont="1" applyAlignment="1">
      <alignment horizontal="right" vertical="center" wrapText="1"/>
    </xf>
    <xf numFmtId="165" fontId="11" fillId="0" borderId="0" xfId="0" applyNumberFormat="1" applyFont="1" applyAlignment="1">
      <alignment horizontal="right" vertical="center" wrapText="1"/>
    </xf>
    <xf numFmtId="165" fontId="7" fillId="0" borderId="0" xfId="0" applyNumberFormat="1" applyFont="1" applyAlignment="1">
      <alignment horizontal="right" vertical="center" wrapText="1"/>
    </xf>
    <xf numFmtId="15" fontId="0" fillId="0" borderId="0" xfId="0" applyNumberFormat="1" applyAlignment="1">
      <alignment horizontal="center" vertical="center" wrapText="1"/>
    </xf>
    <xf numFmtId="16" fontId="0" fillId="0" borderId="0" xfId="0" applyNumberFormat="1" applyAlignment="1">
      <alignment horizontal="left" vertical="center" wrapText="1"/>
    </xf>
    <xf numFmtId="15" fontId="0" fillId="0" borderId="0" xfId="0" applyNumberFormat="1" applyAlignment="1">
      <alignment horizontal="left" vertical="center" wrapText="1"/>
    </xf>
    <xf numFmtId="166" fontId="0" fillId="0" borderId="0" xfId="0" applyNumberFormat="1" applyAlignment="1">
      <alignment horizontal="left" vertical="center" wrapText="1"/>
    </xf>
    <xf numFmtId="165" fontId="0" fillId="0" borderId="0" xfId="0" applyNumberFormat="1" applyAlignment="1">
      <alignment horizontal="left" vertical="center" wrapText="1"/>
    </xf>
    <xf numFmtId="16" fontId="0" fillId="0" borderId="0" xfId="0" applyNumberFormat="1" applyAlignment="1">
      <alignment horizontal="center" vertical="center" wrapText="1"/>
    </xf>
    <xf numFmtId="0" fontId="0" fillId="0" borderId="0" xfId="0" applyAlignment="1">
      <alignment horizontal="center" vertical="center"/>
    </xf>
    <xf numFmtId="16" fontId="0" fillId="0" borderId="21" xfId="0" applyNumberFormat="1" applyBorder="1" applyAlignment="1">
      <alignment horizontal="center" vertical="center" wrapText="1"/>
    </xf>
    <xf numFmtId="0" fontId="0" fillId="0" borderId="21" xfId="0" applyBorder="1"/>
    <xf numFmtId="0" fontId="26" fillId="18"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26" fillId="18" borderId="1" xfId="0" applyFont="1" applyFill="1" applyBorder="1" applyAlignment="1">
      <alignment horizontal="center" vertical="center" textRotation="90" wrapText="1"/>
    </xf>
    <xf numFmtId="165" fontId="9" fillId="2" borderId="1" xfId="0" applyNumberFormat="1" applyFont="1" applyFill="1" applyBorder="1" applyAlignment="1">
      <alignment horizontal="center" vertical="center" wrapText="1"/>
    </xf>
    <xf numFmtId="165" fontId="8" fillId="2" borderId="1" xfId="0" applyNumberFormat="1" applyFont="1" applyFill="1" applyBorder="1" applyAlignment="1">
      <alignment horizontal="center" vertical="center" wrapText="1"/>
    </xf>
    <xf numFmtId="165" fontId="10" fillId="2" borderId="1" xfId="0" applyNumberFormat="1" applyFont="1" applyFill="1" applyBorder="1" applyAlignment="1">
      <alignment horizontal="center" vertical="center" wrapText="1"/>
    </xf>
    <xf numFmtId="165" fontId="26" fillId="18" borderId="1" xfId="0" applyNumberFormat="1" applyFont="1" applyFill="1" applyBorder="1" applyAlignment="1">
      <alignment horizontal="center" vertical="center" wrapText="1"/>
    </xf>
    <xf numFmtId="15" fontId="9" fillId="2" borderId="1" xfId="0" applyNumberFormat="1" applyFont="1" applyFill="1" applyBorder="1" applyAlignment="1">
      <alignment horizontal="center" vertical="center" wrapText="1"/>
    </xf>
    <xf numFmtId="15" fontId="26" fillId="18" borderId="1" xfId="0" applyNumberFormat="1" applyFont="1" applyFill="1" applyBorder="1" applyAlignment="1">
      <alignment horizontal="center" vertical="center" wrapText="1"/>
    </xf>
    <xf numFmtId="0" fontId="9" fillId="12" borderId="1" xfId="0" applyFont="1" applyFill="1" applyBorder="1" applyAlignment="1">
      <alignment horizontal="center" vertical="center" wrapText="1"/>
    </xf>
    <xf numFmtId="0" fontId="27" fillId="17" borderId="1" xfId="5" applyNumberFormat="1" applyBorder="1" applyAlignment="1">
      <alignment horizontal="center" vertical="center" textRotation="90" wrapText="1"/>
    </xf>
    <xf numFmtId="166" fontId="9" fillId="2" borderId="1" xfId="0" applyNumberFormat="1" applyFont="1" applyFill="1" applyBorder="1" applyAlignment="1">
      <alignment horizontal="center" vertical="center" wrapText="1"/>
    </xf>
    <xf numFmtId="14" fontId="33" fillId="18" borderId="1" xfId="0" applyNumberFormat="1" applyFont="1" applyFill="1" applyBorder="1" applyAlignment="1">
      <alignment horizontal="center" vertical="center" wrapText="1"/>
    </xf>
    <xf numFmtId="0" fontId="34" fillId="3" borderId="1" xfId="0" applyFont="1" applyFill="1" applyBorder="1" applyAlignment="1">
      <alignment horizontal="center" vertical="center" wrapText="1"/>
    </xf>
    <xf numFmtId="0" fontId="33" fillId="3" borderId="1" xfId="0" applyFont="1" applyFill="1" applyBorder="1" applyAlignment="1">
      <alignment horizontal="center" vertical="center" wrapText="1"/>
    </xf>
    <xf numFmtId="170" fontId="26" fillId="18" borderId="1" xfId="0" applyNumberFormat="1" applyFont="1" applyFill="1" applyBorder="1" applyAlignment="1">
      <alignment horizontal="center" vertical="center" wrapText="1"/>
    </xf>
    <xf numFmtId="0" fontId="29" fillId="0" borderId="1" xfId="0" applyFont="1" applyBorder="1" applyAlignment="1">
      <alignment horizontal="center" vertical="center" wrapText="1"/>
    </xf>
    <xf numFmtId="170" fontId="0" fillId="0" borderId="1" xfId="0" applyNumberFormat="1" applyBorder="1" applyAlignment="1">
      <alignment wrapText="1"/>
    </xf>
    <xf numFmtId="170" fontId="0" fillId="0" borderId="1" xfId="0" applyNumberFormat="1" applyBorder="1"/>
    <xf numFmtId="0" fontId="0" fillId="0" borderId="1" xfId="0" applyBorder="1"/>
    <xf numFmtId="15" fontId="0" fillId="14" borderId="1" xfId="0" applyNumberFormat="1" applyFill="1" applyBorder="1" applyAlignment="1">
      <alignment horizontal="left" vertical="center" wrapText="1"/>
    </xf>
    <xf numFmtId="166" fontId="0" fillId="12" borderId="1" xfId="1" applyNumberFormat="1" applyFont="1" applyFill="1" applyBorder="1"/>
    <xf numFmtId="16" fontId="0" fillId="7" borderId="1" xfId="0" applyNumberFormat="1" applyFill="1" applyBorder="1" applyAlignment="1">
      <alignment horizontal="center" vertical="center" wrapText="1"/>
    </xf>
    <xf numFmtId="15" fontId="0" fillId="8" borderId="1" xfId="0" applyNumberFormat="1" applyFill="1" applyBorder="1" applyAlignment="1">
      <alignment horizontal="left" vertical="center" wrapText="1"/>
    </xf>
    <xf numFmtId="165" fontId="0" fillId="8" borderId="1" xfId="0" applyNumberFormat="1" applyFill="1" applyBorder="1" applyAlignment="1">
      <alignment horizontal="right" vertical="center" wrapText="1"/>
    </xf>
    <xf numFmtId="16" fontId="0" fillId="8" borderId="1" xfId="0" applyNumberFormat="1" applyFill="1" applyBorder="1" applyAlignment="1">
      <alignment horizontal="left" vertical="center" wrapText="1"/>
    </xf>
    <xf numFmtId="0" fontId="0" fillId="14" borderId="1" xfId="0" applyFill="1" applyBorder="1" applyAlignment="1">
      <alignment horizontal="left" vertical="center" wrapText="1"/>
    </xf>
    <xf numFmtId="165" fontId="0" fillId="14" borderId="1" xfId="0" applyNumberFormat="1" applyFill="1" applyBorder="1" applyAlignment="1">
      <alignment horizontal="right" vertical="center" wrapText="1"/>
    </xf>
    <xf numFmtId="165" fontId="11" fillId="14" borderId="1" xfId="0" applyNumberFormat="1" applyFont="1" applyFill="1" applyBorder="1" applyAlignment="1">
      <alignment horizontal="right" vertical="center" wrapText="1"/>
    </xf>
    <xf numFmtId="16" fontId="0" fillId="14" borderId="1" xfId="0" applyNumberFormat="1" applyFill="1" applyBorder="1" applyAlignment="1">
      <alignment horizontal="left" vertical="center" wrapText="1"/>
    </xf>
    <xf numFmtId="15" fontId="0" fillId="14" borderId="1" xfId="0" applyNumberFormat="1" applyFill="1" applyBorder="1" applyAlignment="1">
      <alignment horizontal="center" vertical="center" wrapText="1"/>
    </xf>
    <xf numFmtId="165" fontId="7" fillId="14" borderId="1" xfId="0" applyNumberFormat="1" applyFont="1" applyFill="1" applyBorder="1" applyAlignment="1">
      <alignment horizontal="right" vertical="center" wrapText="1"/>
    </xf>
    <xf numFmtId="0" fontId="0" fillId="50" borderId="1" xfId="0" applyFill="1" applyBorder="1" applyAlignment="1">
      <alignment horizontal="left" vertical="center" wrapText="1"/>
    </xf>
    <xf numFmtId="15" fontId="0" fillId="8" borderId="1" xfId="0" applyNumberFormat="1" applyFill="1" applyBorder="1" applyAlignment="1">
      <alignment horizontal="center" vertical="center" wrapText="1"/>
    </xf>
    <xf numFmtId="0" fontId="63" fillId="57" borderId="1" xfId="0" applyFont="1" applyFill="1" applyBorder="1" applyAlignment="1">
      <alignment horizontal="center" vertical="center" wrapText="1"/>
    </xf>
    <xf numFmtId="0" fontId="37" fillId="50" borderId="1" xfId="0" applyFont="1" applyFill="1" applyBorder="1" applyAlignment="1">
      <alignment horizontal="left" vertical="center" wrapText="1"/>
    </xf>
    <xf numFmtId="0" fontId="37" fillId="6" borderId="1" xfId="0" applyFont="1" applyFill="1" applyBorder="1" applyAlignment="1">
      <alignment horizontal="left" vertical="center" wrapText="1"/>
    </xf>
    <xf numFmtId="0" fontId="68" fillId="0" borderId="1" xfId="0" applyFont="1" applyBorder="1" applyAlignment="1">
      <alignment vertical="center" wrapText="1"/>
    </xf>
    <xf numFmtId="0" fontId="37" fillId="8" borderId="1" xfId="0" applyFont="1" applyFill="1" applyBorder="1" applyAlignment="1">
      <alignment horizontal="left" vertical="center" wrapText="1"/>
    </xf>
    <xf numFmtId="16" fontId="18" fillId="7" borderId="1" xfId="0" applyNumberFormat="1" applyFont="1" applyFill="1" applyBorder="1" applyAlignment="1">
      <alignment horizontal="left" vertical="center" wrapText="1"/>
    </xf>
    <xf numFmtId="16" fontId="0" fillId="9" borderId="1" xfId="0" applyNumberFormat="1" applyFill="1" applyBorder="1" applyAlignment="1">
      <alignment horizontal="center" vertical="center"/>
    </xf>
    <xf numFmtId="14" fontId="0" fillId="7" borderId="1" xfId="0" applyNumberFormat="1" applyFill="1" applyBorder="1" applyAlignment="1">
      <alignment horizontal="center" vertical="center" wrapText="1"/>
    </xf>
    <xf numFmtId="165" fontId="0" fillId="10" borderId="1" xfId="0" applyNumberFormat="1" applyFill="1" applyBorder="1" applyAlignment="1">
      <alignment horizontal="right" vertical="center" wrapText="1"/>
    </xf>
    <xf numFmtId="0" fontId="18" fillId="7" borderId="1" xfId="0" applyFont="1" applyFill="1" applyBorder="1" applyAlignment="1">
      <alignment horizontal="left" vertical="center" wrapText="1"/>
    </xf>
    <xf numFmtId="14" fontId="0" fillId="14" borderId="1" xfId="0" applyNumberFormat="1" applyFill="1" applyBorder="1" applyAlignment="1">
      <alignment horizontal="center" vertical="center" wrapText="1"/>
    </xf>
    <xf numFmtId="16" fontId="0" fillId="10" borderId="1" xfId="0" applyNumberFormat="1" applyFill="1" applyBorder="1" applyAlignment="1">
      <alignment horizontal="left" vertical="center" wrapText="1"/>
    </xf>
    <xf numFmtId="0" fontId="0" fillId="10" borderId="1" xfId="0" applyFill="1" applyBorder="1" applyAlignment="1">
      <alignment horizontal="left" vertical="center" wrapText="1"/>
    </xf>
    <xf numFmtId="15" fontId="0" fillId="10" borderId="1" xfId="0" applyNumberFormat="1" applyFill="1" applyBorder="1" applyAlignment="1">
      <alignment horizontal="left" vertical="center" wrapText="1"/>
    </xf>
    <xf numFmtId="0" fontId="7" fillId="0" borderId="1" xfId="0" applyFont="1" applyBorder="1" applyAlignment="1">
      <alignment horizontal="right" vertical="center" wrapText="1"/>
    </xf>
    <xf numFmtId="0" fontId="0" fillId="48" borderId="1" xfId="0" applyFill="1" applyBorder="1" applyAlignment="1">
      <alignment horizontal="left" vertical="center" wrapText="1"/>
    </xf>
    <xf numFmtId="0" fontId="62" fillId="58" borderId="1" xfId="0" applyFont="1" applyFill="1" applyBorder="1" applyAlignment="1">
      <alignment horizontal="left" vertical="center" wrapText="1"/>
    </xf>
    <xf numFmtId="0" fontId="62" fillId="59" borderId="1" xfId="0" applyFont="1" applyFill="1" applyBorder="1" applyAlignment="1">
      <alignment horizontal="left" vertical="center" wrapText="1"/>
    </xf>
    <xf numFmtId="0" fontId="37" fillId="15" borderId="1" xfId="0" applyFont="1" applyFill="1" applyBorder="1" applyAlignment="1">
      <alignment horizontal="left" vertical="center" wrapText="1"/>
    </xf>
    <xf numFmtId="14" fontId="0" fillId="0" borderId="1" xfId="3" applyNumberFormat="1" applyFont="1" applyBorder="1" applyAlignment="1">
      <alignment horizontal="left" vertical="center" wrapText="1"/>
    </xf>
    <xf numFmtId="15" fontId="37" fillId="3" borderId="1" xfId="0" applyNumberFormat="1" applyFont="1" applyFill="1" applyBorder="1" applyAlignment="1">
      <alignment horizontal="center" vertical="center" wrapText="1"/>
    </xf>
    <xf numFmtId="170" fontId="0" fillId="0" borderId="1" xfId="0" applyNumberFormat="1" applyBorder="1" applyAlignment="1">
      <alignment horizontal="center" vertical="center"/>
    </xf>
    <xf numFmtId="170" fontId="0" fillId="14" borderId="1" xfId="0" applyNumberFormat="1" applyFill="1" applyBorder="1"/>
    <xf numFmtId="0" fontId="25" fillId="0" borderId="1" xfId="0" applyFont="1" applyBorder="1" applyAlignment="1">
      <alignment horizontal="center" vertical="center" wrapText="1" shrinkToFit="1"/>
    </xf>
    <xf numFmtId="0" fontId="24" fillId="0" borderId="1" xfId="0" applyFont="1" applyBorder="1" applyAlignment="1">
      <alignment horizontal="center" vertical="center" wrapText="1" shrinkToFit="1" readingOrder="1"/>
    </xf>
    <xf numFmtId="0" fontId="67" fillId="0" borderId="1" xfId="0" applyFont="1" applyBorder="1" applyAlignment="1">
      <alignment horizontal="center" vertical="center" wrapText="1"/>
    </xf>
    <xf numFmtId="165" fontId="16" fillId="0" borderId="1" xfId="0" applyNumberFormat="1" applyFont="1" applyBorder="1" applyAlignment="1">
      <alignment horizontal="center" vertical="center" wrapText="1"/>
    </xf>
    <xf numFmtId="165" fontId="7" fillId="0" borderId="1" xfId="0" applyNumberFormat="1" applyFont="1" applyBorder="1" applyAlignment="1">
      <alignment horizontal="center" vertical="center" wrapText="1"/>
    </xf>
    <xf numFmtId="166" fontId="0" fillId="0" borderId="1" xfId="0" applyNumberFormat="1" applyBorder="1" applyAlignment="1">
      <alignment horizontal="center" vertical="center" wrapText="1"/>
    </xf>
    <xf numFmtId="170" fontId="0" fillId="0" borderId="1" xfId="0" applyNumberFormat="1" applyBorder="1" applyAlignment="1">
      <alignment horizontal="center"/>
    </xf>
    <xf numFmtId="165" fontId="9" fillId="0" borderId="0" xfId="0" applyNumberFormat="1" applyFont="1" applyAlignment="1">
      <alignment horizontal="right" vertical="center" wrapText="1"/>
    </xf>
    <xf numFmtId="0" fontId="9" fillId="2" borderId="18" xfId="0" applyFont="1" applyFill="1" applyBorder="1" applyAlignment="1">
      <alignment horizontal="center" vertical="center" wrapText="1"/>
    </xf>
    <xf numFmtId="0" fontId="11" fillId="0" borderId="1" xfId="0" applyFont="1" applyBorder="1" applyAlignment="1">
      <alignment horizontal="left" vertical="center" wrapText="1"/>
    </xf>
    <xf numFmtId="43" fontId="0" fillId="0" borderId="1" xfId="0" applyNumberFormat="1" applyBorder="1" applyAlignment="1">
      <alignment horizontal="center" vertical="center" wrapText="1"/>
    </xf>
    <xf numFmtId="165" fontId="0" fillId="0" borderId="0" xfId="0" applyNumberFormat="1" applyAlignment="1">
      <alignment horizontal="center" vertical="center" wrapText="1"/>
    </xf>
    <xf numFmtId="0" fontId="0" fillId="14" borderId="24" xfId="0" applyFill="1" applyBorder="1" applyAlignment="1">
      <alignment horizontal="left" vertical="center" wrapText="1"/>
    </xf>
    <xf numFmtId="0" fontId="0" fillId="7" borderId="18" xfId="0" applyFill="1" applyBorder="1" applyAlignment="1">
      <alignment horizontal="center" vertical="center" wrapText="1"/>
    </xf>
    <xf numFmtId="0" fontId="18" fillId="7" borderId="18" xfId="0" applyFont="1" applyFill="1" applyBorder="1" applyAlignment="1">
      <alignment horizontal="left" vertical="center" wrapText="1"/>
    </xf>
    <xf numFmtId="14" fontId="0" fillId="3" borderId="24" xfId="0" applyNumberFormat="1" applyFill="1" applyBorder="1" applyAlignment="1">
      <alignment horizontal="center" vertical="center" wrapText="1"/>
    </xf>
    <xf numFmtId="0" fontId="0" fillId="43" borderId="0" xfId="0" applyFill="1" applyAlignment="1">
      <alignment horizontal="center" vertical="center" wrapText="1"/>
    </xf>
    <xf numFmtId="0" fontId="0" fillId="0" borderId="2" xfId="0" applyBorder="1" applyAlignment="1">
      <alignment horizontal="center" vertical="center" wrapText="1"/>
    </xf>
    <xf numFmtId="17" fontId="0" fillId="0" borderId="0" xfId="0" applyNumberFormat="1" applyAlignment="1">
      <alignment horizontal="center" vertical="center" wrapText="1"/>
    </xf>
    <xf numFmtId="0" fontId="18" fillId="0" borderId="0" xfId="0" applyFont="1" applyAlignment="1">
      <alignment horizontal="left" vertical="center" wrapText="1"/>
    </xf>
    <xf numFmtId="165" fontId="20" fillId="0" borderId="0" xfId="0" applyNumberFormat="1" applyFont="1" applyAlignment="1">
      <alignment horizontal="left" vertical="center" wrapText="1"/>
    </xf>
    <xf numFmtId="0" fontId="0" fillId="15" borderId="1" xfId="0" applyFill="1" applyBorder="1" applyAlignment="1">
      <alignment horizontal="center" vertical="center" wrapText="1"/>
    </xf>
    <xf numFmtId="0" fontId="0" fillId="15" borderId="21" xfId="0" applyFill="1" applyBorder="1" applyAlignment="1">
      <alignment horizontal="left" vertical="center" wrapText="1"/>
    </xf>
    <xf numFmtId="165" fontId="25" fillId="0" borderId="18" xfId="0" applyNumberFormat="1" applyFont="1" applyBorder="1" applyAlignment="1">
      <alignment horizontal="left" vertical="center" wrapText="1" shrinkToFit="1"/>
    </xf>
    <xf numFmtId="0" fontId="19" fillId="0" borderId="3" xfId="0" applyFont="1" applyBorder="1" applyAlignment="1">
      <alignment wrapText="1"/>
    </xf>
    <xf numFmtId="16" fontId="0" fillId="15" borderId="6" xfId="0" applyNumberFormat="1" applyFill="1" applyBorder="1" applyAlignment="1">
      <alignment horizontal="center" vertical="center" wrapText="1"/>
    </xf>
    <xf numFmtId="14" fontId="0" fillId="15" borderId="0" xfId="0" applyNumberFormat="1" applyFill="1" applyAlignment="1">
      <alignment horizontal="center" vertical="center" wrapText="1"/>
    </xf>
    <xf numFmtId="16" fontId="0" fillId="15" borderId="0" xfId="0" applyNumberFormat="1" applyFill="1" applyAlignment="1">
      <alignment horizontal="center" vertical="center" wrapText="1"/>
    </xf>
    <xf numFmtId="0" fontId="31" fillId="15" borderId="0" xfId="0" applyFont="1" applyFill="1" applyAlignment="1">
      <alignment horizontal="center" vertical="center" wrapText="1"/>
    </xf>
    <xf numFmtId="0" fontId="25" fillId="0" borderId="0" xfId="0" applyFont="1" applyAlignment="1">
      <alignment horizontal="left" vertical="center" wrapText="1"/>
    </xf>
    <xf numFmtId="165" fontId="19" fillId="0" borderId="0" xfId="0" applyNumberFormat="1" applyFont="1" applyAlignment="1">
      <alignment horizontal="center" vertical="center" wrapText="1"/>
    </xf>
    <xf numFmtId="0" fontId="0" fillId="0" borderId="0" xfId="0" applyAlignment="1">
      <alignment wrapText="1"/>
    </xf>
    <xf numFmtId="0" fontId="24" fillId="0" borderId="1" xfId="0" applyFont="1" applyBorder="1" applyAlignment="1">
      <alignment horizontal="left" vertical="center" wrapText="1" shrinkToFit="1"/>
    </xf>
    <xf numFmtId="0" fontId="5" fillId="0" borderId="0" xfId="0" applyFont="1"/>
    <xf numFmtId="0" fontId="5" fillId="68" borderId="0" xfId="0" applyFont="1" applyFill="1"/>
    <xf numFmtId="165" fontId="9" fillId="0" borderId="1" xfId="0" applyNumberFormat="1" applyFont="1" applyBorder="1" applyAlignment="1">
      <alignment horizontal="center" vertical="center" wrapText="1"/>
    </xf>
    <xf numFmtId="0" fontId="83" fillId="0" borderId="1" xfId="0" applyFont="1" applyBorder="1" applyAlignment="1">
      <alignment horizontal="left" vertical="center" wrapText="1"/>
    </xf>
    <xf numFmtId="15" fontId="83" fillId="0" borderId="1" xfId="0" applyNumberFormat="1" applyFont="1" applyBorder="1" applyAlignment="1">
      <alignment horizontal="left" vertical="center" wrapText="1"/>
    </xf>
    <xf numFmtId="0" fontId="35" fillId="0" borderId="1" xfId="0" applyFont="1" applyBorder="1" applyAlignment="1">
      <alignment horizontal="left" vertical="center" wrapText="1"/>
    </xf>
    <xf numFmtId="15" fontId="35" fillId="0" borderId="1" xfId="0" applyNumberFormat="1" applyFont="1" applyBorder="1" applyAlignment="1">
      <alignment horizontal="left" vertical="center" wrapText="1"/>
    </xf>
    <xf numFmtId="0" fontId="0" fillId="9" borderId="3" xfId="0" applyFill="1" applyBorder="1" applyAlignment="1">
      <alignment horizontal="left" vertical="center" wrapText="1"/>
    </xf>
    <xf numFmtId="166" fontId="0" fillId="0" borderId="3" xfId="0" applyNumberFormat="1" applyBorder="1" applyAlignment="1">
      <alignment horizontal="right" vertical="center" wrapText="1"/>
    </xf>
    <xf numFmtId="167" fontId="0" fillId="0" borderId="3" xfId="0" applyNumberFormat="1" applyBorder="1" applyAlignment="1">
      <alignment horizontal="right" vertical="center" wrapText="1"/>
    </xf>
    <xf numFmtId="4" fontId="0" fillId="0" borderId="3" xfId="0" applyNumberFormat="1" applyBorder="1" applyAlignment="1">
      <alignment horizontal="center" vertical="center" wrapText="1"/>
    </xf>
    <xf numFmtId="15" fontId="0" fillId="8" borderId="3" xfId="0" applyNumberFormat="1" applyFill="1" applyBorder="1" applyAlignment="1">
      <alignment horizontal="left" vertical="center" wrapText="1"/>
    </xf>
    <xf numFmtId="0" fontId="24" fillId="15" borderId="3" xfId="0" applyFont="1" applyFill="1" applyBorder="1" applyAlignment="1">
      <alignment horizontal="left" vertical="center" wrapText="1" shrinkToFit="1"/>
    </xf>
    <xf numFmtId="0" fontId="0" fillId="0" borderId="3" xfId="0" applyBorder="1" applyAlignment="1">
      <alignment horizontal="left" wrapText="1"/>
    </xf>
    <xf numFmtId="0" fontId="0" fillId="3" borderId="3" xfId="0" applyFill="1" applyBorder="1" applyAlignment="1">
      <alignment horizontal="left" vertical="center" wrapText="1"/>
    </xf>
    <xf numFmtId="170" fontId="0" fillId="8" borderId="0" xfId="0" applyNumberFormat="1" applyFill="1" applyAlignment="1">
      <alignment wrapText="1"/>
    </xf>
    <xf numFmtId="0" fontId="24" fillId="7" borderId="3" xfId="0" applyFont="1" applyFill="1" applyBorder="1" applyAlignment="1">
      <alignment horizontal="left" vertical="center" wrapText="1" shrinkToFit="1"/>
    </xf>
    <xf numFmtId="165" fontId="0" fillId="7" borderId="3" xfId="0" applyNumberFormat="1" applyFill="1" applyBorder="1" applyAlignment="1">
      <alignment horizontal="center" vertical="center" wrapText="1"/>
    </xf>
    <xf numFmtId="15" fontId="0" fillId="7" borderId="3" xfId="0" applyNumberFormat="1" applyFill="1" applyBorder="1" applyAlignment="1">
      <alignment horizontal="left" vertical="center" wrapText="1"/>
    </xf>
    <xf numFmtId="166" fontId="0" fillId="7" borderId="3" xfId="0" applyNumberFormat="1" applyFill="1" applyBorder="1" applyAlignment="1">
      <alignment horizontal="left" vertical="center" wrapText="1"/>
    </xf>
    <xf numFmtId="165" fontId="0" fillId="7" borderId="3" xfId="0" applyNumberFormat="1" applyFill="1" applyBorder="1" applyAlignment="1">
      <alignment horizontal="left" vertical="center" wrapText="1"/>
    </xf>
    <xf numFmtId="14" fontId="0" fillId="7" borderId="6" xfId="0" applyNumberFormat="1" applyFill="1" applyBorder="1" applyAlignment="1">
      <alignment horizontal="center" vertical="center" wrapText="1"/>
    </xf>
    <xf numFmtId="0" fontId="0" fillId="7" borderId="0" xfId="0" applyFill="1"/>
    <xf numFmtId="14" fontId="84" fillId="0" borderId="0" xfId="0" applyNumberFormat="1" applyFont="1" applyAlignment="1">
      <alignment horizontal="center" vertical="center" wrapText="1"/>
    </xf>
    <xf numFmtId="0" fontId="0" fillId="4" borderId="3" xfId="0" applyFill="1" applyBorder="1" applyAlignment="1">
      <alignment horizontal="left" vertical="center" wrapText="1"/>
    </xf>
    <xf numFmtId="0" fontId="0" fillId="16" borderId="3" xfId="0" applyFill="1" applyBorder="1" applyAlignment="1">
      <alignment horizontal="left" vertical="center" wrapText="1"/>
    </xf>
    <xf numFmtId="15" fontId="0" fillId="16" borderId="3" xfId="0" applyNumberFormat="1" applyFill="1" applyBorder="1" applyAlignment="1">
      <alignment horizontal="left" vertical="center" wrapText="1"/>
    </xf>
    <xf numFmtId="165" fontId="0" fillId="16" borderId="3" xfId="0" applyNumberFormat="1" applyFill="1" applyBorder="1" applyAlignment="1">
      <alignment horizontal="right" vertical="center" wrapText="1"/>
    </xf>
    <xf numFmtId="43" fontId="0" fillId="8" borderId="3" xfId="3" applyFont="1" applyFill="1" applyBorder="1" applyAlignment="1">
      <alignment horizontal="right" vertical="center" wrapText="1"/>
    </xf>
    <xf numFmtId="0" fontId="17" fillId="69" borderId="3" xfId="0" applyFont="1" applyFill="1" applyBorder="1" applyAlignment="1">
      <alignment horizontal="left" vertical="center" wrapText="1"/>
    </xf>
    <xf numFmtId="43" fontId="9" fillId="2" borderId="3" xfId="0" applyNumberFormat="1" applyFont="1" applyFill="1" applyBorder="1" applyAlignment="1">
      <alignment horizontal="center" vertical="center" wrapText="1"/>
    </xf>
    <xf numFmtId="0" fontId="0" fillId="0" borderId="31" xfId="0" applyBorder="1" applyAlignment="1">
      <alignment horizontal="center" vertical="center" wrapText="1"/>
    </xf>
    <xf numFmtId="0" fontId="0" fillId="7" borderId="25" xfId="0" applyFill="1" applyBorder="1" applyAlignment="1">
      <alignment horizontal="center" vertical="center" wrapText="1"/>
    </xf>
    <xf numFmtId="0" fontId="0" fillId="49" borderId="1" xfId="0" applyFill="1" applyBorder="1" applyAlignment="1">
      <alignment horizontal="left" vertical="center" wrapText="1"/>
    </xf>
    <xf numFmtId="0" fontId="0" fillId="6" borderId="1" xfId="0" applyFill="1" applyBorder="1" applyAlignment="1">
      <alignment horizontal="center" vertical="center" wrapText="1"/>
    </xf>
    <xf numFmtId="0" fontId="0" fillId="42" borderId="18" xfId="0" applyFill="1" applyBorder="1" applyAlignment="1">
      <alignment horizontal="center" vertical="center" wrapText="1"/>
    </xf>
    <xf numFmtId="0" fontId="0" fillId="6" borderId="18" xfId="0" applyFill="1" applyBorder="1" applyAlignment="1">
      <alignment horizontal="center" vertical="center" wrapText="1"/>
    </xf>
    <xf numFmtId="0" fontId="18" fillId="0" borderId="18" xfId="0" applyFont="1" applyBorder="1" applyAlignment="1">
      <alignment horizontal="left" vertical="center" wrapText="1"/>
    </xf>
    <xf numFmtId="0" fontId="0" fillId="42" borderId="1" xfId="0" applyFill="1" applyBorder="1" applyAlignment="1">
      <alignment horizontal="center" vertical="center" wrapText="1"/>
    </xf>
    <xf numFmtId="15" fontId="0" fillId="6" borderId="1" xfId="0" applyNumberFormat="1" applyFill="1" applyBorder="1" applyAlignment="1">
      <alignment horizontal="center" vertical="center" wrapText="1"/>
    </xf>
    <xf numFmtId="15" fontId="0" fillId="51" borderId="1" xfId="0" applyNumberFormat="1" applyFill="1" applyBorder="1" applyAlignment="1">
      <alignment horizontal="center" vertical="center" wrapText="1"/>
    </xf>
    <xf numFmtId="0" fontId="0" fillId="44" borderId="1"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19" fillId="14" borderId="1" xfId="0" applyFont="1" applyFill="1" applyBorder="1" applyAlignment="1">
      <alignment horizontal="left" vertical="center" wrapText="1"/>
    </xf>
    <xf numFmtId="165" fontId="25" fillId="0" borderId="1" xfId="0" applyNumberFormat="1" applyFont="1" applyBorder="1" applyAlignment="1">
      <alignment horizontal="left" vertical="center" wrapText="1" shrinkToFit="1"/>
    </xf>
    <xf numFmtId="16" fontId="21" fillId="0" borderId="1" xfId="0" applyNumberFormat="1" applyFont="1" applyBorder="1" applyAlignment="1">
      <alignment horizontal="center" vertical="center" wrapText="1"/>
    </xf>
    <xf numFmtId="15" fontId="36" fillId="0" borderId="1" xfId="0" applyNumberFormat="1" applyFont="1" applyBorder="1" applyAlignment="1">
      <alignment horizontal="left" vertical="center" wrapText="1"/>
    </xf>
    <xf numFmtId="165" fontId="36" fillId="0" borderId="1" xfId="0" applyNumberFormat="1" applyFont="1" applyBorder="1" applyAlignment="1">
      <alignment horizontal="right" vertical="center" wrapText="1"/>
    </xf>
    <xf numFmtId="15" fontId="0" fillId="52" borderId="1" xfId="0" applyNumberFormat="1" applyFill="1" applyBorder="1" applyAlignment="1">
      <alignment horizontal="center" vertical="center" wrapText="1"/>
    </xf>
    <xf numFmtId="0" fontId="63" fillId="0" borderId="1" xfId="0" applyFont="1" applyBorder="1" applyAlignment="1">
      <alignment wrapText="1"/>
    </xf>
    <xf numFmtId="168" fontId="24" fillId="0" borderId="1" xfId="1" applyNumberFormat="1" applyFont="1" applyFill="1" applyBorder="1" applyAlignment="1">
      <alignment horizontal="left" vertical="center" wrapText="1"/>
    </xf>
    <xf numFmtId="0" fontId="17" fillId="53" borderId="1" xfId="0" applyFont="1" applyFill="1" applyBorder="1" applyAlignment="1">
      <alignment horizontal="left" vertical="center" wrapText="1"/>
    </xf>
    <xf numFmtId="14" fontId="21" fillId="0" borderId="1" xfId="0" applyNumberFormat="1" applyFont="1" applyBorder="1" applyAlignment="1">
      <alignment horizontal="center" vertical="center" wrapText="1"/>
    </xf>
    <xf numFmtId="0" fontId="36" fillId="0" borderId="1" xfId="0" applyFont="1" applyBorder="1" applyAlignment="1">
      <alignment horizontal="left" vertical="center" wrapText="1"/>
    </xf>
    <xf numFmtId="14" fontId="62" fillId="0" borderId="1" xfId="0" applyNumberFormat="1" applyFont="1" applyBorder="1" applyAlignment="1">
      <alignment horizontal="center" vertical="center" wrapText="1"/>
    </xf>
    <xf numFmtId="16" fontId="62" fillId="0" borderId="1" xfId="0" applyNumberFormat="1" applyFont="1" applyBorder="1" applyAlignment="1">
      <alignment horizontal="center" vertical="center" wrapText="1"/>
    </xf>
    <xf numFmtId="0" fontId="62" fillId="0" borderId="1" xfId="0" applyFont="1" applyBorder="1" applyAlignment="1">
      <alignment horizontal="center" vertical="center" wrapText="1"/>
    </xf>
    <xf numFmtId="0" fontId="0" fillId="0" borderId="1" xfId="0" applyBorder="1" applyAlignment="1">
      <alignment vertical="center" wrapText="1"/>
    </xf>
    <xf numFmtId="0" fontId="20" fillId="0" borderId="1" xfId="0" applyFont="1" applyBorder="1" applyAlignment="1">
      <alignment vertical="center" wrapText="1"/>
    </xf>
    <xf numFmtId="0" fontId="24" fillId="0" borderId="1" xfId="0" applyFont="1" applyBorder="1" applyAlignment="1">
      <alignment vertical="center" wrapText="1"/>
    </xf>
    <xf numFmtId="0" fontId="25" fillId="0" borderId="1" xfId="0" applyFont="1" applyBorder="1" applyAlignment="1">
      <alignment vertical="center" wrapText="1" shrinkToFit="1"/>
    </xf>
    <xf numFmtId="0" fontId="24" fillId="0" borderId="1" xfId="0" applyFont="1" applyBorder="1" applyAlignment="1">
      <alignment vertical="center" wrapText="1" shrinkToFit="1" readingOrder="1"/>
    </xf>
    <xf numFmtId="14" fontId="0" fillId="44" borderId="1" xfId="0" applyNumberFormat="1" applyFill="1" applyBorder="1" applyAlignment="1">
      <alignment horizontal="center" vertical="center" wrapText="1"/>
    </xf>
    <xf numFmtId="0" fontId="58" fillId="0" borderId="1" xfId="0" applyFont="1" applyBorder="1" applyAlignment="1">
      <alignment horizontal="left" vertical="center" wrapText="1"/>
    </xf>
    <xf numFmtId="165" fontId="58" fillId="0" borderId="1" xfId="0" applyNumberFormat="1" applyFont="1" applyBorder="1" applyAlignment="1">
      <alignment horizontal="right" vertical="center" wrapText="1"/>
    </xf>
    <xf numFmtId="0" fontId="0" fillId="0" borderId="1" xfId="0" applyBorder="1" applyAlignment="1">
      <alignment horizontal="left" vertical="center"/>
    </xf>
    <xf numFmtId="0" fontId="17" fillId="42" borderId="1" xfId="0" applyFont="1" applyFill="1" applyBorder="1" applyAlignment="1">
      <alignment horizontal="center" vertical="center" wrapText="1"/>
    </xf>
    <xf numFmtId="0" fontId="20" fillId="0" borderId="1" xfId="0" applyFont="1" applyBorder="1" applyAlignment="1">
      <alignment horizontal="justify" vertical="center" wrapText="1"/>
    </xf>
    <xf numFmtId="0" fontId="0" fillId="0" borderId="1" xfId="0" applyBorder="1" applyAlignment="1">
      <alignment horizontal="center" vertical="center"/>
    </xf>
    <xf numFmtId="15" fontId="36" fillId="14"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15" fontId="14" fillId="3" borderId="1" xfId="0" applyNumberFormat="1" applyFont="1" applyFill="1" applyBorder="1" applyAlignment="1">
      <alignment horizontal="center" vertical="center" wrapText="1"/>
    </xf>
    <xf numFmtId="168" fontId="0" fillId="0" borderId="1" xfId="1" applyNumberFormat="1" applyFont="1" applyFill="1" applyBorder="1" applyAlignment="1">
      <alignment horizontal="center" vertical="center" wrapText="1"/>
    </xf>
    <xf numFmtId="0" fontId="0" fillId="3" borderId="1" xfId="0" applyFill="1" applyBorder="1" applyAlignment="1">
      <alignment wrapText="1"/>
    </xf>
    <xf numFmtId="8" fontId="0" fillId="0" borderId="1" xfId="0" applyNumberFormat="1" applyBorder="1" applyAlignment="1">
      <alignment horizontal="center" vertical="center" wrapText="1"/>
    </xf>
    <xf numFmtId="170" fontId="0" fillId="0" borderId="1" xfId="1" applyNumberFormat="1" applyFont="1" applyFill="1" applyBorder="1" applyAlignment="1">
      <alignment horizontal="center" vertical="center" wrapText="1"/>
    </xf>
    <xf numFmtId="0" fontId="12" fillId="43"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63" fillId="8" borderId="1" xfId="0" applyFont="1" applyFill="1" applyBorder="1" applyAlignment="1">
      <alignment wrapText="1"/>
    </xf>
    <xf numFmtId="0" fontId="62" fillId="14" borderId="1" xfId="0" applyFont="1" applyFill="1" applyBorder="1" applyAlignment="1">
      <alignment horizontal="center" vertical="center" wrapText="1"/>
    </xf>
    <xf numFmtId="165" fontId="0" fillId="54" borderId="1" xfId="0" applyNumberFormat="1" applyFill="1" applyBorder="1" applyAlignment="1">
      <alignment horizontal="right" vertical="center" wrapText="1"/>
    </xf>
    <xf numFmtId="15" fontId="0" fillId="54" borderId="1" xfId="0" applyNumberFormat="1" applyFill="1" applyBorder="1" applyAlignment="1">
      <alignment horizontal="center" vertical="center" wrapText="1"/>
    </xf>
    <xf numFmtId="0" fontId="0" fillId="54" borderId="1" xfId="0" applyFill="1" applyBorder="1" applyAlignment="1">
      <alignment horizontal="left" vertical="center" wrapText="1"/>
    </xf>
    <xf numFmtId="15" fontId="0" fillId="54" borderId="1" xfId="0" applyNumberFormat="1" applyFill="1" applyBorder="1" applyAlignment="1">
      <alignment horizontal="left" vertical="center" wrapText="1"/>
    </xf>
    <xf numFmtId="0" fontId="9" fillId="2" borderId="0" xfId="0" applyFont="1" applyFill="1" applyAlignment="1">
      <alignment horizontal="center" vertical="center" wrapText="1"/>
    </xf>
    <xf numFmtId="0" fontId="74" fillId="0" borderId="0" xfId="0" applyFont="1"/>
    <xf numFmtId="0" fontId="30" fillId="2" borderId="18" xfId="0" applyFont="1" applyFill="1" applyBorder="1" applyAlignment="1">
      <alignment horizontal="center" vertical="center" wrapText="1"/>
    </xf>
    <xf numFmtId="0" fontId="85" fillId="0" borderId="1" xfId="0" applyFont="1" applyBorder="1" applyAlignment="1">
      <alignment horizontal="left" vertical="center" wrapText="1"/>
    </xf>
    <xf numFmtId="43" fontId="74" fillId="0" borderId="1" xfId="3" applyFont="1" applyBorder="1"/>
    <xf numFmtId="175" fontId="74" fillId="0" borderId="1" xfId="3" applyNumberFormat="1" applyFont="1" applyBorder="1"/>
    <xf numFmtId="0" fontId="74" fillId="0" borderId="1" xfId="0" applyFont="1" applyBorder="1" applyAlignment="1">
      <alignment horizontal="left" vertical="center" wrapText="1"/>
    </xf>
    <xf numFmtId="0" fontId="74" fillId="0" borderId="0" xfId="0" applyFont="1" applyAlignment="1">
      <alignment horizontal="left" vertical="center" wrapText="1"/>
    </xf>
    <xf numFmtId="165" fontId="74" fillId="0" borderId="0" xfId="0" applyNumberFormat="1" applyFont="1" applyAlignment="1">
      <alignment horizontal="center" vertical="center" wrapText="1"/>
    </xf>
    <xf numFmtId="0" fontId="74" fillId="0" borderId="1" xfId="0" applyFont="1" applyBorder="1"/>
    <xf numFmtId="0" fontId="74" fillId="0" borderId="1" xfId="0" applyFont="1" applyBorder="1" applyAlignment="1">
      <alignment horizontal="center" vertical="center" wrapText="1"/>
    </xf>
    <xf numFmtId="0" fontId="74" fillId="0" borderId="0" xfId="0" applyFont="1" applyAlignment="1">
      <alignment horizontal="center" wrapText="1"/>
    </xf>
    <xf numFmtId="43" fontId="74" fillId="0" borderId="0" xfId="0" applyNumberFormat="1" applyFont="1"/>
    <xf numFmtId="43" fontId="74" fillId="0" borderId="0" xfId="3" applyFont="1"/>
    <xf numFmtId="0" fontId="74" fillId="0" borderId="8" xfId="0" applyFont="1" applyBorder="1"/>
    <xf numFmtId="175" fontId="0" fillId="0" borderId="0" xfId="3" applyNumberFormat="1" applyFont="1" applyBorder="1"/>
    <xf numFmtId="0" fontId="30" fillId="2" borderId="0" xfId="0" applyFont="1" applyFill="1" applyAlignment="1">
      <alignment horizontal="center" vertical="center" wrapText="1"/>
    </xf>
    <xf numFmtId="0" fontId="9" fillId="0" borderId="0" xfId="0" applyFont="1" applyAlignment="1">
      <alignment horizontal="center" vertical="center" wrapText="1"/>
    </xf>
    <xf numFmtId="175" fontId="0" fillId="0" borderId="0" xfId="3" applyNumberFormat="1" applyFont="1" applyFill="1" applyBorder="1"/>
    <xf numFmtId="43" fontId="0" fillId="0" borderId="0" xfId="0" applyNumberFormat="1" applyAlignment="1">
      <alignment horizontal="center" vertical="center" wrapText="1"/>
    </xf>
    <xf numFmtId="0" fontId="11" fillId="0" borderId="6" xfId="0" applyFont="1" applyBorder="1" applyAlignment="1">
      <alignment horizontal="center" vertical="center" wrapText="1"/>
    </xf>
    <xf numFmtId="175" fontId="0" fillId="0" borderId="1" xfId="3" applyNumberFormat="1" applyFont="1" applyBorder="1" applyAlignment="1">
      <alignment horizontal="center"/>
    </xf>
    <xf numFmtId="175" fontId="9" fillId="0" borderId="0" xfId="0" applyNumberFormat="1" applyFont="1" applyAlignment="1">
      <alignment horizontal="center"/>
    </xf>
    <xf numFmtId="0" fontId="74" fillId="0" borderId="0" xfId="0" applyFont="1" applyAlignment="1">
      <alignment horizontal="center"/>
    </xf>
    <xf numFmtId="0" fontId="0" fillId="68" borderId="1" xfId="0" applyFill="1" applyBorder="1" applyAlignment="1">
      <alignment horizontal="center" vertical="center" wrapText="1"/>
    </xf>
    <xf numFmtId="0" fontId="27" fillId="17" borderId="6" xfId="5" applyNumberFormat="1" applyBorder="1" applyAlignment="1">
      <alignment horizontal="center" vertical="center" textRotation="90" wrapText="1"/>
    </xf>
    <xf numFmtId="0" fontId="27" fillId="17" borderId="21" xfId="5" applyNumberFormat="1" applyBorder="1" applyAlignment="1">
      <alignment horizontal="center" vertical="center" textRotation="90" wrapText="1"/>
    </xf>
    <xf numFmtId="0" fontId="0" fillId="0" borderId="21" xfId="0" applyBorder="1" applyAlignment="1">
      <alignment horizontal="center" vertical="center" wrapText="1"/>
    </xf>
    <xf numFmtId="17" fontId="11" fillId="0" borderId="21" xfId="0" applyNumberFormat="1" applyFont="1" applyBorder="1" applyAlignment="1">
      <alignment horizontal="center" vertical="center" wrapText="1"/>
    </xf>
    <xf numFmtId="0" fontId="28" fillId="0" borderId="19" xfId="0" applyFont="1" applyBorder="1" applyAlignment="1">
      <alignment horizontal="center" vertical="center" wrapText="1"/>
    </xf>
    <xf numFmtId="43" fontId="11" fillId="0" borderId="1" xfId="3" applyFont="1" applyBorder="1" applyAlignment="1">
      <alignment horizontal="center" vertical="center" wrapText="1"/>
    </xf>
    <xf numFmtId="0" fontId="11" fillId="7" borderId="1" xfId="0" applyFont="1" applyFill="1" applyBorder="1" applyAlignment="1">
      <alignment horizontal="center" vertical="center" wrapText="1"/>
    </xf>
    <xf numFmtId="15" fontId="0" fillId="0" borderId="1" xfId="0" applyNumberFormat="1" applyBorder="1" applyAlignment="1">
      <alignment vertical="center" wrapText="1"/>
    </xf>
    <xf numFmtId="0" fontId="78" fillId="8" borderId="1" xfId="0" applyFont="1" applyFill="1" applyBorder="1" applyAlignment="1">
      <alignment horizontal="left" vertical="center" wrapText="1"/>
    </xf>
    <xf numFmtId="0" fontId="23" fillId="0" borderId="0" xfId="0" applyFont="1" applyAlignment="1">
      <alignment horizontal="center" vertical="center" wrapText="1"/>
    </xf>
    <xf numFmtId="0" fontId="72" fillId="41" borderId="32" xfId="3" applyNumberFormat="1" applyFont="1" applyFill="1" applyBorder="1" applyAlignment="1">
      <alignment horizontal="center" vertical="center" wrapText="1"/>
    </xf>
    <xf numFmtId="0" fontId="23" fillId="41" borderId="0" xfId="0" applyFont="1" applyFill="1" applyAlignment="1">
      <alignment horizontal="center" vertical="center" wrapText="1"/>
    </xf>
    <xf numFmtId="0" fontId="23" fillId="41" borderId="32" xfId="0" applyFont="1" applyFill="1" applyBorder="1" applyAlignment="1">
      <alignment horizontal="center" vertical="center" wrapText="1"/>
    </xf>
    <xf numFmtId="0" fontId="0" fillId="12" borderId="6" xfId="0" applyFill="1" applyBorder="1" applyAlignment="1">
      <alignment horizontal="left" vertical="center" wrapText="1"/>
    </xf>
    <xf numFmtId="0" fontId="9" fillId="8" borderId="6" xfId="0" applyFont="1" applyFill="1" applyBorder="1" applyAlignment="1">
      <alignment horizontal="left" vertical="center" wrapText="1"/>
    </xf>
    <xf numFmtId="0" fontId="28" fillId="0" borderId="3" xfId="0" applyFont="1" applyBorder="1" applyAlignment="1">
      <alignment horizontal="justify" vertical="center" wrapText="1"/>
    </xf>
    <xf numFmtId="0" fontId="11" fillId="0" borderId="3" xfId="0" applyFont="1" applyBorder="1" applyAlignment="1">
      <alignment horizontal="justify" vertical="center" wrapText="1"/>
    </xf>
    <xf numFmtId="43" fontId="11" fillId="0" borderId="3" xfId="3" applyFont="1" applyBorder="1" applyAlignment="1">
      <alignment horizontal="justify" vertical="center" wrapText="1"/>
    </xf>
    <xf numFmtId="0" fontId="67" fillId="0" borderId="0" xfId="0" applyFont="1" applyAlignment="1">
      <alignment horizontal="justify" vertical="center" wrapText="1"/>
    </xf>
    <xf numFmtId="0" fontId="67" fillId="0" borderId="3" xfId="0" applyFont="1" applyBorder="1" applyAlignment="1">
      <alignment horizontal="justify" vertical="center" wrapText="1"/>
    </xf>
    <xf numFmtId="0" fontId="67" fillId="0" borderId="3" xfId="0" applyFont="1" applyBorder="1" applyAlignment="1">
      <alignment horizontal="justify" vertical="center"/>
    </xf>
    <xf numFmtId="0" fontId="69" fillId="0" borderId="3" xfId="0" applyFont="1" applyBorder="1" applyAlignment="1">
      <alignment horizontal="justify" vertical="center" wrapText="1"/>
    </xf>
    <xf numFmtId="0" fontId="69" fillId="0" borderId="1" xfId="0" applyFont="1" applyBorder="1" applyAlignment="1">
      <alignment horizontal="justify" vertical="center" wrapText="1"/>
    </xf>
    <xf numFmtId="0" fontId="0" fillId="0" borderId="0" xfId="0" applyAlignment="1">
      <alignment horizontal="justify" vertical="center" wrapText="1"/>
    </xf>
    <xf numFmtId="0" fontId="0" fillId="0" borderId="0" xfId="0" applyAlignment="1">
      <alignment horizontal="justify" vertical="center"/>
    </xf>
    <xf numFmtId="43" fontId="9" fillId="8" borderId="3" xfId="3" applyFont="1" applyFill="1" applyBorder="1" applyAlignment="1">
      <alignment horizontal="center" vertical="center" wrapText="1"/>
    </xf>
    <xf numFmtId="0" fontId="28" fillId="8" borderId="3" xfId="3" applyNumberFormat="1" applyFont="1" applyFill="1" applyBorder="1" applyAlignment="1">
      <alignment horizontal="center" vertical="center" wrapText="1"/>
    </xf>
    <xf numFmtId="43" fontId="11" fillId="8" borderId="3" xfId="3" applyFont="1" applyFill="1" applyBorder="1" applyAlignment="1">
      <alignment horizontal="center" vertical="center" wrapText="1"/>
    </xf>
    <xf numFmtId="43" fontId="8" fillId="8" borderId="3" xfId="3" applyFont="1" applyFill="1" applyBorder="1" applyAlignment="1">
      <alignment horizontal="center" vertical="center" wrapText="1"/>
    </xf>
    <xf numFmtId="165" fontId="11" fillId="8" borderId="1" xfId="0" applyNumberFormat="1" applyFont="1" applyFill="1" applyBorder="1" applyAlignment="1">
      <alignment horizontal="right" vertical="center" wrapText="1"/>
    </xf>
    <xf numFmtId="43" fontId="11" fillId="8" borderId="3" xfId="3" applyFont="1" applyFill="1" applyBorder="1" applyAlignment="1">
      <alignment horizontal="right" vertical="center" wrapText="1"/>
    </xf>
    <xf numFmtId="176" fontId="0" fillId="0" borderId="0" xfId="0" applyNumberFormat="1" applyAlignment="1">
      <alignment horizontal="left"/>
    </xf>
    <xf numFmtId="0" fontId="87" fillId="0" borderId="0" xfId="0" applyFont="1" applyAlignment="1">
      <alignment horizontal="justify" vertical="center"/>
    </xf>
    <xf numFmtId="170" fontId="0" fillId="0" borderId="0" xfId="1" applyNumberFormat="1" applyFont="1" applyAlignment="1">
      <alignment horizontal="left"/>
    </xf>
    <xf numFmtId="0" fontId="88" fillId="2" borderId="6" xfId="0" applyFont="1" applyFill="1" applyBorder="1" applyAlignment="1">
      <alignment horizontal="center" vertical="center" wrapText="1"/>
    </xf>
    <xf numFmtId="0" fontId="88" fillId="2" borderId="21" xfId="0" applyFont="1" applyFill="1" applyBorder="1" applyAlignment="1">
      <alignment horizontal="center" vertical="center" wrapText="1"/>
    </xf>
    <xf numFmtId="0" fontId="88" fillId="2" borderId="3" xfId="0" applyFont="1" applyFill="1" applyBorder="1" applyAlignment="1">
      <alignment horizontal="center" vertical="center" wrapText="1"/>
    </xf>
    <xf numFmtId="0" fontId="88" fillId="2" borderId="3" xfId="0" applyFont="1" applyFill="1" applyBorder="1" applyAlignment="1">
      <alignment horizontal="center" vertical="center" textRotation="90" wrapText="1"/>
    </xf>
    <xf numFmtId="14" fontId="88" fillId="2" borderId="3" xfId="0" applyNumberFormat="1" applyFont="1" applyFill="1" applyBorder="1" applyAlignment="1">
      <alignment horizontal="center" vertical="center" wrapText="1"/>
    </xf>
    <xf numFmtId="14" fontId="89" fillId="0" borderId="3" xfId="0" applyNumberFormat="1" applyFont="1" applyBorder="1" applyAlignment="1">
      <alignment horizontal="center" vertical="center" wrapText="1"/>
    </xf>
    <xf numFmtId="0" fontId="89" fillId="0" borderId="0" xfId="0" applyFont="1" applyAlignment="1">
      <alignment horizontal="center"/>
    </xf>
    <xf numFmtId="0" fontId="90" fillId="0" borderId="6" xfId="0" applyFont="1" applyBorder="1" applyAlignment="1">
      <alignment horizontal="center" vertical="center" wrapText="1"/>
    </xf>
    <xf numFmtId="0" fontId="90" fillId="0" borderId="1" xfId="0" applyFont="1" applyBorder="1" applyAlignment="1">
      <alignment horizontal="center" vertical="center" wrapText="1"/>
    </xf>
    <xf numFmtId="0" fontId="90" fillId="0" borderId="21" xfId="0" applyFont="1" applyBorder="1" applyAlignment="1">
      <alignment horizontal="center" vertical="center" wrapText="1"/>
    </xf>
    <xf numFmtId="0" fontId="91" fillId="0" borderId="3" xfId="0" applyFont="1" applyBorder="1" applyAlignment="1">
      <alignment horizontal="center" vertical="center" wrapText="1"/>
    </xf>
    <xf numFmtId="0" fontId="91" fillId="0" borderId="6" xfId="0" applyFont="1" applyBorder="1" applyAlignment="1">
      <alignment horizontal="left" vertical="center" wrapText="1"/>
    </xf>
    <xf numFmtId="0" fontId="92" fillId="0" borderId="3" xfId="0" applyFont="1" applyBorder="1" applyAlignment="1">
      <alignment horizontal="left" vertical="center" wrapText="1"/>
    </xf>
    <xf numFmtId="0" fontId="92" fillId="0" borderId="3" xfId="0" applyFont="1" applyBorder="1" applyAlignment="1">
      <alignment horizontal="left" vertical="center" wrapText="1" shrinkToFit="1"/>
    </xf>
    <xf numFmtId="0" fontId="92" fillId="0" borderId="3" xfId="0" applyFont="1" applyBorder="1" applyAlignment="1">
      <alignment horizontal="left" vertical="center" wrapText="1" shrinkToFit="1" readingOrder="1"/>
    </xf>
    <xf numFmtId="0" fontId="89" fillId="0" borderId="3" xfId="0" applyFont="1" applyBorder="1" applyAlignment="1">
      <alignment horizontal="left" vertical="center" wrapText="1"/>
    </xf>
    <xf numFmtId="0" fontId="89" fillId="0" borderId="3" xfId="0" applyFont="1" applyBorder="1" applyAlignment="1">
      <alignment horizontal="justify" vertical="center" wrapText="1"/>
    </xf>
    <xf numFmtId="165" fontId="89" fillId="0" borderId="3" xfId="0" applyNumberFormat="1" applyFont="1" applyBorder="1" applyAlignment="1">
      <alignment horizontal="center" vertical="center" wrapText="1"/>
    </xf>
    <xf numFmtId="15" fontId="89" fillId="0" borderId="3" xfId="0" applyNumberFormat="1" applyFont="1" applyBorder="1" applyAlignment="1">
      <alignment horizontal="center" vertical="center" wrapText="1"/>
    </xf>
    <xf numFmtId="0" fontId="89" fillId="0" borderId="3" xfId="0" applyFont="1" applyBorder="1" applyAlignment="1">
      <alignment horizontal="center" vertical="center" wrapText="1"/>
    </xf>
    <xf numFmtId="15" fontId="89" fillId="0" borderId="3" xfId="0" applyNumberFormat="1" applyFont="1" applyBorder="1" applyAlignment="1">
      <alignment horizontal="left" vertical="center" wrapText="1"/>
    </xf>
    <xf numFmtId="0" fontId="89" fillId="43" borderId="3" xfId="0" applyFont="1" applyFill="1" applyBorder="1" applyAlignment="1">
      <alignment horizontal="center" vertical="center" wrapText="1"/>
    </xf>
    <xf numFmtId="0" fontId="89" fillId="0" borderId="6" xfId="0" applyFont="1" applyBorder="1" applyAlignment="1">
      <alignment horizontal="center" vertical="center" wrapText="1"/>
    </xf>
    <xf numFmtId="0" fontId="89" fillId="0" borderId="0" xfId="0" applyFont="1"/>
    <xf numFmtId="0" fontId="91" fillId="0" borderId="3" xfId="0" applyFont="1" applyBorder="1" applyAlignment="1">
      <alignment horizontal="left" vertical="center" wrapText="1"/>
    </xf>
    <xf numFmtId="16" fontId="89" fillId="0" borderId="3" xfId="0" applyNumberFormat="1" applyFont="1" applyBorder="1" applyAlignment="1">
      <alignment horizontal="center" vertical="center" wrapText="1"/>
    </xf>
    <xf numFmtId="0" fontId="89" fillId="0" borderId="1" xfId="0" applyFont="1" applyBorder="1" applyAlignment="1">
      <alignment horizontal="left" vertical="center" wrapText="1"/>
    </xf>
    <xf numFmtId="0" fontId="89" fillId="0" borderId="1" xfId="0" applyFont="1" applyBorder="1" applyAlignment="1">
      <alignment horizontal="center" vertical="center" wrapText="1"/>
    </xf>
    <xf numFmtId="0" fontId="92" fillId="0" borderId="1" xfId="0" applyFont="1" applyBorder="1" applyAlignment="1">
      <alignment horizontal="left" vertical="center" wrapText="1"/>
    </xf>
    <xf numFmtId="0" fontId="92" fillId="0" borderId="1" xfId="0" applyFont="1" applyBorder="1" applyAlignment="1">
      <alignment horizontal="left" vertical="center" wrapText="1" shrinkToFit="1" readingOrder="1"/>
    </xf>
    <xf numFmtId="165" fontId="89" fillId="0" borderId="1" xfId="0" applyNumberFormat="1" applyFont="1" applyBorder="1" applyAlignment="1">
      <alignment horizontal="center" vertical="center" wrapText="1"/>
    </xf>
    <xf numFmtId="15" fontId="89" fillId="0" borderId="1" xfId="0" applyNumberFormat="1" applyFont="1" applyBorder="1" applyAlignment="1">
      <alignment horizontal="center" vertical="center" wrapText="1"/>
    </xf>
    <xf numFmtId="15" fontId="89" fillId="0" borderId="1" xfId="0" applyNumberFormat="1" applyFont="1" applyBorder="1" applyAlignment="1">
      <alignment vertical="center" wrapText="1"/>
    </xf>
    <xf numFmtId="15" fontId="89" fillId="0" borderId="1" xfId="0" applyNumberFormat="1" applyFont="1" applyBorder="1" applyAlignment="1">
      <alignment horizontal="left" vertical="center" wrapText="1"/>
    </xf>
    <xf numFmtId="14" fontId="89" fillId="0" borderId="1" xfId="0" applyNumberFormat="1" applyFont="1" applyBorder="1" applyAlignment="1">
      <alignment horizontal="center" vertical="center" wrapText="1"/>
    </xf>
    <xf numFmtId="43" fontId="91" fillId="0" borderId="3" xfId="3" applyFont="1" applyBorder="1" applyAlignment="1">
      <alignment horizontal="center" vertical="center" wrapText="1"/>
    </xf>
    <xf numFmtId="14" fontId="91" fillId="0" borderId="3" xfId="0" applyNumberFormat="1" applyFont="1" applyBorder="1" applyAlignment="1">
      <alignment horizontal="center" vertical="center" wrapText="1"/>
    </xf>
    <xf numFmtId="0" fontId="89" fillId="0" borderId="3" xfId="0" applyFont="1" applyBorder="1" applyAlignment="1">
      <alignment horizontal="left" vertical="center" wrapText="1" shrinkToFit="1" readingOrder="1"/>
    </xf>
    <xf numFmtId="14" fontId="89" fillId="0" borderId="3" xfId="0" applyNumberFormat="1" applyFont="1" applyBorder="1" applyAlignment="1">
      <alignment horizontal="left" vertical="center" wrapText="1"/>
    </xf>
    <xf numFmtId="0" fontId="91" fillId="0" borderId="1" xfId="0" applyFont="1" applyBorder="1" applyAlignment="1">
      <alignment horizontal="center" vertical="center" wrapText="1"/>
    </xf>
    <xf numFmtId="0" fontId="91" fillId="0" borderId="0" xfId="0" applyFont="1"/>
    <xf numFmtId="43" fontId="91" fillId="0" borderId="3" xfId="3" applyFont="1" applyBorder="1" applyAlignment="1">
      <alignment horizontal="left" vertical="center" wrapText="1"/>
    </xf>
    <xf numFmtId="172" fontId="91" fillId="0" borderId="3" xfId="0" applyNumberFormat="1" applyFont="1" applyBorder="1" applyAlignment="1">
      <alignment horizontal="left" vertical="center" wrapText="1"/>
    </xf>
    <xf numFmtId="0" fontId="89" fillId="0" borderId="3" xfId="0" applyFont="1" applyBorder="1" applyAlignment="1">
      <alignment vertical="center"/>
    </xf>
    <xf numFmtId="43" fontId="91" fillId="0" borderId="0" xfId="3" applyFont="1"/>
    <xf numFmtId="0" fontId="89" fillId="0" borderId="18" xfId="0" applyFont="1" applyBorder="1" applyAlignment="1">
      <alignment horizontal="left" vertical="center" wrapText="1"/>
    </xf>
    <xf numFmtId="0" fontId="91" fillId="0" borderId="18" xfId="0" applyFont="1" applyBorder="1" applyAlignment="1">
      <alignment horizontal="left" vertical="center" wrapText="1"/>
    </xf>
    <xf numFmtId="0" fontId="89" fillId="0" borderId="25" xfId="0" applyFont="1" applyBorder="1" applyAlignment="1">
      <alignment horizontal="left" vertical="center" wrapText="1"/>
    </xf>
    <xf numFmtId="0" fontId="91" fillId="0" borderId="25" xfId="0" applyFont="1" applyBorder="1" applyAlignment="1">
      <alignment horizontal="left" vertical="center" wrapText="1"/>
    </xf>
    <xf numFmtId="0" fontId="89" fillId="0" borderId="18" xfId="0" applyFont="1" applyBorder="1" applyAlignment="1">
      <alignment horizontal="left" vertical="center" wrapText="1" shrinkToFit="1" readingOrder="1"/>
    </xf>
    <xf numFmtId="0" fontId="92" fillId="0" borderId="24" xfId="0" applyFont="1" applyBorder="1" applyAlignment="1">
      <alignment horizontal="left" vertical="center" wrapText="1"/>
    </xf>
    <xf numFmtId="0" fontId="89" fillId="0" borderId="24" xfId="0" applyFont="1" applyBorder="1" applyAlignment="1">
      <alignment horizontal="left" vertical="center" wrapText="1"/>
    </xf>
    <xf numFmtId="0" fontId="89" fillId="0" borderId="18" xfId="0" applyFont="1" applyBorder="1" applyAlignment="1">
      <alignment horizontal="center" vertical="center" wrapText="1"/>
    </xf>
    <xf numFmtId="0" fontId="92" fillId="0" borderId="18" xfId="0" applyFont="1" applyBorder="1" applyAlignment="1">
      <alignment horizontal="left" vertical="center" wrapText="1"/>
    </xf>
    <xf numFmtId="0" fontId="89" fillId="0" borderId="31" xfId="0" applyFont="1" applyBorder="1" applyAlignment="1">
      <alignment horizontal="left" vertical="center" wrapText="1"/>
    </xf>
    <xf numFmtId="165" fontId="89" fillId="0" borderId="18" xfId="0" applyNumberFormat="1" applyFont="1" applyBorder="1" applyAlignment="1">
      <alignment horizontal="center" vertical="center" wrapText="1"/>
    </xf>
    <xf numFmtId="14" fontId="89" fillId="0" borderId="18" xfId="0" applyNumberFormat="1" applyFont="1" applyBorder="1" applyAlignment="1">
      <alignment horizontal="center" vertical="center" wrapText="1"/>
    </xf>
    <xf numFmtId="14" fontId="89" fillId="0" borderId="18" xfId="0" applyNumberFormat="1" applyFont="1" applyBorder="1" applyAlignment="1">
      <alignment horizontal="left" vertical="center" wrapText="1"/>
    </xf>
    <xf numFmtId="14" fontId="89" fillId="0" borderId="1" xfId="0" applyNumberFormat="1" applyFont="1" applyBorder="1" applyAlignment="1">
      <alignment horizontal="left" vertical="center" wrapText="1"/>
    </xf>
    <xf numFmtId="0" fontId="89" fillId="0" borderId="28" xfId="0" applyFont="1" applyBorder="1" applyAlignment="1">
      <alignment horizontal="left" vertical="center" wrapText="1"/>
    </xf>
    <xf numFmtId="0" fontId="89" fillId="0" borderId="28" xfId="0" applyFont="1" applyBorder="1" applyAlignment="1">
      <alignment horizontal="center" vertical="center" wrapText="1"/>
    </xf>
    <xf numFmtId="0" fontId="92" fillId="0" borderId="28" xfId="0" applyFont="1" applyBorder="1" applyAlignment="1">
      <alignment horizontal="left" vertical="center" wrapText="1"/>
    </xf>
    <xf numFmtId="0" fontId="89" fillId="0" borderId="28" xfId="0" applyFont="1" applyBorder="1" applyAlignment="1">
      <alignment vertical="center"/>
    </xf>
    <xf numFmtId="165" fontId="89" fillId="0" borderId="25" xfId="0" applyNumberFormat="1" applyFont="1" applyBorder="1" applyAlignment="1">
      <alignment horizontal="center" vertical="center" wrapText="1"/>
    </xf>
    <xf numFmtId="14" fontId="89" fillId="0" borderId="25" xfId="0" applyNumberFormat="1" applyFont="1" applyBorder="1" applyAlignment="1">
      <alignment horizontal="center" vertical="center" wrapText="1"/>
    </xf>
    <xf numFmtId="0" fontId="89" fillId="0" borderId="25" xfId="0" applyFont="1" applyBorder="1" applyAlignment="1">
      <alignment horizontal="center" vertical="center" wrapText="1"/>
    </xf>
    <xf numFmtId="14" fontId="89" fillId="0" borderId="25" xfId="0" applyNumberFormat="1" applyFont="1" applyBorder="1" applyAlignment="1">
      <alignment horizontal="left" vertical="center" wrapText="1"/>
    </xf>
    <xf numFmtId="0" fontId="89" fillId="0" borderId="27" xfId="0" applyFont="1" applyBorder="1" applyAlignment="1">
      <alignment horizontal="left" vertical="center" wrapText="1"/>
    </xf>
    <xf numFmtId="0" fontId="92" fillId="0" borderId="19" xfId="0" applyFont="1" applyBorder="1" applyAlignment="1">
      <alignment horizontal="left" vertical="center" wrapText="1"/>
    </xf>
    <xf numFmtId="0" fontId="89" fillId="0" borderId="23" xfId="0" applyFont="1" applyBorder="1" applyAlignment="1">
      <alignment horizontal="left" vertical="center" wrapText="1"/>
    </xf>
    <xf numFmtId="0" fontId="89" fillId="0" borderId="30" xfId="0" applyFont="1" applyBorder="1" applyAlignment="1">
      <alignment horizontal="left" vertical="center" wrapText="1"/>
    </xf>
    <xf numFmtId="0" fontId="89" fillId="0" borderId="3" xfId="0" applyFont="1" applyBorder="1" applyAlignment="1">
      <alignment horizontal="left" vertical="center"/>
    </xf>
    <xf numFmtId="0" fontId="92" fillId="0" borderId="18" xfId="0" applyFont="1" applyBorder="1" applyAlignment="1">
      <alignment horizontal="left" vertical="center" wrapText="1" shrinkToFit="1" readingOrder="1"/>
    </xf>
    <xf numFmtId="0" fontId="89" fillId="0" borderId="1" xfId="0" applyFont="1" applyBorder="1" applyAlignment="1">
      <alignment horizontal="left" vertical="center"/>
    </xf>
    <xf numFmtId="0" fontId="89" fillId="0" borderId="3" xfId="0" applyFont="1" applyBorder="1" applyAlignment="1">
      <alignment horizontal="left" wrapText="1"/>
    </xf>
    <xf numFmtId="0" fontId="89" fillId="0" borderId="3" xfId="0" applyFont="1" applyBorder="1" applyAlignment="1">
      <alignment vertical="center" wrapText="1"/>
    </xf>
    <xf numFmtId="0" fontId="89" fillId="0" borderId="21" xfId="0" applyFont="1" applyBorder="1" applyAlignment="1">
      <alignment horizontal="left" vertical="center" wrapText="1" shrinkToFit="1" readingOrder="1"/>
    </xf>
    <xf numFmtId="0" fontId="92" fillId="0" borderId="25" xfId="0" applyFont="1" applyBorder="1" applyAlignment="1">
      <alignment horizontal="left" vertical="center" wrapText="1"/>
    </xf>
    <xf numFmtId="3" fontId="89" fillId="0" borderId="3" xfId="0" applyNumberFormat="1" applyFont="1" applyBorder="1" applyAlignment="1">
      <alignment horizontal="center" vertical="center" wrapText="1"/>
    </xf>
    <xf numFmtId="43" fontId="92" fillId="0" borderId="3" xfId="3" applyFont="1" applyBorder="1" applyAlignment="1">
      <alignment horizontal="left" vertical="center" wrapText="1"/>
    </xf>
    <xf numFmtId="0" fontId="89" fillId="0" borderId="0" xfId="0" applyFont="1" applyAlignment="1">
      <alignment horizontal="left"/>
    </xf>
    <xf numFmtId="0" fontId="89" fillId="0" borderId="0" xfId="0" applyFont="1" applyAlignment="1">
      <alignment horizontal="justify" vertical="center"/>
    </xf>
    <xf numFmtId="43" fontId="89" fillId="0" borderId="0" xfId="3" applyFont="1"/>
    <xf numFmtId="14" fontId="89" fillId="0" borderId="0" xfId="0" applyNumberFormat="1" applyFont="1"/>
    <xf numFmtId="14" fontId="89" fillId="0" borderId="0" xfId="0" applyNumberFormat="1" applyFont="1" applyAlignment="1">
      <alignment wrapText="1"/>
    </xf>
    <xf numFmtId="14" fontId="89" fillId="0" borderId="0" xfId="0" applyNumberFormat="1" applyFont="1" applyAlignment="1">
      <alignment horizontal="center" vertical="center"/>
    </xf>
    <xf numFmtId="0" fontId="93" fillId="2" borderId="3" xfId="0" applyFont="1" applyFill="1" applyBorder="1" applyAlignment="1">
      <alignment horizontal="center" vertical="center" wrapText="1"/>
    </xf>
    <xf numFmtId="43" fontId="93" fillId="2" borderId="3" xfId="0" applyNumberFormat="1" applyFont="1" applyFill="1" applyBorder="1" applyAlignment="1">
      <alignment horizontal="center" vertical="center" wrapText="1"/>
    </xf>
    <xf numFmtId="43" fontId="89" fillId="0" borderId="1" xfId="3" applyFont="1" applyBorder="1"/>
    <xf numFmtId="175" fontId="89" fillId="0" borderId="1" xfId="3" applyNumberFormat="1" applyFont="1" applyBorder="1" applyAlignment="1">
      <alignment horizontal="center"/>
    </xf>
    <xf numFmtId="175" fontId="93" fillId="0" borderId="0" xfId="0" applyNumberFormat="1" applyFont="1" applyAlignment="1">
      <alignment horizontal="center"/>
    </xf>
    <xf numFmtId="170" fontId="89" fillId="0" borderId="0" xfId="1" applyNumberFormat="1" applyFont="1" applyAlignment="1">
      <alignment horizontal="left"/>
    </xf>
    <xf numFmtId="165" fontId="89" fillId="0" borderId="0" xfId="0" applyNumberFormat="1" applyFont="1"/>
    <xf numFmtId="170" fontId="89" fillId="0" borderId="0" xfId="1" applyNumberFormat="1" applyFont="1" applyBorder="1" applyAlignment="1">
      <alignment horizontal="left" vertical="center"/>
    </xf>
    <xf numFmtId="176" fontId="89" fillId="0" borderId="0" xfId="0" applyNumberFormat="1" applyFont="1" applyAlignment="1">
      <alignment horizontal="left"/>
    </xf>
    <xf numFmtId="0" fontId="88" fillId="2" borderId="1" xfId="0" applyFont="1" applyFill="1" applyBorder="1" applyAlignment="1">
      <alignment horizontal="center" vertical="center" wrapText="1"/>
    </xf>
    <xf numFmtId="14" fontId="88" fillId="2" borderId="4" xfId="0" applyNumberFormat="1" applyFont="1" applyFill="1" applyBorder="1" applyAlignment="1">
      <alignment horizontal="center" vertical="center" wrapText="1"/>
    </xf>
    <xf numFmtId="14" fontId="88" fillId="2" borderId="5" xfId="0" applyNumberFormat="1" applyFont="1" applyFill="1" applyBorder="1" applyAlignment="1">
      <alignment horizontal="center" vertical="center" wrapText="1"/>
    </xf>
    <xf numFmtId="0" fontId="92" fillId="0" borderId="1" xfId="0" applyFont="1" applyBorder="1" applyAlignment="1">
      <alignment horizontal="left" vertical="center" wrapText="1" shrinkToFit="1"/>
    </xf>
    <xf numFmtId="0" fontId="92" fillId="0" borderId="18" xfId="0" applyFont="1" applyBorder="1" applyAlignment="1">
      <alignment horizontal="left" vertical="center" wrapText="1" shrinkToFit="1"/>
    </xf>
    <xf numFmtId="0" fontId="92" fillId="0" borderId="27" xfId="0" applyFont="1" applyBorder="1" applyAlignment="1">
      <alignment horizontal="left" vertical="center" wrapText="1" shrinkToFit="1"/>
    </xf>
    <xf numFmtId="0" fontId="92" fillId="0" borderId="25" xfId="0" applyFont="1" applyBorder="1" applyAlignment="1">
      <alignment horizontal="left" vertical="center" wrapText="1" shrinkToFit="1"/>
    </xf>
    <xf numFmtId="0" fontId="92" fillId="0" borderId="19" xfId="0" applyFont="1" applyBorder="1" applyAlignment="1">
      <alignment horizontal="left" vertical="center" wrapText="1" shrinkToFit="1"/>
    </xf>
    <xf numFmtId="0" fontId="92" fillId="0" borderId="28" xfId="0" applyFont="1" applyBorder="1" applyAlignment="1">
      <alignment horizontal="left" vertical="center" wrapText="1" shrinkToFit="1"/>
    </xf>
    <xf numFmtId="0" fontId="92" fillId="0" borderId="18" xfId="0" applyFont="1" applyBorder="1" applyAlignment="1">
      <alignment horizontal="center" vertical="center" wrapText="1" shrinkToFit="1"/>
    </xf>
    <xf numFmtId="0" fontId="92" fillId="0" borderId="3" xfId="0" applyFont="1" applyBorder="1" applyAlignment="1">
      <alignment horizontal="center" vertical="center" wrapText="1" shrinkToFit="1"/>
    </xf>
    <xf numFmtId="0" fontId="92" fillId="0" borderId="21" xfId="0" applyFont="1" applyBorder="1" applyAlignment="1">
      <alignment horizontal="left" vertical="center" wrapText="1" shrinkToFit="1"/>
    </xf>
    <xf numFmtId="0" fontId="93" fillId="2" borderId="1" xfId="0" applyFont="1" applyFill="1" applyBorder="1" applyAlignment="1">
      <alignment horizontal="center" vertical="center" wrapText="1"/>
    </xf>
    <xf numFmtId="0" fontId="86" fillId="0" borderId="0" xfId="0" applyFont="1"/>
    <xf numFmtId="0" fontId="94" fillId="0" borderId="0" xfId="2" applyFont="1" applyAlignment="1">
      <alignment horizontal="justify" vertical="center"/>
    </xf>
    <xf numFmtId="0" fontId="94" fillId="0" borderId="0" xfId="2" applyFont="1" applyAlignment="1">
      <alignment horizontal="left" vertical="center"/>
    </xf>
    <xf numFmtId="0" fontId="86" fillId="0" borderId="0" xfId="2" applyFont="1" applyAlignment="1">
      <alignment horizontal="justify" vertical="center"/>
    </xf>
    <xf numFmtId="0" fontId="86" fillId="0" borderId="0" xfId="2" applyFont="1" applyAlignment="1">
      <alignment horizontal="left" vertical="center"/>
    </xf>
    <xf numFmtId="0" fontId="96" fillId="0" borderId="0" xfId="0" applyFont="1"/>
    <xf numFmtId="0" fontId="97" fillId="0" borderId="1" xfId="2" applyFont="1" applyBorder="1" applyAlignment="1">
      <alignment horizontal="left"/>
    </xf>
    <xf numFmtId="0" fontId="95" fillId="0" borderId="1" xfId="2" applyFont="1" applyBorder="1" applyAlignment="1">
      <alignment horizontal="left" vertical="center" wrapText="1"/>
    </xf>
    <xf numFmtId="0" fontId="97" fillId="0" borderId="1" xfId="2" applyFont="1" applyBorder="1"/>
    <xf numFmtId="0" fontId="96" fillId="0" borderId="1" xfId="2" applyFont="1" applyBorder="1"/>
    <xf numFmtId="0" fontId="98" fillId="0" borderId="1" xfId="2" applyFont="1" applyBorder="1" applyAlignment="1">
      <alignment horizontal="left"/>
    </xf>
    <xf numFmtId="0" fontId="97" fillId="0" borderId="2" xfId="2" applyFont="1" applyBorder="1" applyAlignment="1">
      <alignment horizontal="left"/>
    </xf>
    <xf numFmtId="0" fontId="95" fillId="0" borderId="2" xfId="2" applyFont="1" applyBorder="1" applyAlignment="1">
      <alignment horizontal="left" vertical="center" wrapText="1"/>
    </xf>
    <xf numFmtId="0" fontId="96" fillId="0" borderId="1" xfId="0" applyFont="1" applyBorder="1"/>
    <xf numFmtId="14" fontId="96" fillId="0" borderId="0" xfId="2" applyNumberFormat="1" applyFont="1"/>
    <xf numFmtId="0" fontId="99" fillId="11" borderId="1" xfId="2" applyFont="1" applyFill="1" applyBorder="1" applyAlignment="1">
      <alignment horizontal="center"/>
    </xf>
    <xf numFmtId="0" fontId="69" fillId="0" borderId="0" xfId="0" applyFont="1" applyAlignment="1">
      <alignment horizontal="center"/>
    </xf>
    <xf numFmtId="0" fontId="88" fillId="70" borderId="3" xfId="0" applyFont="1" applyFill="1" applyBorder="1" applyAlignment="1">
      <alignment horizontal="center" vertical="center" wrapText="1"/>
    </xf>
    <xf numFmtId="43" fontId="89" fillId="0" borderId="0" xfId="3" applyFont="1" applyFill="1"/>
    <xf numFmtId="44" fontId="89" fillId="0" borderId="3" xfId="1" applyNumberFormat="1" applyFont="1" applyBorder="1" applyAlignment="1">
      <alignment horizontal="right" vertical="center" wrapText="1"/>
    </xf>
    <xf numFmtId="44" fontId="89" fillId="0" borderId="3" xfId="0" applyNumberFormat="1" applyFont="1" applyBorder="1" applyAlignment="1">
      <alignment horizontal="right" vertical="center" wrapText="1"/>
    </xf>
    <xf numFmtId="43" fontId="88" fillId="9" borderId="3" xfId="3" applyFont="1" applyFill="1" applyBorder="1" applyAlignment="1">
      <alignment horizontal="center" vertical="center" wrapText="1"/>
    </xf>
    <xf numFmtId="44" fontId="89" fillId="71" borderId="3" xfId="0" applyNumberFormat="1" applyFont="1" applyFill="1" applyBorder="1" applyAlignment="1">
      <alignment horizontal="right" vertical="center" wrapText="1"/>
    </xf>
    <xf numFmtId="0" fontId="89" fillId="0" borderId="0" xfId="0" applyFont="1" applyAlignment="1">
      <alignment horizontal="right" vertical="center"/>
    </xf>
    <xf numFmtId="44" fontId="89" fillId="41" borderId="3" xfId="0" applyNumberFormat="1" applyFont="1" applyFill="1" applyBorder="1" applyAlignment="1">
      <alignment horizontal="right" vertical="center" wrapText="1"/>
    </xf>
    <xf numFmtId="14" fontId="88" fillId="56" borderId="3" xfId="0" applyNumberFormat="1" applyFont="1" applyFill="1" applyBorder="1" applyAlignment="1">
      <alignment horizontal="center" vertical="center" wrapText="1"/>
    </xf>
    <xf numFmtId="0" fontId="88" fillId="56" borderId="3" xfId="0" applyFont="1" applyFill="1" applyBorder="1" applyAlignment="1">
      <alignment horizontal="center" vertical="center" wrapText="1"/>
    </xf>
    <xf numFmtId="0" fontId="88" fillId="47" borderId="3" xfId="0" applyFont="1" applyFill="1" applyBorder="1" applyAlignment="1">
      <alignment horizontal="center" vertical="center" wrapText="1"/>
    </xf>
    <xf numFmtId="14" fontId="88" fillId="47" borderId="3" xfId="0" applyNumberFormat="1" applyFont="1" applyFill="1" applyBorder="1" applyAlignment="1">
      <alignment horizontal="center" vertical="center" wrapText="1"/>
    </xf>
    <xf numFmtId="44" fontId="89" fillId="0" borderId="1" xfId="0" applyNumberFormat="1" applyFont="1" applyBorder="1" applyAlignment="1">
      <alignment horizontal="right" vertical="center" wrapText="1"/>
    </xf>
    <xf numFmtId="44" fontId="91" fillId="0" borderId="3" xfId="3" applyNumberFormat="1" applyFont="1" applyBorder="1" applyAlignment="1">
      <alignment horizontal="center" vertical="center" wrapText="1"/>
    </xf>
    <xf numFmtId="44" fontId="89" fillId="0" borderId="3" xfId="3" applyNumberFormat="1" applyFont="1" applyBorder="1" applyAlignment="1">
      <alignment horizontal="right" vertical="center" wrapText="1"/>
    </xf>
    <xf numFmtId="44" fontId="89" fillId="0" borderId="3" xfId="3" applyNumberFormat="1" applyFont="1" applyBorder="1" applyAlignment="1">
      <alignment horizontal="center" vertical="center" wrapText="1"/>
    </xf>
    <xf numFmtId="44" fontId="89" fillId="0" borderId="3" xfId="0" applyNumberFormat="1" applyFont="1" applyBorder="1" applyAlignment="1">
      <alignment horizontal="center" vertical="center" wrapText="1"/>
    </xf>
    <xf numFmtId="44" fontId="91" fillId="0" borderId="3" xfId="3" applyNumberFormat="1" applyFont="1" applyFill="1" applyBorder="1" applyAlignment="1">
      <alignment horizontal="center" vertical="center" wrapText="1"/>
    </xf>
    <xf numFmtId="44" fontId="89" fillId="0" borderId="3" xfId="0" applyNumberFormat="1" applyFont="1" applyBorder="1" applyAlignment="1">
      <alignment horizontal="left" vertical="center" wrapText="1"/>
    </xf>
    <xf numFmtId="44" fontId="89" fillId="0" borderId="18" xfId="3" applyNumberFormat="1" applyFont="1" applyBorder="1" applyAlignment="1">
      <alignment horizontal="right" vertical="center" wrapText="1"/>
    </xf>
    <xf numFmtId="44" fontId="89" fillId="0" borderId="1" xfId="3" applyNumberFormat="1" applyFont="1" applyBorder="1" applyAlignment="1">
      <alignment horizontal="right" vertical="center" wrapText="1"/>
    </xf>
    <xf numFmtId="44" fontId="89" fillId="0" borderId="25" xfId="3" applyNumberFormat="1" applyFont="1" applyBorder="1" applyAlignment="1">
      <alignment horizontal="right" vertical="center" wrapText="1"/>
    </xf>
    <xf numFmtId="0" fontId="100" fillId="54" borderId="6" xfId="5" applyNumberFormat="1" applyFont="1" applyFill="1" applyBorder="1" applyAlignment="1">
      <alignment horizontal="center" vertical="center" textRotation="90" wrapText="1"/>
    </xf>
    <xf numFmtId="14" fontId="89" fillId="72" borderId="3" xfId="0" applyNumberFormat="1" applyFont="1" applyFill="1" applyBorder="1" applyAlignment="1">
      <alignment horizontal="center" vertical="center" wrapText="1"/>
    </xf>
    <xf numFmtId="14" fontId="89" fillId="72" borderId="1" xfId="0" applyNumberFormat="1" applyFont="1" applyFill="1" applyBorder="1" applyAlignment="1">
      <alignment horizontal="center" vertical="center" wrapText="1"/>
    </xf>
    <xf numFmtId="0" fontId="89" fillId="0" borderId="1" xfId="0" applyFont="1" applyBorder="1" applyAlignment="1">
      <alignment wrapText="1"/>
    </xf>
    <xf numFmtId="0" fontId="91" fillId="0" borderId="24" xfId="0" applyFont="1" applyBorder="1" applyAlignment="1">
      <alignment horizontal="left" vertical="center" wrapText="1"/>
    </xf>
    <xf numFmtId="43" fontId="89" fillId="0" borderId="31" xfId="3" applyFont="1" applyBorder="1"/>
    <xf numFmtId="0" fontId="89" fillId="0" borderId="1" xfId="0" applyFont="1" applyBorder="1" applyAlignment="1">
      <alignment horizontal="right"/>
    </xf>
    <xf numFmtId="43" fontId="93" fillId="0" borderId="1" xfId="0" applyNumberFormat="1" applyFont="1" applyBorder="1" applyAlignment="1">
      <alignment horizontal="right"/>
    </xf>
    <xf numFmtId="9" fontId="88" fillId="2" borderId="3" xfId="89" applyFont="1" applyFill="1" applyBorder="1" applyAlignment="1">
      <alignment horizontal="center" vertical="center" wrapText="1"/>
    </xf>
    <xf numFmtId="9" fontId="91" fillId="0" borderId="3" xfId="89" applyFont="1" applyBorder="1" applyAlignment="1">
      <alignment horizontal="center" vertical="center" wrapText="1"/>
    </xf>
    <xf numFmtId="9" fontId="89" fillId="0" borderId="3" xfId="89" applyFont="1" applyBorder="1" applyAlignment="1">
      <alignment horizontal="center" vertical="center" wrapText="1"/>
    </xf>
    <xf numFmtId="9" fontId="89" fillId="0" borderId="1" xfId="89" applyFont="1" applyBorder="1" applyAlignment="1">
      <alignment horizontal="center" vertical="center" wrapText="1"/>
    </xf>
    <xf numFmtId="9" fontId="89" fillId="0" borderId="18" xfId="89" applyFont="1" applyBorder="1" applyAlignment="1">
      <alignment horizontal="center" vertical="center" wrapText="1"/>
    </xf>
    <xf numFmtId="9" fontId="89" fillId="0" borderId="25" xfId="89" applyFont="1" applyBorder="1" applyAlignment="1">
      <alignment horizontal="center" vertical="center" wrapText="1"/>
    </xf>
    <xf numFmtId="9" fontId="89" fillId="0" borderId="0" xfId="89" applyFont="1" applyAlignment="1">
      <alignment horizontal="center"/>
    </xf>
    <xf numFmtId="0" fontId="91" fillId="0" borderId="21" xfId="0" applyFont="1" applyBorder="1" applyAlignment="1">
      <alignment horizontal="center" vertical="center" wrapText="1"/>
    </xf>
    <xf numFmtId="0" fontId="89" fillId="0" borderId="21" xfId="0" applyFont="1" applyBorder="1" applyAlignment="1">
      <alignment horizontal="center" vertical="center" wrapText="1"/>
    </xf>
    <xf numFmtId="0" fontId="89" fillId="0" borderId="22" xfId="0" applyFont="1" applyBorder="1" applyAlignment="1">
      <alignment horizontal="center" vertical="center" wrapText="1"/>
    </xf>
    <xf numFmtId="0" fontId="89" fillId="0" borderId="27" xfId="0" applyFont="1" applyBorder="1" applyAlignment="1">
      <alignment horizontal="center" vertical="center" wrapText="1"/>
    </xf>
    <xf numFmtId="9" fontId="89" fillId="0" borderId="3" xfId="89" applyFont="1" applyBorder="1" applyAlignment="1">
      <alignment horizontal="left" vertical="center" wrapText="1"/>
    </xf>
    <xf numFmtId="175" fontId="89" fillId="0" borderId="0" xfId="3" applyNumberFormat="1" applyFont="1" applyFill="1" applyBorder="1"/>
    <xf numFmtId="175" fontId="93" fillId="0" borderId="0" xfId="0" applyNumberFormat="1" applyFont="1"/>
    <xf numFmtId="9" fontId="89" fillId="0" borderId="1" xfId="89" applyFont="1" applyBorder="1" applyAlignment="1">
      <alignment horizontal="left" vertical="center" wrapText="1"/>
    </xf>
    <xf numFmtId="9" fontId="91" fillId="0" borderId="3" xfId="89" applyFont="1" applyBorder="1" applyAlignment="1">
      <alignment horizontal="left" vertical="center" wrapText="1"/>
    </xf>
    <xf numFmtId="9" fontId="89" fillId="0" borderId="18" xfId="89" applyFont="1" applyBorder="1" applyAlignment="1">
      <alignment horizontal="left" vertical="center" wrapText="1"/>
    </xf>
    <xf numFmtId="9" fontId="89" fillId="0" borderId="25" xfId="89" applyFont="1" applyBorder="1" applyAlignment="1">
      <alignment horizontal="left" vertical="center" wrapText="1"/>
    </xf>
    <xf numFmtId="9" fontId="89" fillId="0" borderId="0" xfId="89" applyFont="1" applyAlignment="1">
      <alignment horizontal="left"/>
    </xf>
    <xf numFmtId="9" fontId="89" fillId="73" borderId="3" xfId="89" applyFont="1" applyFill="1" applyBorder="1" applyAlignment="1">
      <alignment horizontal="center" vertical="center" wrapText="1"/>
    </xf>
    <xf numFmtId="0" fontId="101" fillId="0" borderId="6" xfId="0" applyFont="1" applyBorder="1" applyAlignment="1">
      <alignment horizontal="center" vertical="center" wrapText="1"/>
    </xf>
    <xf numFmtId="0" fontId="93" fillId="0" borderId="0" xfId="0" applyFont="1"/>
    <xf numFmtId="0" fontId="93" fillId="0" borderId="0" xfId="0" applyFont="1" applyAlignment="1">
      <alignment horizontal="left"/>
    </xf>
    <xf numFmtId="43" fontId="93" fillId="0" borderId="0" xfId="3" applyFont="1"/>
    <xf numFmtId="164" fontId="89" fillId="0" borderId="3" xfId="1" applyFont="1" applyBorder="1" applyAlignment="1">
      <alignment horizontal="right" vertical="center" wrapText="1"/>
    </xf>
    <xf numFmtId="164" fontId="89" fillId="71" borderId="3" xfId="1" applyFont="1" applyFill="1" applyBorder="1" applyAlignment="1">
      <alignment horizontal="right" vertical="center" wrapText="1"/>
    </xf>
    <xf numFmtId="0" fontId="79" fillId="8" borderId="6" xfId="0" applyFont="1" applyFill="1" applyBorder="1" applyAlignment="1">
      <alignment horizontal="left" vertical="center" wrapText="1"/>
    </xf>
    <xf numFmtId="0" fontId="4" fillId="0" borderId="0" xfId="0" applyFont="1"/>
    <xf numFmtId="14" fontId="11" fillId="0" borderId="3" xfId="0" applyNumberFormat="1" applyFont="1" applyBorder="1" applyAlignment="1">
      <alignment horizontal="left" vertical="center" wrapText="1"/>
    </xf>
    <xf numFmtId="0" fontId="0" fillId="8" borderId="29" xfId="0" applyFill="1" applyBorder="1" applyAlignment="1">
      <alignment horizontal="left" vertical="center" wrapText="1"/>
    </xf>
    <xf numFmtId="0" fontId="67" fillId="0" borderId="31" xfId="0" applyFont="1" applyBorder="1" applyAlignment="1">
      <alignment horizontal="left" vertical="center"/>
    </xf>
    <xf numFmtId="44" fontId="24" fillId="0" borderId="3" xfId="1" applyNumberFormat="1" applyFont="1" applyBorder="1" applyAlignment="1">
      <alignment horizontal="left" vertical="center" wrapText="1"/>
    </xf>
    <xf numFmtId="44" fontId="0" fillId="0" borderId="0" xfId="1" applyNumberFormat="1" applyFont="1" applyAlignment="1">
      <alignment horizontal="justify" vertical="center"/>
    </xf>
    <xf numFmtId="44" fontId="0" fillId="0" borderId="0" xfId="3" applyNumberFormat="1" applyFont="1"/>
    <xf numFmtId="44" fontId="0" fillId="0" borderId="0" xfId="1" applyNumberFormat="1" applyFont="1" applyAlignment="1">
      <alignment horizontal="left"/>
    </xf>
    <xf numFmtId="44" fontId="0" fillId="0" borderId="0" xfId="0" applyNumberFormat="1"/>
    <xf numFmtId="44" fontId="0" fillId="0" borderId="0" xfId="1" applyNumberFormat="1" applyFont="1"/>
    <xf numFmtId="44" fontId="86" fillId="0" borderId="0" xfId="1" applyNumberFormat="1" applyFont="1" applyBorder="1" applyAlignment="1">
      <alignment horizontal="left" vertical="center"/>
    </xf>
    <xf numFmtId="0" fontId="93" fillId="74" borderId="3" xfId="0" applyFont="1" applyFill="1" applyBorder="1" applyAlignment="1">
      <alignment horizontal="left" vertical="center" wrapText="1" shrinkToFit="1" readingOrder="1"/>
    </xf>
    <xf numFmtId="0" fontId="91" fillId="74" borderId="1" xfId="0" applyFont="1" applyFill="1" applyBorder="1" applyAlignment="1">
      <alignment horizontal="center" vertical="center" wrapText="1"/>
    </xf>
    <xf numFmtId="0" fontId="91" fillId="75" borderId="6" xfId="0" applyFont="1" applyFill="1" applyBorder="1" applyAlignment="1">
      <alignment horizontal="left" vertical="center" wrapText="1"/>
    </xf>
    <xf numFmtId="0" fontId="91" fillId="75" borderId="1" xfId="0" applyFont="1" applyFill="1" applyBorder="1" applyAlignment="1">
      <alignment horizontal="left" vertical="center" wrapText="1"/>
    </xf>
    <xf numFmtId="0" fontId="89" fillId="75" borderId="6" xfId="0" applyFont="1" applyFill="1" applyBorder="1" applyAlignment="1">
      <alignment horizontal="left" vertical="center" wrapText="1"/>
    </xf>
    <xf numFmtId="0" fontId="89" fillId="75" borderId="24" xfId="0" applyFont="1" applyFill="1" applyBorder="1" applyAlignment="1">
      <alignment horizontal="left" vertical="center" wrapText="1"/>
    </xf>
    <xf numFmtId="0" fontId="89" fillId="75" borderId="1" xfId="0" applyFont="1" applyFill="1" applyBorder="1" applyAlignment="1">
      <alignment horizontal="left" vertical="center" wrapText="1"/>
    </xf>
    <xf numFmtId="0" fontId="89" fillId="75" borderId="28" xfId="0" applyFont="1" applyFill="1" applyBorder="1" applyAlignment="1">
      <alignment horizontal="left" vertical="center" wrapText="1"/>
    </xf>
    <xf numFmtId="0" fontId="89" fillId="75" borderId="29" xfId="0" applyFont="1" applyFill="1" applyBorder="1" applyAlignment="1">
      <alignment horizontal="left" vertical="center" wrapText="1"/>
    </xf>
    <xf numFmtId="0" fontId="89" fillId="75" borderId="0" xfId="0" applyFont="1" applyFill="1" applyAlignment="1">
      <alignment horizontal="left" vertical="center" wrapText="1"/>
    </xf>
    <xf numFmtId="0" fontId="89" fillId="75" borderId="3" xfId="0" applyFont="1" applyFill="1" applyBorder="1" applyAlignment="1">
      <alignment horizontal="justify" vertical="center" wrapText="1"/>
    </xf>
    <xf numFmtId="0" fontId="89" fillId="75" borderId="1" xfId="0" applyFont="1" applyFill="1" applyBorder="1" applyAlignment="1">
      <alignment horizontal="justify" vertical="center" wrapText="1"/>
    </xf>
    <xf numFmtId="0" fontId="91" fillId="75" borderId="3" xfId="0" applyFont="1" applyFill="1" applyBorder="1" applyAlignment="1">
      <alignment horizontal="justify" vertical="center" wrapText="1"/>
    </xf>
    <xf numFmtId="43" fontId="91" fillId="75" borderId="3" xfId="3" applyFont="1" applyFill="1" applyBorder="1" applyAlignment="1">
      <alignment horizontal="justify" vertical="center" wrapText="1"/>
    </xf>
    <xf numFmtId="0" fontId="89" fillId="75" borderId="21" xfId="0" applyFont="1" applyFill="1" applyBorder="1" applyAlignment="1">
      <alignment horizontal="justify" vertical="center" wrapText="1"/>
    </xf>
    <xf numFmtId="0" fontId="89" fillId="75" borderId="22" xfId="0" applyFont="1" applyFill="1" applyBorder="1" applyAlignment="1">
      <alignment horizontal="justify" vertical="center" wrapText="1"/>
    </xf>
    <xf numFmtId="0" fontId="89" fillId="75" borderId="28" xfId="0" applyFont="1" applyFill="1" applyBorder="1" applyAlignment="1">
      <alignment horizontal="justify" vertical="center" wrapText="1"/>
    </xf>
    <xf numFmtId="0" fontId="89" fillId="75" borderId="0" xfId="0" applyFont="1" applyFill="1" applyAlignment="1">
      <alignment horizontal="justify" vertical="center" wrapText="1"/>
    </xf>
    <xf numFmtId="0" fontId="89" fillId="75" borderId="3" xfId="0" applyFont="1" applyFill="1" applyBorder="1" applyAlignment="1">
      <alignment horizontal="justify" vertical="center"/>
    </xf>
    <xf numFmtId="0" fontId="89" fillId="75" borderId="25" xfId="0" applyFont="1" applyFill="1" applyBorder="1" applyAlignment="1">
      <alignment horizontal="justify" vertical="center" wrapText="1"/>
    </xf>
    <xf numFmtId="0" fontId="89" fillId="75" borderId="0" xfId="0" applyFont="1" applyFill="1" applyAlignment="1">
      <alignment horizontal="justify" vertical="center"/>
    </xf>
    <xf numFmtId="14" fontId="89" fillId="0" borderId="0" xfId="0" applyNumberFormat="1" applyFont="1" applyAlignment="1">
      <alignment horizontal="center" vertical="center" wrapText="1"/>
    </xf>
    <xf numFmtId="44" fontId="91" fillId="0" borderId="1" xfId="0" applyNumberFormat="1" applyFont="1" applyBorder="1" applyAlignment="1">
      <alignment horizontal="right" vertical="center" wrapText="1"/>
    </xf>
    <xf numFmtId="44" fontId="91" fillId="0" borderId="3" xfId="0" applyNumberFormat="1" applyFont="1" applyBorder="1" applyAlignment="1">
      <alignment horizontal="right" vertical="center" wrapText="1"/>
    </xf>
    <xf numFmtId="44" fontId="91" fillId="0" borderId="3" xfId="1" applyNumberFormat="1" applyFont="1" applyBorder="1" applyAlignment="1">
      <alignment horizontal="right" vertical="center" wrapText="1"/>
    </xf>
    <xf numFmtId="44" fontId="93" fillId="0" borderId="39" xfId="3" applyNumberFormat="1" applyFont="1" applyFill="1" applyBorder="1"/>
    <xf numFmtId="44" fontId="93" fillId="0" borderId="39" xfId="3" applyNumberFormat="1" applyFont="1" applyBorder="1"/>
    <xf numFmtId="44" fontId="93" fillId="0" borderId="38" xfId="3" applyNumberFormat="1" applyFont="1" applyFill="1" applyBorder="1"/>
    <xf numFmtId="44" fontId="93" fillId="0" borderId="40" xfId="3" applyNumberFormat="1" applyFont="1" applyBorder="1"/>
    <xf numFmtId="0" fontId="88" fillId="76" borderId="6" xfId="0" applyFont="1" applyFill="1" applyBorder="1" applyAlignment="1">
      <alignment horizontal="left" vertical="center" wrapText="1"/>
    </xf>
    <xf numFmtId="17" fontId="89" fillId="0" borderId="3" xfId="0" applyNumberFormat="1" applyFont="1" applyBorder="1" applyAlignment="1">
      <alignment horizontal="center" vertical="center" wrapText="1"/>
    </xf>
    <xf numFmtId="4" fontId="0" fillId="0" borderId="3" xfId="0" applyNumberForma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2" xfId="0" applyFont="1" applyBorder="1" applyAlignment="1">
      <alignment horizontal="left" vertical="center" wrapText="1"/>
    </xf>
    <xf numFmtId="165" fontId="3" fillId="0" borderId="1" xfId="0" applyNumberFormat="1" applyFont="1" applyBorder="1" applyAlignment="1">
      <alignment horizontal="right" vertical="center" wrapText="1"/>
    </xf>
    <xf numFmtId="165" fontId="3" fillId="0" borderId="1" xfId="0" applyNumberFormat="1" applyFont="1" applyBorder="1" applyAlignment="1">
      <alignment horizontal="center" vertical="center" wrapText="1"/>
    </xf>
    <xf numFmtId="15" fontId="3" fillId="0" borderId="1" xfId="0" applyNumberFormat="1" applyFont="1" applyBorder="1" applyAlignment="1">
      <alignment horizontal="center" vertical="center" wrapText="1"/>
    </xf>
    <xf numFmtId="15" fontId="3" fillId="0" borderId="1" xfId="0" applyNumberFormat="1" applyFont="1" applyBorder="1" applyAlignment="1">
      <alignment horizontal="left" vertical="center" wrapText="1"/>
    </xf>
    <xf numFmtId="0" fontId="3" fillId="2" borderId="1" xfId="0" applyFont="1" applyFill="1" applyBorder="1" applyAlignment="1">
      <alignment horizontal="center" vertical="center" wrapText="1"/>
    </xf>
    <xf numFmtId="166" fontId="3" fillId="0" borderId="1" xfId="0" applyNumberFormat="1" applyFont="1" applyBorder="1" applyAlignment="1">
      <alignment horizontal="left" vertical="center" wrapText="1"/>
    </xf>
    <xf numFmtId="165" fontId="3" fillId="0" borderId="1" xfId="0" applyNumberFormat="1" applyFont="1" applyBorder="1" applyAlignment="1">
      <alignment horizontal="left" vertical="center" wrapText="1"/>
    </xf>
    <xf numFmtId="14" fontId="3" fillId="0" borderId="1" xfId="0" applyNumberFormat="1" applyFont="1" applyBorder="1" applyAlignment="1">
      <alignment horizontal="center" vertical="center"/>
    </xf>
    <xf numFmtId="14"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14" fontId="3" fillId="0" borderId="8" xfId="0" applyNumberFormat="1" applyFont="1" applyBorder="1" applyAlignment="1">
      <alignment horizontal="center" vertical="center"/>
    </xf>
    <xf numFmtId="16" fontId="3" fillId="0" borderId="1" xfId="0" applyNumberFormat="1" applyFont="1" applyBorder="1" applyAlignment="1">
      <alignment horizontal="left" vertical="center" wrapText="1"/>
    </xf>
    <xf numFmtId="0" fontId="3" fillId="0" borderId="1" xfId="0" applyFont="1" applyBorder="1" applyAlignment="1">
      <alignment wrapText="1"/>
    </xf>
    <xf numFmtId="166" fontId="3" fillId="0" borderId="1" xfId="0" applyNumberFormat="1" applyFont="1" applyBorder="1" applyAlignment="1">
      <alignment horizontal="right" vertical="center" wrapText="1"/>
    </xf>
    <xf numFmtId="167" fontId="3" fillId="0" borderId="1" xfId="0" applyNumberFormat="1" applyFont="1" applyBorder="1" applyAlignment="1">
      <alignment horizontal="right" vertical="center" wrapText="1"/>
    </xf>
    <xf numFmtId="168" fontId="3" fillId="7" borderId="1" xfId="0" applyNumberFormat="1" applyFont="1" applyFill="1" applyBorder="1" applyAlignment="1">
      <alignment horizontal="right" vertical="center" wrapText="1"/>
    </xf>
    <xf numFmtId="0" fontId="3" fillId="66" borderId="1" xfId="0" applyFont="1" applyFill="1" applyBorder="1" applyAlignment="1">
      <alignment horizontal="center" vertical="center" wrapText="1"/>
    </xf>
    <xf numFmtId="0" fontId="3" fillId="0" borderId="0" xfId="0" applyFont="1" applyAlignment="1">
      <alignment horizontal="left" vertical="center" wrapText="1"/>
    </xf>
    <xf numFmtId="169" fontId="3" fillId="16" borderId="1" xfId="0" applyNumberFormat="1" applyFont="1" applyFill="1" applyBorder="1" applyAlignment="1">
      <alignment horizontal="right" vertical="center" wrapText="1"/>
    </xf>
    <xf numFmtId="165" fontId="3" fillId="16" borderId="1" xfId="0" applyNumberFormat="1" applyFont="1" applyFill="1" applyBorder="1" applyAlignment="1">
      <alignment horizontal="right" vertical="center" wrapText="1"/>
    </xf>
    <xf numFmtId="166" fontId="3" fillId="16" borderId="1" xfId="0" applyNumberFormat="1" applyFont="1" applyFill="1" applyBorder="1" applyAlignment="1">
      <alignment horizontal="left" vertical="center" wrapText="1"/>
    </xf>
    <xf numFmtId="165" fontId="3" fillId="67" borderId="1" xfId="0" applyNumberFormat="1" applyFont="1" applyFill="1" applyBorder="1" applyAlignment="1">
      <alignment horizontal="right" vertical="center" wrapText="1"/>
    </xf>
    <xf numFmtId="16" fontId="3" fillId="0" borderId="1" xfId="0" applyNumberFormat="1"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xf numFmtId="17" fontId="3" fillId="0" borderId="1" xfId="0" applyNumberFormat="1" applyFont="1" applyBorder="1" applyAlignment="1">
      <alignment horizontal="center" vertical="center" wrapText="1"/>
    </xf>
    <xf numFmtId="165" fontId="3" fillId="0" borderId="0" xfId="0" applyNumberFormat="1" applyFont="1" applyAlignment="1">
      <alignment horizontal="right" vertical="center" wrapText="1"/>
    </xf>
    <xf numFmtId="0" fontId="3" fillId="0" borderId="0" xfId="0" applyFont="1" applyAlignment="1">
      <alignment horizontal="center" vertical="center"/>
    </xf>
    <xf numFmtId="165" fontId="3" fillId="0" borderId="0" xfId="0" applyNumberFormat="1" applyFont="1" applyAlignment="1">
      <alignment horizontal="center" vertical="center" wrapText="1"/>
    </xf>
    <xf numFmtId="0" fontId="3" fillId="0" borderId="3" xfId="0" applyFont="1" applyBorder="1" applyAlignment="1">
      <alignment horizontal="left" vertical="center" wrapText="1"/>
    </xf>
    <xf numFmtId="165" fontId="3" fillId="0" borderId="3" xfId="0" applyNumberFormat="1" applyFont="1" applyBorder="1" applyAlignment="1">
      <alignment horizontal="right" vertical="center" wrapText="1"/>
    </xf>
    <xf numFmtId="165" fontId="3" fillId="0" borderId="3" xfId="0" applyNumberFormat="1" applyFont="1" applyBorder="1" applyAlignment="1">
      <alignment horizontal="center" vertical="center" wrapText="1"/>
    </xf>
    <xf numFmtId="14" fontId="3" fillId="0" borderId="3" xfId="0" applyNumberFormat="1" applyFont="1" applyBorder="1" applyAlignment="1">
      <alignment horizontal="center" vertical="center" wrapText="1"/>
    </xf>
    <xf numFmtId="14" fontId="3" fillId="0" borderId="6" xfId="0" applyNumberFormat="1" applyFont="1" applyBorder="1" applyAlignment="1">
      <alignment horizontal="center" vertical="center" wrapText="1"/>
    </xf>
    <xf numFmtId="0" fontId="3" fillId="15" borderId="3" xfId="0" applyFont="1" applyFill="1" applyBorder="1" applyAlignment="1">
      <alignment horizontal="left" vertical="center" wrapText="1"/>
    </xf>
    <xf numFmtId="165" fontId="3" fillId="15" borderId="3" xfId="0" applyNumberFormat="1" applyFont="1" applyFill="1" applyBorder="1" applyAlignment="1">
      <alignment horizontal="right" vertical="center" wrapText="1"/>
    </xf>
    <xf numFmtId="165" fontId="3" fillId="15" borderId="3" xfId="0" applyNumberFormat="1" applyFont="1" applyFill="1" applyBorder="1" applyAlignment="1">
      <alignment horizontal="center" vertical="center" wrapText="1"/>
    </xf>
    <xf numFmtId="165" fontId="3" fillId="8" borderId="3" xfId="0" applyNumberFormat="1" applyFont="1" applyFill="1" applyBorder="1" applyAlignment="1">
      <alignment horizontal="center" vertical="center" wrapText="1"/>
    </xf>
    <xf numFmtId="169" fontId="3" fillId="0" borderId="3" xfId="0" applyNumberFormat="1" applyFont="1" applyBorder="1" applyAlignment="1">
      <alignment horizontal="right" vertical="center" wrapText="1"/>
    </xf>
    <xf numFmtId="0" fontId="3" fillId="7" borderId="3" xfId="0" applyFont="1" applyFill="1" applyBorder="1" applyAlignment="1">
      <alignment horizontal="left" vertical="center" wrapText="1"/>
    </xf>
    <xf numFmtId="165" fontId="3" fillId="7" borderId="3" xfId="0" applyNumberFormat="1" applyFont="1" applyFill="1" applyBorder="1" applyAlignment="1">
      <alignment horizontal="right" vertical="center" wrapText="1"/>
    </xf>
    <xf numFmtId="165" fontId="3" fillId="7" borderId="3" xfId="0" applyNumberFormat="1" applyFont="1" applyFill="1" applyBorder="1" applyAlignment="1">
      <alignment horizontal="center" vertical="center" wrapText="1"/>
    </xf>
    <xf numFmtId="15" fontId="3" fillId="0" borderId="3" xfId="0" applyNumberFormat="1" applyFont="1" applyBorder="1" applyAlignment="1">
      <alignment horizontal="center" vertical="center" wrapText="1"/>
    </xf>
    <xf numFmtId="15" fontId="3" fillId="0" borderId="3" xfId="0" applyNumberFormat="1" applyFont="1" applyBorder="1" applyAlignment="1">
      <alignment horizontal="left" vertical="center" wrapText="1"/>
    </xf>
    <xf numFmtId="166" fontId="3" fillId="0" borderId="3" xfId="0" applyNumberFormat="1" applyFont="1" applyBorder="1" applyAlignment="1">
      <alignment horizontal="left" vertical="center" wrapText="1"/>
    </xf>
    <xf numFmtId="165" fontId="3" fillId="0" borderId="3" xfId="0" applyNumberFormat="1" applyFont="1" applyBorder="1" applyAlignment="1">
      <alignment horizontal="left" vertical="center" wrapText="1"/>
    </xf>
    <xf numFmtId="16" fontId="3" fillId="0" borderId="3" xfId="0" applyNumberFormat="1" applyFont="1" applyBorder="1" applyAlignment="1">
      <alignment horizontal="center" vertical="center" wrapText="1"/>
    </xf>
    <xf numFmtId="170" fontId="3" fillId="0" borderId="0" xfId="0" applyNumberFormat="1" applyFont="1" applyAlignment="1">
      <alignment wrapText="1"/>
    </xf>
    <xf numFmtId="170" fontId="3" fillId="0" borderId="0" xfId="0" applyNumberFormat="1" applyFont="1"/>
    <xf numFmtId="0" fontId="3" fillId="0" borderId="8" xfId="0" applyFont="1" applyBorder="1"/>
    <xf numFmtId="0" fontId="3" fillId="8" borderId="3" xfId="0" applyFont="1" applyFill="1" applyBorder="1" applyAlignment="1">
      <alignment horizontal="left" vertical="center" wrapText="1"/>
    </xf>
    <xf numFmtId="0" fontId="3" fillId="41" borderId="3" xfId="0" applyFont="1" applyFill="1" applyBorder="1" applyAlignment="1">
      <alignment horizontal="left" vertical="center" wrapText="1"/>
    </xf>
    <xf numFmtId="165" fontId="3" fillId="41" borderId="3" xfId="0" applyNumberFormat="1" applyFont="1" applyFill="1" applyBorder="1" applyAlignment="1">
      <alignment horizontal="right" vertical="center" wrapText="1"/>
    </xf>
    <xf numFmtId="165" fontId="3" fillId="41" borderId="3" xfId="0" applyNumberFormat="1"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21" xfId="0" applyFont="1" applyBorder="1" applyAlignment="1">
      <alignment horizontal="left" vertical="center" wrapText="1"/>
    </xf>
    <xf numFmtId="0" fontId="3" fillId="42" borderId="3" xfId="0" applyFont="1" applyFill="1" applyBorder="1" applyAlignment="1">
      <alignment horizontal="center" vertical="center" wrapText="1"/>
    </xf>
    <xf numFmtId="0" fontId="3" fillId="6" borderId="3" xfId="0" applyFont="1" applyFill="1" applyBorder="1" applyAlignment="1">
      <alignment horizontal="center" vertical="center" wrapText="1"/>
    </xf>
    <xf numFmtId="15" fontId="3" fillId="3" borderId="3" xfId="0" applyNumberFormat="1" applyFont="1" applyFill="1" applyBorder="1" applyAlignment="1">
      <alignment horizontal="center" vertical="center" wrapText="1"/>
    </xf>
    <xf numFmtId="14" fontId="3" fillId="3" borderId="3" xfId="0" applyNumberFormat="1" applyFont="1" applyFill="1" applyBorder="1" applyAlignment="1">
      <alignment horizontal="center" vertical="center" wrapText="1"/>
    </xf>
    <xf numFmtId="14" fontId="3" fillId="46" borderId="3" xfId="0" applyNumberFormat="1" applyFont="1" applyFill="1" applyBorder="1" applyAlignment="1">
      <alignment horizontal="center" vertical="center" wrapText="1"/>
    </xf>
    <xf numFmtId="0" fontId="3" fillId="0" borderId="18" xfId="0" applyFont="1" applyBorder="1" applyAlignment="1">
      <alignment horizontal="left" vertical="center" wrapText="1"/>
    </xf>
    <xf numFmtId="165" fontId="3" fillId="0" borderId="18" xfId="0" applyNumberFormat="1" applyFont="1" applyBorder="1" applyAlignment="1">
      <alignment horizontal="right" vertical="center" wrapText="1"/>
    </xf>
    <xf numFmtId="165" fontId="3" fillId="0" borderId="18" xfId="0" applyNumberFormat="1" applyFont="1" applyBorder="1" applyAlignment="1">
      <alignment horizontal="center" vertical="center" wrapText="1"/>
    </xf>
    <xf numFmtId="165" fontId="3" fillId="6" borderId="1" xfId="0" applyNumberFormat="1" applyFont="1" applyFill="1" applyBorder="1" applyAlignment="1">
      <alignment horizontal="center" vertical="center" wrapText="1"/>
    </xf>
    <xf numFmtId="0" fontId="3" fillId="0" borderId="1" xfId="0" applyFont="1" applyBorder="1" applyAlignment="1">
      <alignment horizontal="left" vertical="top" wrapText="1"/>
    </xf>
    <xf numFmtId="0" fontId="3" fillId="0" borderId="1" xfId="0" applyFont="1" applyBorder="1" applyAlignment="1">
      <alignment vertical="center" wrapText="1"/>
    </xf>
    <xf numFmtId="0" fontId="3" fillId="42" borderId="1" xfId="0" applyFont="1" applyFill="1" applyBorder="1" applyAlignment="1">
      <alignment horizontal="center" vertical="center" wrapText="1"/>
    </xf>
    <xf numFmtId="15" fontId="3" fillId="3" borderId="1" xfId="0" applyNumberFormat="1" applyFont="1" applyFill="1" applyBorder="1" applyAlignment="1">
      <alignment horizontal="center" vertical="center" wrapText="1"/>
    </xf>
    <xf numFmtId="14" fontId="3" fillId="46" borderId="1" xfId="0" applyNumberFormat="1" applyFont="1" applyFill="1" applyBorder="1" applyAlignment="1">
      <alignment horizontal="center" vertical="center" wrapText="1"/>
    </xf>
    <xf numFmtId="14" fontId="3" fillId="9" borderId="1" xfId="0" applyNumberFormat="1" applyFont="1" applyFill="1" applyBorder="1" applyAlignment="1">
      <alignment horizontal="center" vertical="center" wrapText="1"/>
    </xf>
    <xf numFmtId="0" fontId="3" fillId="0" borderId="0" xfId="0" applyFont="1" applyAlignment="1">
      <alignment horizontal="center" vertical="center" wrapText="1"/>
    </xf>
    <xf numFmtId="165" fontId="3" fillId="8" borderId="3" xfId="0" applyNumberFormat="1" applyFont="1" applyFill="1" applyBorder="1" applyAlignment="1">
      <alignment horizontal="right" vertical="center" wrapText="1"/>
    </xf>
    <xf numFmtId="170" fontId="3" fillId="0" borderId="3" xfId="0" applyNumberFormat="1" applyFont="1" applyBorder="1" applyAlignment="1">
      <alignment horizontal="right" vertical="center" wrapText="1"/>
    </xf>
    <xf numFmtId="0" fontId="3" fillId="0" borderId="2" xfId="0" applyFont="1" applyBorder="1" applyAlignment="1">
      <alignment horizontal="center" vertical="center" wrapText="1"/>
    </xf>
    <xf numFmtId="0" fontId="3" fillId="14" borderId="1" xfId="0" applyFont="1" applyFill="1" applyBorder="1" applyAlignment="1">
      <alignment horizontal="center" vertical="center" wrapText="1"/>
    </xf>
    <xf numFmtId="0" fontId="3" fillId="0" borderId="1" xfId="0" applyFont="1" applyBorder="1" applyAlignment="1">
      <alignment vertical="center"/>
    </xf>
    <xf numFmtId="4" fontId="3" fillId="0" borderId="1" xfId="0" applyNumberFormat="1" applyFont="1" applyBorder="1" applyAlignment="1">
      <alignment horizontal="center" vertical="center" wrapText="1"/>
    </xf>
    <xf numFmtId="0" fontId="3" fillId="0" borderId="3" xfId="0" applyFont="1" applyBorder="1" applyAlignment="1">
      <alignment horizontal="justify" vertical="center" wrapText="1"/>
    </xf>
    <xf numFmtId="165" fontId="3" fillId="46" borderId="3" xfId="0" applyNumberFormat="1" applyFont="1" applyFill="1" applyBorder="1" applyAlignment="1">
      <alignment horizontal="right" vertical="center" wrapText="1"/>
    </xf>
    <xf numFmtId="0" fontId="3" fillId="43" borderId="3"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0" borderId="1" xfId="0" applyFont="1" applyBorder="1" applyAlignment="1">
      <alignment horizontal="justify" vertical="center" wrapText="1"/>
    </xf>
    <xf numFmtId="165" fontId="3" fillId="8" borderId="1" xfId="0" applyNumberFormat="1" applyFont="1" applyFill="1" applyBorder="1" applyAlignment="1">
      <alignment horizontal="right" vertical="center" wrapText="1"/>
    </xf>
    <xf numFmtId="0" fontId="3" fillId="0" borderId="3" xfId="0" applyFont="1" applyBorder="1" applyAlignment="1">
      <alignment horizontal="left" vertical="center" wrapText="1" shrinkToFit="1" readingOrder="1"/>
    </xf>
    <xf numFmtId="43" fontId="3" fillId="8" borderId="3" xfId="3" applyFont="1" applyFill="1" applyBorder="1" applyAlignment="1">
      <alignment horizontal="right" vertical="center" wrapText="1"/>
    </xf>
    <xf numFmtId="43" fontId="3" fillId="0" borderId="3" xfId="3" applyFont="1" applyBorder="1" applyAlignment="1">
      <alignment horizontal="right" vertical="center" wrapText="1"/>
    </xf>
    <xf numFmtId="43" fontId="3" fillId="8" borderId="3" xfId="3" applyFont="1" applyFill="1" applyBorder="1" applyAlignment="1">
      <alignment horizontal="center" vertical="center" wrapText="1"/>
    </xf>
    <xf numFmtId="43" fontId="3" fillId="0" borderId="3" xfId="3" applyFont="1" applyFill="1" applyBorder="1" applyAlignment="1">
      <alignment horizontal="center" vertical="center" wrapText="1"/>
    </xf>
    <xf numFmtId="43" fontId="3" fillId="46" borderId="3" xfId="3" applyFont="1" applyFill="1" applyBorder="1" applyAlignment="1">
      <alignment horizontal="center" vertical="center" wrapText="1"/>
    </xf>
    <xf numFmtId="43" fontId="3" fillId="0" borderId="3" xfId="3" applyFont="1" applyBorder="1" applyAlignment="1">
      <alignment horizontal="center" vertical="center" wrapText="1"/>
    </xf>
    <xf numFmtId="14" fontId="3" fillId="0" borderId="0" xfId="0" applyNumberFormat="1" applyFont="1" applyAlignment="1">
      <alignment horizontal="center" vertical="center" wrapText="1"/>
    </xf>
    <xf numFmtId="43" fontId="3" fillId="0" borderId="3" xfId="3" applyFont="1" applyFill="1" applyBorder="1" applyAlignment="1">
      <alignment horizontal="right" vertical="center" wrapText="1"/>
    </xf>
    <xf numFmtId="0" fontId="3" fillId="0" borderId="3" xfId="0" applyFont="1" applyBorder="1" applyAlignment="1">
      <alignment vertical="center"/>
    </xf>
    <xf numFmtId="174" fontId="3" fillId="8" borderId="3" xfId="3" applyNumberFormat="1" applyFont="1" applyFill="1" applyBorder="1" applyAlignment="1">
      <alignment horizontal="right" vertical="center" wrapText="1"/>
    </xf>
    <xf numFmtId="0" fontId="3" fillId="0" borderId="6" xfId="0" applyFont="1" applyBorder="1" applyAlignment="1">
      <alignment horizontal="left" vertical="center" wrapText="1" shrinkToFit="1" readingOrder="1"/>
    </xf>
    <xf numFmtId="0" fontId="3" fillId="0" borderId="25" xfId="0" applyFont="1" applyBorder="1" applyAlignment="1">
      <alignment horizontal="left" vertical="center" wrapText="1"/>
    </xf>
    <xf numFmtId="0" fontId="3" fillId="0" borderId="21" xfId="0" applyFont="1" applyBorder="1" applyAlignment="1">
      <alignment horizontal="justify" vertical="center" wrapText="1"/>
    </xf>
    <xf numFmtId="0" fontId="3" fillId="0" borderId="18" xfId="0" applyFont="1" applyBorder="1" applyAlignment="1">
      <alignment horizontal="left" vertical="center" wrapText="1" shrinkToFit="1" readingOrder="1"/>
    </xf>
    <xf numFmtId="0" fontId="3" fillId="0" borderId="31" xfId="0" applyFont="1" applyBorder="1" applyAlignment="1">
      <alignment horizontal="left" vertical="center" wrapText="1"/>
    </xf>
    <xf numFmtId="0" fontId="3" fillId="0" borderId="22" xfId="0" applyFont="1" applyBorder="1" applyAlignment="1">
      <alignment horizontal="justify" vertical="center" wrapText="1"/>
    </xf>
    <xf numFmtId="43" fontId="3" fillId="8" borderId="18" xfId="3" applyFont="1" applyFill="1" applyBorder="1" applyAlignment="1">
      <alignment horizontal="right" vertical="center" wrapText="1"/>
    </xf>
    <xf numFmtId="43" fontId="3" fillId="0" borderId="18" xfId="3" applyFont="1" applyBorder="1" applyAlignment="1">
      <alignment horizontal="right" vertical="center" wrapText="1"/>
    </xf>
    <xf numFmtId="0" fontId="3" fillId="0" borderId="1" xfId="0" applyFont="1" applyBorder="1" applyAlignment="1">
      <alignment horizontal="left" vertical="center" wrapText="1" shrinkToFit="1" readingOrder="1"/>
    </xf>
    <xf numFmtId="43" fontId="3" fillId="8" borderId="1" xfId="3" applyFont="1" applyFill="1" applyBorder="1" applyAlignment="1">
      <alignment horizontal="right" vertical="center" wrapText="1"/>
    </xf>
    <xf numFmtId="43" fontId="3" fillId="0" borderId="1" xfId="3" applyFont="1" applyBorder="1" applyAlignment="1">
      <alignment horizontal="right" vertical="center" wrapText="1"/>
    </xf>
    <xf numFmtId="0" fontId="3" fillId="0" borderId="28" xfId="0" applyFont="1" applyBorder="1" applyAlignment="1">
      <alignment vertical="center"/>
    </xf>
    <xf numFmtId="0" fontId="3" fillId="0" borderId="28" xfId="0" applyFont="1" applyBorder="1" applyAlignment="1">
      <alignment horizontal="left" vertical="center" wrapText="1" shrinkToFit="1" readingOrder="1"/>
    </xf>
    <xf numFmtId="0" fontId="3" fillId="0" borderId="28" xfId="0" applyFont="1" applyBorder="1" applyAlignment="1">
      <alignment horizontal="left" vertical="center" wrapText="1"/>
    </xf>
    <xf numFmtId="0" fontId="3" fillId="0" borderId="28" xfId="0" applyFont="1" applyBorder="1" applyAlignment="1">
      <alignment horizontal="justify" vertical="center" wrapText="1"/>
    </xf>
    <xf numFmtId="43" fontId="3" fillId="8" borderId="28" xfId="3" applyFont="1" applyFill="1" applyBorder="1" applyAlignment="1">
      <alignment horizontal="right" vertical="center" wrapText="1"/>
    </xf>
    <xf numFmtId="43" fontId="3" fillId="0" borderId="25" xfId="3" applyFont="1" applyBorder="1" applyAlignment="1">
      <alignment horizontal="right" vertical="center" wrapText="1"/>
    </xf>
    <xf numFmtId="43" fontId="3" fillId="8" borderId="25" xfId="3" applyFont="1" applyFill="1" applyBorder="1" applyAlignment="1">
      <alignment horizontal="right" vertical="center" wrapText="1"/>
    </xf>
    <xf numFmtId="165" fontId="3" fillId="0" borderId="25" xfId="0" applyNumberFormat="1" applyFont="1" applyBorder="1" applyAlignment="1">
      <alignment horizontal="center" vertical="center" wrapText="1"/>
    </xf>
    <xf numFmtId="0" fontId="3" fillId="0" borderId="0" xfId="0" applyFont="1" applyAlignment="1">
      <alignment horizontal="justify" vertical="center" wrapText="1"/>
    </xf>
    <xf numFmtId="0" fontId="3" fillId="0" borderId="27" xfId="0" applyFont="1" applyBorder="1" applyAlignment="1">
      <alignment horizontal="left" vertical="center" wrapText="1"/>
    </xf>
    <xf numFmtId="0" fontId="3" fillId="0" borderId="25" xfId="0" applyFont="1" applyBorder="1" applyAlignment="1">
      <alignment horizontal="left" vertical="center" wrapText="1" shrinkToFit="1" readingOrder="1"/>
    </xf>
    <xf numFmtId="0" fontId="3" fillId="0" borderId="23" xfId="0" applyFont="1" applyBorder="1" applyAlignment="1">
      <alignment horizontal="left" vertical="center" wrapText="1"/>
    </xf>
    <xf numFmtId="0" fontId="3" fillId="0" borderId="24" xfId="0" applyFont="1" applyBorder="1" applyAlignment="1">
      <alignment horizontal="left" vertical="center" wrapText="1"/>
    </xf>
    <xf numFmtId="0" fontId="3" fillId="0" borderId="30" xfId="0" applyFont="1" applyBorder="1" applyAlignment="1">
      <alignment horizontal="left" vertical="center" wrapText="1"/>
    </xf>
    <xf numFmtId="43" fontId="3" fillId="8" borderId="3" xfId="3" applyFont="1" applyFill="1" applyBorder="1" applyAlignment="1">
      <alignment vertical="center"/>
    </xf>
    <xf numFmtId="43" fontId="3" fillId="8" borderId="21" xfId="3" applyFont="1" applyFill="1" applyBorder="1" applyAlignment="1">
      <alignment horizontal="right" vertical="center" wrapText="1"/>
    </xf>
    <xf numFmtId="0" fontId="3" fillId="0" borderId="25" xfId="0" applyFont="1" applyBorder="1" applyAlignment="1">
      <alignment horizontal="justify" vertical="center" wrapText="1"/>
    </xf>
    <xf numFmtId="0" fontId="3" fillId="0" borderId="3" xfId="0" applyFont="1" applyBorder="1" applyAlignment="1">
      <alignment horizontal="left" wrapText="1"/>
    </xf>
    <xf numFmtId="0" fontId="3" fillId="0" borderId="21" xfId="0" applyFont="1" applyBorder="1" applyAlignment="1">
      <alignment horizontal="left" vertical="center" wrapText="1" shrinkToFit="1" readingOrder="1"/>
    </xf>
    <xf numFmtId="0" fontId="89" fillId="0" borderId="31" xfId="0" applyFont="1" applyBorder="1" applyAlignment="1">
      <alignment horizontal="left" vertical="center"/>
    </xf>
    <xf numFmtId="0" fontId="65" fillId="0" borderId="0" xfId="0" applyFont="1"/>
    <xf numFmtId="0" fontId="102" fillId="0" borderId="0" xfId="0" applyFont="1"/>
    <xf numFmtId="0" fontId="2" fillId="0" borderId="0" xfId="0" applyFont="1"/>
    <xf numFmtId="0" fontId="9" fillId="2" borderId="1" xfId="0" applyFont="1" applyFill="1" applyBorder="1" applyAlignment="1">
      <alignment horizontal="center" vertical="center" wrapText="1"/>
    </xf>
    <xf numFmtId="0" fontId="30" fillId="2" borderId="1" xfId="0" applyFont="1" applyFill="1" applyBorder="1" applyAlignment="1">
      <alignment horizontal="center" vertical="center" wrapText="1"/>
    </xf>
    <xf numFmtId="0" fontId="93" fillId="2" borderId="1" xfId="0" applyFont="1" applyFill="1" applyBorder="1" applyAlignment="1">
      <alignment horizontal="center" vertical="center" wrapText="1"/>
    </xf>
    <xf numFmtId="0" fontId="71" fillId="0" borderId="0" xfId="0" applyFont="1" applyAlignment="1">
      <alignment horizontal="center" vertical="center" wrapText="1"/>
    </xf>
    <xf numFmtId="0" fontId="23" fillId="0" borderId="0" xfId="0" applyFont="1" applyAlignment="1">
      <alignment horizontal="center" vertical="center" wrapText="1"/>
    </xf>
  </cellXfs>
  <cellStyles count="90">
    <cellStyle name="20% - Accent1" xfId="7" xr:uid="{00000000-0005-0000-0000-000000000000}"/>
    <cellStyle name="20% - Accent2" xfId="8" xr:uid="{00000000-0005-0000-0000-000001000000}"/>
    <cellStyle name="20% - Accent3" xfId="9" xr:uid="{00000000-0005-0000-0000-000002000000}"/>
    <cellStyle name="20% - Accent4" xfId="10" xr:uid="{00000000-0005-0000-0000-000003000000}"/>
    <cellStyle name="20% - Accent5" xfId="11" xr:uid="{00000000-0005-0000-0000-000004000000}"/>
    <cellStyle name="20% - Accent6" xfId="12" xr:uid="{00000000-0005-0000-0000-000005000000}"/>
    <cellStyle name="20% - Énfasis1 2" xfId="13" xr:uid="{00000000-0005-0000-0000-000006000000}"/>
    <cellStyle name="20% - Énfasis2 2" xfId="14" xr:uid="{00000000-0005-0000-0000-000007000000}"/>
    <cellStyle name="20% - Énfasis3 2" xfId="15" xr:uid="{00000000-0005-0000-0000-000008000000}"/>
    <cellStyle name="20% - Énfasis4 2" xfId="16" xr:uid="{00000000-0005-0000-0000-000009000000}"/>
    <cellStyle name="20% - Énfasis5 2" xfId="17" xr:uid="{00000000-0005-0000-0000-00000A000000}"/>
    <cellStyle name="20% - Énfasis6 2" xfId="18" xr:uid="{00000000-0005-0000-0000-00000B000000}"/>
    <cellStyle name="40% - Accent1" xfId="19" xr:uid="{00000000-0005-0000-0000-00000C000000}"/>
    <cellStyle name="40% - Accent2" xfId="20" xr:uid="{00000000-0005-0000-0000-00000D000000}"/>
    <cellStyle name="40% - Accent3" xfId="21" xr:uid="{00000000-0005-0000-0000-00000E000000}"/>
    <cellStyle name="40% - Accent4" xfId="22" xr:uid="{00000000-0005-0000-0000-00000F000000}"/>
    <cellStyle name="40% - Accent5" xfId="23" xr:uid="{00000000-0005-0000-0000-000010000000}"/>
    <cellStyle name="40% - Accent6" xfId="24" xr:uid="{00000000-0005-0000-0000-000011000000}"/>
    <cellStyle name="40% - Énfasis1 2" xfId="25" xr:uid="{00000000-0005-0000-0000-000012000000}"/>
    <cellStyle name="40% - Énfasis2 2" xfId="26" xr:uid="{00000000-0005-0000-0000-000013000000}"/>
    <cellStyle name="40% - Énfasis3 2" xfId="27" xr:uid="{00000000-0005-0000-0000-000014000000}"/>
    <cellStyle name="40% - Énfasis4 2" xfId="28" xr:uid="{00000000-0005-0000-0000-000015000000}"/>
    <cellStyle name="40% - Énfasis5 2" xfId="29" xr:uid="{00000000-0005-0000-0000-000016000000}"/>
    <cellStyle name="40% - Énfasis6 2" xfId="30" xr:uid="{00000000-0005-0000-0000-000017000000}"/>
    <cellStyle name="60% - Accent1" xfId="31" xr:uid="{00000000-0005-0000-0000-000018000000}"/>
    <cellStyle name="60% - Accent2" xfId="32" xr:uid="{00000000-0005-0000-0000-000019000000}"/>
    <cellStyle name="60% - Accent3" xfId="33" xr:uid="{00000000-0005-0000-0000-00001A000000}"/>
    <cellStyle name="60% - Accent4" xfId="34" xr:uid="{00000000-0005-0000-0000-00001B000000}"/>
    <cellStyle name="60% - Accent5" xfId="35" xr:uid="{00000000-0005-0000-0000-00001C000000}"/>
    <cellStyle name="60% - Accent6" xfId="36" xr:uid="{00000000-0005-0000-0000-00001D000000}"/>
    <cellStyle name="60% - Énfasis1 2" xfId="37" xr:uid="{00000000-0005-0000-0000-00001E000000}"/>
    <cellStyle name="60% - Énfasis2 2" xfId="38" xr:uid="{00000000-0005-0000-0000-00001F000000}"/>
    <cellStyle name="60% - Énfasis3 2" xfId="39" xr:uid="{00000000-0005-0000-0000-000020000000}"/>
    <cellStyle name="60% - Énfasis4 2" xfId="40" xr:uid="{00000000-0005-0000-0000-000021000000}"/>
    <cellStyle name="60% - Énfasis5 2" xfId="41" xr:uid="{00000000-0005-0000-0000-000022000000}"/>
    <cellStyle name="60% - Énfasis6 2" xfId="42" xr:uid="{00000000-0005-0000-0000-000023000000}"/>
    <cellStyle name="Accent1" xfId="43" xr:uid="{00000000-0005-0000-0000-000024000000}"/>
    <cellStyle name="Accent2" xfId="44" xr:uid="{00000000-0005-0000-0000-000025000000}"/>
    <cellStyle name="Accent3" xfId="45" xr:uid="{00000000-0005-0000-0000-000026000000}"/>
    <cellStyle name="Accent4" xfId="46" xr:uid="{00000000-0005-0000-0000-000027000000}"/>
    <cellStyle name="Accent5" xfId="47" xr:uid="{00000000-0005-0000-0000-000028000000}"/>
    <cellStyle name="Accent6" xfId="48" xr:uid="{00000000-0005-0000-0000-000029000000}"/>
    <cellStyle name="Bad" xfId="49" xr:uid="{00000000-0005-0000-0000-00002A000000}"/>
    <cellStyle name="Bueno" xfId="5" builtinId="26"/>
    <cellStyle name="Bueno 2" xfId="50" xr:uid="{00000000-0005-0000-0000-00002C000000}"/>
    <cellStyle name="Calculation" xfId="51" xr:uid="{00000000-0005-0000-0000-00002D000000}"/>
    <cellStyle name="Cálculo 2" xfId="52" xr:uid="{00000000-0005-0000-0000-00002E000000}"/>
    <cellStyle name="Celda de comprobación 2" xfId="53" xr:uid="{00000000-0005-0000-0000-00002F000000}"/>
    <cellStyle name="Celda vinculada 2" xfId="54" xr:uid="{00000000-0005-0000-0000-000030000000}"/>
    <cellStyle name="Check Cell" xfId="55" xr:uid="{00000000-0005-0000-0000-000031000000}"/>
    <cellStyle name="Encabezado 4 2" xfId="56" xr:uid="{00000000-0005-0000-0000-000032000000}"/>
    <cellStyle name="Énfasis1 2" xfId="57" xr:uid="{00000000-0005-0000-0000-000033000000}"/>
    <cellStyle name="Énfasis2 2" xfId="58" xr:uid="{00000000-0005-0000-0000-000034000000}"/>
    <cellStyle name="Énfasis3 2" xfId="59" xr:uid="{00000000-0005-0000-0000-000035000000}"/>
    <cellStyle name="Énfasis4 2" xfId="60" xr:uid="{00000000-0005-0000-0000-000036000000}"/>
    <cellStyle name="Énfasis5 2" xfId="61" xr:uid="{00000000-0005-0000-0000-000037000000}"/>
    <cellStyle name="Énfasis6 2" xfId="62" xr:uid="{00000000-0005-0000-0000-000038000000}"/>
    <cellStyle name="Entrada 2" xfId="63" xr:uid="{00000000-0005-0000-0000-000039000000}"/>
    <cellStyle name="Explanatory Text" xfId="64" xr:uid="{00000000-0005-0000-0000-00003A000000}"/>
    <cellStyle name="Good" xfId="65" xr:uid="{00000000-0005-0000-0000-00003B000000}"/>
    <cellStyle name="Heading 1" xfId="66" xr:uid="{00000000-0005-0000-0000-00003C000000}"/>
    <cellStyle name="Heading 2" xfId="67" xr:uid="{00000000-0005-0000-0000-00003D000000}"/>
    <cellStyle name="Heading 3" xfId="68" xr:uid="{00000000-0005-0000-0000-00003E000000}"/>
    <cellStyle name="Heading 4" xfId="69" xr:uid="{00000000-0005-0000-0000-00003F000000}"/>
    <cellStyle name="Incorrecto 2" xfId="70" xr:uid="{00000000-0005-0000-0000-000040000000}"/>
    <cellStyle name="Input" xfId="71" xr:uid="{00000000-0005-0000-0000-000041000000}"/>
    <cellStyle name="Linked Cell" xfId="72" xr:uid="{00000000-0005-0000-0000-000042000000}"/>
    <cellStyle name="Millares" xfId="3" builtinId="3"/>
    <cellStyle name="Millares 2" xfId="4" xr:uid="{00000000-0005-0000-0000-000044000000}"/>
    <cellStyle name="Millares 3" xfId="87" xr:uid="{00000000-0005-0000-0000-000045000000}"/>
    <cellStyle name="Moneda" xfId="1" builtinId="4"/>
    <cellStyle name="Moneda 2" xfId="88" xr:uid="{00000000-0005-0000-0000-000047000000}"/>
    <cellStyle name="Neutral 2" xfId="73" xr:uid="{00000000-0005-0000-0000-000048000000}"/>
    <cellStyle name="Normal" xfId="0" builtinId="0"/>
    <cellStyle name="Normal 2" xfId="2" xr:uid="{00000000-0005-0000-0000-00004A000000}"/>
    <cellStyle name="Normal 3" xfId="6" xr:uid="{00000000-0005-0000-0000-00004B000000}"/>
    <cellStyle name="Notas 2" xfId="74" xr:uid="{00000000-0005-0000-0000-00004C000000}"/>
    <cellStyle name="Note" xfId="75" xr:uid="{00000000-0005-0000-0000-00004D000000}"/>
    <cellStyle name="Output" xfId="76" xr:uid="{00000000-0005-0000-0000-00004E000000}"/>
    <cellStyle name="Porcentaje" xfId="89" builtinId="5"/>
    <cellStyle name="Salida 2" xfId="77" xr:uid="{00000000-0005-0000-0000-00004F000000}"/>
    <cellStyle name="Texto de advertencia 2" xfId="78" xr:uid="{00000000-0005-0000-0000-000050000000}"/>
    <cellStyle name="Texto explicativo 2" xfId="79" xr:uid="{00000000-0005-0000-0000-000051000000}"/>
    <cellStyle name="Title" xfId="80" xr:uid="{00000000-0005-0000-0000-000052000000}"/>
    <cellStyle name="Título 1" xfId="82" xr:uid="{00000000-0005-0000-0000-000053000000}"/>
    <cellStyle name="Título 2 2" xfId="83" xr:uid="{00000000-0005-0000-0000-000054000000}"/>
    <cellStyle name="Título 3 2" xfId="84" xr:uid="{00000000-0005-0000-0000-000055000000}"/>
    <cellStyle name="Título 4" xfId="81" xr:uid="{00000000-0005-0000-0000-000056000000}"/>
    <cellStyle name="Total 2" xfId="85" xr:uid="{00000000-0005-0000-0000-000057000000}"/>
    <cellStyle name="Warning Text" xfId="86" xr:uid="{00000000-0005-0000-0000-000058000000}"/>
  </cellStyles>
  <dxfs count="64">
    <dxf>
      <font>
        <b/>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2"/>
        <color theme="1"/>
        <name val="Calibri"/>
        <family val="2"/>
        <charset val="1"/>
        <scheme val="minor"/>
      </font>
    </dxf>
    <dxf>
      <font>
        <b val="0"/>
        <i val="0"/>
        <strike val="0"/>
        <condense val="0"/>
        <extend val="0"/>
        <outline val="0"/>
        <shadow val="0"/>
        <u val="none"/>
        <vertAlign val="baseline"/>
        <sz val="11"/>
        <color theme="1"/>
        <name val="Calibri Light"/>
        <family val="2"/>
        <scheme val="major"/>
      </font>
      <numFmt numFmtId="177" formatCode="m/d/yyyy"/>
      <fill>
        <patternFill patternType="solid">
          <fgColor indexed="64"/>
          <bgColor rgb="FFDDFFFF"/>
        </patternFill>
      </fill>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177" formatCode="m/d/yyyy"/>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177" formatCode="m/d/yyyy"/>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177" formatCode="m/d/yyyy"/>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177" formatCode="m/d/yyyy"/>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177" formatCode="m/d/yyyy"/>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177" formatCode="m/d/yyyy"/>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177" formatCode="m/d/yyyy"/>
      <fill>
        <patternFill patternType="solid">
          <fgColor indexed="64"/>
          <bgColor rgb="FFDDFFFF"/>
        </patternFill>
      </fill>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177" formatCode="m/d/yyyy"/>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177" formatCode="m/d/yyyy"/>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177" formatCode="m/d/yyyy"/>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177" formatCode="m/d/yyyy"/>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177" formatCode="m/d/yyyy"/>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fill>
        <patternFill patternType="solid">
          <fgColor indexed="64"/>
          <bgColor rgb="FF99FF99"/>
        </patternFill>
      </fill>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34" formatCode="_-&quot;$&quot;* #,##0.00_-;\-&quot;$&quot;* #,##0.00_-;_-&quot;$&quot;* &quot;-&quot;??_-;_-@_-"/>
      <alignment horizontal="right"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34" formatCode="_-&quot;$&quot;* #,##0.00_-;\-&quot;$&quot;* #,##0.00_-;_-&quot;$&quot;* &quot;-&quot;??_-;_-@_-"/>
      <alignment horizontal="right"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177" formatCode="m/d/yyyy"/>
      <alignment horizontal="left"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alignment horizontal="left"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alignment horizontal="left"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177" formatCode="m/d/yyyy"/>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178" formatCode="d\-mmm\-yy"/>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177" formatCode="m/d/yyyy"/>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165" formatCode="[$$-80A]#,##0.00"/>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34" formatCode="_-&quot;$&quot;* #,##0.00_-;\-&quot;$&quot;* #,##0.00_-;_-&quot;$&quot;* &quot;-&quot;??_-;_-@_-"/>
      <fill>
        <patternFill patternType="solid">
          <fgColor indexed="64"/>
          <bgColor theme="9" tint="0.79998168889431442"/>
        </patternFill>
      </fill>
      <alignment horizontal="right"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34" formatCode="_-&quot;$&quot;* #,##0.00_-;\-&quot;$&quot;* #,##0.00_-;_-&quot;$&quot;* &quot;-&quot;??_-;_-@_-"/>
      <fill>
        <patternFill patternType="solid">
          <fgColor indexed="64"/>
          <bgColor rgb="FFC7F1C7"/>
        </patternFill>
      </fill>
      <alignment horizontal="right"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34" formatCode="_-&quot;$&quot;* #,##0.00_-;\-&quot;$&quot;* #,##0.00_-;_-&quot;$&quot;* &quot;-&quot;??_-;_-@_-"/>
      <alignment horizontal="right"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34" formatCode="_-&quot;$&quot;* #,##0.00_-;\-&quot;$&quot;* #,##0.00_-;_-&quot;$&quot;* &quot;-&quot;??_-;_-@_-"/>
      <alignment horizontal="right"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34" formatCode="_-&quot;$&quot;* #,##0.00_-;\-&quot;$&quot;* #,##0.00_-;_-&quot;$&quot;* &quot;-&quot;??_-;_-@_-"/>
      <fill>
        <patternFill patternType="solid">
          <fgColor indexed="64"/>
          <bgColor rgb="FFC7F1C7"/>
        </patternFill>
      </fill>
      <alignment horizontal="right"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34" formatCode="_-&quot;$&quot;* #,##0.00_-;\-&quot;$&quot;* #,##0.00_-;_-&quot;$&quot;* &quot;-&quot;??_-;_-@_-"/>
      <alignment horizontal="right"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numFmt numFmtId="34" formatCode="_-&quot;$&quot;* #,##0.00_-;\-&quot;$&quot;* #,##0.00_-;_-&quot;$&quot;* &quot;-&quot;??_-;_-@_-"/>
      <alignment horizontal="right"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fill>
        <patternFill patternType="solid">
          <fgColor indexed="64"/>
          <bgColor theme="2"/>
        </patternFill>
      </fill>
      <alignment horizontal="justify"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alignment horizontal="left"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alignment horizontal="left"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alignment horizontal="left"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alignment horizontal="left"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i val="0"/>
        <strike val="0"/>
        <condense val="0"/>
        <extend val="0"/>
        <outline val="0"/>
        <shadow val="0"/>
        <u val="none"/>
        <vertAlign val="baseline"/>
        <sz val="11"/>
        <color theme="1"/>
        <name val="Calibri Light"/>
        <family val="2"/>
        <scheme val="major"/>
      </font>
      <fill>
        <patternFill patternType="solid">
          <fgColor indexed="64"/>
          <bgColor theme="0" tint="-4.9989318521683403E-2"/>
        </patternFill>
      </fill>
      <alignment horizontal="left" vertical="center" textRotation="0" wrapText="1" indent="0" justifyLastLine="0" shrinkToFit="1" readingOrder="1"/>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alignment horizontal="left" vertical="center" textRotation="0" wrapText="1" indent="0" justifyLastLine="0" shrinkToFit="1" readingOrder="1"/>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alignment horizontal="left" vertical="center" textRotation="0" wrapText="1" indent="0" justifyLastLine="0" shrinkToFit="1" readingOrder="1"/>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alignment horizontal="left" vertical="center" textRotation="0" wrapText="1" indent="0" justifyLastLine="0" shrinkToFit="1" readingOrder="1"/>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indexed="8"/>
        <name val="Calibri Light"/>
        <family val="2"/>
        <scheme val="major"/>
      </font>
      <alignment horizontal="left"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auto="1"/>
        <name val="Calibri Light"/>
        <family val="2"/>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Light"/>
        <family val="2"/>
        <scheme val="major"/>
      </font>
      <alignment horizontal="center"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alignment horizontal="left" vertical="center" textRotation="0" wrapText="1" indent="0" justifyLastLine="0" shrinkToFit="0" readingOrder="0"/>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auto="1"/>
        <name val="Calibri Light"/>
        <family val="2"/>
        <scheme val="major"/>
      </font>
      <fill>
        <patternFill patternType="solid">
          <fgColor indexed="64"/>
          <bgColor theme="0" tint="-4.9989318521683403E-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Light"/>
        <family val="2"/>
        <scheme val="major"/>
      </font>
      <alignment horizontal="center" vertical="center" textRotation="0" wrapText="1" indent="0" justifyLastLine="0" shrinkToFit="0" readingOrder="0"/>
      <border diagonalUp="0" diagonalDown="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auto="1"/>
        <name val="Calibri Light"/>
        <family val="2"/>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Light"/>
        <family val="2"/>
        <scheme val="major"/>
      </font>
      <fill>
        <patternFill patternType="solid">
          <fgColor indexed="64"/>
          <bgColor theme="2"/>
        </patternFill>
      </fill>
      <alignment horizontal="left" vertical="center" textRotation="0" wrapText="1" indent="0" justifyLastLine="0" shrinkToFit="0" readingOrder="0"/>
      <border diagonalUp="0" diagonalDown="0">
        <left style="thin">
          <color rgb="FF7030A0"/>
        </left>
        <right/>
        <top style="thin">
          <color rgb="FF7030A0"/>
        </top>
        <bottom style="thin">
          <color rgb="FF7030A0"/>
        </bottom>
        <vertical/>
        <horizontal/>
      </border>
    </dxf>
    <dxf>
      <font>
        <b val="0"/>
        <i val="0"/>
        <strike val="0"/>
        <condense val="0"/>
        <extend val="0"/>
        <outline val="0"/>
        <shadow val="0"/>
        <u val="none"/>
        <vertAlign val="baseline"/>
        <sz val="11"/>
        <color theme="1"/>
        <name val="Calibri Light"/>
        <family val="2"/>
        <scheme val="major"/>
      </font>
      <alignment horizontal="center" vertical="center" textRotation="0" wrapText="1" indent="0" justifyLastLine="0" shrinkToFit="0" readingOrder="0"/>
    </dxf>
    <dxf>
      <font>
        <b/>
        <i val="0"/>
        <strike val="0"/>
        <condense val="0"/>
        <extend val="0"/>
        <outline val="0"/>
        <shadow val="0"/>
        <u val="none"/>
        <vertAlign val="baseline"/>
        <sz val="11"/>
        <color auto="1"/>
        <name val="Calibri Light"/>
        <family val="2"/>
        <scheme val="major"/>
      </font>
      <numFmt numFmtId="177" formatCode="m/d/yyyy"/>
      <fill>
        <patternFill patternType="solid">
          <fgColor indexed="64"/>
          <bgColor rgb="FFCCCCFF"/>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C9C9"/>
      <color rgb="FFDDFFFF"/>
      <color rgb="FFC7F1C7"/>
      <color rgb="FFCCFFCC"/>
      <color rgb="FFFFD9FF"/>
      <color rgb="FFCCCCFF"/>
      <color rgb="FFFF0000"/>
      <color rgb="FFFF5050"/>
      <color rgb="FF66CCFF"/>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1018189</xdr:colOff>
      <xdr:row>0</xdr:row>
      <xdr:rowOff>98534</xdr:rowOff>
    </xdr:from>
    <xdr:to>
      <xdr:col>0</xdr:col>
      <xdr:colOff>2273519</xdr:colOff>
      <xdr:row>7</xdr:row>
      <xdr:rowOff>76200</xdr:rowOff>
    </xdr:to>
    <xdr:pic>
      <xdr:nvPicPr>
        <xdr:cNvPr id="2" name="Imagen 1" descr="Logo">
          <a:extLst>
            <a:ext uri="{FF2B5EF4-FFF2-40B4-BE49-F238E27FC236}">
              <a16:creationId xmlns:a16="http://schemas.microsoft.com/office/drawing/2014/main" id="{990C5B3B-4CFE-48C7-BC6D-A5B4A651846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8189" y="98534"/>
          <a:ext cx="1560130" cy="133021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1018189</xdr:colOff>
      <xdr:row>0</xdr:row>
      <xdr:rowOff>98534</xdr:rowOff>
    </xdr:from>
    <xdr:to>
      <xdr:col>0</xdr:col>
      <xdr:colOff>2273519</xdr:colOff>
      <xdr:row>7</xdr:row>
      <xdr:rowOff>76200</xdr:rowOff>
    </xdr:to>
    <xdr:pic>
      <xdr:nvPicPr>
        <xdr:cNvPr id="2" name="Imagen 1" descr="Logo">
          <a:extLst>
            <a:ext uri="{FF2B5EF4-FFF2-40B4-BE49-F238E27FC236}">
              <a16:creationId xmlns:a16="http://schemas.microsoft.com/office/drawing/2014/main" id="{A2E0C630-EB05-47AA-9CEE-3B3A597C4B9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8189" y="98534"/>
          <a:ext cx="1255330" cy="1615966"/>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to-1768\Scan\Users\joselim.velazquez\Desktop\Bases%20Nuevas\Bases%20anteriores\Base%20de%20Contratos%202013%20A%20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to-1768\Scan\Users\joselim.velazquez\Desktop\Bases%20Nuevas\Control%20PED%20y%20SERV%202023%20yos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TO-1736\Jefatura%20contratos%20y%20pedidos\Users\joselim.velazquez\Desktop\INFORME%20MESA%20COMITE\Informe%20M.%20D.%20ENERO%202024.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dto-1768\Scan\BASES%20ALE\BASE%20CONTRATOS%20-%2030DIC2024.xlsx" TargetMode="External"/><Relationship Id="rId1" Type="http://schemas.openxmlformats.org/officeDocument/2006/relationships/externalLinkPath" Target="file:///\\dto-1768\Scan\BASES%20ALE\BASE%20CONTRATOS%20-%2030DIC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NDAMENTOS"/>
      <sheetName val="2013"/>
      <sheetName val="2014"/>
      <sheetName val="2015"/>
      <sheetName val="2016"/>
      <sheetName val="2017"/>
      <sheetName val="2018"/>
      <sheetName val=" RFC"/>
      <sheetName val="Cuentas"/>
      <sheetName val="clasif obj gast"/>
    </sheetNames>
    <sheetDataSet>
      <sheetData sheetId="0"/>
      <sheetData sheetId="1"/>
      <sheetData sheetId="2"/>
      <sheetData sheetId="3"/>
      <sheetData sheetId="4"/>
      <sheetData sheetId="5"/>
      <sheetData sheetId="6"/>
      <sheetData sheetId="7">
        <row r="1">
          <cell r="A1" t="str">
            <v>Gestión Hilco Acetec, S. de R.L. de C.V.</v>
          </cell>
          <cell r="B1" t="str">
            <v>GHA0708211B8</v>
          </cell>
        </row>
        <row r="2">
          <cell r="A2" t="str">
            <v xml:space="preserve"> Capital Networks, S.A. De C.V.</v>
          </cell>
          <cell r="B2" t="str">
            <v>CDI0412149Q5</v>
          </cell>
        </row>
        <row r="3">
          <cell r="A3" t="str">
            <v xml:space="preserve"> Centro Mexicano De Investigación Especializada, A.C.</v>
          </cell>
          <cell r="B3" t="str">
            <v>CMI150324PX1</v>
          </cell>
        </row>
        <row r="4">
          <cell r="A4" t="str">
            <v xml:space="preserve"> Editorial Marco Polo, S.A. De C.V.</v>
          </cell>
          <cell r="B4" t="str">
            <v>EMP800618JM0</v>
          </cell>
        </row>
        <row r="5">
          <cell r="A5" t="str">
            <v xml:space="preserve"> Merkex México, S. De R.L. De C.V.</v>
          </cell>
          <cell r="B5" t="str">
            <v>MME130821H62</v>
          </cell>
        </row>
        <row r="6">
          <cell r="A6" t="str">
            <v xml:space="preserve"> New Mind Group, S.A. De C.V.</v>
          </cell>
          <cell r="B6" t="str">
            <v>NMG130606Q68</v>
          </cell>
        </row>
        <row r="7">
          <cell r="A7" t="str">
            <v xml:space="preserve"> Perceptiaxxi, S.C.</v>
          </cell>
          <cell r="B7" t="str">
            <v>PER160823RP6</v>
          </cell>
        </row>
        <row r="8">
          <cell r="A8" t="str">
            <v xml:space="preserve"> Servicios Y Equipo Fotográfico Profesional, S.A. De C.V.</v>
          </cell>
          <cell r="B8" t="str">
            <v>SEF970611BR4</v>
          </cell>
        </row>
        <row r="9">
          <cell r="A9" t="str">
            <v xml:space="preserve"> Sys Suministros Y Soluciones, S.A. De C.V.</v>
          </cell>
          <cell r="B9" t="str">
            <v>SSS160921JC6</v>
          </cell>
        </row>
        <row r="10">
          <cell r="A10" t="str">
            <v xml:space="preserve"> Tiacal Constructores, S.A. De C.V.</v>
          </cell>
          <cell r="B10" t="str">
            <v>TCO120817FZ6</v>
          </cell>
        </row>
        <row r="11">
          <cell r="A11" t="str">
            <v>1ahc Producciones SA de CV</v>
          </cell>
          <cell r="B11" t="str">
            <v>UHC060216CSA</v>
          </cell>
        </row>
        <row r="12">
          <cell r="A12" t="str">
            <v>3w Educación, S.C.</v>
          </cell>
          <cell r="B12" t="str">
            <v>WED130205MM6</v>
          </cell>
        </row>
        <row r="13">
          <cell r="A13" t="str">
            <v>7 Cerros Construcciones SA de CV</v>
          </cell>
          <cell r="B13" t="str">
            <v>SCC0211014J2</v>
          </cell>
        </row>
        <row r="14">
          <cell r="A14" t="str">
            <v>7kat, S.A. De C.V.</v>
          </cell>
          <cell r="B14" t="str">
            <v>LEM960821I52</v>
          </cell>
        </row>
        <row r="15">
          <cell r="A15" t="str">
            <v>A.B.H. Edificaciones y Proyectos, S.A. de C.V.</v>
          </cell>
          <cell r="B15" t="str">
            <v>BCE890301FW4</v>
          </cell>
        </row>
        <row r="16">
          <cell r="A16" t="str">
            <v>Abaga Grupo Logístico, S.A. De C.V.</v>
          </cell>
          <cell r="B16" t="str">
            <v>AGL081218I56</v>
          </cell>
        </row>
        <row r="17">
          <cell r="A17" t="str">
            <v>Abasi Servicios Integrales, S.A. De C.V.</v>
          </cell>
          <cell r="B17" t="str">
            <v>ASI0501142C2</v>
          </cell>
        </row>
        <row r="18">
          <cell r="A18" t="str">
            <v>Abastecedora Aragónesa SA de CV</v>
          </cell>
          <cell r="B18" t="str">
            <v>AAR060308TT4</v>
          </cell>
        </row>
        <row r="19">
          <cell r="A19" t="str">
            <v>Abastecedora Atlante, S.A. De C.V.</v>
          </cell>
          <cell r="B19" t="str">
            <v>AAT960111SY8</v>
          </cell>
        </row>
        <row r="20">
          <cell r="A20" t="str">
            <v>Abastecedora De Acabados Alce, S.A. De C.V.</v>
          </cell>
          <cell r="B20" t="str">
            <v>AAA070808KR4</v>
          </cell>
        </row>
        <row r="21">
          <cell r="A21" t="str">
            <v>Abastecedora Lumen, S.A. De C.V.</v>
          </cell>
          <cell r="B21" t="str">
            <v>ALU830902ST5</v>
          </cell>
        </row>
        <row r="22">
          <cell r="A22" t="str">
            <v>Abba Tech SA de CV</v>
          </cell>
          <cell r="B22" t="str">
            <v>ATE0409276R7</v>
          </cell>
        </row>
        <row r="23">
          <cell r="A23" t="str">
            <v>Abc Sivmed SA de CV</v>
          </cell>
          <cell r="B23" t="str">
            <v>ASI1602178C4</v>
          </cell>
        </row>
        <row r="24">
          <cell r="A24" t="str">
            <v>Academia Mexicana De La Educación AC</v>
          </cell>
          <cell r="B24" t="str">
            <v>AME580808Q60</v>
          </cell>
        </row>
        <row r="25">
          <cell r="A25" t="str">
            <v>Acb Stil Construcciones, S.A. De C.V.</v>
          </cell>
          <cell r="B25" t="str">
            <v>ASC080926MV9</v>
          </cell>
        </row>
        <row r="26">
          <cell r="A26" t="str">
            <v>Accenta Compañía De Displays, S.A. De C.V.</v>
          </cell>
          <cell r="B26" t="str">
            <v>ADI090116RC5</v>
          </cell>
        </row>
        <row r="27">
          <cell r="A27" t="str">
            <v>Acelerant Consulting Group, S.C.</v>
          </cell>
          <cell r="B27" t="str">
            <v>ACG000512S35</v>
          </cell>
        </row>
        <row r="28">
          <cell r="A28" t="str">
            <v>Acerta Computacion Aplicada SA de CV</v>
          </cell>
          <cell r="B28" t="str">
            <v>ACA920521LG9</v>
          </cell>
        </row>
        <row r="29">
          <cell r="A29" t="str">
            <v>ACYPSA Proyectos Construcciones y Servicios SA de CV</v>
          </cell>
          <cell r="B29" t="str">
            <v>APC020715EA3</v>
          </cell>
        </row>
        <row r="30">
          <cell r="A30" t="str">
            <v>Aderhel S. Club, S.A. de C.V.</v>
          </cell>
          <cell r="B30" t="str">
            <v>ACL070521ND6</v>
          </cell>
        </row>
        <row r="31">
          <cell r="A31" t="str">
            <v>Adgi Design, S.A. De C.V.</v>
          </cell>
          <cell r="B31" t="str">
            <v>ADE050405558</v>
          </cell>
        </row>
        <row r="32">
          <cell r="A32" t="str">
            <v>Administración Integral Contable Consultores, S.C.</v>
          </cell>
          <cell r="B32" t="str">
            <v>AIC990211RQ1</v>
          </cell>
        </row>
        <row r="33">
          <cell r="A33" t="str">
            <v>Administración Integral, Consultores Y Organización De Negocios, S.C.</v>
          </cell>
          <cell r="B33" t="str">
            <v>AIC080415HM6</v>
          </cell>
        </row>
        <row r="34">
          <cell r="A34" t="str">
            <v>Adriana Paramo, S.A. de C.V.</v>
          </cell>
          <cell r="B34" t="str">
            <v>APA1012161M9</v>
          </cell>
        </row>
        <row r="35">
          <cell r="A35" t="str">
            <v>Advanced Research &amp; Technology, S.A. De C.V.</v>
          </cell>
          <cell r="B35" t="str">
            <v>AR&amp;020424235</v>
          </cell>
        </row>
        <row r="36">
          <cell r="A36" t="str">
            <v>Advanced Secure Solutions, S.A. De C.V.</v>
          </cell>
          <cell r="B36" t="str">
            <v>ASS061018DV3</v>
          </cell>
        </row>
        <row r="37">
          <cell r="A37" t="str">
            <v>Aerovías De México, S.A. De C.V.</v>
          </cell>
          <cell r="B37" t="str">
            <v>AME880912I89</v>
          </cell>
        </row>
        <row r="38">
          <cell r="A38" t="str">
            <v>Afore XXI Banorte SA de CV</v>
          </cell>
          <cell r="B38" t="str">
            <v>AXX970225GL0</v>
          </cell>
        </row>
        <row r="39">
          <cell r="A39" t="str">
            <v>Agencia 80 - 20, S.A. De C.V.</v>
          </cell>
          <cell r="B39" t="str">
            <v>AGE151120UT2</v>
          </cell>
        </row>
        <row r="40">
          <cell r="A40" t="str">
            <v>Agencia Medios Dmt SC</v>
          </cell>
          <cell r="B40" t="str">
            <v>AMD160309FU8</v>
          </cell>
        </row>
        <row r="41">
          <cell r="A41" t="str">
            <v>Aiam Arquitectura Ingeniería y Arte En Movimiento SA de CV</v>
          </cell>
          <cell r="B41" t="str">
            <v>AAI150713169</v>
          </cell>
        </row>
        <row r="42">
          <cell r="A42" t="str">
            <v>Al Gau, S.A. De C.V.</v>
          </cell>
          <cell r="B42" t="str">
            <v>GAU041020371</v>
          </cell>
        </row>
        <row r="43">
          <cell r="A43" t="str">
            <v>Alden Concesionaria Tacubaya, S.A. De C.V.</v>
          </cell>
          <cell r="B43" t="str">
            <v>ACT981214G77</v>
          </cell>
        </row>
        <row r="44">
          <cell r="A44" t="str">
            <v>Alef Soluciones Integrales, S.C. de P. de R.L. de C.V.</v>
          </cell>
          <cell r="B44" t="str">
            <v>ASI970227PZ4</v>
          </cell>
        </row>
        <row r="45">
          <cell r="A45" t="str">
            <v>Alianza Impresos Y Sellos, S.A. De C.V.</v>
          </cell>
          <cell r="B45" t="str">
            <v>AIS970924VA8</v>
          </cell>
        </row>
        <row r="46">
          <cell r="A46" t="str">
            <v>Alianzas Estratégicas En Capacitación, S.C.</v>
          </cell>
          <cell r="B46" t="str">
            <v>AEC030107DJ2</v>
          </cell>
        </row>
        <row r="47">
          <cell r="A47" t="str">
            <v>All Work Services, S.A. De C.V.</v>
          </cell>
          <cell r="B47" t="str">
            <v>AWS0803131R7</v>
          </cell>
        </row>
        <row r="48">
          <cell r="A48" t="str">
            <v>Allsumin SA de CV</v>
          </cell>
          <cell r="B48" t="str">
            <v>ALL130722A28</v>
          </cell>
        </row>
        <row r="49">
          <cell r="A49" t="str">
            <v>Alos Mantenimiento Integral, S.A. De C.V.</v>
          </cell>
          <cell r="B49" t="str">
            <v>AMI0512018U5</v>
          </cell>
        </row>
        <row r="50">
          <cell r="A50" t="str">
            <v>Alsesa Infraestructura, S.A. De C.V.</v>
          </cell>
          <cell r="B50" t="str">
            <v>AIN121219ST4</v>
          </cell>
        </row>
        <row r="51">
          <cell r="A51" t="str">
            <v>Alta Tecnología En Ingeniería Y Construcción, S.A. De C.V.</v>
          </cell>
          <cell r="B51" t="str">
            <v>ATI010918UI3</v>
          </cell>
        </row>
        <row r="52">
          <cell r="A52" t="str">
            <v>Alto Nivel En Construcciones SA de CV</v>
          </cell>
          <cell r="B52" t="str">
            <v>ANC991216ED0</v>
          </cell>
        </row>
        <row r="53">
          <cell r="A53" t="str">
            <v>Amarello Tecnologías De Información, S.A. De C.V.</v>
          </cell>
          <cell r="B53" t="str">
            <v>ATI110906IG6</v>
          </cell>
        </row>
        <row r="54">
          <cell r="A54" t="str">
            <v>American Best Conversion SA de CV</v>
          </cell>
          <cell r="B54" t="str">
            <v>ABC000511NB7</v>
          </cell>
        </row>
        <row r="55">
          <cell r="A55" t="str">
            <v>Amtrad-Traducción Interpretación Y Servicios Relacionados SC</v>
          </cell>
          <cell r="B55" t="str">
            <v>AIS2080813JNA</v>
          </cell>
        </row>
        <row r="56">
          <cell r="A56" t="str">
            <v>Amy Imagen Y Servicios, S.A. De C.V.</v>
          </cell>
          <cell r="B56" t="str">
            <v>AIY0808141N0</v>
          </cell>
        </row>
        <row r="57">
          <cell r="A57" t="str">
            <v>Angar Azcapotzalco S.A. De C.V.</v>
          </cell>
          <cell r="B57" t="str">
            <v>AAZ040910IN3</v>
          </cell>
        </row>
        <row r="58">
          <cell r="A58" t="str">
            <v>Ap Automatización Y Control Eléctrico, S.A. De C.V.</v>
          </cell>
          <cell r="B58" t="str">
            <v>AAC140310HK4</v>
          </cell>
        </row>
        <row r="59">
          <cell r="A59" t="str">
            <v>Apac I.A.P. Asociación Pro Personas Con Parálisis Cerebral</v>
          </cell>
          <cell r="B59" t="str">
            <v>AIA900517IM3</v>
          </cell>
        </row>
        <row r="60">
          <cell r="A60" t="str">
            <v>Aparatos Electromecánicos Von Haucke, S.A. De C.V.</v>
          </cell>
          <cell r="B60" t="str">
            <v>AEH841221234</v>
          </cell>
        </row>
        <row r="61">
          <cell r="A61" t="str">
            <v>Aplicaciones Y Organización Tecnológica En Administración, S.A. De C.V.</v>
          </cell>
          <cell r="B61" t="str">
            <v>AOT011031GQ8</v>
          </cell>
        </row>
        <row r="62">
          <cell r="A62" t="str">
            <v>Apolo Tec, S.A. De C.V.</v>
          </cell>
          <cell r="B62" t="str">
            <v>ATE031117QJ5</v>
          </cell>
        </row>
        <row r="63">
          <cell r="A63" t="str">
            <v>Apostrofo, S.C.</v>
          </cell>
          <cell r="B63" t="str">
            <v>APO0703262F6</v>
          </cell>
        </row>
        <row r="64">
          <cell r="A64" t="str">
            <v>Archivos de Cartón y Más, S.A. de C.V.</v>
          </cell>
          <cell r="B64" t="str">
            <v>ACM170303NU9</v>
          </cell>
        </row>
        <row r="65">
          <cell r="A65" t="str">
            <v>Arquetipo En Sistemas, S.A. De C.V.</v>
          </cell>
          <cell r="B65" t="str">
            <v>ASS940519BP6</v>
          </cell>
        </row>
        <row r="66">
          <cell r="A66" t="str">
            <v>Arquitectos Constructores Pic SA de CV</v>
          </cell>
          <cell r="B66" t="str">
            <v>ACP050110J50</v>
          </cell>
        </row>
        <row r="67">
          <cell r="A67" t="str">
            <v>Arre Lulu Producciones, S.A. De C.V.</v>
          </cell>
          <cell r="B67" t="str">
            <v>ALP1310187B9</v>
          </cell>
        </row>
        <row r="68">
          <cell r="A68" t="str">
            <v>Arsoba Consultores, S.C.</v>
          </cell>
          <cell r="B68" t="str">
            <v>ACO051205BY1</v>
          </cell>
        </row>
        <row r="69">
          <cell r="A69" t="str">
            <v>Arthuman Direccionando Talentos, S.C.</v>
          </cell>
          <cell r="B69" t="str">
            <v>ADT090910A99</v>
          </cell>
        </row>
        <row r="70">
          <cell r="A70" t="str">
            <v>Artículos Promocionales OVI SA de CV</v>
          </cell>
          <cell r="B70" t="str">
            <v>APO121112CE2</v>
          </cell>
        </row>
        <row r="71">
          <cell r="A71" t="str">
            <v>As Enterprises Integración De Soluciones, S.A. De C.V.</v>
          </cell>
          <cell r="B71" t="str">
            <v>AEI120709A34</v>
          </cell>
        </row>
        <row r="72">
          <cell r="A72" t="str">
            <v>Asesores Jurídicos Especialistas En Derecho Administrativo, S.C.</v>
          </cell>
          <cell r="B72" t="str">
            <v>AJE120130P71</v>
          </cell>
        </row>
        <row r="73">
          <cell r="A73" t="str">
            <v>Asesoría de Diseños Normativos, S.C.</v>
          </cell>
          <cell r="B73" t="str">
            <v>ADN060227DX9</v>
          </cell>
        </row>
        <row r="74">
          <cell r="A74" t="str">
            <v>Asesoría Integral Del Patrimonio, S.C.</v>
          </cell>
          <cell r="B74" t="str">
            <v>AIP070816KV4</v>
          </cell>
        </row>
        <row r="75">
          <cell r="A75" t="str">
            <v>Asesoría Mediática, S.A. De C.V.</v>
          </cell>
          <cell r="B75" t="str">
            <v>AME100623GN0</v>
          </cell>
        </row>
        <row r="76">
          <cell r="A76" t="str">
            <v>Asesoría Supervisión Y Apoyo Técnico, S.C.</v>
          </cell>
          <cell r="B76" t="str">
            <v>ASA9906303S7</v>
          </cell>
        </row>
        <row r="77">
          <cell r="A77" t="str">
            <v>Asistencia Y Capacitación Electoral, S.C.</v>
          </cell>
          <cell r="B77" t="str">
            <v>ACE970221AL3</v>
          </cell>
        </row>
        <row r="78">
          <cell r="A78" t="str">
            <v>Asociación De Televisiones Educativas y Culturales Iberoamericana</v>
          </cell>
          <cell r="B78" t="str">
            <v>G80455140</v>
          </cell>
        </row>
        <row r="79">
          <cell r="A79" t="str">
            <v>Asociación Mexicana De Estudios Internacionales Amei AC</v>
          </cell>
          <cell r="B79" t="str">
            <v>AME980224213</v>
          </cell>
        </row>
        <row r="80">
          <cell r="A80" t="str">
            <v>Asociación Necrológica Mexicana, S.A De C.V.</v>
          </cell>
          <cell r="B80" t="str">
            <v>ANM070827QL3</v>
          </cell>
        </row>
        <row r="81">
          <cell r="A81" t="str">
            <v>Asociación Para Leer Escuchar Escribir Y Recrear, A.C</v>
          </cell>
          <cell r="B81" t="str">
            <v>ALE831107FQ8</v>
          </cell>
        </row>
        <row r="82">
          <cell r="A82" t="str">
            <v>At&amp;T Comercialización Móvil, S. De R.L. De C.V.</v>
          </cell>
          <cell r="B82" t="str">
            <v>IUS890616RH6</v>
          </cell>
        </row>
        <row r="83">
          <cell r="A83" t="str">
            <v>AT&amp;T Comunicaciones Digitales, S. De R. L. De C. V.</v>
          </cell>
          <cell r="B83" t="str">
            <v>CNM980114PI2</v>
          </cell>
        </row>
        <row r="84">
          <cell r="A84" t="str">
            <v>Atml, S.A. De C.V.</v>
          </cell>
          <cell r="B84" t="str">
            <v>ATM131008EM0</v>
          </cell>
        </row>
        <row r="85">
          <cell r="A85" t="str">
            <v>Atracción Comercial, S.A. de C.V.</v>
          </cell>
          <cell r="B85" t="str">
            <v>ACO161017UQ5</v>
          </cell>
        </row>
        <row r="86">
          <cell r="A86" t="str">
            <v>Audio Acústica y Electrónica SA de CV</v>
          </cell>
          <cell r="B86" t="str">
            <v>AAE7905157ZA</v>
          </cell>
        </row>
        <row r="87">
          <cell r="A87" t="str">
            <v>Audio Video &amp; Control, S.A. de C.V.</v>
          </cell>
          <cell r="B87" t="str">
            <v>AV&amp;060117UX0</v>
          </cell>
        </row>
        <row r="88">
          <cell r="A88" t="str">
            <v>Audiopromex, S. De R.L. De C.V.</v>
          </cell>
          <cell r="B88" t="str">
            <v>AUD061127K36</v>
          </cell>
        </row>
        <row r="89">
          <cell r="A89" t="str">
            <v>Autocom Metro, S.A.P.I. De C.V.</v>
          </cell>
          <cell r="B89" t="str">
            <v>AME110623A95</v>
          </cell>
        </row>
        <row r="90">
          <cell r="A90" t="str">
            <v>Automation Point Soluciones Integrales, S.A. De C.V.</v>
          </cell>
          <cell r="B90" t="str">
            <v>APS040217I87</v>
          </cell>
        </row>
        <row r="91">
          <cell r="A91" t="str">
            <v>Automations Solutions Factory, S.A. De C.V.</v>
          </cell>
          <cell r="B91" t="str">
            <v>ASF020311UQ5</v>
          </cell>
        </row>
        <row r="92">
          <cell r="A92" t="str">
            <v>Automotores de la Laguna, S.A. de C.V.</v>
          </cell>
          <cell r="B92" t="str">
            <v>ALA0210164S2</v>
          </cell>
        </row>
        <row r="93">
          <cell r="A93" t="str">
            <v>Automotores De México, S.A. De C.V.</v>
          </cell>
          <cell r="B93" t="str">
            <v>AME6907306R3</v>
          </cell>
        </row>
        <row r="94">
          <cell r="A94" t="str">
            <v>Automotriz Lagunera, S.A. de C.V.</v>
          </cell>
          <cell r="B94" t="str">
            <v>ALA821201DE1</v>
          </cell>
        </row>
        <row r="95">
          <cell r="A95" t="str">
            <v>Automotriz Nihon, S.A. De C.V.</v>
          </cell>
          <cell r="B95" t="str">
            <v>ANI140616N87</v>
          </cell>
        </row>
        <row r="96">
          <cell r="A96" t="str">
            <v>Automóviles Vallejo, S. De R.L. De C.V.</v>
          </cell>
          <cell r="B96" t="str">
            <v>AVA040106CP7</v>
          </cell>
        </row>
        <row r="97">
          <cell r="A97" t="str">
            <v>Automovilística Andrade SA de CV</v>
          </cell>
          <cell r="B97" t="str">
            <v>AAN841022G20</v>
          </cell>
        </row>
        <row r="98">
          <cell r="A98" t="str">
            <v>Autopolanco, S.A. De C.V.</v>
          </cell>
          <cell r="B98" t="str">
            <v>AUT980924GQ4</v>
          </cell>
        </row>
        <row r="99">
          <cell r="A99" t="str">
            <v>Avetronic, S.A. De C.V.</v>
          </cell>
          <cell r="B99" t="str">
            <v>AVE850528ES9</v>
          </cell>
        </row>
        <row r="100">
          <cell r="A100" t="str">
            <v>Aviprof, S.A. de C.V.</v>
          </cell>
          <cell r="B100" t="str">
            <v>AVI070228MA2</v>
          </cell>
        </row>
        <row r="101">
          <cell r="A101" t="str">
            <v>Axa Seguros, S.A. De C.V.</v>
          </cell>
          <cell r="B101" t="str">
            <v>ASE931116231</v>
          </cell>
        </row>
        <row r="102">
          <cell r="A102" t="str">
            <v>Balam Comercio Exterior Mr. SA de CV</v>
          </cell>
          <cell r="B102" t="str">
            <v>BCE101029KF8</v>
          </cell>
        </row>
        <row r="103">
          <cell r="A103" t="str">
            <v>Bas International Certification Co. S.C.</v>
          </cell>
          <cell r="B103" t="str">
            <v>BIC110928LH3</v>
          </cell>
        </row>
        <row r="104">
          <cell r="A104" t="str">
            <v>BCM Business Consultants Management, S.C.</v>
          </cell>
          <cell r="B104" t="str">
            <v>BBC0602014Q6</v>
          </cell>
        </row>
        <row r="105">
          <cell r="A105" t="str">
            <v>Bengoshi Servicios Corporativos SC</v>
          </cell>
          <cell r="B105" t="str">
            <v>BSC090213MP5</v>
          </cell>
        </row>
        <row r="106">
          <cell r="A106" t="str">
            <v>Bereshiit Sherpa, S. De R.L. De C.V.</v>
          </cell>
          <cell r="B106" t="str">
            <v>BSH1506265B7</v>
          </cell>
        </row>
        <row r="107">
          <cell r="A107" t="str">
            <v>Berumen Y Asociados, S.A. De C.V.</v>
          </cell>
          <cell r="B107" t="str">
            <v>BAS9203045G8</v>
          </cell>
        </row>
        <row r="108">
          <cell r="A108" t="str">
            <v>Berzerk SA de CV</v>
          </cell>
          <cell r="B108" t="str">
            <v>BER130520RR5</v>
          </cell>
        </row>
        <row r="109">
          <cell r="A109" t="str">
            <v>Best Id De México, S.A. De C.V.</v>
          </cell>
          <cell r="B109" t="str">
            <v>BIM1704217S8</v>
          </cell>
        </row>
        <row r="110">
          <cell r="A110" t="str">
            <v>Bimcon, S.C.</v>
          </cell>
          <cell r="B110" t="str">
            <v>BIM1309132DA</v>
          </cell>
        </row>
        <row r="111">
          <cell r="A111" t="str">
            <v>Bimsa Reports SA de CV</v>
          </cell>
          <cell r="B111" t="str">
            <v>BRE9705228S3</v>
          </cell>
        </row>
        <row r="112">
          <cell r="A112" t="str">
            <v>Bio Green Products, S.A. De C.V.</v>
          </cell>
          <cell r="B112" t="str">
            <v>BGP140314BQ5</v>
          </cell>
        </row>
        <row r="113">
          <cell r="A113" t="str">
            <v>Biolights Solutions, S.A. De C.V.</v>
          </cell>
          <cell r="B113" t="str">
            <v>BSO130207QG7</v>
          </cell>
        </row>
        <row r="114">
          <cell r="A114" t="str">
            <v>Biomédica De México, S.A. De C.V.</v>
          </cell>
          <cell r="B114" t="str">
            <v>BME941124C21</v>
          </cell>
        </row>
        <row r="115">
          <cell r="A115" t="str">
            <v>Bla Bla Bla Contenidos, S.C.</v>
          </cell>
          <cell r="B115" t="str">
            <v>BBB160309FU5</v>
          </cell>
        </row>
        <row r="116">
          <cell r="A116" t="str">
            <v>Black Car Transportación, S.A. De C.V.</v>
          </cell>
          <cell r="B116" t="str">
            <v>BCT141021PA5</v>
          </cell>
        </row>
        <row r="117">
          <cell r="A117" t="str">
            <v>Blegam Corp, S.A. De C.V.</v>
          </cell>
          <cell r="B117" t="str">
            <v>BCO101122JN6</v>
          </cell>
        </row>
        <row r="118">
          <cell r="A118" t="str">
            <v>Blue &amp; Green Servicios Y Soluciones Al Medio Ambiente, S.A. De C.V.</v>
          </cell>
          <cell r="B118" t="str">
            <v>BAG1106299U7</v>
          </cell>
        </row>
        <row r="119">
          <cell r="A119" t="str">
            <v>Blue Ocean Technologies SA de CV</v>
          </cell>
          <cell r="B119" t="str">
            <v>BOT080828ADA</v>
          </cell>
        </row>
        <row r="120">
          <cell r="A120" t="str">
            <v>Bojma De México, S.A. De C.V.</v>
          </cell>
          <cell r="B120" t="str">
            <v>BME100325TP5</v>
          </cell>
        </row>
        <row r="121">
          <cell r="A121" t="str">
            <v>Borgonio &amp; Rojas Consulting, S.C.</v>
          </cell>
          <cell r="B121" t="str">
            <v>BAR1205142A6</v>
          </cell>
        </row>
        <row r="122">
          <cell r="A122" t="str">
            <v>Botanas Y Productos Energéticos, S.A. De C.V.</v>
          </cell>
          <cell r="B122" t="str">
            <v>BPE9503282S3</v>
          </cell>
        </row>
        <row r="123">
          <cell r="A123" t="str">
            <v>Bpm4 Travel SC</v>
          </cell>
          <cell r="B123" t="str">
            <v>BCT090914HJ6</v>
          </cell>
        </row>
        <row r="124">
          <cell r="A124" t="str">
            <v>Brüdecom, S.A. De C.V.</v>
          </cell>
          <cell r="B124" t="str">
            <v>BRU150911FD5</v>
          </cell>
        </row>
        <row r="125">
          <cell r="A125" t="str">
            <v>Bufete De Informática y Organización SA de CV</v>
          </cell>
          <cell r="B125" t="str">
            <v>BIO890925RE7</v>
          </cell>
        </row>
        <row r="126">
          <cell r="A126" t="str">
            <v>Burst Com SA de CV</v>
          </cell>
          <cell r="B126" t="str">
            <v>BCO090130HN3</v>
          </cell>
        </row>
        <row r="127">
          <cell r="A127" t="str">
            <v>Bvqi Mexicana, S.A. De C.V</v>
          </cell>
          <cell r="B127" t="str">
            <v>BME980708LL1</v>
          </cell>
        </row>
        <row r="128">
          <cell r="A128" t="str">
            <v>C.I. Leam, S.A. De C.V.</v>
          </cell>
          <cell r="B128" t="str">
            <v>CLE150714IR3</v>
          </cell>
        </row>
        <row r="129">
          <cell r="A129" t="str">
            <v>C.L. Editorial Praxis, S.A. De C.V.</v>
          </cell>
          <cell r="B129" t="str">
            <v>CLE9207094M5</v>
          </cell>
        </row>
        <row r="130">
          <cell r="A130" t="str">
            <v>C.T.C. de México, S.A. de C.V.</v>
          </cell>
          <cell r="B130" t="str">
            <v>CTC760309LD2</v>
          </cell>
        </row>
        <row r="131">
          <cell r="A131" t="str">
            <v>Cablevisión, S.A. De C.V.</v>
          </cell>
          <cell r="B131" t="str">
            <v>CAB6610044K1</v>
          </cell>
        </row>
        <row r="132">
          <cell r="A132" t="str">
            <v>Cadgrafics, S.A. De C.V.</v>
          </cell>
          <cell r="B132" t="str">
            <v>CAD901017276</v>
          </cell>
        </row>
        <row r="133">
          <cell r="A133" t="str">
            <v>Café 1810, S.A. De C.V.</v>
          </cell>
          <cell r="B133" t="str">
            <v>CMO111004CI3</v>
          </cell>
        </row>
        <row r="134">
          <cell r="A134" t="str">
            <v>Caja Electrónica, S.A.</v>
          </cell>
          <cell r="B134" t="str">
            <v>CEL870528727</v>
          </cell>
        </row>
        <row r="135">
          <cell r="A135" t="str">
            <v>Cajas Para Archivo, S.A. de C.V.</v>
          </cell>
          <cell r="B135" t="str">
            <v>CAR990512379</v>
          </cell>
        </row>
        <row r="136">
          <cell r="A136" t="str">
            <v>Calidad y Negocios Faih SA de CV</v>
          </cell>
          <cell r="B136" t="str">
            <v>CNF031124N73</v>
          </cell>
        </row>
        <row r="137">
          <cell r="A137" t="str">
            <v>Calzada Construcciones SA de CV</v>
          </cell>
          <cell r="B137" t="str">
            <v>CCO980814BU4</v>
          </cell>
        </row>
        <row r="138">
          <cell r="A138" t="str">
            <v>Camerier, S.A. De C.V.</v>
          </cell>
          <cell r="B138" t="str">
            <v>CAM140321F13</v>
          </cell>
        </row>
        <row r="139">
          <cell r="A139" t="str">
            <v xml:space="preserve">Caminos y Puentes Federales de Ingresos y Servicios Conexos </v>
          </cell>
          <cell r="B139" t="str">
            <v>CPF6307036N8</v>
          </cell>
        </row>
        <row r="140">
          <cell r="A140" t="str">
            <v>Capacitación Y Consultoría Organizacional SA de CV</v>
          </cell>
          <cell r="B140" t="str">
            <v>CCO040312V35</v>
          </cell>
        </row>
        <row r="141">
          <cell r="A141" t="str">
            <v>Carlos Corral Y Asociados, S.C.</v>
          </cell>
          <cell r="B141" t="str">
            <v>CCA890918423</v>
          </cell>
        </row>
        <row r="142">
          <cell r="A142" t="str">
            <v>Casa De La Amistad Para Niños Con Cáncer I.A.P.</v>
          </cell>
          <cell r="B142" t="str">
            <v>CAN980724KJ0</v>
          </cell>
        </row>
        <row r="143">
          <cell r="A143" t="str">
            <v>Caudae, S.C.</v>
          </cell>
          <cell r="B143" t="str">
            <v>CAU141201FH0</v>
          </cell>
        </row>
        <row r="144">
          <cell r="A144" t="str">
            <v>Cen Systems, S.A. de C.V.</v>
          </cell>
          <cell r="B144" t="str">
            <v>CSY100128PK5</v>
          </cell>
        </row>
        <row r="145">
          <cell r="A145" t="str">
            <v>Cenacce, S.C.</v>
          </cell>
          <cell r="B145" t="str">
            <v>CEN020207PF4</v>
          </cell>
        </row>
        <row r="146">
          <cell r="A146" t="str">
            <v>Centro Académico Especializado En Ciencias Jurídicas y Criminológicas SC</v>
          </cell>
          <cell r="B146" t="str">
            <v>CAE110503MW1</v>
          </cell>
        </row>
        <row r="147">
          <cell r="A147" t="str">
            <v>Centro Automotriz Coyoacán, S.A. De C.V.</v>
          </cell>
          <cell r="B147" t="str">
            <v>CAC920120RS1</v>
          </cell>
        </row>
        <row r="148">
          <cell r="A148" t="str">
            <v>Centro De Audio Video Y Comunicaciones SA de CV</v>
          </cell>
          <cell r="B148" t="str">
            <v>CAV970312KZ9</v>
          </cell>
        </row>
        <row r="149">
          <cell r="A149" t="str">
            <v>Centro De Estudio De Inteligencia Estratégica, S.A. De C.V.</v>
          </cell>
          <cell r="B149" t="str">
            <v>CEI020589W4</v>
          </cell>
        </row>
        <row r="150">
          <cell r="A150" t="str">
            <v>Centro De Estudios Profesionales Renacimiento, S.C.</v>
          </cell>
          <cell r="B150" t="str">
            <v>CEP0310298U8</v>
          </cell>
        </row>
        <row r="151">
          <cell r="A151" t="str">
            <v>Centro De Estudios Superiores En Contrataciones Publicas, A.C.</v>
          </cell>
          <cell r="B151" t="str">
            <v>CES17011182</v>
          </cell>
        </row>
        <row r="152">
          <cell r="A152" t="str">
            <v>Centro De Instrumentación Y Registro Sísmico, A.C.</v>
          </cell>
          <cell r="B152" t="str">
            <v>CIR860619EC9</v>
          </cell>
        </row>
        <row r="153">
          <cell r="A153" t="str">
            <v>Centro De Investigación Interdisciplinario Del Estado De México SC</v>
          </cell>
          <cell r="B153" t="str">
            <v>CII140829T20</v>
          </cell>
        </row>
        <row r="154">
          <cell r="A154" t="str">
            <v>Centro De Publicaciones E Información De La OCDE En México</v>
          </cell>
          <cell r="B154" t="str">
            <v>CPI960419I89</v>
          </cell>
        </row>
        <row r="155">
          <cell r="A155" t="str">
            <v>Centro Industrial Ferretero, S.A. De C.V.</v>
          </cell>
          <cell r="B155" t="str">
            <v>CIF9204095U3</v>
          </cell>
        </row>
        <row r="156">
          <cell r="A156" t="str">
            <v>Cetec Marina, S.C.</v>
          </cell>
          <cell r="B156" t="str">
            <v>CMA011116PM5</v>
          </cell>
        </row>
        <row r="157">
          <cell r="A157" t="str">
            <v>CHS Zaragoza Motors, S.A. De C.V.</v>
          </cell>
          <cell r="B157" t="str">
            <v>CZM970425J66</v>
          </cell>
        </row>
        <row r="158">
          <cell r="A158" t="str">
            <v>Cicovisa, S.A. De C.V.</v>
          </cell>
          <cell r="B158" t="str">
            <v>CIC8308165A4</v>
          </cell>
        </row>
        <row r="159">
          <cell r="A159" t="str">
            <v>City Garden México SA de CV</v>
          </cell>
          <cell r="B159" t="str">
            <v>CGM1407077Q3</v>
          </cell>
        </row>
        <row r="160">
          <cell r="A160" t="str">
            <v>Clipware, S.C.</v>
          </cell>
          <cell r="B160" t="str">
            <v>CLI931122QP4</v>
          </cell>
        </row>
        <row r="161">
          <cell r="A161" t="str">
            <v>Código Genético Empresarial, S.A. De C.V.</v>
          </cell>
          <cell r="B161" t="str">
            <v>CGE141216K26</v>
          </cell>
        </row>
        <row r="162">
          <cell r="A162" t="str">
            <v>Coffee Food And Service, S.A. De C.V.</v>
          </cell>
          <cell r="B162" t="str">
            <v>CFS950907SY1</v>
          </cell>
        </row>
        <row r="163">
          <cell r="A163" t="str">
            <v>Colchas México, S.A. De C.V.</v>
          </cell>
          <cell r="B163" t="str">
            <v>CME5910277L0</v>
          </cell>
        </row>
        <row r="164">
          <cell r="A164" t="str">
            <v>Colectivo De Investigación, Desarrollo Y Educación Entre Mujeres, A.C.</v>
          </cell>
          <cell r="B164" t="str">
            <v>CID951006PG6</v>
          </cell>
        </row>
        <row r="165">
          <cell r="A165" t="str">
            <v>Colegio De Medicina Interna De México, A.C.</v>
          </cell>
          <cell r="B165" t="str">
            <v>CMI831205NH2</v>
          </cell>
        </row>
        <row r="166">
          <cell r="A166" t="str">
            <v>Colinas De Buen SA de CV</v>
          </cell>
          <cell r="B166" t="str">
            <v>CBU831230ETA</v>
          </cell>
        </row>
        <row r="167">
          <cell r="A167" t="str">
            <v>Color Cassettes, S.A. De C.V.</v>
          </cell>
          <cell r="B167" t="str">
            <v>CCA830113QZ4</v>
          </cell>
        </row>
        <row r="168">
          <cell r="A168" t="str">
            <v>Combat Medic International SA de CV</v>
          </cell>
          <cell r="B168" t="str">
            <v>CMI1305152C1</v>
          </cell>
        </row>
        <row r="169">
          <cell r="A169" t="str">
            <v>Comercial De Impresos San Jorge, S.A. De C.V.</v>
          </cell>
          <cell r="B169" t="str">
            <v>CIS880620DI5</v>
          </cell>
        </row>
        <row r="170">
          <cell r="A170" t="str">
            <v>Comercial Distribuidora Helimax, S.A. De C.V.</v>
          </cell>
          <cell r="B170" t="str">
            <v>CDH0503035P3</v>
          </cell>
        </row>
        <row r="171">
          <cell r="A171" t="str">
            <v>Comercializadora Bandick, S.A. De C.V.</v>
          </cell>
          <cell r="B171" t="str">
            <v>CBA070607UT3</v>
          </cell>
        </row>
        <row r="172">
          <cell r="A172" t="str">
            <v>Comercializadora De Impresos Om SA de CV</v>
          </cell>
          <cell r="B172" t="str">
            <v>CIO130923MT1</v>
          </cell>
        </row>
        <row r="173">
          <cell r="A173" t="str">
            <v>Comercializadora El Reloj, S.A. De C.V.</v>
          </cell>
          <cell r="B173" t="str">
            <v>CRE9908301S3</v>
          </cell>
        </row>
        <row r="174">
          <cell r="A174" t="str">
            <v>Comercializadora En Soluciones Integrales Logicommerce, S.A. De C.V.</v>
          </cell>
          <cell r="B174" t="str">
            <v>CSI080130HQ6</v>
          </cell>
        </row>
        <row r="175">
          <cell r="A175" t="str">
            <v>Comercializadora Escorpiogem, S.A. De C.V.</v>
          </cell>
          <cell r="B175" t="str">
            <v>CES130820KG2</v>
          </cell>
        </row>
        <row r="176">
          <cell r="A176" t="str">
            <v>Comercializadora Fire One SA de CV</v>
          </cell>
          <cell r="B176" t="str">
            <v>CFO070403LC2</v>
          </cell>
        </row>
        <row r="177">
          <cell r="A177" t="str">
            <v>Comercializadora Internacional KUun, S.A. De C.V.</v>
          </cell>
          <cell r="B177" t="str">
            <v>CIK110624EJ6</v>
          </cell>
        </row>
        <row r="178">
          <cell r="A178" t="str">
            <v>Comercializadora La Acción, S.A. De C.V.</v>
          </cell>
          <cell r="B178" t="str">
            <v>CAC1402058H4</v>
          </cell>
        </row>
        <row r="179">
          <cell r="A179" t="str">
            <v>Comercializadora Leonedy, S.A. De C.V.</v>
          </cell>
          <cell r="B179" t="str">
            <v>CLE130820HS3</v>
          </cell>
        </row>
        <row r="180">
          <cell r="A180" t="str">
            <v>Comercializadora Novang SA de CV</v>
          </cell>
          <cell r="B180" t="str">
            <v>CNO051024TQ8</v>
          </cell>
        </row>
        <row r="181">
          <cell r="A181" t="str">
            <v>Comercializadora Promotodo, S.A. De C.V.</v>
          </cell>
          <cell r="B181" t="str">
            <v>CPR961125346</v>
          </cell>
        </row>
        <row r="182">
          <cell r="A182" t="str">
            <v>Comercializadora y Distribuidora 2011, S.A. de C.V.</v>
          </cell>
          <cell r="B182" t="str">
            <v>CDD110509A36</v>
          </cell>
        </row>
        <row r="183">
          <cell r="A183" t="str">
            <v>Comercializadora Zucrel, S.A. De C.V.</v>
          </cell>
          <cell r="B183" t="str">
            <v>CZU120809MM1</v>
          </cell>
        </row>
        <row r="184">
          <cell r="A184" t="str">
            <v>Comercio Y Equipo, S.A. De C.V.</v>
          </cell>
          <cell r="B184" t="str">
            <v>CEQ030402790</v>
          </cell>
        </row>
        <row r="185">
          <cell r="A185" t="str">
            <v>Comiempsa, S.A. De C.V.</v>
          </cell>
          <cell r="B185" t="str">
            <v>COM070704K12</v>
          </cell>
        </row>
        <row r="186">
          <cell r="A186" t="str">
            <v>Communications For Distribution, S.A. De C.V.</v>
          </cell>
          <cell r="B186" t="str">
            <v>CFD050701MS3</v>
          </cell>
        </row>
        <row r="187">
          <cell r="A187" t="str">
            <v>Compañía Extinguidores Latinos Mexicanos, S.A.</v>
          </cell>
          <cell r="B187" t="str">
            <v>ELM8001186BA</v>
          </cell>
        </row>
        <row r="188">
          <cell r="A188" t="str">
            <v>Compañia Operadora De Estacionamientos Mexicanos SA de CV</v>
          </cell>
          <cell r="B188" t="str">
            <v>OEM920612B67</v>
          </cell>
        </row>
        <row r="189">
          <cell r="A189" t="str">
            <v>Complete Language Services, S.C.</v>
          </cell>
          <cell r="B189" t="str">
            <v>CLS951213BG7</v>
          </cell>
        </row>
        <row r="190">
          <cell r="A190" t="str">
            <v>Compu Global Solutions SA de CV</v>
          </cell>
          <cell r="B190" t="str">
            <v>CGS140505Py1</v>
          </cell>
        </row>
        <row r="191">
          <cell r="A191" t="str">
            <v>Compucentro, S.A. De C.V.</v>
          </cell>
          <cell r="B191" t="str">
            <v>COM890206254</v>
          </cell>
        </row>
        <row r="192">
          <cell r="A192" t="str">
            <v>Compuedro, S.A. De C.V.</v>
          </cell>
          <cell r="B192" t="str">
            <v>COM1205031H8</v>
          </cell>
        </row>
        <row r="193">
          <cell r="A193" t="str">
            <v>Compulink Memory, S.A. De C.V.</v>
          </cell>
          <cell r="B193" t="str">
            <v>CME130626H13</v>
          </cell>
        </row>
        <row r="194">
          <cell r="A194" t="str">
            <v>Computer Land De Occidente SA de CV</v>
          </cell>
          <cell r="B194" t="str">
            <v>CLO980520AR3</v>
          </cell>
        </row>
        <row r="195">
          <cell r="A195" t="str">
            <v>Comtelsat, S.A. De C.V.</v>
          </cell>
          <cell r="B195" t="str">
            <v>COM010313SU8</v>
          </cell>
        </row>
        <row r="196">
          <cell r="A196" t="str">
            <v>Comunicación De Radio Y Luz De Emergencia, S.A. De C.V.</v>
          </cell>
          <cell r="B196" t="str">
            <v>CRL900521NV7</v>
          </cell>
        </row>
        <row r="197">
          <cell r="A197" t="str">
            <v>Comunicaciones Estratégicas Newlink, S.A. De C.V.</v>
          </cell>
          <cell r="B197" t="str">
            <v>CEN081124QV8</v>
          </cell>
        </row>
        <row r="198">
          <cell r="A198" t="str">
            <v>Concepto Risográfico SA de CV</v>
          </cell>
          <cell r="B198" t="str">
            <v>CRI901019HW5</v>
          </cell>
        </row>
        <row r="199">
          <cell r="A199" t="str">
            <v>Conceptos En Productividad Empresarial, S.A. De C.V.</v>
          </cell>
          <cell r="B199" t="str">
            <v>CPE060512H22</v>
          </cell>
        </row>
        <row r="200">
          <cell r="A200" t="str">
            <v>Conference Corporativo, S.C.</v>
          </cell>
          <cell r="B200" t="str">
            <v>CCO041127MS7</v>
          </cell>
        </row>
        <row r="201">
          <cell r="A201" t="str">
            <v>Connection Commerce &amp; Logistics, S.A. De C.V.</v>
          </cell>
          <cell r="B201" t="str">
            <v>CCA080820A46</v>
          </cell>
        </row>
        <row r="202">
          <cell r="A202" t="str">
            <v>Connext Soluciones, S.A. De C.V.</v>
          </cell>
          <cell r="B202" t="str">
            <v>CSO070507GC6</v>
          </cell>
        </row>
        <row r="203">
          <cell r="A203" t="str">
            <v>Consorcio Ad Merx, S. De R.L. De C.V.</v>
          </cell>
          <cell r="B203" t="str">
            <v>CAM1207186I9</v>
          </cell>
        </row>
        <row r="204">
          <cell r="A204" t="str">
            <v>Consorcio Audiovisa SA de CV</v>
          </cell>
          <cell r="B204" t="str">
            <v>CAU980825C56</v>
          </cell>
        </row>
        <row r="205">
          <cell r="A205" t="str">
            <v>Consorcio De Construcción Y Comunicación, S.A. De C.V.</v>
          </cell>
          <cell r="B205" t="str">
            <v>CCC000202QM1</v>
          </cell>
        </row>
        <row r="206">
          <cell r="A206" t="str">
            <v>Consorcio De Seguridad Privada Herrejón Y Ramírez, S.A. De C.V.</v>
          </cell>
          <cell r="B206" t="str">
            <v>CSP1504286J0</v>
          </cell>
        </row>
        <row r="207">
          <cell r="A207" t="str">
            <v>Consorcio Grafico Magno, S.A. De C.V.</v>
          </cell>
          <cell r="B207" t="str">
            <v>CGM1412084F0</v>
          </cell>
        </row>
        <row r="208">
          <cell r="A208" t="str">
            <v>Consprocon SA de CV</v>
          </cell>
          <cell r="B208" t="str">
            <v>CON130213988</v>
          </cell>
        </row>
        <row r="209">
          <cell r="A209" t="str">
            <v>Construcción Estructura y Paileria SA de CV</v>
          </cell>
          <cell r="B209" t="str">
            <v>CEP9311266U5</v>
          </cell>
        </row>
        <row r="210">
          <cell r="A210" t="str">
            <v>Construcción Y Asesoría En Obras Y Servicios SA de CV</v>
          </cell>
          <cell r="B210" t="str">
            <v>CAO070122P44</v>
          </cell>
        </row>
        <row r="211">
          <cell r="A211" t="str">
            <v>Construcción Y Estructuras Danmari, S.A. De C.V.</v>
          </cell>
          <cell r="B211" t="str">
            <v>CED1308207IA</v>
          </cell>
        </row>
        <row r="212">
          <cell r="A212" t="str">
            <v>Construcciones Ligeras Y Pesadas De México, S.A. De C.V.</v>
          </cell>
          <cell r="B212" t="str">
            <v>CLP8507138E3</v>
          </cell>
        </row>
        <row r="213">
          <cell r="A213" t="str">
            <v>Construcciones Nycpza, S.A. De C.V.</v>
          </cell>
          <cell r="B213" t="str">
            <v>CNY160516HP5</v>
          </cell>
        </row>
        <row r="214">
          <cell r="A214" t="str">
            <v>Construcciones Pausami, S.A. De C.V.</v>
          </cell>
          <cell r="B214" t="str">
            <v>CPA970613GK9</v>
          </cell>
        </row>
        <row r="215">
          <cell r="A215" t="str">
            <v>Construcciones Y Diseño Elisa, S.A. De C.V.</v>
          </cell>
          <cell r="B215" t="str">
            <v>CDE1404075I4</v>
          </cell>
        </row>
        <row r="216">
          <cell r="A216" t="str">
            <v>Construcciones Y Distribuciones Eléctricas Fyosa, S.A. De C.V.</v>
          </cell>
          <cell r="B216" t="str">
            <v>CDE020312E12</v>
          </cell>
        </row>
        <row r="217">
          <cell r="A217" t="str">
            <v>Construcciones Y Dragados Del Sureste, S.A. De C.V.</v>
          </cell>
          <cell r="B217" t="str">
            <v>CDS970212MV3</v>
          </cell>
        </row>
        <row r="218">
          <cell r="A218" t="str">
            <v>Construcciones Y Negocios Del Golfo, S.A. De C.V.</v>
          </cell>
          <cell r="B218" t="str">
            <v>CNG0808127R3</v>
          </cell>
        </row>
        <row r="219">
          <cell r="A219" t="str">
            <v>Constructora Aspe y Asociados SA de CV</v>
          </cell>
          <cell r="B219" t="str">
            <v>CAA081003LX7</v>
          </cell>
        </row>
        <row r="220">
          <cell r="A220" t="str">
            <v>Constructora E Inmobiliaria Ava SA de CV</v>
          </cell>
          <cell r="B220" t="str">
            <v>CIA940819UZ8</v>
          </cell>
        </row>
        <row r="221">
          <cell r="A221" t="str">
            <v>Constructora E Inmobiliaria De Espacios, S.A. De C.V.</v>
          </cell>
          <cell r="B221" t="str">
            <v>CIE040324AP1</v>
          </cell>
        </row>
        <row r="222">
          <cell r="A222" t="str">
            <v>Constructora Harps, S.A. De C.V.</v>
          </cell>
          <cell r="B222" t="str">
            <v>CHA121003PM0</v>
          </cell>
        </row>
        <row r="223">
          <cell r="A223" t="str">
            <v>Constructora Kalisa SA de CV</v>
          </cell>
          <cell r="B223" t="str">
            <v>CKA040402UGA</v>
          </cell>
        </row>
        <row r="224">
          <cell r="A224" t="str">
            <v>Constructora Terminal Sor Juana Tlalnepantla SA de CV</v>
          </cell>
          <cell r="B224" t="str">
            <v>CTS120720PF0</v>
          </cell>
        </row>
        <row r="225">
          <cell r="A225" t="str">
            <v>Consulting All Service In Telecom And Medice, S. De R. L. De C.V.</v>
          </cell>
          <cell r="B225" t="str">
            <v>CAS1211066S3</v>
          </cell>
        </row>
        <row r="226">
          <cell r="A226" t="str">
            <v>Consulting And Enterprise Integrations, S.A. De C.V.</v>
          </cell>
          <cell r="B226" t="str">
            <v>CEI0401121H9</v>
          </cell>
        </row>
        <row r="227">
          <cell r="A227" t="str">
            <v>Consultores En Sistemas Administrativos, S.A. De C.V.</v>
          </cell>
          <cell r="B227" t="str">
            <v>CSA981124KI7</v>
          </cell>
        </row>
        <row r="228">
          <cell r="A228" t="str">
            <v>Consultores Marnic, S.C.</v>
          </cell>
          <cell r="B228" t="str">
            <v>CMA050315G45</v>
          </cell>
        </row>
        <row r="229">
          <cell r="A229" t="str">
            <v>Consultores y Servicios En Calidad De Alimentos SA de CV</v>
          </cell>
          <cell r="B229" t="str">
            <v>CSC011218455</v>
          </cell>
        </row>
        <row r="230">
          <cell r="A230" t="str">
            <v>Consultores Y Soporte Amd, S.A. De C.V.</v>
          </cell>
          <cell r="B230" t="str">
            <v>CSA960827626</v>
          </cell>
        </row>
        <row r="231">
          <cell r="A231" t="str">
            <v>Consultoría Integral Vilzel, S.A. De C.V.</v>
          </cell>
          <cell r="B231" t="str">
            <v>CIV150128AF9</v>
          </cell>
        </row>
        <row r="232">
          <cell r="A232" t="str">
            <v>Consultoría Tecnologías y Gestión Del Conocimiento SA de CV</v>
          </cell>
          <cell r="B232" t="str">
            <v>CTG120706IG6</v>
          </cell>
        </row>
        <row r="233">
          <cell r="A233" t="str">
            <v>Consultoría Y Aplicaciones Avanzadas De ECM, S.A. De C.V.</v>
          </cell>
          <cell r="B233" t="str">
            <v>CAA050126TH6</v>
          </cell>
        </row>
        <row r="234">
          <cell r="A234" t="str">
            <v>Controles Y Diseño, S.A. De C.V.</v>
          </cell>
          <cell r="B234" t="str">
            <v>CDI020815TR5</v>
          </cell>
        </row>
        <row r="235">
          <cell r="A235" t="str">
            <v>Coordinadora y Desarrolladora P&amp;O SA de CV</v>
          </cell>
          <cell r="B235" t="str">
            <v>CDP110819QW6</v>
          </cell>
        </row>
        <row r="236">
          <cell r="A236" t="str">
            <v>Corporación Papelera El Sótano, S.A. De C.V.</v>
          </cell>
          <cell r="B236" t="str">
            <v>CPS040604RV8</v>
          </cell>
        </row>
        <row r="237">
          <cell r="A237" t="str">
            <v>Corporación Técnica Ambiental, S.A. De C.V.</v>
          </cell>
          <cell r="B237" t="str">
            <v>CTA8504269W2</v>
          </cell>
        </row>
        <row r="238">
          <cell r="A238" t="str">
            <v>Corporate Accon en conocimientos e Ingeniería, S.A. de C.V.</v>
          </cell>
          <cell r="B238" t="str">
            <v>CAC160323RE3</v>
          </cell>
        </row>
        <row r="239">
          <cell r="A239" t="str">
            <v>Corporativo Adferi Consultores Ambientales, S.A. De C.V.</v>
          </cell>
          <cell r="B239" t="str">
            <v>CAC9402147F4</v>
          </cell>
        </row>
        <row r="240">
          <cell r="A240" t="str">
            <v>Corporativo Adoal-Rot Manufacturing SA de CV</v>
          </cell>
          <cell r="B240" t="str">
            <v>CAM150715NQ3</v>
          </cell>
        </row>
        <row r="241">
          <cell r="A241" t="str">
            <v>Corporativo Alberdy, S.A. De C.V.</v>
          </cell>
          <cell r="B241" t="str">
            <v>CAL040311K70</v>
          </cell>
        </row>
        <row r="242">
          <cell r="A242" t="str">
            <v>Corporativo Asesores Sánchez Maluly / Sanmiguel, S.C.</v>
          </cell>
          <cell r="B242" t="str">
            <v>CAS940623569</v>
          </cell>
        </row>
        <row r="243">
          <cell r="A243" t="str">
            <v>Corporativo Coneltec, S.A De. C.V.</v>
          </cell>
          <cell r="B243" t="str">
            <v>CCO1110062T1</v>
          </cell>
        </row>
        <row r="244">
          <cell r="A244" t="str">
            <v>Corporativo Contraste SA de CV</v>
          </cell>
          <cell r="B244" t="str">
            <v>CCO9902231N0</v>
          </cell>
        </row>
        <row r="245">
          <cell r="A245" t="str">
            <v>Corporativo De Servicios Empresariales Y Gastronómicos, S.A. De C.V.</v>
          </cell>
          <cell r="B245" t="str">
            <v>CSE9810296W9</v>
          </cell>
        </row>
        <row r="246">
          <cell r="A246" t="str">
            <v>Corporativo Ebidar, S.A. De C.V.</v>
          </cell>
          <cell r="B246" t="str">
            <v>CEB070215L78</v>
          </cell>
        </row>
        <row r="247">
          <cell r="A247" t="str">
            <v>Corporativo H9, S.A. De C.V.</v>
          </cell>
          <cell r="B247" t="str">
            <v>CHX1612143I4</v>
          </cell>
        </row>
        <row r="248">
          <cell r="A248" t="str">
            <v>Corporativo Lederskap SA de CV</v>
          </cell>
          <cell r="B248" t="str">
            <v>CLE1410089W8</v>
          </cell>
        </row>
        <row r="249">
          <cell r="A249" t="str">
            <v>Corporativo Multidisciplinario BGG, S.A. De C.V.</v>
          </cell>
          <cell r="B249" t="str">
            <v>CMB140131576</v>
          </cell>
        </row>
        <row r="250">
          <cell r="A250" t="str">
            <v>Corporativo Profesional Cuellar, S.A. De C.V.</v>
          </cell>
          <cell r="B250" t="str">
            <v>CPC960910CY6</v>
          </cell>
        </row>
        <row r="251">
          <cell r="A251" t="str">
            <v>Corporativo Prográfico SA de CV</v>
          </cell>
          <cell r="B251" t="str">
            <v>CPR040818NI6</v>
          </cell>
        </row>
        <row r="252">
          <cell r="A252" t="str">
            <v>COS Informática México, S. De R.L. De C.V.</v>
          </cell>
          <cell r="B252" t="str">
            <v>CIM091022RS5</v>
          </cell>
        </row>
        <row r="253">
          <cell r="A253" t="str">
            <v>Cosmopapel, S.A. de C.V.</v>
          </cell>
          <cell r="B253" t="str">
            <v>COS060209D57</v>
          </cell>
        </row>
        <row r="254">
          <cell r="A254" t="str">
            <v>Cosmotech, S.A. De C.V.</v>
          </cell>
          <cell r="B254" t="str">
            <v>COS131119H97</v>
          </cell>
        </row>
        <row r="255">
          <cell r="A255" t="str">
            <v>Creatika Media Group, S.A. de C.V.</v>
          </cell>
          <cell r="B255" t="str">
            <v>CMG030213S26</v>
          </cell>
        </row>
        <row r="256">
          <cell r="A256" t="str">
            <v>Creativa Impresores SA de CV</v>
          </cell>
          <cell r="B256" t="str">
            <v>CIM020423GQ3</v>
          </cell>
        </row>
        <row r="257">
          <cell r="A257" t="str">
            <v>Creatividad Y Espectáculos, S.A. De C.V.</v>
          </cell>
          <cell r="B257" t="str">
            <v>CES010717LKA</v>
          </cell>
        </row>
        <row r="258">
          <cell r="A258" t="str">
            <v>Criba Taller Editorial, S.A. De C.V.</v>
          </cell>
          <cell r="B258" t="str">
            <v>CTE9210292F6</v>
          </cell>
        </row>
        <row r="259">
          <cell r="A259" t="str">
            <v>Crifasa, S.A. De C.V.</v>
          </cell>
          <cell r="B259" t="str">
            <v>CRI1001251M5</v>
          </cell>
        </row>
        <row r="260">
          <cell r="A260" t="str">
            <v>Crona SA de CV</v>
          </cell>
          <cell r="B260" t="str">
            <v>CRO1502241H2</v>
          </cell>
        </row>
        <row r="261">
          <cell r="A261" t="str">
            <v>CSI Dynamics, S.A. De C.V.</v>
          </cell>
          <cell r="B261" t="str">
            <v>CDY140627RC1</v>
          </cell>
        </row>
        <row r="262">
          <cell r="A262" t="str">
            <v>Csi Tactical And Balistic SA de CV</v>
          </cell>
          <cell r="B262" t="str">
            <v>CTB130716MAA</v>
          </cell>
        </row>
        <row r="263">
          <cell r="A263" t="str">
            <v>Cuartoscuro, S.A. De C.V.</v>
          </cell>
          <cell r="B263" t="str">
            <v>CUA900116227</v>
          </cell>
        </row>
        <row r="264">
          <cell r="A264" t="str">
            <v>Cultura Y Protocolo Gastronomía, S.C.</v>
          </cell>
          <cell r="B264" t="str">
            <v>CPG080212UV3</v>
          </cell>
        </row>
        <row r="265">
          <cell r="A265" t="str">
            <v>Custom Printing, S.A. De C.V.</v>
          </cell>
          <cell r="B265" t="str">
            <v>CPR1003296F8</v>
          </cell>
        </row>
        <row r="266">
          <cell r="A266" t="str">
            <v>D3 Ediciones SA de CV</v>
          </cell>
          <cell r="B266" t="str">
            <v>DED120709MI7</v>
          </cell>
        </row>
        <row r="267">
          <cell r="A267" t="str">
            <v>Dahfsa de México, S.A. de C.V.</v>
          </cell>
          <cell r="B267" t="str">
            <v>DME0905224P7</v>
          </cell>
        </row>
        <row r="268">
          <cell r="A268" t="str">
            <v>Dalia Women, S.A.P.I. de C.V.</v>
          </cell>
          <cell r="B268" t="str">
            <v>DWO170331HY1</v>
          </cell>
        </row>
        <row r="269">
          <cell r="A269" t="str">
            <v>Damovo México, S. De R.L. De C.V.</v>
          </cell>
          <cell r="B269" t="str">
            <v>DME000725ST5</v>
          </cell>
        </row>
        <row r="270">
          <cell r="A270" t="str">
            <v>Dango Entretenimiento, S.A. De C.V.</v>
          </cell>
          <cell r="B270" t="str">
            <v>DEN150901UB0</v>
          </cell>
        </row>
        <row r="271">
          <cell r="A271" t="str">
            <v>Darac Network Solutions, S.A. De C.V.</v>
          </cell>
          <cell r="B271" t="str">
            <v>DNS160721773</v>
          </cell>
        </row>
        <row r="272">
          <cell r="A272" t="str">
            <v>Data Warden, S.A. De C.V.</v>
          </cell>
          <cell r="B272" t="str">
            <v>DWA041125U40</v>
          </cell>
        </row>
        <row r="273">
          <cell r="A273" t="str">
            <v>Datapoint, S.A. De C.V.</v>
          </cell>
          <cell r="B273" t="str">
            <v>DAT8102046P7</v>
          </cell>
        </row>
        <row r="274">
          <cell r="A274" t="str">
            <v>Dbs Consultoría, S.C.</v>
          </cell>
          <cell r="B274" t="str">
            <v>DCO140912G37</v>
          </cell>
        </row>
        <row r="275">
          <cell r="A275" t="str">
            <v>Defensa Jurídica y Educación Para Mujeres SC</v>
          </cell>
          <cell r="B275" t="str">
            <v>DJE990506464</v>
          </cell>
        </row>
        <row r="276">
          <cell r="A276" t="str">
            <v>Deipi.Com SA de CV</v>
          </cell>
          <cell r="B276" t="str">
            <v>DCO061214FF6</v>
          </cell>
        </row>
        <row r="277">
          <cell r="A277" t="str">
            <v>Delectric, S.A. De C.V.</v>
          </cell>
          <cell r="B277" t="str">
            <v>DEL9112172G8</v>
          </cell>
        </row>
        <row r="278">
          <cell r="A278" t="str">
            <v>Delfos, Comunicación, Mercado Y Prospectiva, S.C.</v>
          </cell>
          <cell r="B278" t="str">
            <v>DM&amp;050126KF9</v>
          </cell>
        </row>
        <row r="279">
          <cell r="A279" t="str">
            <v>Delta Tiger, S.A. De C.V.</v>
          </cell>
          <cell r="B279" t="str">
            <v>DTI081211J61</v>
          </cell>
        </row>
        <row r="280">
          <cell r="A280" t="str">
            <v>Desarrolladora de Estacionamientos Privados SA de CV</v>
          </cell>
          <cell r="B280" t="str">
            <v>DEP931001T6</v>
          </cell>
        </row>
        <row r="281">
          <cell r="A281" t="str">
            <v>Desarrollo Y Tecnología Empresarial, S.A. De C.V.</v>
          </cell>
          <cell r="B281" t="str">
            <v>DTE000118N96</v>
          </cell>
        </row>
        <row r="282">
          <cell r="A282" t="str">
            <v>Desazolve Y Soluciones Ambientales, S.A. De C.V.</v>
          </cell>
          <cell r="B282" t="str">
            <v>DSA110104FG5</v>
          </cell>
        </row>
        <row r="283">
          <cell r="A283" t="str">
            <v>Desco De México, S.A.</v>
          </cell>
          <cell r="B283" t="str">
            <v>DME7611296B3</v>
          </cell>
        </row>
        <row r="284">
          <cell r="A284" t="str">
            <v>Despacho González Villanueva Y Asociados, S.C.</v>
          </cell>
          <cell r="B284" t="str">
            <v>DGV990215NEA</v>
          </cell>
        </row>
        <row r="285">
          <cell r="A285" t="str">
            <v>Despacho Lozada Hermanos, S.C.</v>
          </cell>
          <cell r="B285" t="str">
            <v>DLH101202UJ5</v>
          </cell>
        </row>
        <row r="286">
          <cell r="A286" t="str">
            <v>Dessa Muebles, S.A. De C.V.</v>
          </cell>
          <cell r="B286" t="str">
            <v>DMU9206035G5</v>
          </cell>
        </row>
        <row r="287">
          <cell r="A287" t="str">
            <v>Desysnet, Consultores De Opinión Y Estrategia, S.A. De C.V.</v>
          </cell>
          <cell r="B287" t="str">
            <v>DCO131210S70</v>
          </cell>
        </row>
        <row r="288">
          <cell r="A288" t="str">
            <v>Detección Y Supresión Inteligentes, S.A. De C.V.</v>
          </cell>
          <cell r="B288" t="str">
            <v>DSI010223ST6</v>
          </cell>
        </row>
        <row r="289">
          <cell r="A289" t="str">
            <v>Dextro Representaciones SA de CV</v>
          </cell>
          <cell r="B289" t="str">
            <v>DRE091204SP0</v>
          </cell>
        </row>
        <row r="290">
          <cell r="A290" t="str">
            <v>DGC, Consentir, Alimentos Sanos, S.A. De C.V.</v>
          </cell>
          <cell r="B290" t="str">
            <v>DCA140116M60</v>
          </cell>
        </row>
        <row r="291">
          <cell r="A291" t="str">
            <v>Dhimex Ciudad de México, S.A. de C.V.</v>
          </cell>
          <cell r="B291" t="str">
            <v>DCM060704I30</v>
          </cell>
        </row>
        <row r="292">
          <cell r="A292" t="str">
            <v>Diario Imagen SA de CV</v>
          </cell>
          <cell r="B292" t="str">
            <v>DIM1504148V6</v>
          </cell>
        </row>
        <row r="293">
          <cell r="A293" t="str">
            <v>Dicabriolet, S.A. De C.V.</v>
          </cell>
          <cell r="B293" t="str">
            <v>DIC990527GN6</v>
          </cell>
        </row>
        <row r="294">
          <cell r="A294" t="str">
            <v>Dicimex, S.A. De C.V.</v>
          </cell>
          <cell r="B294" t="str">
            <v>DIC85102518A</v>
          </cell>
        </row>
        <row r="295">
          <cell r="A295" t="str">
            <v>Difusión Comercial Y Tecnológica, S.A. De C.V.</v>
          </cell>
          <cell r="B295" t="str">
            <v>DCT110524AB5</v>
          </cell>
        </row>
        <row r="296">
          <cell r="A296" t="str">
            <v>Digilogics SA de CV</v>
          </cell>
          <cell r="B296" t="str">
            <v>DIG081024SR8</v>
          </cell>
        </row>
        <row r="297">
          <cell r="A297" t="str">
            <v>Dimensión Data Commerce Centre México, S.A. De C.V.</v>
          </cell>
          <cell r="B297" t="str">
            <v>DDC031103FW7</v>
          </cell>
        </row>
        <row r="298">
          <cell r="A298" t="str">
            <v>Discurseros SC</v>
          </cell>
          <cell r="B298" t="str">
            <v>DIS160505K49</v>
          </cell>
        </row>
        <row r="299">
          <cell r="A299" t="str">
            <v>Diseño Floral De Vanguardia Y Regalos, S.A. De C.V.</v>
          </cell>
          <cell r="B299" t="str">
            <v>DFV080325JG8</v>
          </cell>
        </row>
        <row r="300">
          <cell r="A300" t="str">
            <v>Diseño Ingeniería y Manufacturas SA de CV</v>
          </cell>
          <cell r="B300" t="str">
            <v>DIM911022PPA</v>
          </cell>
        </row>
        <row r="301">
          <cell r="A301" t="str">
            <v>Diseño Integral Alze SA de CV</v>
          </cell>
          <cell r="B301" t="str">
            <v>DIA100928DD6</v>
          </cell>
        </row>
        <row r="302">
          <cell r="A302" t="str">
            <v>Diseño y Construcción Activos, S.A. de C.V.</v>
          </cell>
          <cell r="B302" t="str">
            <v>DCA061027CZ8</v>
          </cell>
        </row>
        <row r="303">
          <cell r="A303" t="str">
            <v>Dispositivos Electrónicos y De Control SA de CV</v>
          </cell>
          <cell r="B303" t="str">
            <v>DEC7711299W6</v>
          </cell>
        </row>
        <row r="304">
          <cell r="A304" t="str">
            <v>DISTRIBUCION DE LIBROS MIGUEL ANGEL PORRUA SA DE CV</v>
          </cell>
          <cell r="B304" t="str">
            <v>DLM8904077E9</v>
          </cell>
        </row>
        <row r="305">
          <cell r="A305" t="str">
            <v>Distribuciones Limonta, S.A. De C.V.</v>
          </cell>
          <cell r="B305" t="str">
            <v>DLI0802258E4</v>
          </cell>
        </row>
        <row r="306">
          <cell r="A306" t="str">
            <v xml:space="preserve">Distribuidor Computacional Deco, S.A. de C.V. </v>
          </cell>
          <cell r="B306" t="str">
            <v>DCD090806GJ4</v>
          </cell>
        </row>
        <row r="307">
          <cell r="A307" t="str">
            <v>Distribuidor Urko y Drago SA de CV</v>
          </cell>
          <cell r="B307" t="str">
            <v>DUD100319QLA</v>
          </cell>
        </row>
        <row r="308">
          <cell r="A308" t="str">
            <v>Distribuidora Aplicada A Negocios De La Industria, S.A. De C.V.</v>
          </cell>
          <cell r="B308" t="str">
            <v>DAN140728G12</v>
          </cell>
        </row>
        <row r="309">
          <cell r="A309" t="str">
            <v>Distribuidora De Material Dental Y Hospitalario, S.A. De C.V.</v>
          </cell>
          <cell r="B309" t="str">
            <v>DMD911021FP5</v>
          </cell>
        </row>
        <row r="310">
          <cell r="A310" t="str">
            <v>Distribuidora Disom, S.A. De C.V.</v>
          </cell>
          <cell r="B310" t="str">
            <v>DDI150123PPA</v>
          </cell>
        </row>
        <row r="311">
          <cell r="A311" t="str">
            <v>Distribuidora Electrónica Brunca, S.A. De C.V.</v>
          </cell>
          <cell r="B311" t="str">
            <v>DEB890309SX0</v>
          </cell>
        </row>
        <row r="312">
          <cell r="A312" t="str">
            <v>Distribuidora Goba De Querétaro SA de CV</v>
          </cell>
          <cell r="B312" t="str">
            <v>DGQ9611278N9</v>
          </cell>
        </row>
        <row r="313">
          <cell r="A313" t="str">
            <v>Distribuidora Haikar, S.A. de C.V.</v>
          </cell>
          <cell r="B313" t="str">
            <v>DHA890317AP9</v>
          </cell>
        </row>
        <row r="314">
          <cell r="A314" t="str">
            <v>Distribuidora Jjb, S.A. De C.V.</v>
          </cell>
          <cell r="B314" t="str">
            <v>DJJ111024RU0</v>
          </cell>
        </row>
        <row r="315">
          <cell r="A315" t="str">
            <v>Distribuidora Marín, S.A. De C.V.</v>
          </cell>
          <cell r="B315" t="str">
            <v>DMA910808BZ1</v>
          </cell>
        </row>
        <row r="316">
          <cell r="A316" t="str">
            <v xml:space="preserve">Distribuidora Ojusami, S.A. de C.V. </v>
          </cell>
          <cell r="B316" t="str">
            <v>DOJ030211CU9</v>
          </cell>
        </row>
        <row r="317">
          <cell r="A317" t="str">
            <v>Distribuidora Santiago, S.A. De C.V.</v>
          </cell>
          <cell r="B317" t="str">
            <v>DSA770718UT1</v>
          </cell>
        </row>
        <row r="318">
          <cell r="A318" t="str">
            <v>Distribuidora Y Comercializadora Helios, S.A. De C.V.</v>
          </cell>
          <cell r="B318" t="str">
            <v>DCH140327HT8</v>
          </cell>
        </row>
        <row r="319">
          <cell r="A319" t="str">
            <v>Distribuidores Y Fabricantes De Artículos Escolares Y De Oficina, S.A. De C.V.</v>
          </cell>
          <cell r="B319" t="str">
            <v>DFA0701181Y4</v>
          </cell>
        </row>
        <row r="320">
          <cell r="A320" t="str">
            <v>Distrito Grupo Inmobiliario Del Norte SA de CV</v>
          </cell>
          <cell r="B320" t="str">
            <v>DGI140819MBA</v>
          </cell>
        </row>
        <row r="321">
          <cell r="A321" t="str">
            <v>Dita Software And Electronics SA de CV</v>
          </cell>
          <cell r="B321" t="str">
            <v>DSE160122I87</v>
          </cell>
        </row>
        <row r="322">
          <cell r="A322" t="str">
            <v>Dubon Logística Y Servicios, S.A. De C.V.</v>
          </cell>
          <cell r="B322" t="str">
            <v>DLS130819S16</v>
          </cell>
        </row>
        <row r="323">
          <cell r="A323" t="str">
            <v>Duty Cold, S.A. De C.V.</v>
          </cell>
          <cell r="B323" t="str">
            <v>DCO101130F17</v>
          </cell>
        </row>
        <row r="324">
          <cell r="A324" t="str">
            <v>Dyproisa Diseño y Proyectos de Ingeniería Industrial, S.A. de C.V.</v>
          </cell>
          <cell r="B324" t="str">
            <v>DDP1409198F2</v>
          </cell>
        </row>
        <row r="325">
          <cell r="A325" t="str">
            <v>Earn, S.A. De C.V.</v>
          </cell>
          <cell r="B325" t="str">
            <v>EAR971113AJ2</v>
          </cell>
        </row>
        <row r="326">
          <cell r="A326" t="str">
            <v>Ebcomm, S.A.P.I. De C.V.</v>
          </cell>
          <cell r="B326" t="str">
            <v>EBC060331DGA</v>
          </cell>
        </row>
        <row r="327">
          <cell r="A327" t="str">
            <v>Eclecsis Sinergia Y Tecnología, S. De R.L. De C.V.</v>
          </cell>
          <cell r="B327" t="str">
            <v>EST071221PZ0</v>
          </cell>
        </row>
        <row r="328">
          <cell r="A328" t="str">
            <v>Edenred México, S.A. De C.V.</v>
          </cell>
          <cell r="B328" t="str">
            <v>ASE930924SS7</v>
          </cell>
        </row>
        <row r="329">
          <cell r="A329" t="str">
            <v>Ediciones Andrade SA de CV</v>
          </cell>
          <cell r="B329" t="str">
            <v>EAN601108TN8</v>
          </cell>
        </row>
        <row r="330">
          <cell r="A330" t="str">
            <v>Ediciones La Biblioteca SA de CV</v>
          </cell>
          <cell r="B330" t="str">
            <v>EBI1310299M4</v>
          </cell>
        </row>
        <row r="331">
          <cell r="A331" t="str">
            <v>Edicionesakal México, S.A. de C.V.</v>
          </cell>
          <cell r="B331" t="str">
            <v>EAK100407RL9</v>
          </cell>
        </row>
        <row r="332">
          <cell r="A332" t="str">
            <v>Edinteligent S de RL de CV</v>
          </cell>
          <cell r="B332" t="str">
            <v>EDI060421GT0</v>
          </cell>
        </row>
        <row r="333">
          <cell r="A333" t="str">
            <v>Editores Buena Onda, S.A. de C.V.</v>
          </cell>
          <cell r="B333" t="str">
            <v>EBO981030HL7</v>
          </cell>
        </row>
        <row r="334">
          <cell r="A334" t="str">
            <v>Editores E Impresores Profesionales Edimpro, S.A. De C.V.</v>
          </cell>
          <cell r="B334" t="str">
            <v>EIP050728B1A</v>
          </cell>
        </row>
        <row r="335">
          <cell r="A335" t="str">
            <v>Editorial Porrúa, S.A. De C.V.</v>
          </cell>
          <cell r="B335" t="str">
            <v>EPO440314PK9</v>
          </cell>
        </row>
        <row r="336">
          <cell r="A336" t="str">
            <v>Educación Avanzada A Libro Abierto, S.A. De C.V.</v>
          </cell>
          <cell r="B336" t="str">
            <v>EAL1404256D3</v>
          </cell>
        </row>
        <row r="337">
          <cell r="A337" t="str">
            <v>Educación Matemática Hidalgo, S.C.</v>
          </cell>
          <cell r="B337" t="str">
            <v>EMH001123QT6</v>
          </cell>
        </row>
        <row r="338">
          <cell r="A338" t="str">
            <v>Efectivale, S. De R. L. De C. V.</v>
          </cell>
          <cell r="B338" t="str">
            <v>EFE8908015L3</v>
          </cell>
        </row>
        <row r="339">
          <cell r="A339" t="str">
            <v>Eficiencia en Ingeniería S.A. De C.V.</v>
          </cell>
          <cell r="B339" t="str">
            <v>EEI1009031Q7</v>
          </cell>
        </row>
        <row r="340">
          <cell r="A340" t="str">
            <v>Eisco Traducciones, S.A. De C.V.</v>
          </cell>
          <cell r="B340" t="str">
            <v>ETR941110KQ3</v>
          </cell>
        </row>
        <row r="341">
          <cell r="A341" t="str">
            <v>Ekomercio Electrónico, S.A. De C.V.</v>
          </cell>
          <cell r="B341" t="str">
            <v>EEL961104G96</v>
          </cell>
        </row>
        <row r="342">
          <cell r="A342" t="str">
            <v>El Tentero SC</v>
          </cell>
          <cell r="B342" t="str">
            <v>TEN130830NE1</v>
          </cell>
        </row>
        <row r="343">
          <cell r="A343" t="str">
            <v>El Tibet Arrendadora SA de CV</v>
          </cell>
          <cell r="B343" t="str">
            <v>TAR000428LW4</v>
          </cell>
        </row>
        <row r="344">
          <cell r="A344" t="str">
            <v>El Trébol Automotriz Ermita, S.A. de C.V.</v>
          </cell>
          <cell r="B344" t="str">
            <v>TAE870320RC9</v>
          </cell>
        </row>
        <row r="345">
          <cell r="A345" t="str">
            <v>Electrónica, Ingeniería Y Comunicaciones, S.A. De C.V.</v>
          </cell>
          <cell r="B345" t="str">
            <v>EIC840213GT2</v>
          </cell>
        </row>
        <row r="346">
          <cell r="A346" t="str">
            <v>Electropura, S. de R.L. De C.V.</v>
          </cell>
          <cell r="B346" t="str">
            <v>ELE9012281G2</v>
          </cell>
        </row>
        <row r="347">
          <cell r="A347" t="str">
            <v>Elevadores Otis, S. De R.L. De C.V.</v>
          </cell>
          <cell r="B347" t="str">
            <v>EOT631205877</v>
          </cell>
        </row>
        <row r="348">
          <cell r="A348" t="str">
            <v>Elevadores Schindler SA de CV</v>
          </cell>
          <cell r="B348" t="str">
            <v>ESC8911081Q8</v>
          </cell>
        </row>
        <row r="349">
          <cell r="A349" t="str">
            <v>Ella Marketing SA de CV</v>
          </cell>
          <cell r="B349" t="str">
            <v>EMA1507214N1</v>
          </cell>
        </row>
        <row r="350">
          <cell r="A350" t="str">
            <v>Empresas De Telecomunicación Del Cerro Chiquihuite, A.C.</v>
          </cell>
          <cell r="B350" t="str">
            <v>ETC950810RR6</v>
          </cell>
        </row>
        <row r="351">
          <cell r="A351" t="str">
            <v>Emsi Profesionistas Asociados SC</v>
          </cell>
          <cell r="B351" t="str">
            <v>EPA9406035WA</v>
          </cell>
        </row>
        <row r="352">
          <cell r="A352" t="str">
            <v>Enforcer Units Fire Service Pluse México, S.A. de C.V.</v>
          </cell>
          <cell r="B352" t="str">
            <v>EUF110124C4A</v>
          </cell>
        </row>
        <row r="353">
          <cell r="A353" t="str">
            <v>Englobar, S.A. De C.V.</v>
          </cell>
          <cell r="B353" t="str">
            <v>ENG050920SJ7</v>
          </cell>
        </row>
        <row r="354">
          <cell r="A354" t="str">
            <v>Enlace Corporativo Coa, S.A. De C.V.</v>
          </cell>
          <cell r="B354" t="str">
            <v>ECC091217RIA</v>
          </cell>
        </row>
        <row r="355">
          <cell r="A355" t="str">
            <v>Entreventos, S.A. De C.V.</v>
          </cell>
          <cell r="B355" t="str">
            <v>ENT090622EY1</v>
          </cell>
        </row>
        <row r="356">
          <cell r="A356" t="str">
            <v>Epro Electrónica, Servicio Y Asesoría, S.A. De C.V.</v>
          </cell>
          <cell r="B356" t="str">
            <v>EES070528JX7</v>
          </cell>
        </row>
        <row r="357">
          <cell r="A357" t="str">
            <v>Equipo Grafico, S.A. De C.V.</v>
          </cell>
          <cell r="B357" t="str">
            <v>EGR010521I50</v>
          </cell>
        </row>
        <row r="358">
          <cell r="A358" t="str">
            <v>Equipos Carlin De Morelos, S.A. De C.V.</v>
          </cell>
          <cell r="B358" t="str">
            <v>ECM110819NL3</v>
          </cell>
        </row>
        <row r="359">
          <cell r="A359" t="str">
            <v>Equipos Y Climas De México, S.A. De C.V.</v>
          </cell>
          <cell r="B359" t="str">
            <v>ECM840330286</v>
          </cell>
        </row>
        <row r="360">
          <cell r="A360" t="str">
            <v>Era Excelencia En Sillas Y Muebles Para Oficina, S.A. De C.V.</v>
          </cell>
          <cell r="B360" t="str">
            <v>EEE080312F65</v>
          </cell>
        </row>
        <row r="361">
          <cell r="A361" t="str">
            <v>Escalator, Elevator &amp; Electromechanics Enterprise, S.A. De C.V.</v>
          </cell>
          <cell r="B361" t="str">
            <v>EEA1006077G5</v>
          </cell>
        </row>
        <row r="362">
          <cell r="A362" t="str">
            <v>Escuela Mexicana De Archivos, A.C.</v>
          </cell>
          <cell r="B362" t="str">
            <v>EMA06013083A</v>
          </cell>
        </row>
        <row r="363">
          <cell r="A363" t="str">
            <v>Espacio Consultores SC</v>
          </cell>
          <cell r="B363" t="str">
            <v>ECO870602JA7</v>
          </cell>
        </row>
        <row r="364">
          <cell r="A364" t="str">
            <v>Especialidades Medico Odontológicas, S.A. De C.V.</v>
          </cell>
          <cell r="B364" t="str">
            <v>EMO910815PM5</v>
          </cell>
        </row>
        <row r="365">
          <cell r="A365" t="str">
            <v>Especialistas En Medios, S.A. De C.V.</v>
          </cell>
          <cell r="B365" t="str">
            <v>EME9408192F7</v>
          </cell>
        </row>
        <row r="366">
          <cell r="A366" t="str">
            <v>Estacionamientos Pumasa, S.A. De C.V.</v>
          </cell>
          <cell r="B366" t="str">
            <v>EPU060607C47</v>
          </cell>
        </row>
        <row r="367">
          <cell r="A367" t="str">
            <v>Estafeta Mexicana, S.A. de C.V.</v>
          </cell>
          <cell r="B367" t="str">
            <v>EME880309SK5</v>
          </cell>
        </row>
        <row r="368">
          <cell r="A368" t="str">
            <v>Estratec, S.A. de C.V.</v>
          </cell>
          <cell r="B368" t="str">
            <v>EST850718Q51</v>
          </cell>
        </row>
        <row r="369">
          <cell r="A369" t="str">
            <v>Estrategas En Liderazgo Success Team, S. De R.L. De C.V.</v>
          </cell>
          <cell r="B369" t="str">
            <v>ELS141223V48</v>
          </cell>
        </row>
        <row r="370">
          <cell r="A370" t="str">
            <v>Estrategia En Eventos Integrales, S.A. De C.V.</v>
          </cell>
          <cell r="B370" t="str">
            <v>EEI060608V47</v>
          </cell>
        </row>
        <row r="371">
          <cell r="A371" t="str">
            <v>Estrategia Total En Competitividad Nacional E Internacional, S.A. De C.V.</v>
          </cell>
          <cell r="B371" t="str">
            <v>ETC090612DM6</v>
          </cell>
        </row>
        <row r="372">
          <cell r="A372" t="str">
            <v>Estrategia Y Comercio Internacional Dm, S.A. De C.V.</v>
          </cell>
          <cell r="B372" t="str">
            <v>ECI081010D53</v>
          </cell>
        </row>
        <row r="373">
          <cell r="A373" t="str">
            <v>Estrategia Y Desarrollo Pro.Ambiance De México SA de CV</v>
          </cell>
          <cell r="B373" t="str">
            <v>EDP140924853</v>
          </cell>
        </row>
        <row r="374">
          <cell r="A374" t="str">
            <v>Estrategia y Eventos Exclusivos SA de CV</v>
          </cell>
          <cell r="B374" t="str">
            <v>EEE130423P43</v>
          </cell>
        </row>
        <row r="375">
          <cell r="A375" t="str">
            <v>Estructuras Digitales de México Comercializadora, S.A. de C.V.</v>
          </cell>
          <cell r="B375" t="str">
            <v>EDM090610E77</v>
          </cell>
        </row>
        <row r="376">
          <cell r="A376" t="str">
            <v>Estudios Clínicos Dr. T. J. Oriard, S.A. De C.V.</v>
          </cell>
          <cell r="B376" t="str">
            <v>ECD741021QA5</v>
          </cell>
        </row>
        <row r="377">
          <cell r="A377" t="str">
            <v>Eurobakery De México SA de CV</v>
          </cell>
          <cell r="B377" t="str">
            <v>EME110812L56</v>
          </cell>
        </row>
        <row r="378">
          <cell r="A378" t="str">
            <v>Excelencia En Comunicaciones Y Tecnología, S.A. De C.V.</v>
          </cell>
          <cell r="B378" t="str">
            <v>ECT9303302H6</v>
          </cell>
        </row>
        <row r="379">
          <cell r="A379" t="str">
            <v>Excelencia Medica, S.A. De C.V.</v>
          </cell>
          <cell r="B379" t="str">
            <v>EME971111ST5</v>
          </cell>
        </row>
        <row r="380">
          <cell r="A380" t="str">
            <v>Executive Business Consulting México SC</v>
          </cell>
          <cell r="B380" t="str">
            <v>EBC140116Hy2</v>
          </cell>
        </row>
        <row r="381">
          <cell r="A381" t="str">
            <v>Expertos En Computo Y Comunicaciones, S.A. De C.V.</v>
          </cell>
          <cell r="B381" t="str">
            <v>ECC990609FI3</v>
          </cell>
        </row>
        <row r="382">
          <cell r="A382" t="str">
            <v>Extensión Software Mx SA de CV</v>
          </cell>
          <cell r="B382" t="str">
            <v>GEI100129BI7</v>
          </cell>
        </row>
        <row r="383">
          <cell r="A383" t="str">
            <v>Exterminio Integral De Plagas E Higiene Ambiental SA de CV</v>
          </cell>
          <cell r="B383" t="str">
            <v>EIP130411Q51</v>
          </cell>
        </row>
        <row r="384">
          <cell r="A384" t="str">
            <v>Fabredi, S.A. De C.V.</v>
          </cell>
          <cell r="B384" t="str">
            <v>FAB010904I93</v>
          </cell>
        </row>
        <row r="385">
          <cell r="A385" t="str">
            <v>Fábrica De Andamios De Seguridad SA de CV</v>
          </cell>
          <cell r="B385" t="str">
            <v>FAS991116688</v>
          </cell>
        </row>
        <row r="386">
          <cell r="A386" t="str">
            <v>Fábrica De Blancos, S.A. De C.V.</v>
          </cell>
          <cell r="B386" t="str">
            <v>FBL010206IN8</v>
          </cell>
        </row>
        <row r="387">
          <cell r="A387" t="str">
            <v>Farmacias El Fenix Del Centro SA de CV</v>
          </cell>
          <cell r="B387" t="str">
            <v>FFC6611235C0</v>
          </cell>
        </row>
        <row r="388">
          <cell r="A388" t="str">
            <v>Farvisan Insumos Institucionales, S.A. De C.V.</v>
          </cell>
          <cell r="B388" t="str">
            <v>FII110204978</v>
          </cell>
        </row>
        <row r="389">
          <cell r="A389" t="str">
            <v>Fbm Comercializadora, S.A. De C.V.</v>
          </cell>
          <cell r="B389" t="str">
            <v>FCO110208GU7</v>
          </cell>
        </row>
        <row r="390">
          <cell r="A390" t="str">
            <v>Fecare SA de CV</v>
          </cell>
          <cell r="B390" t="str">
            <v>FEC011213D13</v>
          </cell>
        </row>
        <row r="391">
          <cell r="A391" t="str">
            <v>Federación De Colegios De Economistas De La República Mexicana AC</v>
          </cell>
          <cell r="B391" t="str">
            <v>CNE120927A60</v>
          </cell>
        </row>
        <row r="392">
          <cell r="A392" t="str">
            <v>Fehlmex SA de CV</v>
          </cell>
          <cell r="B392" t="str">
            <v>FEH781106F99</v>
          </cell>
        </row>
        <row r="393">
          <cell r="A393" t="str">
            <v>Fendis, S.A. De C.V.</v>
          </cell>
          <cell r="B393" t="str">
            <v>FEN020203M39</v>
          </cell>
        </row>
        <row r="394">
          <cell r="A394" t="str">
            <v>Fermetex SA de CV</v>
          </cell>
          <cell r="B394" t="str">
            <v>FER131217NU9</v>
          </cell>
        </row>
        <row r="395">
          <cell r="A395" t="str">
            <v>Ferrer Consulting Group, S.C.</v>
          </cell>
          <cell r="B395" t="str">
            <v>FCG150213178</v>
          </cell>
        </row>
        <row r="396">
          <cell r="A396" t="str">
            <v>Ferretería Portales, S.A. De C.V.</v>
          </cell>
          <cell r="B396" t="str">
            <v>FPO5205219L4</v>
          </cell>
        </row>
        <row r="397">
          <cell r="A397" t="str">
            <v>Ferretería Santander, S.A. De C.V.</v>
          </cell>
          <cell r="B397" t="str">
            <v>FSA680618RE3</v>
          </cell>
        </row>
        <row r="398">
          <cell r="A398" t="str">
            <v>FGC Valuaciones, S.C</v>
          </cell>
          <cell r="B398" t="str">
            <v>FVA980723AW1</v>
          </cell>
        </row>
        <row r="399">
          <cell r="A399" t="str">
            <v>Fibercom, S.A. De C.V.</v>
          </cell>
          <cell r="B399" t="str">
            <v>FIB0303042Z6</v>
          </cell>
        </row>
        <row r="400">
          <cell r="A400" t="str">
            <v>File Service De México, S.A. De C.V.</v>
          </cell>
          <cell r="B400" t="str">
            <v>FSM9811164P1</v>
          </cell>
        </row>
        <row r="401">
          <cell r="A401" t="str">
            <v>Filtracion Productiva, S.A. De C.V.</v>
          </cell>
          <cell r="B401" t="str">
            <v>FPR871112U51</v>
          </cell>
        </row>
        <row r="402">
          <cell r="A402" t="str">
            <v>Final Solutions, S.A. De C.V.</v>
          </cell>
          <cell r="B402" t="str">
            <v>FSO050217AN6</v>
          </cell>
        </row>
        <row r="403">
          <cell r="A403" t="str">
            <v>Fomento Automotriz Y Servicio Al Transporte, S.A. De C.V.</v>
          </cell>
          <cell r="B403" t="str">
            <v>FAS8509247IA</v>
          </cell>
        </row>
        <row r="404">
          <cell r="A404" t="str">
            <v>Fonatur Mantenimiento Turístico, S.A. De C.V.</v>
          </cell>
          <cell r="B404" t="str">
            <v>NHB770831BW3</v>
          </cell>
        </row>
        <row r="405">
          <cell r="A405" t="str">
            <v>Fondo De Cultura Económica</v>
          </cell>
          <cell r="B405" t="str">
            <v>FCE940726U22</v>
          </cell>
        </row>
        <row r="406">
          <cell r="A406" t="str">
            <v>Fondo Nacional Para El Fomento De Las Artesanías</v>
          </cell>
          <cell r="B406" t="str">
            <v>FNF740528TQ0</v>
          </cell>
        </row>
        <row r="407">
          <cell r="A407" t="str">
            <v>Fondo Para La Paz I.A.P.</v>
          </cell>
          <cell r="B407" t="str">
            <v>FPI940225PB4</v>
          </cell>
        </row>
        <row r="408">
          <cell r="A408" t="str">
            <v>Forlac Store SA de CV</v>
          </cell>
          <cell r="B408" t="str">
            <v>FST1310074I1</v>
          </cell>
        </row>
        <row r="409">
          <cell r="A409" t="str">
            <v>Fortalitia, S.A. De C.V.</v>
          </cell>
          <cell r="B409" t="str">
            <v>FOR060213N45</v>
          </cell>
        </row>
        <row r="410">
          <cell r="A410" t="str">
            <v>Foto Regis Compañía Importadora Fotográfica, S.A. De C.V.</v>
          </cell>
          <cell r="B410" t="str">
            <v>FRI670920AS8</v>
          </cell>
        </row>
        <row r="411">
          <cell r="A411" t="str">
            <v>Fotogenia SA de CV</v>
          </cell>
          <cell r="B411" t="str">
            <v>FOT940525HB9</v>
          </cell>
        </row>
        <row r="412">
          <cell r="A412" t="str">
            <v>Four JS Development Tools Latinoamérica, S.A. De C.V.</v>
          </cell>
          <cell r="B412" t="str">
            <v>FJS0005021F1</v>
          </cell>
        </row>
        <row r="413">
          <cell r="A413" t="str">
            <v>Free Marketing SA de CV</v>
          </cell>
          <cell r="B413" t="str">
            <v>FMA140304EY9</v>
          </cell>
        </row>
        <row r="414">
          <cell r="A414" t="str">
            <v>Fridmay, S.A. De C.V.</v>
          </cell>
          <cell r="B414" t="str">
            <v>FRI0006282Q0</v>
          </cell>
        </row>
        <row r="415">
          <cell r="A415" t="str">
            <v>Fuerza Y Tecnología En Ingeniería, S.A. De C.V.</v>
          </cell>
          <cell r="B415" t="str">
            <v>FTI0701173J7</v>
          </cell>
        </row>
        <row r="416">
          <cell r="A416" t="str">
            <v>Fuji Automotriz, S.A. De C.V.</v>
          </cell>
          <cell r="B416" t="str">
            <v>FAU810615SI8</v>
          </cell>
        </row>
        <row r="417">
          <cell r="A417" t="str">
            <v>Full Service de México, S.A. de C.V.</v>
          </cell>
          <cell r="B417" t="str">
            <v>FSM9302165A5</v>
          </cell>
        </row>
        <row r="418">
          <cell r="A418" t="str">
            <v>Full Services Supplier, S.A. De C.V.</v>
          </cell>
          <cell r="B418" t="str">
            <v>FSS140801745</v>
          </cell>
        </row>
        <row r="419">
          <cell r="A419" t="str">
            <v>Fumi-Dip Control De Plagas, S.A. De C.V.</v>
          </cell>
          <cell r="B419" t="str">
            <v>FCP0702164I3</v>
          </cell>
        </row>
        <row r="420">
          <cell r="A420" t="str">
            <v>Fundación Para La Implementación Diseño Evaluación Y Análisis De Políticas Públicas Fundación IDEA, A.C.</v>
          </cell>
          <cell r="B420" t="str">
            <v>FID050712MV7</v>
          </cell>
        </row>
        <row r="421">
          <cell r="A421" t="str">
            <v>Gabinete Twist, S. De R.L. De C.V.</v>
          </cell>
          <cell r="B421" t="str">
            <v>GTW070309CL8</v>
          </cell>
        </row>
        <row r="422">
          <cell r="A422" t="str">
            <v>Gabriel de la Vega Mora</v>
          </cell>
          <cell r="B422" t="str">
            <v>VEMG780623Q53</v>
          </cell>
        </row>
        <row r="423">
          <cell r="A423" t="str">
            <v>Gadxe, S.A. De C.V.</v>
          </cell>
          <cell r="B423" t="str">
            <v>GAD170208PM0</v>
          </cell>
        </row>
        <row r="424">
          <cell r="A424" t="str">
            <v>Galaz, Yamazaki, Ruiz Urquiza, S.C.</v>
          </cell>
          <cell r="B424" t="str">
            <v>GYR880101TL1</v>
          </cell>
        </row>
        <row r="425">
          <cell r="A425" t="str">
            <v>Galerías Chippendale, S.A. De C.V.</v>
          </cell>
          <cell r="B425" t="str">
            <v>GCI500928872</v>
          </cell>
        </row>
        <row r="426">
          <cell r="A426" t="str">
            <v>Galerías Muebles, S.A. De C.V.</v>
          </cell>
          <cell r="B426" t="str">
            <v>GMU050728Q86</v>
          </cell>
        </row>
        <row r="427">
          <cell r="A427" t="str">
            <v>Ganaderos Productores De Leche Pura, S.A.P.I. De C.V.</v>
          </cell>
          <cell r="B427" t="str">
            <v>GPL860521FW8</v>
          </cell>
        </row>
        <row r="428">
          <cell r="A428" t="str">
            <v xml:space="preserve">Gas Licuado de México, S.A. de C.V.  </v>
          </cell>
          <cell r="B428" t="str">
            <v>GLM4608019P3</v>
          </cell>
        </row>
        <row r="429">
          <cell r="A429" t="str">
            <v xml:space="preserve">Gas Licuado de México, S.A. de C.V.  </v>
          </cell>
          <cell r="B429" t="str">
            <v>GLM4608019P3</v>
          </cell>
        </row>
        <row r="430">
          <cell r="A430" t="str">
            <v>Gas Uribe, S.A. De C.V.</v>
          </cell>
          <cell r="B430" t="str">
            <v>GUR620306BZ7</v>
          </cell>
        </row>
        <row r="431">
          <cell r="A431" t="str">
            <v>Gastelum Ix, S.A. De C.V.</v>
          </cell>
          <cell r="B431" t="str">
            <v>GIX151118RT9</v>
          </cell>
        </row>
        <row r="432">
          <cell r="A432" t="str">
            <v>Gastronomía Preferente, S.A. De C.V.</v>
          </cell>
          <cell r="B432" t="str">
            <v>GPR130214BD0</v>
          </cell>
        </row>
        <row r="433">
          <cell r="A433" t="str">
            <v xml:space="preserve">Gbnetworks, S.A. De C.V.  </v>
          </cell>
          <cell r="B433" t="str">
            <v>GBN100426483</v>
          </cell>
        </row>
        <row r="434">
          <cell r="A434" t="str">
            <v>GDC Difusión Científica, S.A. De C.V.</v>
          </cell>
          <cell r="B434" t="str">
            <v>GDC070413NN7</v>
          </cell>
        </row>
        <row r="435">
          <cell r="A435" t="str">
            <v>Ge Equipo De Control Y Distribución S de RL de CV</v>
          </cell>
          <cell r="B435" t="str">
            <v>GEC9312206XA</v>
          </cell>
        </row>
        <row r="436">
          <cell r="A436" t="str">
            <v>Gea Grupo De Economistas Y Asociados, S.C.</v>
          </cell>
          <cell r="B436" t="str">
            <v>GGE900917M92</v>
          </cell>
        </row>
        <row r="437">
          <cell r="A437" t="str">
            <v>Gemad, S.A. De C.V.</v>
          </cell>
          <cell r="B437" t="str">
            <v>GEM161031I8A</v>
          </cell>
        </row>
        <row r="438">
          <cell r="A438" t="str">
            <v>General De Anuncios Publicitarios, S.A. De C.V.</v>
          </cell>
          <cell r="B438" t="str">
            <v>GAP050216AB1</v>
          </cell>
        </row>
        <row r="439">
          <cell r="A439" t="str">
            <v>General Paint, S.A. De C.V.</v>
          </cell>
          <cell r="B439" t="str">
            <v>GPA000412PG4</v>
          </cell>
        </row>
        <row r="440">
          <cell r="A440" t="str">
            <v>Génesis &amp; Éxodo SA de CV</v>
          </cell>
          <cell r="B440" t="str">
            <v>G&amp;E0408204M9</v>
          </cell>
        </row>
        <row r="441">
          <cell r="A441" t="str">
            <v>Gentase Gente y Talento Al Servicio SA de CV</v>
          </cell>
          <cell r="B441" t="str">
            <v>GGT150904768</v>
          </cell>
        </row>
        <row r="442">
          <cell r="A442" t="str">
            <v>Gesip, Centro Para La Gestión Integral Y Participativa, S.C.</v>
          </cell>
          <cell r="B442" t="str">
            <v>GCG041020HB2</v>
          </cell>
        </row>
        <row r="443">
          <cell r="A443" t="str">
            <v>Gestión y Edificación Inmobiliaria, S.A. de C.V.</v>
          </cell>
          <cell r="B443" t="str">
            <v>GEI081021V78</v>
          </cell>
        </row>
        <row r="444">
          <cell r="A444" t="str">
            <v>Getronics (México), S. De R.L. De C.V.</v>
          </cell>
          <cell r="B444" t="str">
            <v>GME980427NP3</v>
          </cell>
        </row>
        <row r="445">
          <cell r="A445" t="str">
            <v>Gianni Gaiti De México SA de CV</v>
          </cell>
          <cell r="B445" t="str">
            <v>GGM9606041K5</v>
          </cell>
        </row>
        <row r="446">
          <cell r="A446" t="str">
            <v>Gibitnet Soluciones Integrales, S.A. De C.V.</v>
          </cell>
          <cell r="B446" t="str">
            <v>GIT070607171</v>
          </cell>
        </row>
        <row r="447">
          <cell r="A447" t="str">
            <v>Gilsama Solutions S.A. De C.V.</v>
          </cell>
          <cell r="B447" t="str">
            <v>GSO041015G85</v>
          </cell>
        </row>
        <row r="448">
          <cell r="A448" t="str">
            <v>Gilsama, S.A. De C.V.</v>
          </cell>
          <cell r="B448" t="str">
            <v>GIL000904HW8</v>
          </cell>
        </row>
        <row r="449">
          <cell r="A449" t="str">
            <v>Giramsa SA de CV</v>
          </cell>
          <cell r="B449" t="str">
            <v>GIR050713QW0</v>
          </cell>
        </row>
        <row r="450">
          <cell r="A450" t="str">
            <v>Global Assurance Brokers Agente De Seguros Y De Fianzas, S.A. De C.V.</v>
          </cell>
          <cell r="B450" t="str">
            <v>GAB0709244G5</v>
          </cell>
        </row>
        <row r="451">
          <cell r="A451" t="str">
            <v>Glucosystem, S.A. De C.V.</v>
          </cell>
          <cell r="B451" t="str">
            <v>GLU0801179A0</v>
          </cell>
        </row>
        <row r="452">
          <cell r="A452" t="str">
            <v>Goitil SA de CV</v>
          </cell>
          <cell r="B452" t="str">
            <v>GOI100901FA5</v>
          </cell>
        </row>
        <row r="453">
          <cell r="A453" t="str">
            <v>Gp Construcciones Consultoría y Supervisión SA de CV</v>
          </cell>
          <cell r="B453" t="str">
            <v>GPC9109028V2</v>
          </cell>
        </row>
        <row r="454">
          <cell r="A454" t="str">
            <v>Grabados Fernando Fernández, S. De R.L. De C.V.</v>
          </cell>
          <cell r="B454" t="str">
            <v>GFF550711KJA</v>
          </cell>
        </row>
        <row r="455">
          <cell r="A455" t="str">
            <v>Graficos, Audio Y Video, S.A. De C.V.</v>
          </cell>
          <cell r="B455" t="str">
            <v>GAV000511827</v>
          </cell>
        </row>
        <row r="456">
          <cell r="A456" t="str">
            <v>Grafiscanner, S.A. De C.V.</v>
          </cell>
          <cell r="B456" t="str">
            <v>GRA940407RNA</v>
          </cell>
        </row>
        <row r="457">
          <cell r="A457" t="str">
            <v>Greenergy Energía No Convencional S de RL de CV</v>
          </cell>
          <cell r="B457" t="str">
            <v>GEN080905861</v>
          </cell>
        </row>
        <row r="458">
          <cell r="A458" t="str">
            <v>Grupo Americano De Nuevos Negocios, S.A. De C.V.</v>
          </cell>
          <cell r="B458" t="str">
            <v>GAN020719MT5</v>
          </cell>
        </row>
        <row r="459">
          <cell r="A459" t="str">
            <v>Grupo Antda, S.A. de C.V.</v>
          </cell>
          <cell r="B459" t="str">
            <v>GAN120329343</v>
          </cell>
        </row>
        <row r="460">
          <cell r="A460" t="str">
            <v>Grupo Arte Y Comunicación, S.C.</v>
          </cell>
          <cell r="B460" t="str">
            <v>GAC930817TC7</v>
          </cell>
        </row>
        <row r="461">
          <cell r="A461" t="str">
            <v>Grupo Avatecsys, S.A. De C.V.</v>
          </cell>
          <cell r="B461" t="str">
            <v>GAV080114UY7</v>
          </cell>
        </row>
        <row r="462">
          <cell r="A462" t="str">
            <v>Grupo Bcrea Com, S.A. De C.V.</v>
          </cell>
          <cell r="B462" t="str">
            <v>GBC0401197K2</v>
          </cell>
        </row>
        <row r="463">
          <cell r="A463" t="str">
            <v>Grupo Besh, S.A. De C.V.</v>
          </cell>
          <cell r="B463" t="str">
            <v>GBE940526J33</v>
          </cell>
        </row>
        <row r="464">
          <cell r="A464" t="str">
            <v>Grupo Cireque Sociedad Civil</v>
          </cell>
          <cell r="B464" t="str">
            <v>GCI1706306R2</v>
          </cell>
        </row>
        <row r="465">
          <cell r="A465" t="str">
            <v>Grupo Comercial E Impresos Condor, S.A. De C.V.</v>
          </cell>
          <cell r="B465" t="str">
            <v>GCI060303RY4</v>
          </cell>
        </row>
        <row r="466">
          <cell r="A466" t="str">
            <v>Grupo Comercializador Y Constructor Siete, S.A. De C.V.</v>
          </cell>
          <cell r="B466" t="str">
            <v>GCC0703158LA</v>
          </cell>
        </row>
        <row r="467">
          <cell r="A467" t="str">
            <v>Grupo Competitividad y Talento Empresarial, S.C.</v>
          </cell>
          <cell r="B467" t="str">
            <v>GCT101203RW3</v>
          </cell>
        </row>
        <row r="468">
          <cell r="A468" t="str">
            <v>Grupo Corporativo Eventos Viajes Y Convenciones Grucevico, Fg, S.A. De C.V.</v>
          </cell>
          <cell r="B468" t="str">
            <v>GCE120822NY2</v>
          </cell>
        </row>
        <row r="469">
          <cell r="A469" t="str">
            <v>Grupo Corporativo Latis S de RL de CV</v>
          </cell>
          <cell r="B469" t="str">
            <v>GCL130714612</v>
          </cell>
        </row>
        <row r="470">
          <cell r="A470" t="str">
            <v>Grupo De Administracion Y Sistemas, S.A. De C.V.</v>
          </cell>
          <cell r="B470" t="str">
            <v>GAS9310051IX4</v>
          </cell>
        </row>
        <row r="471">
          <cell r="A471" t="str">
            <v>Grupo Diez Tecnología, S.A. De C.V.</v>
          </cell>
          <cell r="B471" t="str">
            <v>GDT9710225Q1</v>
          </cell>
        </row>
        <row r="472">
          <cell r="A472" t="str">
            <v xml:space="preserve">Grupo Distribuidora Y Comercializadora Nacional E Internacional De México, S.A. </v>
          </cell>
          <cell r="B472" t="str">
            <v>GDC1307162L1</v>
          </cell>
        </row>
        <row r="473">
          <cell r="A473" t="str">
            <v>GRUPO EDITORIAL MIGUEL ANGEL PORRUA, S.A. DE C.V.</v>
          </cell>
          <cell r="B473" t="str">
            <v>GEM8109182R7</v>
          </cell>
        </row>
        <row r="474">
          <cell r="A474" t="str">
            <v>Grupo Editorial Miguel Ángel Porrúa, S.A. De C.V.</v>
          </cell>
          <cell r="B474" t="str">
            <v>GEM8109182R7</v>
          </cell>
        </row>
        <row r="475">
          <cell r="A475" t="str">
            <v>Grupo Einzig Pixan, S.A. De C.V.</v>
          </cell>
          <cell r="B475" t="str">
            <v>GEP161128A11</v>
          </cell>
        </row>
        <row r="476">
          <cell r="A476" t="str">
            <v>Grupo Empresarial Chockmah, S.A. De C.V.</v>
          </cell>
          <cell r="B476" t="str">
            <v>GEC110812M76</v>
          </cell>
        </row>
        <row r="477">
          <cell r="A477" t="str">
            <v>Grupo Empresarial Garac, S.A. De C.V.</v>
          </cell>
          <cell r="B477" t="str">
            <v>GEG1209258X0</v>
          </cell>
        </row>
        <row r="478">
          <cell r="A478" t="str">
            <v>Grupo Empresarial Remotek SA de CV</v>
          </cell>
          <cell r="B478" t="str">
            <v>GER051219JP4</v>
          </cell>
        </row>
        <row r="479">
          <cell r="A479" t="str">
            <v>Grupo Infitu Eventos Comercializadora y Marketing SA de CV</v>
          </cell>
          <cell r="B479" t="str">
            <v>GIE100312LX6</v>
          </cell>
        </row>
        <row r="480">
          <cell r="A480" t="str">
            <v>Grupo International Machines, S.A. De C.V.</v>
          </cell>
          <cell r="B480" t="str">
            <v>GIM100331EP1</v>
          </cell>
        </row>
        <row r="481">
          <cell r="A481" t="str">
            <v>Grupo Lafi, S.A. De C.V.</v>
          </cell>
          <cell r="B481" t="str">
            <v>GLA841203HGA</v>
          </cell>
        </row>
        <row r="482">
          <cell r="A482" t="str">
            <v>Grupo Lasbus SA de CV</v>
          </cell>
          <cell r="B482" t="str">
            <v>GLA020702NJ0</v>
          </cell>
        </row>
        <row r="483">
          <cell r="A483" t="str">
            <v>Grupo Mantenimiento Biomédico Industrial, S.A. De C.V.</v>
          </cell>
          <cell r="B483" t="str">
            <v>GMB040629595</v>
          </cell>
        </row>
        <row r="484">
          <cell r="A484" t="str">
            <v>Grupo Mexicano Aristo De Soluciones Estrategicas SA de CV</v>
          </cell>
          <cell r="B484" t="str">
            <v>GMA1109016A5</v>
          </cell>
        </row>
        <row r="485">
          <cell r="A485" t="str">
            <v>Grupo Mexicano De Seguros, S.A. De C.V.</v>
          </cell>
          <cell r="B485" t="str">
            <v>GMS971110BTA</v>
          </cell>
        </row>
        <row r="486">
          <cell r="A486" t="str">
            <v>Grupo Nacional Provincial, S.A.B.</v>
          </cell>
          <cell r="B486" t="str">
            <v>GNP9211244P0</v>
          </cell>
        </row>
        <row r="487">
          <cell r="A487" t="str">
            <v>Grupo Península Motors, S. de R.L. de C.V.</v>
          </cell>
          <cell r="B487" t="str">
            <v>GPM080609PV6</v>
          </cell>
        </row>
        <row r="488">
          <cell r="A488" t="str">
            <v>Grupo Proveedor Y Productor De Uniformes, S.A. De C.V.</v>
          </cell>
          <cell r="B488" t="str">
            <v>GPP0004034R8</v>
          </cell>
        </row>
        <row r="489">
          <cell r="A489" t="str">
            <v>Grupo Tecnorrol, S.A. De C.V.</v>
          </cell>
          <cell r="B489" t="str">
            <v>GTE8702027I5</v>
          </cell>
        </row>
        <row r="490">
          <cell r="A490" t="str">
            <v>Grupo Zonura Prendes, S.A. de C.V.</v>
          </cell>
          <cell r="B490" t="str">
            <v>GZP110607JX5</v>
          </cell>
        </row>
        <row r="491">
          <cell r="A491" t="str">
            <v>Gryr Construcciones, S.A. de C.V.</v>
          </cell>
          <cell r="B491" t="str">
            <v>GCO9808102M6</v>
          </cell>
        </row>
        <row r="492">
          <cell r="A492" t="str">
            <v>Gts Gaba Group, S.A. De C.V.</v>
          </cell>
          <cell r="B492" t="str">
            <v>GGG160802AT9</v>
          </cell>
        </row>
        <row r="493">
          <cell r="A493" t="str">
            <v>Guillermo De La Barrera SA de CV</v>
          </cell>
          <cell r="B493" t="str">
            <v>GBA840214BQ4</v>
          </cell>
        </row>
        <row r="494">
          <cell r="A494" t="str">
            <v xml:space="preserve">Guizar Ingeniería, S.A. de C.V. </v>
          </cell>
          <cell r="B494" t="str">
            <v>GUVR370526LI5</v>
          </cell>
        </row>
        <row r="495">
          <cell r="A495" t="str">
            <v>GVG Grupo Gráfico SA de CV</v>
          </cell>
          <cell r="B495" t="str">
            <v>GGG901128441</v>
          </cell>
        </row>
        <row r="496">
          <cell r="A496" t="str">
            <v>Habeas Data México, S.A. De C.V.</v>
          </cell>
          <cell r="B496" t="str">
            <v>HDM051006JU5</v>
          </cell>
        </row>
        <row r="497">
          <cell r="A497" t="str">
            <v>Harpercollins México, S.A. De C.V.</v>
          </cell>
          <cell r="B497" t="str">
            <v>TNM110621870</v>
          </cell>
        </row>
        <row r="498">
          <cell r="A498" t="str">
            <v>Hechter, S.A. De C.V.</v>
          </cell>
          <cell r="B498" t="str">
            <v>HEC890511UR7</v>
          </cell>
        </row>
        <row r="499">
          <cell r="A499" t="str">
            <v>Hemoser SA de CV</v>
          </cell>
          <cell r="B499" t="str">
            <v>HEM9808262E0</v>
          </cell>
        </row>
        <row r="500">
          <cell r="A500" t="str">
            <v>Hersol, S.A. De C.V.</v>
          </cell>
          <cell r="B500" t="str">
            <v>HER911219V94</v>
          </cell>
        </row>
        <row r="501">
          <cell r="A501" t="str">
            <v>Hg Consultores, S.C.</v>
          </cell>
          <cell r="B501" t="str">
            <v>HCO040413ND8</v>
          </cell>
        </row>
        <row r="502">
          <cell r="A502" t="str">
            <v>Hidrotecnología Aplicada, S.A. De C.V.</v>
          </cell>
          <cell r="B502" t="str">
            <v>HAP060619JB</v>
          </cell>
        </row>
        <row r="503">
          <cell r="A503" t="str">
            <v>Hipatia Genero Y Desarrollo, S.C.</v>
          </cell>
          <cell r="B503" t="str">
            <v>HGD080925URA</v>
          </cell>
        </row>
        <row r="504">
          <cell r="A504" t="str">
            <v>Holzer Y Compañía, S.A. De C.V.</v>
          </cell>
          <cell r="B504" t="str">
            <v>HOL841214S58</v>
          </cell>
        </row>
        <row r="505">
          <cell r="A505" t="str">
            <v>Hombres Por La Equidad Centro De Intervención Con Hombres E Investigación Sobre Genero y Masculinidades, A.C.</v>
          </cell>
          <cell r="B505" t="str">
            <v>HEC050622B38</v>
          </cell>
        </row>
        <row r="506">
          <cell r="A506" t="str">
            <v>Homotec SA de CV</v>
          </cell>
          <cell r="B506" t="str">
            <v>HOM150114D2A</v>
          </cell>
        </row>
        <row r="507">
          <cell r="A507" t="str">
            <v>Hoplites, S.A. De C.V.</v>
          </cell>
          <cell r="B507" t="str">
            <v>HOP150129SHA</v>
          </cell>
        </row>
        <row r="508">
          <cell r="A508" t="str">
            <v>Howling Monkey Studio, S.C.</v>
          </cell>
          <cell r="B508" t="str">
            <v>HMS1111285V7</v>
          </cell>
        </row>
        <row r="509">
          <cell r="A509" t="str">
            <v>Hs Soluciones Y Sistemas Integrales, S.A. De C.V.</v>
          </cell>
          <cell r="B509" t="str">
            <v>HSS040928EP2</v>
          </cell>
        </row>
        <row r="510">
          <cell r="A510" t="str">
            <v>Hvac Mantenimiento Y Construcción, S.A. de C.V.</v>
          </cell>
          <cell r="B510" t="str">
            <v>HMC0908242N9</v>
          </cell>
        </row>
        <row r="511">
          <cell r="A511" t="str">
            <v>IAG En Color, S.A. De C.V.</v>
          </cell>
          <cell r="B511" t="str">
            <v>ICO060926BKA</v>
          </cell>
        </row>
        <row r="512">
          <cell r="A512" t="str">
            <v>Ibarra Transformaciones Y Acabados Metálicos, S.A. De C.V.</v>
          </cell>
          <cell r="B512" t="str">
            <v>ITA110204Q52</v>
          </cell>
        </row>
        <row r="513">
          <cell r="A513" t="str">
            <v>ICC Servicios &amp; Procesos De Ingeniería, S.A. De C.V.</v>
          </cell>
          <cell r="B513" t="str">
            <v>ISA130404ST6</v>
          </cell>
        </row>
        <row r="514">
          <cell r="A514" t="str">
            <v>Ickrom, S.A. De C.V.</v>
          </cell>
          <cell r="B514" t="str">
            <v>ICK020218RI7</v>
          </cell>
        </row>
        <row r="515">
          <cell r="A515" t="str">
            <v>Ideas Integrales En Jardinería Jisa, S. De R.L. De C.V.</v>
          </cell>
          <cell r="B515" t="str">
            <v>IIJ1112089F0</v>
          </cell>
        </row>
        <row r="516">
          <cell r="A516" t="str">
            <v>Idt en Sistemas De Información SA de CV</v>
          </cell>
          <cell r="B516" t="str">
            <v>ISI021115AFA</v>
          </cell>
        </row>
        <row r="517">
          <cell r="A517" t="str">
            <v>Iesatel, S.A. De C.V.</v>
          </cell>
          <cell r="B517" t="str">
            <v>IES000412IQ1</v>
          </cell>
        </row>
        <row r="518">
          <cell r="A518" t="str">
            <v>Imagen De Inmuebles, S.A. De C.V.</v>
          </cell>
          <cell r="B518" t="str">
            <v>IIN011018BE8</v>
          </cell>
        </row>
        <row r="519">
          <cell r="A519" t="str">
            <v>Imm Internet Media México, S. De R.L. De C.V.</v>
          </cell>
          <cell r="B519" t="str">
            <v>IMM100219CQ9</v>
          </cell>
        </row>
        <row r="520">
          <cell r="A520" t="str">
            <v>Impresora Silvaform, S.A. De C.V.</v>
          </cell>
          <cell r="B520" t="str">
            <v>ISI860331LQ4</v>
          </cell>
        </row>
        <row r="521">
          <cell r="A521" t="str">
            <v>Impresora Y Encuadernadora Progreso, S.A. De C.V.</v>
          </cell>
          <cell r="B521" t="str">
            <v>IEP921123J76</v>
          </cell>
        </row>
        <row r="522">
          <cell r="A522" t="str">
            <v>Impulso Metropolitano de Vivienda, S.A. de C.V.</v>
          </cell>
          <cell r="B522" t="str">
            <v>IMV040628UM1</v>
          </cell>
        </row>
        <row r="523">
          <cell r="A523" t="str">
            <v>Imsatech Ultrasonido SA de CV</v>
          </cell>
          <cell r="B523" t="str">
            <v>IUL140304GE9</v>
          </cell>
        </row>
        <row r="524">
          <cell r="A524" t="str">
            <v>In Illi Tempore SA De CV</v>
          </cell>
          <cell r="B524" t="str">
            <v>IIT030805BX9</v>
          </cell>
        </row>
        <row r="525">
          <cell r="A525" t="str">
            <v>Incluir-T, S.A. de C.V.</v>
          </cell>
          <cell r="B525" t="str">
            <v>INC141210UN2</v>
          </cell>
        </row>
        <row r="526">
          <cell r="A526" t="str">
            <v>Índice Dover, S.A. de C.V.</v>
          </cell>
        </row>
        <row r="527">
          <cell r="A527" t="str">
            <v>Indigo Proambiental SAPI De CV</v>
          </cell>
          <cell r="B527" t="str">
            <v>IPR140521FA6</v>
          </cell>
        </row>
        <row r="528">
          <cell r="A528" t="str">
            <v>Industria 3, S.A. De C.V.</v>
          </cell>
          <cell r="B528" t="str">
            <v>ITR950926FU5</v>
          </cell>
        </row>
        <row r="529">
          <cell r="A529" t="str">
            <v>Industrial Caisa, S.A. De C.V.</v>
          </cell>
          <cell r="B529" t="str">
            <v>ICA9406297P2</v>
          </cell>
        </row>
        <row r="530">
          <cell r="A530" t="str">
            <v>Industrias Girca, S.A. De C.V.</v>
          </cell>
          <cell r="B530" t="str">
            <v>IGI870415HZ0</v>
          </cell>
        </row>
        <row r="531">
          <cell r="A531" t="str">
            <v>Industrias Jafher SA de CV</v>
          </cell>
          <cell r="B531" t="str">
            <v>IJA790503F39</v>
          </cell>
        </row>
        <row r="532">
          <cell r="A532" t="str">
            <v>Industrias Unifila SA de CV</v>
          </cell>
          <cell r="B532" t="str">
            <v>IUN950102S57</v>
          </cell>
        </row>
        <row r="533">
          <cell r="A533" t="str">
            <v>Industrias Yosef, S.A. De C.V.</v>
          </cell>
          <cell r="B533" t="str">
            <v>IYO1210124Z2</v>
          </cell>
        </row>
        <row r="534">
          <cell r="A534" t="str">
            <v>Infobrain, S.A. De C.V.</v>
          </cell>
          <cell r="B534" t="str">
            <v>INF070614S84</v>
          </cell>
        </row>
        <row r="535">
          <cell r="A535" t="str">
            <v>Infopower SA de CV</v>
          </cell>
          <cell r="B535" t="str">
            <v>INF080312DK2</v>
          </cell>
        </row>
        <row r="536">
          <cell r="A536" t="str">
            <v>Información Segura, S.A. De C.V.</v>
          </cell>
          <cell r="B536" t="str">
            <v>ISE0402136VA</v>
          </cell>
        </row>
        <row r="537">
          <cell r="A537" t="str">
            <v>Información Y Análisis Empresarial, S. De R.L. De C.V.</v>
          </cell>
          <cell r="B537" t="str">
            <v>IAE0610209L8</v>
          </cell>
        </row>
        <row r="538">
          <cell r="A538" t="str">
            <v>Informática Aurum SA de CV</v>
          </cell>
          <cell r="B538" t="str">
            <v>IAU900131R7A</v>
          </cell>
        </row>
        <row r="539">
          <cell r="A539" t="str">
            <v>Ingeniería Ambiental Roca, S.A. De C.V.</v>
          </cell>
          <cell r="B539" t="str">
            <v>IAR1704052Z2</v>
          </cell>
        </row>
        <row r="540">
          <cell r="A540" t="str">
            <v>Ingeniería de Servicio para Equipos de Laboratorio SA de CV</v>
          </cell>
          <cell r="B540" t="str">
            <v>ISE060322F61</v>
          </cell>
        </row>
        <row r="541">
          <cell r="A541" t="str">
            <v xml:space="preserve">Ingeniería Electromecánica en Infraestructura Computacional, S.A. de C.V. </v>
          </cell>
          <cell r="B541" t="str">
            <v>IEE070329DR4</v>
          </cell>
        </row>
        <row r="542">
          <cell r="A542" t="str">
            <v>Ingeniería Electromecánica Gueavi, S.A. De C.V.</v>
          </cell>
          <cell r="B542" t="str">
            <v>IEG830404KB3</v>
          </cell>
        </row>
        <row r="543">
          <cell r="A543" t="str">
            <v>Ingeniería en Aislamientos Termicos Aplicación y Venta SA de CV</v>
          </cell>
          <cell r="B543" t="str">
            <v>IAT1601263AA</v>
          </cell>
        </row>
        <row r="544">
          <cell r="A544" t="str">
            <v>Ingeniería Syr SA de CV</v>
          </cell>
          <cell r="B544" t="str">
            <v>ISy910621IU7</v>
          </cell>
        </row>
        <row r="545">
          <cell r="A545" t="str">
            <v>Ingeniería Y Desarrollo De Proyectos Didácticos, S.A. De C.V.</v>
          </cell>
          <cell r="B545" t="str">
            <v>IDP0312174Y7</v>
          </cell>
        </row>
        <row r="546">
          <cell r="A546" t="str">
            <v>Ingeniería Y Servicios Mercantiles, S.A. De C.V.</v>
          </cell>
          <cell r="B546" t="str">
            <v>ISM0102164R0</v>
          </cell>
        </row>
        <row r="547">
          <cell r="A547" t="str">
            <v>Ingeniería, Servicios Y Sistemas Aplicados, S.A. De C.V.</v>
          </cell>
          <cell r="B547" t="str">
            <v>ISS911211PB6</v>
          </cell>
        </row>
        <row r="548">
          <cell r="A548" t="str">
            <v>Ingeniería, Soluciones Y Respaldo Profesional, S.A. De C.V.</v>
          </cell>
          <cell r="B548" t="str">
            <v>ISR1402285L4</v>
          </cell>
        </row>
        <row r="549">
          <cell r="A549" t="str">
            <v>Inmobiliaria Keda, S.A. De C.V.</v>
          </cell>
          <cell r="B549" t="str">
            <v>IKE691020MF2</v>
          </cell>
        </row>
        <row r="550">
          <cell r="A550" t="str">
            <v>Inmobiliaria Tamaca, S.A De C.V.</v>
          </cell>
          <cell r="B550" t="str">
            <v>ITA061026Q36</v>
          </cell>
        </row>
        <row r="551">
          <cell r="A551" t="str">
            <v>Inmobiliaria Y Administradora Sar, S.A. De C.V.</v>
          </cell>
          <cell r="B551" t="str">
            <v>IAS910228DR7</v>
          </cell>
        </row>
        <row r="552">
          <cell r="A552" t="str">
            <v>Inmobiliaria y Constructora Coraza, S.A. de C.V.</v>
          </cell>
          <cell r="B552" t="str">
            <v>ICC010202649</v>
          </cell>
        </row>
        <row r="553">
          <cell r="A553" t="str">
            <v>Innocom Siglo XXI, S.A. De C.V.</v>
          </cell>
          <cell r="B553" t="str">
            <v>ISV090804CY6</v>
          </cell>
        </row>
        <row r="554">
          <cell r="A554" t="str">
            <v>Innovation Advanced Solutions SA de CV</v>
          </cell>
          <cell r="B554" t="str">
            <v>IAS1602045V4</v>
          </cell>
        </row>
        <row r="555">
          <cell r="A555" t="str">
            <v>Inovaciones Alaska Supply, S.A. De C.V.</v>
          </cell>
          <cell r="B555" t="str">
            <v>IAS050304Q45</v>
          </cell>
        </row>
        <row r="556">
          <cell r="A556" t="str">
            <v>Insitel Mexicana, S.A. De C.V.</v>
          </cell>
          <cell r="B556" t="str">
            <v>IME960111CW6</v>
          </cell>
        </row>
        <row r="557">
          <cell r="A557" t="str">
            <v>Instalaciones Unicornio SA de CV</v>
          </cell>
          <cell r="B557" t="str">
            <v>IUN9007161E1</v>
          </cell>
        </row>
        <row r="558">
          <cell r="A558" t="str">
            <v>Instalaciones Y Mantenimiento Gg, S.A. De C.V.</v>
          </cell>
          <cell r="B558" t="str">
            <v>IMG070621B48</v>
          </cell>
        </row>
        <row r="559">
          <cell r="A559" t="str">
            <v>Instituto de Especialización para Ejecutivos, S.C.</v>
          </cell>
          <cell r="B559" t="str">
            <v>IEE700410BC4</v>
          </cell>
        </row>
        <row r="560">
          <cell r="A560" t="str">
            <v>Instituto De Estudios Avanzados Y De Actualización, A.C.</v>
          </cell>
          <cell r="B560" t="str">
            <v>IEA920724F99</v>
          </cell>
        </row>
        <row r="561">
          <cell r="A561" t="str">
            <v xml:space="preserve">Instituto de Investigaciones Dr. José María Luis Mora </v>
          </cell>
          <cell r="B561" t="str">
            <v>IIJ8111184L7</v>
          </cell>
        </row>
        <row r="562">
          <cell r="A562" t="str">
            <v>Instituto Mexicano De Auditores Internos, A.C.</v>
          </cell>
          <cell r="B562" t="str">
            <v>IMA840723ME8</v>
          </cell>
        </row>
        <row r="563">
          <cell r="A563" t="str">
            <v>Instituto Mexicano De Estudios Sobre El Poder Legislativo, S.A. De C.V.</v>
          </cell>
          <cell r="B563" t="str">
            <v>IME040721MV1</v>
          </cell>
        </row>
        <row r="564">
          <cell r="A564" t="str">
            <v>Instituto Mexicano De Investigaciones En Derecho Ambiental, A.C.</v>
          </cell>
          <cell r="B564" t="str">
            <v>IMI030217J33</v>
          </cell>
        </row>
        <row r="565">
          <cell r="A565" t="str">
            <v>Instituto Mexicano Para La Investigación Y Desarrollo De La Legalidad, S.C.</v>
          </cell>
          <cell r="B565" t="str">
            <v>IMI160725KT7</v>
          </cell>
        </row>
        <row r="566">
          <cell r="A566" t="str">
            <v>Instituto Nacional De Administración Publica, A.C.</v>
          </cell>
          <cell r="B566" t="str">
            <v>INA770420DW1</v>
          </cell>
        </row>
        <row r="567">
          <cell r="A567" t="str">
            <v>Instituto Nacional De Asesoría Especializada, S.C.</v>
          </cell>
          <cell r="B567" t="str">
            <v>INA8806237RA</v>
          </cell>
        </row>
        <row r="568">
          <cell r="A568" t="str">
            <v>Instituto Tecnológico Autónomo De México</v>
          </cell>
          <cell r="B568" t="str">
            <v>ITA630119398</v>
          </cell>
        </row>
        <row r="569">
          <cell r="A569" t="str">
            <v>Insys, S.A. De C.V.</v>
          </cell>
          <cell r="B569" t="str">
            <v>INS940106UW9</v>
          </cell>
        </row>
        <row r="570">
          <cell r="A570" t="str">
            <v>Int Intelligence and Telecom Technologies México SA de CV</v>
          </cell>
          <cell r="B570" t="str">
            <v>IIT101216JW0</v>
          </cell>
        </row>
        <row r="571">
          <cell r="A571" t="str">
            <v>Integra Agente De Seguros Y De Fianzas, S.A. De C.V.</v>
          </cell>
          <cell r="B571" t="str">
            <v>IAS981204I43</v>
          </cell>
        </row>
        <row r="572">
          <cell r="A572" t="str">
            <v>Integración Tecnológica 360, S.A. De C.V.</v>
          </cell>
          <cell r="B572" t="str">
            <v>ITT1307045Y4</v>
          </cell>
        </row>
        <row r="573">
          <cell r="A573" t="str">
            <v>Integradora De Servicios Romaco SA de CV</v>
          </cell>
          <cell r="B573" t="str">
            <v>ISR141121NP0</v>
          </cell>
        </row>
        <row r="574">
          <cell r="A574" t="str">
            <v>Integradores de Tecnología Corporativa SA de CV</v>
          </cell>
          <cell r="B574" t="str">
            <v>ITC020215M69</v>
          </cell>
        </row>
        <row r="575">
          <cell r="A575" t="str">
            <v>Intellego, S.C.</v>
          </cell>
          <cell r="B575" t="str">
            <v>INT010509RB0</v>
          </cell>
        </row>
        <row r="576">
          <cell r="A576" t="str">
            <v>Interamericana CMH, S.A. de C.V.</v>
          </cell>
          <cell r="B576" t="str">
            <v>ICM040519GR9</v>
          </cell>
        </row>
        <row r="577">
          <cell r="A577" t="str">
            <v>Intercomza SA de CV</v>
          </cell>
          <cell r="B577" t="str">
            <v>INT160705BN4</v>
          </cell>
        </row>
        <row r="578">
          <cell r="A578" t="str">
            <v>Interconecta SA de CV</v>
          </cell>
          <cell r="B578" t="str">
            <v>INT001130R88</v>
          </cell>
        </row>
        <row r="579">
          <cell r="A579" t="str">
            <v>Intercorp Contract Resources, S.A. De C.V.</v>
          </cell>
          <cell r="B579" t="str">
            <v>ICR090925MV2</v>
          </cell>
        </row>
        <row r="580">
          <cell r="A580" t="str">
            <v>Interior Uno SA de CV</v>
          </cell>
          <cell r="B580" t="str">
            <v>IUN101124PV5</v>
          </cell>
        </row>
        <row r="581">
          <cell r="A581" t="str">
            <v>Internacional Proveedora De Industrias, S.A. De C.V.</v>
          </cell>
          <cell r="B581" t="str">
            <v>IPI860721MN1</v>
          </cell>
        </row>
        <row r="582">
          <cell r="A582" t="str">
            <v>Intérpretes y Traductores de Lengua de Señas en la República Mexicana, A.C.</v>
          </cell>
          <cell r="B582" t="str">
            <v>ITL140408AU4</v>
          </cell>
        </row>
        <row r="583">
          <cell r="A583" t="str">
            <v>Interstuhl Latam SA de CV</v>
          </cell>
          <cell r="B583" t="str">
            <v>ILA130516P87</v>
          </cell>
        </row>
        <row r="584">
          <cell r="A584" t="str">
            <v>Intraproc De México, S.A. De C.V.</v>
          </cell>
          <cell r="B584" t="str">
            <v>IME9402147C6</v>
          </cell>
        </row>
        <row r="585">
          <cell r="A585" t="str">
            <v>Investigaciones y Estudios Superiores SC</v>
          </cell>
          <cell r="B585" t="str">
            <v>IES870531FU5</v>
          </cell>
        </row>
        <row r="586">
          <cell r="A586" t="str">
            <v>Ip Productos y Servicios SA de CV</v>
          </cell>
          <cell r="B586" t="str">
            <v>IPS0703142W1</v>
          </cell>
        </row>
        <row r="587">
          <cell r="A587" t="str">
            <v>Ipark, S.A. De C.V.</v>
          </cell>
          <cell r="B587" t="str">
            <v>IPA140327555</v>
          </cell>
        </row>
        <row r="588">
          <cell r="A588" t="str">
            <v>Ipm Control De Confianza SA de CV</v>
          </cell>
          <cell r="B588" t="str">
            <v>ICC151208AU3</v>
          </cell>
        </row>
        <row r="589">
          <cell r="A589" t="str">
            <v>Iqsec SA de CV</v>
          </cell>
          <cell r="B589" t="str">
            <v>IQS0708233C9</v>
          </cell>
        </row>
        <row r="590">
          <cell r="A590" t="str">
            <v>Iret Telecomunicaciones, S.A. De C.V.</v>
          </cell>
          <cell r="B590" t="str">
            <v>ITE040707M15</v>
          </cell>
        </row>
        <row r="591">
          <cell r="A591" t="str">
            <v>ISAE Informática y Servicios Administrativos para Empresas SA de CV</v>
          </cell>
          <cell r="B591" t="str">
            <v>IIS160212IT5</v>
          </cell>
        </row>
        <row r="592">
          <cell r="A592" t="str">
            <v>Isee Ingeniería Y Servicio Eléctrico Electrónico, S.A. De C.V.</v>
          </cell>
          <cell r="B592" t="str">
            <v>IIS090116P3A</v>
          </cell>
        </row>
        <row r="593">
          <cell r="A593" t="str">
            <v>Issa Edificaciones SA de CV</v>
          </cell>
          <cell r="B593" t="str">
            <v>IED120102R74</v>
          </cell>
        </row>
        <row r="594">
          <cell r="A594" t="str">
            <v>It - Open Knowledge Center, S.A. De C.V.</v>
          </cell>
          <cell r="B594" t="str">
            <v>IKC1409265L9</v>
          </cell>
        </row>
        <row r="595">
          <cell r="A595" t="str">
            <v>It Sys, S.A. De C.V.</v>
          </cell>
          <cell r="B595" t="str">
            <v>ISY150408A49</v>
          </cell>
        </row>
        <row r="596">
          <cell r="A596" t="str">
            <v>Izta, S.A. De C.V.</v>
          </cell>
          <cell r="B596" t="str">
            <v>IZT0807077J9</v>
          </cell>
        </row>
        <row r="597">
          <cell r="A597" t="str">
            <v>Iztacalco Motors, S.A. De C.V.</v>
          </cell>
          <cell r="B597" t="str">
            <v>IMO011119RG8</v>
          </cell>
        </row>
        <row r="598">
          <cell r="A598" t="str">
            <v>J O M Co S.A. De C.V.</v>
          </cell>
          <cell r="B598" t="str">
            <v>JOM000207522</v>
          </cell>
        </row>
        <row r="599">
          <cell r="A599" t="str">
            <v>J.V. Construcción Y Proyecto, S.A. De C.V.</v>
          </cell>
          <cell r="B599" t="str">
            <v>JCP960502Q55</v>
          </cell>
        </row>
        <row r="600">
          <cell r="A600" t="str">
            <v>Jal Consultoría Estratégica, S.A. De C.V.</v>
          </cell>
          <cell r="B600" t="str">
            <v>JCE0811074VA</v>
          </cell>
        </row>
        <row r="601">
          <cell r="A601" t="str">
            <v>Janium Technology, S.A. De C.V.</v>
          </cell>
          <cell r="B601" t="str">
            <v>JTE010913N20</v>
          </cell>
        </row>
        <row r="602">
          <cell r="A602" t="str">
            <v>Jasak, S.A. De C.V.</v>
          </cell>
          <cell r="B602" t="str">
            <v>JAS1307088DA</v>
          </cell>
        </row>
        <row r="603">
          <cell r="A603" t="str">
            <v>Jasev Computación, S.A. De C.V.</v>
          </cell>
          <cell r="B603" t="str">
            <v>JCO931215CI8</v>
          </cell>
        </row>
        <row r="604">
          <cell r="A604" t="str">
            <v>Javanes Solutions, S.A. De C.V.</v>
          </cell>
          <cell r="B604" t="str">
            <v>JSO051021BH2</v>
          </cell>
        </row>
        <row r="605">
          <cell r="A605" t="str">
            <v>Jca Motorbikes, S.A. De C.V.</v>
          </cell>
          <cell r="B605" t="str">
            <v>JMO131204716</v>
          </cell>
        </row>
        <row r="606">
          <cell r="A606" t="str">
            <v>Jng &amp; Company SA de CV</v>
          </cell>
          <cell r="B606" t="str">
            <v>JNG1311112R0</v>
          </cell>
        </row>
        <row r="607">
          <cell r="A607" t="str">
            <v>Johnson Controls Be Operations México, S. De R.L. De C.V.</v>
          </cell>
          <cell r="B607" t="str">
            <v>JCB100702TQ1</v>
          </cell>
        </row>
        <row r="608">
          <cell r="A608" t="str">
            <v>Johnson Controls México Be, S.A. De C.V.</v>
          </cell>
          <cell r="B608" t="str">
            <v>JCM910903G94</v>
          </cell>
        </row>
        <row r="609">
          <cell r="A609" t="str">
            <v>Jorsal Construcciones y Promociones SA de CV</v>
          </cell>
          <cell r="B609" t="str">
            <v>JCP130429TM4</v>
          </cell>
        </row>
        <row r="610">
          <cell r="A610" t="str">
            <v>Jr Equipos De Termofusión Y Electrofusión, S.A. De C.V.</v>
          </cell>
          <cell r="B610" t="str">
            <v>JET060717JN8</v>
          </cell>
        </row>
        <row r="611">
          <cell r="A611" t="str">
            <v>Kalan Consultores, S.A. De C.V.</v>
          </cell>
          <cell r="B611" t="str">
            <v>KCO05101281A</v>
          </cell>
        </row>
        <row r="612">
          <cell r="A612" t="str">
            <v>Keep Value SA de CV</v>
          </cell>
          <cell r="B612" t="str">
            <v>KVA1206218G5</v>
          </cell>
        </row>
        <row r="613">
          <cell r="A613" t="str">
            <v>Kieken Group, S.A. De C.V.</v>
          </cell>
          <cell r="B613" t="str">
            <v>KGR090831TH1</v>
          </cell>
        </row>
        <row r="614">
          <cell r="A614" t="str">
            <v>Kodo Consulting Services, S.A. De C.V.</v>
          </cell>
          <cell r="B614" t="str">
            <v>KCS101129867</v>
          </cell>
        </row>
        <row r="615">
          <cell r="A615" t="str">
            <v>Krolls Telcomm De México SA de CV</v>
          </cell>
          <cell r="B615" t="str">
            <v>KTM090212KD9</v>
          </cell>
        </row>
        <row r="616">
          <cell r="A616" t="str">
            <v>Kronaline, S.A. de C.V.</v>
          </cell>
          <cell r="B616" t="str">
            <v>KRO920518AL3</v>
          </cell>
        </row>
        <row r="617">
          <cell r="A617" t="str">
            <v>La Marquesita S.A.</v>
          </cell>
          <cell r="B617" t="str">
            <v>MAR541112CT8</v>
          </cell>
        </row>
        <row r="618">
          <cell r="A618" t="str">
            <v>La Red De Radiodifusoras y Televisoras Educativas y Culturales De México AC</v>
          </cell>
          <cell r="B618" t="str">
            <v>RRT0511075U1</v>
          </cell>
        </row>
        <row r="619">
          <cell r="A619" t="str">
            <v>La Rueda Roja Publicidad Y Asociados, S.A De C.V.</v>
          </cell>
          <cell r="B619" t="str">
            <v>RRP041110839</v>
          </cell>
        </row>
        <row r="620">
          <cell r="A620" t="str">
            <v>Larson Technology, S.A. De C.V.</v>
          </cell>
          <cell r="B620" t="str">
            <v>LTE081024AW1</v>
          </cell>
        </row>
        <row r="621">
          <cell r="A621" t="str">
            <v>Late Construcciones, S.A. De C.V.</v>
          </cell>
          <cell r="B621" t="str">
            <v>LCO850607RX9</v>
          </cell>
        </row>
        <row r="622">
          <cell r="A622" t="str">
            <v>Latin Id, S.A. De C.V.</v>
          </cell>
          <cell r="B622" t="str">
            <v>LID020301KV9</v>
          </cell>
        </row>
        <row r="623">
          <cell r="A623" t="str">
            <v>Laurentius, S.A. De C.V.</v>
          </cell>
          <cell r="B623" t="str">
            <v>LAU7808166Z5</v>
          </cell>
        </row>
        <row r="624">
          <cell r="A624" t="str">
            <v>Lavisat Limpieza SA de CV</v>
          </cell>
          <cell r="B624" t="str">
            <v>LLI090220SUA</v>
          </cell>
        </row>
        <row r="625">
          <cell r="A625" t="str">
            <v>Lb Sistemas, S.A. De C.V.</v>
          </cell>
          <cell r="B625" t="str">
            <v>LSI090130BR5</v>
          </cell>
        </row>
        <row r="626">
          <cell r="A626" t="str">
            <v>Ld I Associats, S.A. De C.V.</v>
          </cell>
          <cell r="B626" t="str">
            <v>LIA9708133A3</v>
          </cell>
        </row>
        <row r="627">
          <cell r="A627" t="str">
            <v>Ldb Fomento Comercial De México SA de CV</v>
          </cell>
          <cell r="B627" t="str">
            <v>LFC140408GN1</v>
          </cell>
        </row>
        <row r="628">
          <cell r="A628" t="str">
            <v>Leading The Customer Experience S de RL de CV</v>
          </cell>
          <cell r="B628" t="str">
            <v>LCE1112086H8</v>
          </cell>
        </row>
        <row r="629">
          <cell r="A629" t="str">
            <v>Lemonroy Business Solutions, S.A. De C.V.</v>
          </cell>
          <cell r="B629" t="str">
            <v>LBS050426184</v>
          </cell>
        </row>
        <row r="630">
          <cell r="A630" t="str">
            <v>Libros Grano De Sal, S.A. De C.V.</v>
          </cell>
          <cell r="B630" t="str">
            <v>LGS170227LGA</v>
          </cell>
        </row>
        <row r="631">
          <cell r="A631" t="str">
            <v>Líder En Administración De Riesgos Agente De Seguros SA de CV</v>
          </cell>
          <cell r="B631" t="str">
            <v>LAR0207252G5</v>
          </cell>
        </row>
        <row r="632">
          <cell r="A632" t="str">
            <v>Lightech De México S.A. De C.V.</v>
          </cell>
          <cell r="B632" t="str">
            <v>LME020918D39</v>
          </cell>
        </row>
        <row r="633">
          <cell r="A633" t="str">
            <v>Lingo Systems SA de CV</v>
          </cell>
          <cell r="B633" t="str">
            <v>LSy010601355</v>
          </cell>
        </row>
        <row r="634">
          <cell r="A634" t="str">
            <v>Lingos y Educación SAPI De CV</v>
          </cell>
          <cell r="B634" t="str">
            <v>LED1405121X5</v>
          </cell>
        </row>
        <row r="635">
          <cell r="A635" t="str">
            <v>Lirun Rs SA de CV</v>
          </cell>
          <cell r="B635" t="str">
            <v>LRS140212U14</v>
          </cell>
        </row>
        <row r="636">
          <cell r="A636" t="str">
            <v>Lito Grapo, S.A. De C.V.</v>
          </cell>
          <cell r="B636" t="str">
            <v>LGR960201IT4</v>
          </cell>
        </row>
        <row r="637">
          <cell r="A637" t="str">
            <v>Litual Distribuciones, S.A. De C.V.</v>
          </cell>
          <cell r="B637" t="str">
            <v>LDI080310TN8</v>
          </cell>
        </row>
        <row r="638">
          <cell r="A638" t="str">
            <v>Live 13.5, S. De R.L. De C.V.</v>
          </cell>
          <cell r="B638" t="str">
            <v>LCT140403S7A</v>
          </cell>
        </row>
        <row r="639">
          <cell r="A639" t="str">
            <v>Llantas San Rafael, S.A. De C.V.</v>
          </cell>
          <cell r="B639" t="str">
            <v>LSR930909EA6</v>
          </cell>
        </row>
        <row r="640">
          <cell r="A640" t="str">
            <v>Lobbying y Desarrollo Institucional SC</v>
          </cell>
          <cell r="B640" t="str">
            <v>LYD110519IK0</v>
          </cell>
        </row>
        <row r="641">
          <cell r="A641" t="str">
            <v>Logcom México SA de CV</v>
          </cell>
          <cell r="B641" t="str">
            <v>LME0903058C3</v>
          </cell>
        </row>
        <row r="642">
          <cell r="A642" t="str">
            <v>Lógica Aplicaciones Soporte Y Servicio, S.A. De C.V.</v>
          </cell>
          <cell r="B642" t="str">
            <v>LAS880427DP8</v>
          </cell>
        </row>
        <row r="643">
          <cell r="A643" t="str">
            <v>Lógica En Medios, S.A. De C.V.</v>
          </cell>
          <cell r="B643" t="str">
            <v>LME020417SU5</v>
          </cell>
        </row>
        <row r="644">
          <cell r="A644" t="str">
            <v>Ludicorp, S.A. De C.V.</v>
          </cell>
          <cell r="B644" t="str">
            <v>LUD060210AC8</v>
          </cell>
        </row>
        <row r="645">
          <cell r="A645" t="str">
            <v>Luz y Mundo Visual, S.A. de C.V.</v>
          </cell>
          <cell r="B645" t="str">
            <v>LMV850410LZ2</v>
          </cell>
        </row>
        <row r="646">
          <cell r="A646" t="str">
            <v>M&amp;C Desarrollo Laboral Y Personal, S.C.</v>
          </cell>
          <cell r="B646" t="str">
            <v>MDL1501164H4</v>
          </cell>
        </row>
        <row r="647">
          <cell r="A647" t="str">
            <v>Maak &amp; Paak, S.A. De C.V.</v>
          </cell>
          <cell r="B647" t="str">
            <v>MAA080520JH5</v>
          </cell>
        </row>
        <row r="648">
          <cell r="A648" t="str">
            <v>Mac Toner Audio y Video SA de CV</v>
          </cell>
          <cell r="B648" t="str">
            <v>TAV051216TN1</v>
          </cell>
        </row>
        <row r="649">
          <cell r="A649" t="str">
            <v xml:space="preserve">Mactell de México, S.A. de C.V. </v>
          </cell>
          <cell r="B649" t="str">
            <v>MME010322PM5</v>
          </cell>
        </row>
        <row r="650">
          <cell r="A650" t="str">
            <v>Madasi SA de CV</v>
          </cell>
          <cell r="B650" t="str">
            <v>MAD100430HN3</v>
          </cell>
        </row>
        <row r="651">
          <cell r="A651" t="str">
            <v>Mami Pasteles Y Pan Fino, S.A. De C.V.</v>
          </cell>
          <cell r="B651" t="str">
            <v>MPP910909RG9</v>
          </cell>
        </row>
        <row r="652">
          <cell r="A652" t="str">
            <v>Manantiales La Asunción, S.A.P.I. De C.V.</v>
          </cell>
          <cell r="B652" t="str">
            <v>MAS880707J27</v>
          </cell>
        </row>
        <row r="653">
          <cell r="A653" t="str">
            <v>Mantenimiento Y Asesoría En Equipos De Cómputo, S.A. De C.V.</v>
          </cell>
          <cell r="B653" t="str">
            <v>MAE890613MH6</v>
          </cell>
        </row>
        <row r="654">
          <cell r="A654" t="str">
            <v>Mantenimiento Y Construcciones Calego SA de CV</v>
          </cell>
          <cell r="B654" t="str">
            <v>MCC110519EZ0</v>
          </cell>
        </row>
        <row r="655">
          <cell r="A655" t="str">
            <v>Manufactura y Equipamiento Inoxidable, S.A. de C.V.</v>
          </cell>
          <cell r="B655" t="str">
            <v>MEI0209236G0</v>
          </cell>
        </row>
        <row r="656">
          <cell r="A656" t="str">
            <v>Mapfre Tepeyac, S.A.</v>
          </cell>
          <cell r="B656" t="str">
            <v>MTE440316E54</v>
          </cell>
        </row>
        <row r="657">
          <cell r="A657" t="str">
            <v>Maquinas Diesel, S.A. De C.V.</v>
          </cell>
          <cell r="B657" t="str">
            <v>MDI931014D37</v>
          </cell>
        </row>
        <row r="658">
          <cell r="A658" t="str">
            <v>Marca De Agua Ediciones, S. De R.L. De C.V.</v>
          </cell>
          <cell r="B658" t="str">
            <v>MAE0002218A2</v>
          </cell>
        </row>
        <row r="659">
          <cell r="A659" t="str">
            <v>Martez 13, S.A. De C.V.</v>
          </cell>
          <cell r="B659" t="str">
            <v>MTR0209062VA</v>
          </cell>
        </row>
        <row r="660">
          <cell r="A660" t="str">
            <v>Martínez Barranco, S.A. De C.V.</v>
          </cell>
          <cell r="B660" t="str">
            <v>MBA960229SJ9</v>
          </cell>
        </row>
        <row r="661">
          <cell r="A661" t="str">
            <v>Mavape, S.A.P.I. De C.V.</v>
          </cell>
          <cell r="B661" t="str">
            <v>MAV130416P62</v>
          </cell>
        </row>
        <row r="662">
          <cell r="A662" t="str">
            <v>Maxcontrol Private Security, S.A. De C.V.</v>
          </cell>
          <cell r="B662" t="str">
            <v>MPS050207821</v>
          </cell>
        </row>
        <row r="663">
          <cell r="A663" t="str">
            <v>MCS Network Solution, S.A. De C.V.</v>
          </cell>
          <cell r="B663" t="str">
            <v>MNS990319C39</v>
          </cell>
        </row>
        <row r="664">
          <cell r="A664" t="str">
            <v>Mdreieck, S.A. De C.V.</v>
          </cell>
          <cell r="B664" t="str">
            <v>MDR0704049NS</v>
          </cell>
        </row>
        <row r="665">
          <cell r="A665" t="str">
            <v>Medam S de RL de CV</v>
          </cell>
          <cell r="B665" t="str">
            <v>MED9705163K2</v>
          </cell>
        </row>
        <row r="666">
          <cell r="A666" t="str">
            <v>Media Products De México, S.A. De C.V.</v>
          </cell>
          <cell r="B666" t="str">
            <v>MPM980601CG3</v>
          </cell>
        </row>
        <row r="667">
          <cell r="A667" t="str">
            <v>Medical Dimegar, S.A. De C.V.</v>
          </cell>
          <cell r="B667" t="str">
            <v>MDI891030IH9</v>
          </cell>
        </row>
        <row r="668">
          <cell r="A668" t="str">
            <v>Medingenium, S.A. De C.V.</v>
          </cell>
          <cell r="B668" t="str">
            <v>MED090630739</v>
          </cell>
        </row>
        <row r="669">
          <cell r="A669" t="str">
            <v>Medios Alternativos Battaglia, S.A. De C.V.</v>
          </cell>
          <cell r="B669" t="str">
            <v>MAB0308048H0</v>
          </cell>
        </row>
        <row r="670">
          <cell r="A670" t="str">
            <v>Mefintax México, S.C.</v>
          </cell>
          <cell r="B670" t="str">
            <v>MME070216MF0</v>
          </cell>
        </row>
        <row r="671">
          <cell r="A671" t="str">
            <v>Mercado Negro Producciones, S.A. De C.V.</v>
          </cell>
          <cell r="B671" t="str">
            <v>MNP040303DQ6</v>
          </cell>
        </row>
        <row r="672">
          <cell r="A672" t="str">
            <v>Meta 4 México, S.A. De C.V.</v>
          </cell>
          <cell r="B672" t="str">
            <v>MCM960712BB6</v>
          </cell>
        </row>
        <row r="673">
          <cell r="A673" t="str">
            <v>Metlife México, S.A.</v>
          </cell>
          <cell r="B673" t="str">
            <v>MME920427EM3</v>
          </cell>
        </row>
        <row r="674">
          <cell r="A674" t="str">
            <v>Mextypsa, S.A. De C.V.</v>
          </cell>
          <cell r="B674" t="str">
            <v>MEX0907141P1</v>
          </cell>
        </row>
        <row r="675">
          <cell r="A675" t="str">
            <v>Miani Tecnologías SA de CV</v>
          </cell>
          <cell r="B675" t="str">
            <v>MTE091112I16</v>
          </cell>
        </row>
        <row r="676">
          <cell r="A676" t="str">
            <v>Microsoft Corporation</v>
          </cell>
          <cell r="B676">
            <v>911144442</v>
          </cell>
        </row>
        <row r="677">
          <cell r="A677" t="str">
            <v>Milenio Automotriz, S.A. de C.V.</v>
          </cell>
          <cell r="B677" t="str">
            <v>MAU980413K91</v>
          </cell>
        </row>
        <row r="678">
          <cell r="A678" t="str">
            <v>Millenium Technologies, S.A. De C.V.</v>
          </cell>
          <cell r="B678" t="str">
            <v>MTE000615LF6</v>
          </cell>
        </row>
        <row r="679">
          <cell r="A679" t="str">
            <v>Mitsubishi Electric De México, S.A. De C.V.</v>
          </cell>
          <cell r="B679" t="str">
            <v>MEM760401DJ7</v>
          </cell>
        </row>
        <row r="680">
          <cell r="A680" t="str">
            <v>Mobiliarios Ergonómicos De México SA de CV</v>
          </cell>
          <cell r="B680" t="str">
            <v>MEM08080175A</v>
          </cell>
        </row>
        <row r="681">
          <cell r="A681" t="str">
            <v>Modernización y Desarrollo Empresarial SC</v>
          </cell>
          <cell r="B681" t="str">
            <v>MDE030220K42</v>
          </cell>
        </row>
        <row r="682">
          <cell r="A682" t="str">
            <v>Momentos.Com, S. De R.L. De C.V.</v>
          </cell>
          <cell r="B682" t="str">
            <v>MOM070709516</v>
          </cell>
        </row>
        <row r="683">
          <cell r="A683" t="str">
            <v>Momentum Media Design SA de CV</v>
          </cell>
          <cell r="B683" t="str">
            <v>MMD020722RQ0</v>
          </cell>
        </row>
        <row r="684">
          <cell r="A684" t="str">
            <v>Moro Electronic Systems, S.A. De C.V.</v>
          </cell>
          <cell r="B684" t="str">
            <v>MES080514CSA</v>
          </cell>
        </row>
        <row r="685">
          <cell r="A685" t="str">
            <v>Mr Computer Solutions, S.A. De C.V.</v>
          </cell>
          <cell r="B685" t="str">
            <v>MCS010116P69</v>
          </cell>
        </row>
        <row r="686">
          <cell r="A686" t="str">
            <v>Mr. Limpieza, S.A. De C.V.</v>
          </cell>
          <cell r="B686" t="str">
            <v>MLI0610289M7</v>
          </cell>
        </row>
        <row r="687">
          <cell r="A687" t="str">
            <v>Muebles Displan, S.A. De C.V.</v>
          </cell>
          <cell r="B687" t="str">
            <v>MDI970520QP8</v>
          </cell>
        </row>
        <row r="688">
          <cell r="A688" t="str">
            <v>Muebles Roal, S.A. De C.V.</v>
          </cell>
          <cell r="B688" t="str">
            <v>MRO940415BL0</v>
          </cell>
        </row>
        <row r="689">
          <cell r="A689" t="str">
            <v>Multiservicios Damu, S.A. De C.V.</v>
          </cell>
          <cell r="B689" t="str">
            <v>MDA150522Q27</v>
          </cell>
        </row>
        <row r="690">
          <cell r="A690" t="str">
            <v>Mundo Escolar Y De Oficina, S.A. De C.V.</v>
          </cell>
          <cell r="B690" t="str">
            <v>MEO131015NB4</v>
          </cell>
        </row>
        <row r="691">
          <cell r="A691" t="str">
            <v>Music And Images SA de CV</v>
          </cell>
          <cell r="B691" t="str">
            <v>MIM931206MV0</v>
          </cell>
        </row>
        <row r="692">
          <cell r="A692" t="str">
            <v>N Y N Construcciones Y Diseño, S.A.</v>
          </cell>
          <cell r="B692" t="str">
            <v>NNC970820QN0</v>
          </cell>
        </row>
        <row r="693">
          <cell r="A693" t="str">
            <v>Navegantes De La Comunicación Grafica, S.A. De C.V.</v>
          </cell>
          <cell r="B693" t="str">
            <v>NCG010320MD0</v>
          </cell>
        </row>
        <row r="694">
          <cell r="A694" t="str">
            <v>Ncubo Capital SAPI De CV</v>
          </cell>
          <cell r="B694" t="str">
            <v>NCA130123NM3</v>
          </cell>
        </row>
        <row r="695">
          <cell r="A695" t="str">
            <v>Nefesh, S.A. de C.V.</v>
          </cell>
          <cell r="B695" t="str">
            <v>NEF010306G90</v>
          </cell>
        </row>
        <row r="696">
          <cell r="A696" t="str">
            <v>Neta Systems, S.A. De C.V.</v>
          </cell>
          <cell r="B696" t="str">
            <v>NSY121012UV0</v>
          </cell>
        </row>
        <row r="697">
          <cell r="A697" t="str">
            <v>Netrix, S.A. De C.V.</v>
          </cell>
          <cell r="B697" t="str">
            <v>NET9807027S0</v>
          </cell>
        </row>
        <row r="698">
          <cell r="A698" t="str">
            <v>Network Storage Solutions SA de CV</v>
          </cell>
          <cell r="B698" t="str">
            <v>NSS030109F59</v>
          </cell>
        </row>
        <row r="699">
          <cell r="A699" t="str">
            <v>Ng Asesores SA de CV</v>
          </cell>
          <cell r="B699" t="str">
            <v>NAS080121LT0</v>
          </cell>
        </row>
        <row r="700">
          <cell r="A700" t="str">
            <v>Notimex, Agencia de noticias del Estado de México</v>
          </cell>
          <cell r="B700" t="str">
            <v>NAN060602PW9</v>
          </cell>
        </row>
        <row r="701">
          <cell r="A701" t="str">
            <v>Nubaj y Nubaj Consulting, S.A. De C.V.</v>
          </cell>
          <cell r="B701" t="str">
            <v>NNC121031D79</v>
          </cell>
        </row>
        <row r="702">
          <cell r="A702" t="str">
            <v>Nueva Imagen Comunicación Y Diseño Integral, S.A. De C.V.</v>
          </cell>
          <cell r="B702" t="str">
            <v>NID0701316S1</v>
          </cell>
        </row>
        <row r="703">
          <cell r="A703" t="str">
            <v>Nuevo Horizonte Editores, S.A. De C.V.</v>
          </cell>
          <cell r="B703" t="str">
            <v>NHE9211136J9</v>
          </cell>
        </row>
        <row r="704">
          <cell r="A704" t="str">
            <v>Nyr Tecnología, S.A. De C.V.</v>
          </cell>
          <cell r="B704" t="str">
            <v>NTE0602229T5</v>
          </cell>
        </row>
        <row r="705">
          <cell r="A705" t="str">
            <v>Observatorio Mexicano De Bioética AC</v>
          </cell>
          <cell r="B705" t="str">
            <v>OMB120726KA6</v>
          </cell>
        </row>
        <row r="706">
          <cell r="A706" t="str">
            <v>Office Coffee Service SA de CV</v>
          </cell>
          <cell r="B706" t="str">
            <v>OCS991207Q1A</v>
          </cell>
        </row>
        <row r="707">
          <cell r="A707" t="str">
            <v>Ogun Bi, S.A. De C.V.</v>
          </cell>
          <cell r="B707" t="str">
            <v>OBI1511304KA</v>
          </cell>
        </row>
        <row r="708">
          <cell r="A708" t="str">
            <v>Ollin Iluminación, S.A. De C.V.</v>
          </cell>
          <cell r="B708" t="str">
            <v>OIL0911098P0</v>
          </cell>
        </row>
        <row r="709">
          <cell r="A709" t="str">
            <v>On Site Destruction México, S.A. De C.V.</v>
          </cell>
          <cell r="B709" t="str">
            <v>OSD060317BA4</v>
          </cell>
        </row>
        <row r="710">
          <cell r="A710" t="str">
            <v>Operación Móvil SA de CV</v>
          </cell>
          <cell r="B710" t="str">
            <v>OMO090519453</v>
          </cell>
        </row>
        <row r="711">
          <cell r="A711" t="str">
            <v>Operadora De Tiendas Voluntarias SA de CV</v>
          </cell>
          <cell r="B711" t="str">
            <v>OTV801119HU2</v>
          </cell>
        </row>
        <row r="712">
          <cell r="A712" t="str">
            <v>Operadora Onis, S.A. De C.V.</v>
          </cell>
          <cell r="B712" t="str">
            <v>OON170610R5A</v>
          </cell>
        </row>
        <row r="713">
          <cell r="A713" t="str">
            <v>Operadora Turística Emporio Reforma, S.A. De C.V.</v>
          </cell>
          <cell r="B713" t="str">
            <v>OTE0902104Q2</v>
          </cell>
        </row>
        <row r="714">
          <cell r="A714" t="str">
            <v>Oracle De México, S.A. De C.V.</v>
          </cell>
          <cell r="B714" t="str">
            <v>OME910101TA3</v>
          </cell>
        </row>
        <row r="715">
          <cell r="A715" t="str">
            <v>Ordicasa Constructora, S.A. De C.V.</v>
          </cell>
          <cell r="B715" t="str">
            <v>OCO080702QL8</v>
          </cell>
        </row>
        <row r="716">
          <cell r="A716" t="str">
            <v>Orgánica Construcciones, S.A. De C.V.</v>
          </cell>
          <cell r="B716" t="str">
            <v>OCO060315SJ7</v>
          </cell>
        </row>
        <row r="717">
          <cell r="A717" t="str">
            <v>Organización Contable Mexicana, S.A. de C.V.</v>
          </cell>
          <cell r="B717" t="str">
            <v>OCM840719LG4</v>
          </cell>
        </row>
        <row r="718">
          <cell r="A718" t="str">
            <v>Organización De Sistemas Constructivos SA de CV</v>
          </cell>
          <cell r="B718" t="str">
            <v>OSC900702RL8</v>
          </cell>
        </row>
        <row r="719">
          <cell r="A719" t="str">
            <v>Organización Mitamex, S.A. de C.V.</v>
          </cell>
          <cell r="B719" t="str">
            <v>OMI880218NC4</v>
          </cell>
        </row>
        <row r="720">
          <cell r="A720" t="str">
            <v>Organización Papelera Del Centro, S.A. De C.V.</v>
          </cell>
          <cell r="B720" t="str">
            <v>OPC020131CP4</v>
          </cell>
        </row>
        <row r="721">
          <cell r="A721" t="str">
            <v>Origen Sap, S.A. De C.V.</v>
          </cell>
          <cell r="B721" t="str">
            <v>OSA141010LW4</v>
          </cell>
        </row>
        <row r="722">
          <cell r="A722" t="str">
            <v>Ormen World Wide, S.A. De C.V.</v>
          </cell>
          <cell r="B722" t="str">
            <v>OWW0709124J3</v>
          </cell>
        </row>
        <row r="723">
          <cell r="A723" t="str">
            <v>Pacal Armoring SA de CV</v>
          </cell>
          <cell r="B723" t="str">
            <v>PAR071005CV9</v>
          </cell>
        </row>
        <row r="724">
          <cell r="A724" t="str">
            <v>Papelera Anzures, S.A. De C.V.</v>
          </cell>
          <cell r="B724" t="str">
            <v>PAN910613PB0</v>
          </cell>
        </row>
        <row r="725">
          <cell r="A725" t="str">
            <v>Papelería Lozano Hermanos S.A. De C.V.</v>
          </cell>
          <cell r="B725" t="str">
            <v>PLH86093081A</v>
          </cell>
        </row>
        <row r="726">
          <cell r="A726" t="str">
            <v>Papelmetal SC</v>
          </cell>
          <cell r="B726" t="str">
            <v>PAP140613F15</v>
          </cell>
        </row>
        <row r="727">
          <cell r="A727" t="str">
            <v>Paper Less, S.A. de C.V.</v>
          </cell>
          <cell r="B727" t="str">
            <v>PLE9608124QA</v>
          </cell>
        </row>
        <row r="728">
          <cell r="A728" t="str">
            <v>Paradigma Publicidad, S.A. De C.V.</v>
          </cell>
          <cell r="B728" t="str">
            <v>PPU950516HI5</v>
          </cell>
        </row>
        <row r="729">
          <cell r="A729" t="str">
            <v>Pargroup Consultoría SC</v>
          </cell>
          <cell r="B729" t="str">
            <v>PCO050105FT7</v>
          </cell>
        </row>
        <row r="730">
          <cell r="A730" t="str">
            <v>Park Auto, S.A. De C.V.</v>
          </cell>
          <cell r="B730" t="str">
            <v>PAU070322DGA</v>
          </cell>
        </row>
        <row r="731">
          <cell r="A731" t="str">
            <v>Pas Gbs, S.A. De C.V.</v>
          </cell>
          <cell r="B731" t="str">
            <v>PGB101111MD8</v>
          </cell>
        </row>
        <row r="732">
          <cell r="A732" t="str">
            <v>Paupack, S.A. De C.V.</v>
          </cell>
          <cell r="B732" t="str">
            <v>PAU101224UC2</v>
          </cell>
        </row>
        <row r="733">
          <cell r="A733" t="str">
            <v>Pauta Comunicaciones SA de CV</v>
          </cell>
          <cell r="B733" t="str">
            <v>PCO1603288L6</v>
          </cell>
        </row>
        <row r="734">
          <cell r="A734" t="str">
            <v>Pavilion Diseño Y Arquitectura, S.A. De C.V.</v>
          </cell>
          <cell r="B734" t="str">
            <v>PDA020118FQ5</v>
          </cell>
        </row>
        <row r="735">
          <cell r="A735" t="str">
            <v>Pb &amp; Id By Paola Y Federica, S.C.</v>
          </cell>
          <cell r="B735" t="str">
            <v>PAI140703GM6</v>
          </cell>
        </row>
        <row r="736">
          <cell r="A736" t="str">
            <v>Pearl &amp; Pearl SA de CV</v>
          </cell>
          <cell r="B736" t="str">
            <v>PPE960925EV2</v>
          </cell>
        </row>
        <row r="737">
          <cell r="A737" t="str">
            <v>Pegaso Servicio Integral De Turismo SA de CV</v>
          </cell>
          <cell r="B737" t="str">
            <v>PSI021114QE1</v>
          </cell>
        </row>
        <row r="738">
          <cell r="A738" t="str">
            <v>Penguin Random House Grupo Editorial, S.A. De C.V.</v>
          </cell>
          <cell r="B738" t="str">
            <v>RHM540924EFA</v>
          </cell>
        </row>
        <row r="739">
          <cell r="A739" t="str">
            <v>Periódico La Extra SA de CV</v>
          </cell>
          <cell r="B739" t="str">
            <v>PEX860211TE5</v>
          </cell>
        </row>
        <row r="740">
          <cell r="A740" t="str">
            <v>Phonect, S.A. De C.V.</v>
          </cell>
          <cell r="B740" t="str">
            <v>PHO130128CI3</v>
          </cell>
        </row>
        <row r="741">
          <cell r="A741" t="str">
            <v>Pinacoteca 2000, S.A. De C.V.</v>
          </cell>
          <cell r="B741" t="str">
            <v>PDM9005286U8</v>
          </cell>
        </row>
        <row r="742">
          <cell r="A742" t="str">
            <v>Pineda Covalin, S.A. De C.V.</v>
          </cell>
          <cell r="B742" t="str">
            <v>PCO960904ST8</v>
          </cell>
        </row>
        <row r="743">
          <cell r="A743" t="str">
            <v>Pinturas Josfel, S.A. De C.V.</v>
          </cell>
          <cell r="B743" t="str">
            <v>PJO0211088R4</v>
          </cell>
        </row>
        <row r="744">
          <cell r="A744" t="str">
            <v>Pitney Bowes De México, S.A. De C.V.</v>
          </cell>
          <cell r="B744" t="str">
            <v>PBM940819HT5</v>
          </cell>
        </row>
        <row r="745">
          <cell r="A745" t="str">
            <v>Plásticos y Fertilizantes De Morelos SA De C.V.</v>
          </cell>
          <cell r="B745" t="str">
            <v>PFM891014836</v>
          </cell>
        </row>
        <row r="746">
          <cell r="A746" t="str">
            <v>Plata Villa De Polanco, S.A. De C.V.</v>
          </cell>
          <cell r="B746" t="str">
            <v>PVP920723D79</v>
          </cell>
        </row>
        <row r="747">
          <cell r="A747" t="str">
            <v>Plattform Construcciones, S.A. De C.V.</v>
          </cell>
          <cell r="B747" t="str">
            <v>PCO100309P55</v>
          </cell>
        </row>
        <row r="748">
          <cell r="A748" t="str">
            <v>Playmixes, S.A. De C.V.</v>
          </cell>
          <cell r="B748" t="str">
            <v>PLA08080861A</v>
          </cell>
        </row>
        <row r="749">
          <cell r="A749" t="str">
            <v>Plaza Y Valdés, S.A. De C.V.</v>
          </cell>
          <cell r="B749" t="str">
            <v>PVA890818IY8</v>
          </cell>
        </row>
        <row r="750">
          <cell r="A750" t="str">
            <v>Plm México, S.A. De C.V.</v>
          </cell>
          <cell r="B750" t="str">
            <v>PME850716PN5</v>
          </cell>
        </row>
        <row r="751">
          <cell r="A751" t="str">
            <v>Polanco Hermanos, S.A. De C.V.</v>
          </cell>
          <cell r="B751" t="str">
            <v>PHE990728DXA</v>
          </cell>
        </row>
        <row r="752">
          <cell r="A752" t="str">
            <v>Poliservicios, Tecnología E Ingeniería, S.A. De C.V.</v>
          </cell>
          <cell r="B752" t="str">
            <v>PTE1210296Y1</v>
          </cell>
        </row>
        <row r="753">
          <cell r="A753" t="str">
            <v>Politeia Consultores En Evaluación, S.A. De C.V.</v>
          </cell>
          <cell r="B753" t="str">
            <v>PCE140407UQ4</v>
          </cell>
        </row>
        <row r="754">
          <cell r="A754" t="str">
            <v>Polmherd De México SA de CV</v>
          </cell>
          <cell r="B754" t="str">
            <v>PME990726LB7</v>
          </cell>
        </row>
        <row r="755">
          <cell r="A755" t="str">
            <v>Populus Fintec SAPI De CV</v>
          </cell>
          <cell r="B755" t="str">
            <v>PFI151110QJ7</v>
          </cell>
        </row>
        <row r="756">
          <cell r="A756" t="str">
            <v>Por Ti Sea, A.C.</v>
          </cell>
          <cell r="B756" t="str">
            <v>TSE151217DCA</v>
          </cell>
        </row>
        <row r="757">
          <cell r="A757" t="str">
            <v>Power Systems Service, S.A. De C.V.</v>
          </cell>
          <cell r="B757" t="str">
            <v>PSS990127RE5</v>
          </cell>
        </row>
        <row r="758">
          <cell r="A758" t="str">
            <v>Prake Consultores Y Asesores, S.A. De C.V.</v>
          </cell>
          <cell r="B758" t="str">
            <v>PCA161013R16</v>
          </cell>
        </row>
        <row r="759">
          <cell r="A759" t="str">
            <v>Presentation Services, S.A. De C.V.</v>
          </cell>
          <cell r="B759" t="str">
            <v>PSE931116PLA</v>
          </cell>
        </row>
        <row r="760">
          <cell r="A760" t="str">
            <v>Prestigio En Moda SA de CV</v>
          </cell>
          <cell r="B760" t="str">
            <v>PMO841026HC2</v>
          </cell>
        </row>
        <row r="761">
          <cell r="A761" t="str">
            <v>Producción De Eventos Y Display México, S.A. De C.V.</v>
          </cell>
          <cell r="B761" t="str">
            <v>PED140325SU5</v>
          </cell>
        </row>
        <row r="762">
          <cell r="A762" t="str">
            <v>Producciones Balas, S.A. De C.V.</v>
          </cell>
          <cell r="B762" t="str">
            <v>PBA160309SM9</v>
          </cell>
        </row>
        <row r="763">
          <cell r="A763" t="str">
            <v>Producciones De Proyecto Y Construcción Maya, S.A. De C.V.</v>
          </cell>
          <cell r="B763" t="str">
            <v>PCC020527TZ7</v>
          </cell>
        </row>
        <row r="764">
          <cell r="A764" t="str">
            <v>Producciones Kinessis, S.A. De C.V.</v>
          </cell>
          <cell r="B764" t="str">
            <v>PKI910806NL9</v>
          </cell>
        </row>
        <row r="765">
          <cell r="A765" t="str">
            <v>Producciones Video Hills, S.A. De C.V.</v>
          </cell>
          <cell r="B765" t="str">
            <v>PVH9005223A1</v>
          </cell>
        </row>
        <row r="766">
          <cell r="A766" t="str">
            <v>Productos Lyt, S.A. De C.V.</v>
          </cell>
          <cell r="B766" t="str">
            <v>PLY911206FC9</v>
          </cell>
        </row>
        <row r="767">
          <cell r="A767" t="str">
            <v>Productos Metálicos Steele, S.A. De C.V.</v>
          </cell>
          <cell r="B767" t="str">
            <v>PMS811203QE6</v>
          </cell>
        </row>
        <row r="768">
          <cell r="A768" t="str">
            <v>Productos y Sistemas En Informática SA de CV</v>
          </cell>
          <cell r="B768" t="str">
            <v>PSI911216KA9</v>
          </cell>
        </row>
        <row r="769">
          <cell r="A769" t="str">
            <v>Profesionales En Manejo De Datos, S.A. De C.V.</v>
          </cell>
          <cell r="B769" t="str">
            <v>PMD030717KGA</v>
          </cell>
        </row>
        <row r="770">
          <cell r="A770" t="str">
            <v>Profhemsa SA de CV</v>
          </cell>
          <cell r="B770" t="str">
            <v>PRO960426EX2</v>
          </cell>
        </row>
        <row r="771">
          <cell r="A771" t="str">
            <v>Programma Comunicación, S.A. de C.V.</v>
          </cell>
          <cell r="B771" t="str">
            <v>PCO891122NB0</v>
          </cell>
        </row>
        <row r="772">
          <cell r="A772" t="str">
            <v>Promex Extintores, S.A. De C.V.</v>
          </cell>
          <cell r="B772" t="str">
            <v>PEX961112RA5</v>
          </cell>
        </row>
        <row r="773">
          <cell r="A773" t="str">
            <v>Promexar, S.A. De C.V.</v>
          </cell>
          <cell r="B773" t="str">
            <v>PRO0804072R0</v>
          </cell>
        </row>
        <row r="774">
          <cell r="A774" t="str">
            <v>Promotora Audiovisual MZ, S.A. De C.V.</v>
          </cell>
          <cell r="B774" t="str">
            <v>PAM1105133L5</v>
          </cell>
        </row>
        <row r="775">
          <cell r="A775" t="str">
            <v>Promotora Byg S.A. De C.V.</v>
          </cell>
          <cell r="B775" t="str">
            <v>PBY091217V60</v>
          </cell>
        </row>
        <row r="776">
          <cell r="A776" t="str">
            <v>Pronto Repartos Rápidos SA de CV</v>
          </cell>
          <cell r="B776" t="str">
            <v>PRR050906KG4</v>
          </cell>
        </row>
        <row r="777">
          <cell r="A777" t="str">
            <v>Proper Services, S.A. De C.V.</v>
          </cell>
          <cell r="B777" t="str">
            <v>PSE9908261P9</v>
          </cell>
        </row>
        <row r="778">
          <cell r="A778" t="str">
            <v>Propimex, S De R.L. De C.V.</v>
          </cell>
          <cell r="B778" t="str">
            <v>PRO840423SG8</v>
          </cell>
        </row>
        <row r="779">
          <cell r="A779" t="str">
            <v>Prospectiva Informática y Administrativa, S.A. De C.V.</v>
          </cell>
          <cell r="B779" t="str">
            <v>PIA900509D77</v>
          </cell>
        </row>
        <row r="780">
          <cell r="A780" t="str">
            <v>Protecto Glass de México SA de CV</v>
          </cell>
          <cell r="B780" t="str">
            <v>PGM940404E10</v>
          </cell>
        </row>
        <row r="781">
          <cell r="A781" t="str">
            <v>Proveedora Din, S.A. De C.V.</v>
          </cell>
          <cell r="B781" t="str">
            <v>PDI120118UF2</v>
          </cell>
        </row>
        <row r="782">
          <cell r="A782" t="str">
            <v>Proveedora Internacional De Servicios Intitucionales SA de CV</v>
          </cell>
          <cell r="B782" t="str">
            <v>PIS130508AA4</v>
          </cell>
        </row>
        <row r="783">
          <cell r="A783" t="str">
            <v>Proveedora Nacional Médica, S.A. de C.V.</v>
          </cell>
          <cell r="B783" t="str">
            <v>PNM060331RQ7</v>
          </cell>
        </row>
        <row r="784">
          <cell r="A784" t="str">
            <v>Proyecta Y Edifica, S.A. De C.V.</v>
          </cell>
          <cell r="B784" t="str">
            <v>PED990929PS8</v>
          </cell>
        </row>
        <row r="785">
          <cell r="A785" t="str">
            <v>Proyecto Día, S.A. De C.V.</v>
          </cell>
          <cell r="B785" t="str">
            <v>PDI9512142Q5</v>
          </cell>
        </row>
        <row r="786">
          <cell r="A786" t="str">
            <v>Proyecto E Instalaciones Integrales En Ingeniería, S.A. De C.V.</v>
          </cell>
          <cell r="B786" t="str">
            <v>PII991111CL6</v>
          </cell>
        </row>
        <row r="787">
          <cell r="A787" t="str">
            <v>Proyectos Alternativos De Comunicación, S.A. De C.V.</v>
          </cell>
          <cell r="B787" t="str">
            <v>PAC000704N72</v>
          </cell>
        </row>
        <row r="788">
          <cell r="A788" t="str">
            <v>Proyectos Edificaciones y Montajes SA de CV</v>
          </cell>
          <cell r="B788" t="str">
            <v>PEM050301KS6</v>
          </cell>
        </row>
        <row r="789">
          <cell r="A789" t="str">
            <v>Proyectos Especiales Tic SA de CV</v>
          </cell>
          <cell r="B789" t="str">
            <v>PET1302229B5</v>
          </cell>
        </row>
        <row r="790">
          <cell r="A790" t="str">
            <v>Proyectos Lumínicos SA</v>
          </cell>
          <cell r="B790" t="str">
            <v>PLU8303109G6</v>
          </cell>
        </row>
        <row r="791">
          <cell r="A791" t="str">
            <v>Proyectos Recuperaciones E Inspecciones De México SA de CV</v>
          </cell>
          <cell r="B791" t="str">
            <v>PRI150721256</v>
          </cell>
        </row>
        <row r="792">
          <cell r="A792" t="str">
            <v>Publicidad A Todo Color, S.A. De C.V.</v>
          </cell>
          <cell r="B792" t="str">
            <v>PTC1511179A1</v>
          </cell>
        </row>
        <row r="793">
          <cell r="A793" t="str">
            <v>Puertas Automáticas De Veracruz, S.A. De C.V.</v>
          </cell>
          <cell r="B793" t="str">
            <v>PAV940921S3A</v>
          </cell>
        </row>
        <row r="794">
          <cell r="A794" t="str">
            <v>Q Plus, S.A. de C.V.</v>
          </cell>
          <cell r="B794" t="str">
            <v>QPL980424K9A</v>
          </cell>
        </row>
        <row r="795">
          <cell r="A795" t="str">
            <v>Qarta Sistemas, S.A. De C.V.</v>
          </cell>
          <cell r="B795" t="str">
            <v>QSI990312R52</v>
          </cell>
        </row>
        <row r="796">
          <cell r="A796" t="str">
            <v>Qrea-t Solutions SA de CV</v>
          </cell>
          <cell r="B796" t="str">
            <v>QSO100827UB0</v>
          </cell>
        </row>
        <row r="797">
          <cell r="A797" t="str">
            <v>Quadrax SA de CV</v>
          </cell>
          <cell r="B797" t="str">
            <v>QUA901030322</v>
          </cell>
        </row>
        <row r="798">
          <cell r="A798" t="str">
            <v>Qualli Servicios Ti, S.A. De C.V.</v>
          </cell>
          <cell r="B798" t="str">
            <v>QST120409GU9</v>
          </cell>
        </row>
        <row r="799">
          <cell r="A799" t="str">
            <v>R3m Soluciones, S.A. De C.V.</v>
          </cell>
          <cell r="B799" t="str">
            <v>RSO110727BG3</v>
          </cell>
        </row>
        <row r="800">
          <cell r="A800" t="str">
            <v>Radamanthis, S.A. De C.V.</v>
          </cell>
          <cell r="B800" t="str">
            <v>RAD130715QK9</v>
          </cell>
        </row>
        <row r="801">
          <cell r="A801" t="str">
            <v>Radefra Comunicación, S.A. De C.V.</v>
          </cell>
          <cell r="B801" t="str">
            <v>RCO111214BZ3</v>
          </cell>
        </row>
        <row r="802">
          <cell r="A802" t="str">
            <v>Radiocomunicaciones Sakda, S.A. De C.V.</v>
          </cell>
          <cell r="B802" t="str">
            <v>RSA030408F38</v>
          </cell>
        </row>
        <row r="803">
          <cell r="A803" t="str">
            <v>Radiomóvil Dipsa, S.A. De C.V.</v>
          </cell>
          <cell r="B803" t="str">
            <v>RDI841003QJ4</v>
          </cell>
        </row>
        <row r="804">
          <cell r="A804" t="str">
            <v>Rasbo Soluciones De Negocios, S.A. De C.V.</v>
          </cell>
          <cell r="B804" t="str">
            <v>RSN120327DMA</v>
          </cell>
        </row>
        <row r="805">
          <cell r="A805" t="str">
            <v>Rayuela Digital, S.A. de C.V.</v>
          </cell>
          <cell r="B805" t="str">
            <v>RDO080307KF2</v>
          </cell>
        </row>
        <row r="806">
          <cell r="A806" t="str">
            <v>Rechtikal, S.A. De C.V.</v>
          </cell>
          <cell r="B806" t="str">
            <v>REC121107IMA</v>
          </cell>
        </row>
        <row r="807">
          <cell r="A807" t="str">
            <v>Recycle Tech SA de CV</v>
          </cell>
          <cell r="B807" t="str">
            <v>RTE990419</v>
          </cell>
        </row>
        <row r="808">
          <cell r="A808" t="str">
            <v>Redes Y Micros Del Oriente, S.A. De C.V.</v>
          </cell>
          <cell r="B808" t="str">
            <v>RMO9411122L0</v>
          </cell>
        </row>
        <row r="809">
          <cell r="A809" t="str">
            <v>Redpack, S.A. De C.V.</v>
          </cell>
          <cell r="B809" t="str">
            <v>RED940114JX9</v>
          </cell>
        </row>
        <row r="810">
          <cell r="A810" t="str">
            <v>Redsyscom, S.A. De C.V.</v>
          </cell>
          <cell r="B810" t="str">
            <v>RED020402FZA</v>
          </cell>
        </row>
        <row r="811">
          <cell r="A811" t="str">
            <v>Refacciones Mexicanas, S.A. de C.V.</v>
          </cell>
          <cell r="B811" t="str">
            <v>RME620921HE3</v>
          </cell>
        </row>
        <row r="812">
          <cell r="A812" t="str">
            <v>Registral Management, S.A. De C.V.</v>
          </cell>
          <cell r="B812" t="str">
            <v>RMA031205SQ1</v>
          </cell>
        </row>
        <row r="813">
          <cell r="A813" t="str">
            <v>Reino Educativo, S.A. De C.V.</v>
          </cell>
          <cell r="B813" t="str">
            <v>RED150319QW8</v>
          </cell>
        </row>
        <row r="814">
          <cell r="A814" t="str">
            <v>Renovacomex, S.A. De C.V.</v>
          </cell>
          <cell r="B814" t="str">
            <v>REN171023BW3</v>
          </cell>
        </row>
        <row r="815">
          <cell r="A815" t="str">
            <v>Representaciones Y Control Administrativo SA de CV</v>
          </cell>
          <cell r="B815" t="str">
            <v>RCA940318R83</v>
          </cell>
        </row>
        <row r="816">
          <cell r="A816" t="str">
            <v>Respuestas Optimas En Mayoreo S.A. De C.V.</v>
          </cell>
          <cell r="B816" t="str">
            <v>ROM900628QV1</v>
          </cell>
        </row>
        <row r="817">
          <cell r="A817" t="str">
            <v>Rilke Management, S.A. De C.V.</v>
          </cell>
          <cell r="B817" t="str">
            <v>RMA161031DJ1</v>
          </cell>
        </row>
        <row r="818">
          <cell r="A818" t="str">
            <v>Rincón Méndez Construcciones, S.A. De C.V.</v>
          </cell>
          <cell r="B818" t="str">
            <v>RMC160914FT3</v>
          </cell>
        </row>
        <row r="819">
          <cell r="A819" t="str">
            <v>Rm Systems, S.A. De C.V.</v>
          </cell>
          <cell r="B819" t="str">
            <v>RSY130429NW3</v>
          </cell>
        </row>
        <row r="820">
          <cell r="A820" t="str">
            <v>Robotec Alta Tecnología En Seguridad Privada, S.A. De C.V.</v>
          </cell>
          <cell r="B820" t="str">
            <v>RAT970109BU6</v>
          </cell>
        </row>
        <row r="821">
          <cell r="A821" t="str">
            <v>Rodriguez y Navarro Consultoría Legal SC</v>
          </cell>
          <cell r="B821" t="str">
            <v>RNC1508115GA</v>
          </cell>
        </row>
        <row r="822">
          <cell r="A822" t="str">
            <v>Roost Control De Plagas Y Servicios, S.A. De C.V.</v>
          </cell>
          <cell r="B822" t="str">
            <v>RCP040119SP3</v>
          </cell>
        </row>
        <row r="823">
          <cell r="A823" t="str">
            <v>Root Technologies, S.C.</v>
          </cell>
          <cell r="B823" t="str">
            <v>RTE040625HF8</v>
          </cell>
        </row>
        <row r="824">
          <cell r="A824" t="str">
            <v>Sabercomo, S.A. De C.V.</v>
          </cell>
          <cell r="B824" t="str">
            <v>SAB051015141</v>
          </cell>
        </row>
        <row r="825">
          <cell r="A825" t="str">
            <v>Sabormex, S.A. De C.V.</v>
          </cell>
          <cell r="B825" t="str">
            <v>SAB9407014V3</v>
          </cell>
        </row>
        <row r="826">
          <cell r="A826" t="str">
            <v>Sacmag De México SA de CV</v>
          </cell>
          <cell r="B826" t="str">
            <v>SME850212FD0</v>
          </cell>
        </row>
        <row r="827">
          <cell r="A827" t="str">
            <v>Sai Consultores SC</v>
          </cell>
          <cell r="B827" t="str">
            <v>SAI950920KS8</v>
          </cell>
        </row>
        <row r="828">
          <cell r="A828" t="str">
            <v>Sales Del Istmo, S.A. De C.V.</v>
          </cell>
          <cell r="B828" t="str">
            <v>SIS811210H53</v>
          </cell>
        </row>
        <row r="829">
          <cell r="A829" t="str">
            <v>Samurai Motors Ciudad De México, S. De R.L. De C.V.</v>
          </cell>
          <cell r="B829" t="str">
            <v>SMC171030UG5</v>
          </cell>
        </row>
        <row r="830">
          <cell r="A830" t="str">
            <v>Sandoval Sacal Cohen Y Compañía SC</v>
          </cell>
          <cell r="B830" t="str">
            <v>SSC091020MQ8</v>
          </cell>
        </row>
        <row r="831">
          <cell r="A831" t="str">
            <v>Sanipap De México, S.A. De C.V.</v>
          </cell>
          <cell r="B831" t="str">
            <v>SME0608184Z2</v>
          </cell>
        </row>
        <row r="832">
          <cell r="A832" t="str">
            <v>Santamaría Reyes Y Asociados, S.A. De C.V.</v>
          </cell>
          <cell r="B832" t="str">
            <v>SRA970404QH0</v>
          </cell>
        </row>
        <row r="833">
          <cell r="A833" t="str">
            <v>Savener Eventos Y Servicios, S.A. De C.V.</v>
          </cell>
          <cell r="B833" t="str">
            <v>SES130419489</v>
          </cell>
        </row>
        <row r="834">
          <cell r="A834" t="str">
            <v>Segtec SA de CV</v>
          </cell>
          <cell r="B834" t="str">
            <v>SEG030317E48</v>
          </cell>
        </row>
        <row r="835">
          <cell r="A835" t="str">
            <v>Segudirecto Agente De Seguros y De Fianzas SA de CV</v>
          </cell>
          <cell r="B835" t="str">
            <v>GCM940630U99</v>
          </cell>
        </row>
        <row r="836">
          <cell r="A836" t="str">
            <v>Seguimiento Técnico Ambiental, S.A. De C.V.</v>
          </cell>
          <cell r="B836" t="str">
            <v>STA020703444</v>
          </cell>
        </row>
        <row r="837">
          <cell r="A837" t="str">
            <v>Segurisk, Agente de Seguros y de Fianzas, S.A. de C.V.</v>
          </cell>
          <cell r="B837" t="str">
            <v>SAS050314PA2</v>
          </cell>
        </row>
        <row r="838">
          <cell r="A838" t="str">
            <v>Seguros Inbursa, S.A. Grupo Financiero Inbursa</v>
          </cell>
          <cell r="B838" t="str">
            <v>SIN9408027L7</v>
          </cell>
        </row>
        <row r="839">
          <cell r="A839" t="str">
            <v>Selipro SA de CV</v>
          </cell>
          <cell r="B839" t="str">
            <v>SEL140507KH0</v>
          </cell>
        </row>
        <row r="840">
          <cell r="A840" t="str">
            <v>Serbitecsa, S.A. De C.V.</v>
          </cell>
          <cell r="B840" t="str">
            <v>SER080612IY7</v>
          </cell>
        </row>
        <row r="841">
          <cell r="A841" t="str">
            <v>Serret Derbez Hydraulic Power, S.A. De C.V.</v>
          </cell>
          <cell r="B841" t="str">
            <v>SDH050517II7</v>
          </cell>
        </row>
        <row r="842">
          <cell r="A842" t="str">
            <v>Serretecno SA de CV</v>
          </cell>
          <cell r="B842" t="str">
            <v>SER911203JU5</v>
          </cell>
        </row>
        <row r="843">
          <cell r="A843" t="str">
            <v>Servi Estructuras Alfa SA de CV</v>
          </cell>
          <cell r="B843" t="str">
            <v>SEA760803S60</v>
          </cell>
        </row>
        <row r="844">
          <cell r="A844" t="str">
            <v>Servicio Instalación Mantenimiento Y Asesoría De Equipos De Accesibilidad SA</v>
          </cell>
          <cell r="B844" t="str">
            <v>SIM080805SK1</v>
          </cell>
        </row>
        <row r="845">
          <cell r="A845" t="str">
            <v>Servicio Integral En Computación, S.A. De C.V.</v>
          </cell>
          <cell r="B845" t="str">
            <v>SIC940816J2A</v>
          </cell>
        </row>
        <row r="846">
          <cell r="A846" t="str">
            <v>Servicio Postal Mexicano</v>
          </cell>
          <cell r="B846" t="str">
            <v>SPM860820CF5</v>
          </cell>
        </row>
        <row r="847">
          <cell r="A847" t="str">
            <v>Servicios Akj, S.A. De C.V.</v>
          </cell>
          <cell r="B847" t="str">
            <v>SAK11061699A</v>
          </cell>
        </row>
        <row r="848">
          <cell r="A848" t="str">
            <v>Servicios De Capacitación, Asesoría Y Productividad, S.C.</v>
          </cell>
          <cell r="B848" t="str">
            <v>SCA891107NM5</v>
          </cell>
        </row>
        <row r="849">
          <cell r="A849" t="str">
            <v>Servicios De Energía Ininterrumpible, S.A. De C.V.</v>
          </cell>
          <cell r="B849" t="str">
            <v>SEI001019RW3</v>
          </cell>
        </row>
        <row r="850">
          <cell r="A850" t="str">
            <v>Servicios De Interiorismo Master Key SA de CV</v>
          </cell>
          <cell r="B850" t="str">
            <v>SIM150526V66</v>
          </cell>
        </row>
        <row r="851">
          <cell r="A851" t="str">
            <v>Servicios Especializados En Sistemas De Gestión, S.C.</v>
          </cell>
          <cell r="B851" t="str">
            <v>SES0504083N6</v>
          </cell>
        </row>
        <row r="852">
          <cell r="A852" t="str">
            <v>Servicios Especializados En Teleinformática, S.A. De C.V.</v>
          </cell>
          <cell r="B852" t="str">
            <v>SET061122NX8</v>
          </cell>
        </row>
        <row r="853">
          <cell r="A853" t="str">
            <v>Servicios Integrales De Valoración S de RL de CV</v>
          </cell>
          <cell r="B853" t="str">
            <v>SIV141017541</v>
          </cell>
        </row>
        <row r="854">
          <cell r="A854" t="str">
            <v>Servicios Integrales En Promoción Y Comunicación, S.A. De C.V.</v>
          </cell>
          <cell r="B854" t="str">
            <v>SIP121211665</v>
          </cell>
        </row>
        <row r="855">
          <cell r="A855" t="str">
            <v>Servicios Integrales Vencher SA de CV</v>
          </cell>
          <cell r="B855" t="str">
            <v>SIV030412VB3</v>
          </cell>
        </row>
        <row r="856">
          <cell r="A856" t="str">
            <v>Servicios Jurídicos Sistematizados Serjusis, S.C.</v>
          </cell>
          <cell r="B856" t="str">
            <v>SJS0905252R7</v>
          </cell>
        </row>
        <row r="857">
          <cell r="A857" t="str">
            <v>Servicios Profesionales Ra, S.A. De C.V.</v>
          </cell>
          <cell r="B857" t="str">
            <v>SPR050628PX2</v>
          </cell>
        </row>
        <row r="858">
          <cell r="A858" t="str">
            <v>Servicios Tecnología y Organización SA de CV</v>
          </cell>
          <cell r="B858" t="str">
            <v>STO020301G28</v>
          </cell>
        </row>
        <row r="859">
          <cell r="A859" t="str">
            <v>Servicios Troncalizados SA de CV</v>
          </cell>
          <cell r="B859" t="str">
            <v>STR900622ES9</v>
          </cell>
        </row>
        <row r="860">
          <cell r="A860" t="str">
            <v>Servipro de México, S.A. de C.V.</v>
          </cell>
          <cell r="B860" t="str">
            <v>SME910904AE2</v>
          </cell>
        </row>
        <row r="861">
          <cell r="A861" t="str">
            <v>Sesiti, S.A. de C.V.</v>
          </cell>
          <cell r="B861" t="str">
            <v>SES0305069R7</v>
          </cell>
        </row>
        <row r="862">
          <cell r="A862" t="str">
            <v>Sffeera Producciones, S.A. De C.V.</v>
          </cell>
          <cell r="B862" t="str">
            <v>SPR070207L75</v>
          </cell>
        </row>
        <row r="863">
          <cell r="A863" t="str">
            <v>Sharp Corporation México, S.A. De C.V.</v>
          </cell>
          <cell r="B863" t="str">
            <v>SCM091023TW3</v>
          </cell>
        </row>
        <row r="864">
          <cell r="A864" t="str">
            <v>Sictel Arrendamiento, S.A. De C.V.</v>
          </cell>
          <cell r="B864" t="str">
            <v>SAR000225UE4</v>
          </cell>
        </row>
        <row r="865">
          <cell r="A865" t="str">
            <v>Sictel Soluciones TI, S.A. de C.V.</v>
          </cell>
          <cell r="B865" t="str">
            <v>SST940111LG1</v>
          </cell>
        </row>
        <row r="866">
          <cell r="A866" t="str">
            <v>Siglo XXI Editores, S.A. De C.V.</v>
          </cell>
          <cell r="B866" t="str">
            <v>SVE8210018I5</v>
          </cell>
        </row>
        <row r="867">
          <cell r="A867" t="str">
            <v>Sinergia Consultoría y Capacitación En Calidad SC</v>
          </cell>
          <cell r="B867" t="str">
            <v>SCC0605025Q7</v>
          </cell>
        </row>
        <row r="868">
          <cell r="A868" t="str">
            <v>Sinergia Participativa, S.A. De C.V.</v>
          </cell>
          <cell r="B868" t="str">
            <v>SPA090908CU3</v>
          </cell>
        </row>
        <row r="869">
          <cell r="A869" t="str">
            <v>Sinteg En México, S.A. De C.V.</v>
          </cell>
          <cell r="B869" t="str">
            <v>SME9002277T7</v>
          </cell>
        </row>
        <row r="870">
          <cell r="A870" t="str">
            <v>Siroel Proyectos SAPI De CV</v>
          </cell>
          <cell r="B870" t="str">
            <v>SPR130319LT7</v>
          </cell>
        </row>
        <row r="871">
          <cell r="A871" t="str">
            <v>Sistema De Energía Ininterrumpida, S.A. de C.V.</v>
          </cell>
          <cell r="B871" t="str">
            <v>SEI930315MW9</v>
          </cell>
        </row>
        <row r="872">
          <cell r="A872" t="str">
            <v>Sistemas De Acondicionamiento Ambiental, S.A. De C.V.</v>
          </cell>
          <cell r="B872" t="str">
            <v>SAA7609095Q0</v>
          </cell>
        </row>
        <row r="873">
          <cell r="A873" t="str">
            <v>Sistemas De Energía Sise, S.A. De C.V.</v>
          </cell>
          <cell r="B873" t="str">
            <v>SES101101ENA</v>
          </cell>
        </row>
        <row r="874">
          <cell r="A874" t="str">
            <v>Sistemas Digitales En Audio Y Video, S.A. De C.V.</v>
          </cell>
          <cell r="B874" t="str">
            <v>SDA881122NT7</v>
          </cell>
        </row>
        <row r="875">
          <cell r="A875" t="str">
            <v>Sistemas Neumáticos De Envíos, S.A. De C.V.</v>
          </cell>
          <cell r="B875" t="str">
            <v>SNE8902146C0</v>
          </cell>
        </row>
        <row r="876">
          <cell r="A876" t="str">
            <v>Sistemas Sintel, S.A. De C.V.</v>
          </cell>
          <cell r="B876" t="str">
            <v>SSI841005TN0</v>
          </cell>
        </row>
        <row r="877">
          <cell r="A877" t="str">
            <v>Sistemas y Servicios De Alta Tecnología SA de CV</v>
          </cell>
          <cell r="B877" t="str">
            <v>SSA010402FA0</v>
          </cell>
        </row>
        <row r="878">
          <cell r="A878" t="str">
            <v>Siva Consultoría En Seguridad, S.A. De C.V.</v>
          </cell>
          <cell r="B878" t="str">
            <v>SCS161122SS1</v>
          </cell>
        </row>
        <row r="879">
          <cell r="A879" t="str">
            <v>Siva Security Intelligence Vision &amp; Advising, S.A. De C.V.</v>
          </cell>
          <cell r="B879" t="str">
            <v>SSI050621GVA</v>
          </cell>
        </row>
        <row r="880">
          <cell r="A880" t="str">
            <v>Six Flags México, S.A. De C.V.</v>
          </cell>
          <cell r="B880" t="str">
            <v>RAV790322QY4</v>
          </cell>
        </row>
        <row r="881">
          <cell r="A881" t="str">
            <v>Skandatecnology Advisors, S.A. De C.V.</v>
          </cell>
          <cell r="B881" t="str">
            <v>SAD090420959</v>
          </cell>
        </row>
        <row r="882">
          <cell r="A882" t="str">
            <v>Sm Global Fast SA de CV</v>
          </cell>
          <cell r="B882" t="str">
            <v>SGF150608D92</v>
          </cell>
        </row>
        <row r="883">
          <cell r="A883" t="str">
            <v>Soestra SA de CV</v>
          </cell>
          <cell r="B883" t="str">
            <v>SOE1505187P8</v>
          </cell>
        </row>
        <row r="884">
          <cell r="A884" t="str">
            <v>Sofam Motos, S.A. De C.V.</v>
          </cell>
          <cell r="B884" t="str">
            <v>SMO120213MA2</v>
          </cell>
        </row>
        <row r="885">
          <cell r="A885" t="str">
            <v>Soft Computing México SA de CV</v>
          </cell>
          <cell r="B885" t="str">
            <v>SCM151211UA4</v>
          </cell>
        </row>
        <row r="886">
          <cell r="A886" t="str">
            <v>Software Blancco, S.A. De C.V.</v>
          </cell>
          <cell r="B886" t="str">
            <v>SBL1008258T0</v>
          </cell>
        </row>
        <row r="887">
          <cell r="A887" t="str">
            <v>Solecsus SA de CV</v>
          </cell>
          <cell r="B887" t="str">
            <v>SOL1303057K6</v>
          </cell>
        </row>
        <row r="888">
          <cell r="A888" t="str">
            <v>Sollertis Consultores, S.C.</v>
          </cell>
          <cell r="B888" t="str">
            <v>SCO110208942</v>
          </cell>
        </row>
        <row r="889">
          <cell r="A889" t="str">
            <v>Solución Publicitaria y Eventos SA de CV</v>
          </cell>
          <cell r="B889" t="str">
            <v>SPE130207LW6</v>
          </cell>
        </row>
        <row r="890">
          <cell r="A890" t="str">
            <v>Soluciones Alfaeficiencia, S.A. De C.V.</v>
          </cell>
          <cell r="B890" t="str">
            <v>SAL090511PV6</v>
          </cell>
        </row>
        <row r="891">
          <cell r="A891" t="str">
            <v>Soluciones Capitales SA de CV</v>
          </cell>
          <cell r="B891" t="str">
            <v>SCA1302219U1</v>
          </cell>
        </row>
        <row r="892">
          <cell r="A892" t="str">
            <v>Soluciones Integrales A Equipos De Oficina, S.A. De C.V.</v>
          </cell>
          <cell r="B892" t="str">
            <v>SIA0909017R8</v>
          </cell>
        </row>
        <row r="893">
          <cell r="A893" t="str">
            <v>Soluciones Integrales Amr, S.A. De C.V.</v>
          </cell>
          <cell r="B893" t="str">
            <v>SIA940408THA</v>
          </cell>
        </row>
        <row r="894">
          <cell r="A894" t="str">
            <v>Soluciones Integrales En Conscptos SC</v>
          </cell>
          <cell r="B894" t="str">
            <v>SIC150610170</v>
          </cell>
        </row>
        <row r="895">
          <cell r="A895" t="str">
            <v>Soluciones Integrales Para Bibliotecas y Archivos SA de CV</v>
          </cell>
          <cell r="B895" t="str">
            <v>SIB050603RK4</v>
          </cell>
        </row>
        <row r="896">
          <cell r="A896" t="str">
            <v>Soluciones Integrales Para Redes Y Sistemas De Cómputo, S.A. De C.V.</v>
          </cell>
          <cell r="B896" t="str">
            <v>SIR99022694A</v>
          </cell>
        </row>
        <row r="897">
          <cell r="A897" t="str">
            <v>Soluciones Inteligentes Solin SA de CV</v>
          </cell>
          <cell r="B897" t="str">
            <v>SIS1211079J4</v>
          </cell>
        </row>
        <row r="898">
          <cell r="A898" t="str">
            <v>Soluciones para Ti, S.A. de C.V.</v>
          </cell>
          <cell r="B898" t="str">
            <v>STI070725SAA</v>
          </cell>
        </row>
        <row r="899">
          <cell r="A899" t="str">
            <v>Soluciones Samsara Services, S.A. De C.V.</v>
          </cell>
          <cell r="B899" t="str">
            <v>SSS111110DKA</v>
          </cell>
        </row>
        <row r="900">
          <cell r="A900" t="str">
            <v>Soluciones Tecnológicas Especializadas, S.A. De C.V.</v>
          </cell>
          <cell r="B900" t="str">
            <v>STE040914LI2</v>
          </cell>
        </row>
        <row r="901">
          <cell r="A901" t="str">
            <v>Somboruco Films, S.A. De C.V.</v>
          </cell>
          <cell r="B901" t="str">
            <v>SFI140905PC6</v>
          </cell>
        </row>
        <row r="902">
          <cell r="A902" t="str">
            <v>Sonda México SA de CV</v>
          </cell>
          <cell r="B902" t="str">
            <v>SME040223T23</v>
          </cell>
        </row>
        <row r="903">
          <cell r="A903" t="str">
            <v>Soundspace, S.A. De C.V.</v>
          </cell>
          <cell r="B903" t="str">
            <v>SOU031210613</v>
          </cell>
        </row>
        <row r="904">
          <cell r="A904" t="str">
            <v>Sperto Digital SA de CV</v>
          </cell>
          <cell r="B904" t="str">
            <v>SDI120926K49</v>
          </cell>
        </row>
        <row r="905">
          <cell r="A905" t="str">
            <v>Stallum Construcciones Globales, S.A. de C.V.</v>
          </cell>
          <cell r="B905" t="str">
            <v>SCG161201TUO</v>
          </cell>
        </row>
        <row r="906">
          <cell r="A906" t="str">
            <v>Sublicompany SA de CV</v>
          </cell>
          <cell r="B906" t="str">
            <v>SUB1304186R4</v>
          </cell>
        </row>
        <row r="907">
          <cell r="A907" t="str">
            <v>Surman Anzures, S.A. De C.V.</v>
          </cell>
          <cell r="B907" t="str">
            <v>SAN070511T77</v>
          </cell>
        </row>
        <row r="908">
          <cell r="A908" t="str">
            <v>Suven, S.A. De C.V.</v>
          </cell>
          <cell r="B908" t="str">
            <v>SUV130405TK8</v>
          </cell>
        </row>
        <row r="909">
          <cell r="A909" t="str">
            <v>Suzuka Motos, S. De R.L. De C.V.</v>
          </cell>
          <cell r="B909" t="str">
            <v>SMO070514DS4</v>
          </cell>
        </row>
        <row r="910">
          <cell r="A910" t="str">
            <v>Tabacos De Santa Fe, S.A. De C.V.</v>
          </cell>
          <cell r="B910" t="str">
            <v>TSF9905049L6</v>
          </cell>
        </row>
        <row r="911">
          <cell r="A911" t="str">
            <v>Talento SA de CV</v>
          </cell>
          <cell r="B911" t="str">
            <v>TAL810120K38</v>
          </cell>
        </row>
        <row r="912">
          <cell r="A912" t="str">
            <v>Taller Espiral, S.C.</v>
          </cell>
          <cell r="B912" t="str">
            <v>TES1006178P2</v>
          </cell>
        </row>
        <row r="913">
          <cell r="A913" t="str">
            <v>Tares Taller De Arquitectura Y Restauración, S.A. De C.V.</v>
          </cell>
          <cell r="B913" t="str">
            <v>TTA091015833</v>
          </cell>
        </row>
        <row r="914">
          <cell r="A914" t="str">
            <v>TDMA Celular, S.A. De C.V.</v>
          </cell>
          <cell r="B914" t="str">
            <v>TDM000815SK4</v>
          </cell>
        </row>
        <row r="915">
          <cell r="A915" t="str">
            <v>Teaasi Video, S.A. De C.V.</v>
          </cell>
          <cell r="B915" t="str">
            <v>TVI130211GD6</v>
          </cell>
        </row>
        <row r="916">
          <cell r="A916" t="str">
            <v>TEC Electrónica, S.A. De C.V.</v>
          </cell>
          <cell r="B916" t="str">
            <v>TEL920701QXA</v>
          </cell>
        </row>
        <row r="917">
          <cell r="A917" t="str">
            <v>Tech Storm, S.A. De C.V.</v>
          </cell>
          <cell r="B917" t="str">
            <v>TST0603206T3</v>
          </cell>
        </row>
        <row r="918">
          <cell r="A918" t="str">
            <v>Técnicas En Iluminación Urman, S.A. De C.V.</v>
          </cell>
          <cell r="B918" t="str">
            <v>TIU140528GLA</v>
          </cell>
        </row>
        <row r="919">
          <cell r="A919" t="str">
            <v>Tecnología &amp; Contacto SA de CV</v>
          </cell>
          <cell r="B919" t="str">
            <v>T&amp;C991118HH5</v>
          </cell>
        </row>
        <row r="920">
          <cell r="A920" t="str">
            <v>Tecnología En Comunicaciones E Informática, S.A. De C.V.</v>
          </cell>
          <cell r="B920" t="str">
            <v>TCI980226AY8</v>
          </cell>
        </row>
        <row r="921">
          <cell r="A921" t="str">
            <v>Tecnología Especializada Bitcom, S.A. De C.V.</v>
          </cell>
          <cell r="B921" t="str">
            <v>TEB1406231E8</v>
          </cell>
        </row>
        <row r="922">
          <cell r="A922" t="str">
            <v>Tecnología Integral Ronu, S.A. De C.V.</v>
          </cell>
          <cell r="B922" t="str">
            <v>TIR140207ED6</v>
          </cell>
        </row>
        <row r="923">
          <cell r="A923" t="str">
            <v>Tecnología Y Soluciones En Luz, S.A. De C.V.</v>
          </cell>
          <cell r="B923" t="str">
            <v>TSL0810061I3</v>
          </cell>
        </row>
        <row r="924">
          <cell r="A924" t="str">
            <v>Tecnologías Digitales Alternas De México, S. De R.L. De C.V.</v>
          </cell>
          <cell r="B924" t="str">
            <v>TDA100816147</v>
          </cell>
        </row>
        <row r="925">
          <cell r="A925" t="str">
            <v>Tecnoprogramación Humana Especializada en Sistemas Operativos, S.A. de C.V.</v>
          </cell>
          <cell r="B925" t="str">
            <v>THE8701087R8</v>
          </cell>
        </row>
        <row r="926">
          <cell r="A926" t="str">
            <v>Telecomunicaciones De México</v>
          </cell>
          <cell r="B926" t="str">
            <v>TME891117F56</v>
          </cell>
        </row>
        <row r="927">
          <cell r="A927" t="str">
            <v>Telecomunicaciones Multidestino, S.A. De C.V.</v>
          </cell>
          <cell r="B927" t="str">
            <v>TMU9308161H5</v>
          </cell>
        </row>
        <row r="928">
          <cell r="A928" t="str">
            <v>Teléfonos De México, S. A. B. De C. V.</v>
          </cell>
          <cell r="B928" t="str">
            <v>TME840315KT6</v>
          </cell>
        </row>
        <row r="929">
          <cell r="A929" t="str">
            <v>Telemática Lefic, S.A. De C.V.</v>
          </cell>
          <cell r="B929" t="str">
            <v>TLE931001GT5</v>
          </cell>
        </row>
        <row r="930">
          <cell r="A930" t="str">
            <v>Teletec De México, S.A.P.I. De C.V.</v>
          </cell>
          <cell r="B930" t="str">
            <v>TME910924TL5</v>
          </cell>
        </row>
        <row r="931">
          <cell r="A931" t="str">
            <v>Thales México, S.A. de C.V.</v>
          </cell>
          <cell r="B931" t="str">
            <v>TSS000724HT5</v>
          </cell>
        </row>
        <row r="932">
          <cell r="A932" t="str">
            <v>The Anglo Mexican Foundation, A.C.</v>
          </cell>
          <cell r="B932" t="str">
            <v>AMF430610EK1</v>
          </cell>
        </row>
        <row r="933">
          <cell r="A933" t="str">
            <v>The Os Del Sureste SA de CV</v>
          </cell>
          <cell r="B933" t="str">
            <v>OSU990909393</v>
          </cell>
        </row>
        <row r="934">
          <cell r="A934" t="str">
            <v>Thorsmex SA de CV</v>
          </cell>
          <cell r="B934" t="str">
            <v>THO961212IK7</v>
          </cell>
        </row>
        <row r="935">
          <cell r="A935" t="str">
            <v>Thyssenkrupp Elevadores, S.A. De C.V.</v>
          </cell>
          <cell r="B935" t="str">
            <v>TEL940531FV9</v>
          </cell>
        </row>
        <row r="936">
          <cell r="A936" t="str">
            <v>Tirant Lo Blanch México S de RL de CV</v>
          </cell>
          <cell r="B936" t="str">
            <v>TLB110322C48</v>
          </cell>
        </row>
        <row r="937">
          <cell r="A937" t="str">
            <v>Tlaseca Construcciones, S.A. De C.V.</v>
          </cell>
          <cell r="B937" t="str">
            <v>TCO031121517</v>
          </cell>
        </row>
        <row r="938">
          <cell r="A938" t="str">
            <v>Todalaprensa SA de CV</v>
          </cell>
          <cell r="B938" t="str">
            <v>TOD001012FH8</v>
          </cell>
        </row>
        <row r="939">
          <cell r="A939" t="str">
            <v>Toldos y Cubiertas A Tensión SA de CV</v>
          </cell>
          <cell r="B939" t="str">
            <v>TCT0207232I2</v>
          </cell>
        </row>
        <row r="940">
          <cell r="A940" t="str">
            <v>Toma De Protesta SA de CV</v>
          </cell>
          <cell r="B940" t="str">
            <v>TPR0306184U6</v>
          </cell>
        </row>
        <row r="941">
          <cell r="A941" t="str">
            <v>Toptel, S. De R.L. De C.V.</v>
          </cell>
          <cell r="B941" t="str">
            <v>TOP000419QFA</v>
          </cell>
        </row>
        <row r="942">
          <cell r="A942" t="str">
            <v>Tqv Mx SA de CV</v>
          </cell>
          <cell r="B942" t="str">
            <v>CCA120828H27</v>
          </cell>
        </row>
        <row r="943">
          <cell r="A943" t="str">
            <v>Tradeleco México, S. De R. L. De C. V.</v>
          </cell>
          <cell r="B943" t="str">
            <v>TME140204GP5</v>
          </cell>
        </row>
        <row r="944">
          <cell r="A944" t="str">
            <v>Trans-Comunicación, S.A. De C.V.</v>
          </cell>
          <cell r="B944" t="str">
            <v>TRA1201314F1</v>
          </cell>
        </row>
        <row r="945">
          <cell r="A945" t="str">
            <v>Transportadora De Protección Y Seguridad, S.A. De C.V.</v>
          </cell>
          <cell r="B945" t="str">
            <v>TPS941223UG9</v>
          </cell>
        </row>
        <row r="946">
          <cell r="A946" t="str">
            <v>Tres News Producciones SA de CV</v>
          </cell>
          <cell r="B946" t="str">
            <v>TNP040917SP5</v>
          </cell>
        </row>
        <row r="947">
          <cell r="A947" t="str">
            <v>Treshwa Blue Solutions, S. De R.L. De C.V.</v>
          </cell>
          <cell r="B947" t="str">
            <v>TBS121122U58</v>
          </cell>
        </row>
        <row r="948">
          <cell r="A948" t="str">
            <v>Treta Iluminación, S.A. De C.V.</v>
          </cell>
          <cell r="B948" t="str">
            <v>TIL890220N87</v>
          </cell>
        </row>
        <row r="949">
          <cell r="A949" t="str">
            <v>Trilce Ediciones SA de CV</v>
          </cell>
          <cell r="B949" t="str">
            <v>TED910618C83</v>
          </cell>
        </row>
        <row r="950">
          <cell r="A950" t="str">
            <v>Trustnet De México, S.A. De C.V.</v>
          </cell>
          <cell r="B950" t="str">
            <v>TME001110NR9</v>
          </cell>
        </row>
        <row r="951">
          <cell r="A951" t="str">
            <v>Turavisión, S.A. De C.V.</v>
          </cell>
          <cell r="B951" t="str">
            <v>TUR920807TQ3</v>
          </cell>
        </row>
        <row r="952">
          <cell r="A952" t="str">
            <v>Turismo Y Convenciones SA de CV</v>
          </cell>
          <cell r="B952" t="str">
            <v>TCO920113174</v>
          </cell>
        </row>
        <row r="953">
          <cell r="A953" t="str">
            <v>Tv Por Internet De Oaxaca, S.A. De C.V.</v>
          </cell>
          <cell r="B953" t="str">
            <v>TIO090407278</v>
          </cell>
        </row>
        <row r="954">
          <cell r="A954" t="str">
            <v>Tvm Técnicos Verticales De México, S.A. De C.V.</v>
          </cell>
          <cell r="B954" t="str">
            <v>TTV0711095D2</v>
          </cell>
        </row>
        <row r="955">
          <cell r="A955" t="str">
            <v>Ubando Ingeniería SA de CV</v>
          </cell>
          <cell r="B955" t="str">
            <v>UIN060511EX7</v>
          </cell>
        </row>
        <row r="956">
          <cell r="A956" t="str">
            <v>Un Logro Mas, S.A. De C.V.</v>
          </cell>
          <cell r="B956" t="str">
            <v>ULM011128DC0</v>
          </cell>
        </row>
        <row r="957">
          <cell r="A957" t="str">
            <v>Único Vidrios, Domos Y Aluminio, S.A. De C.V.</v>
          </cell>
          <cell r="B957" t="str">
            <v>UVD0610166TA</v>
          </cell>
        </row>
        <row r="958">
          <cell r="A958" t="str">
            <v>Uniformes Carsan SA de CV</v>
          </cell>
          <cell r="B958" t="str">
            <v>UCA140325TL3</v>
          </cell>
        </row>
        <row r="959">
          <cell r="A959" t="str">
            <v>Uniformes Médicos y Desechables, S.A. de C.V.</v>
          </cell>
          <cell r="B959" t="str">
            <v>UMD100309Q9A</v>
          </cell>
        </row>
        <row r="960">
          <cell r="A960" t="str">
            <v>Universidad Autónoma Metropolitana</v>
          </cell>
          <cell r="B960" t="str">
            <v>UAM740101AR1</v>
          </cell>
        </row>
        <row r="961">
          <cell r="A961" t="str">
            <v>Universidad Iberoamericana, A.C.</v>
          </cell>
          <cell r="B961" t="str">
            <v>UIB540920IT3</v>
          </cell>
        </row>
        <row r="962">
          <cell r="A962" t="str">
            <v>Universidad La Salle, A.C.</v>
          </cell>
          <cell r="B962" t="str">
            <v>USA620620N49</v>
          </cell>
        </row>
        <row r="963">
          <cell r="A963" t="str">
            <v>Universidad Nacional Autónoma De México</v>
          </cell>
          <cell r="B963" t="str">
            <v>UNA2907227Y5</v>
          </cell>
        </row>
        <row r="964">
          <cell r="A964" t="str">
            <v>Uribe Ingenieros Asociados, S.A. De C.V.</v>
          </cell>
          <cell r="B964" t="str">
            <v>UIA840406731</v>
          </cell>
        </row>
        <row r="965">
          <cell r="A965" t="str">
            <v>Vaday De México SA de CV</v>
          </cell>
          <cell r="B965" t="str">
            <v>VME090323463</v>
          </cell>
        </row>
        <row r="966">
          <cell r="A966" t="str">
            <v>Valet Parking Bps, S. De R.L. De C.V.</v>
          </cell>
          <cell r="B966" t="str">
            <v>VPB090903LP4</v>
          </cell>
        </row>
        <row r="967">
          <cell r="A967" t="str">
            <v>Vanume, S. De R.L. De C.V.</v>
          </cell>
          <cell r="B967" t="str">
            <v>VAN120217V12</v>
          </cell>
        </row>
        <row r="968">
          <cell r="A968" t="str">
            <v>Vari Internacional, S.A. De C.V.</v>
          </cell>
          <cell r="B968" t="str">
            <v>VIN970715UB5</v>
          </cell>
        </row>
        <row r="969">
          <cell r="A969" t="str">
            <v>Vector Impulsor De Proyectos, S.A. De C.V.</v>
          </cell>
          <cell r="B969" t="str">
            <v>VIP111024LR4</v>
          </cell>
        </row>
        <row r="970">
          <cell r="A970" t="str">
            <v>Vehículos Santa Fe, S.A. De C.V.</v>
          </cell>
          <cell r="B970" t="str">
            <v>VSF100322GR2</v>
          </cell>
        </row>
        <row r="971">
          <cell r="A971" t="str">
            <v>Velázquez Focos, S.A. De C.V.</v>
          </cell>
          <cell r="B971" t="str">
            <v>VFO841003RS6</v>
          </cell>
        </row>
        <row r="972">
          <cell r="A972" t="str">
            <v>Ventas Y Servicios Al Consumidor, S.A De C.V</v>
          </cell>
          <cell r="B972" t="str">
            <v>VSC8609016J2</v>
          </cell>
        </row>
        <row r="973">
          <cell r="A973" t="str">
            <v>Ventor Internacional SA de CV</v>
          </cell>
          <cell r="B973" t="str">
            <v>VIN000811HT2</v>
          </cell>
        </row>
        <row r="974">
          <cell r="A974" t="str">
            <v>Versus Focum, S.A. De C.V.</v>
          </cell>
          <cell r="B974" t="str">
            <v>VFO071219A39</v>
          </cell>
        </row>
        <row r="975">
          <cell r="A975" t="str">
            <v>Verticalmex, S.A. De C.V.</v>
          </cell>
          <cell r="B975" t="str">
            <v>VER1307057B4</v>
          </cell>
        </row>
        <row r="976">
          <cell r="A976" t="str">
            <v>Viajes Alpandeire, S.A. De C.V.</v>
          </cell>
          <cell r="B976" t="str">
            <v>VAL8601103X4</v>
          </cell>
        </row>
        <row r="977">
          <cell r="A977" t="str">
            <v>Viajes Escalona, S.A.</v>
          </cell>
          <cell r="B977" t="str">
            <v>VES760311V75</v>
          </cell>
        </row>
        <row r="978">
          <cell r="A978" t="str">
            <v>Viajes Gengis Khan SA de CV</v>
          </cell>
          <cell r="B978" t="str">
            <v>VGK820210KR1</v>
          </cell>
        </row>
        <row r="979">
          <cell r="A979" t="str">
            <v>Viajes Helvetia, S.A. De C.V.</v>
          </cell>
          <cell r="B979" t="str">
            <v>VHE860804S78</v>
          </cell>
        </row>
        <row r="980">
          <cell r="A980" t="str">
            <v>Viajes Premier, S.A.</v>
          </cell>
          <cell r="B980" t="str">
            <v>VPR680820KU9</v>
          </cell>
        </row>
        <row r="981">
          <cell r="A981" t="str">
            <v>Viajes Saeta SA de CV</v>
          </cell>
          <cell r="B981" t="str">
            <v>VSA840915TT0</v>
          </cell>
        </row>
        <row r="982">
          <cell r="A982" t="str">
            <v>Víctor Enrique Gutiérrez Hernández</v>
          </cell>
          <cell r="B982" t="str">
            <v>GUHV581108KB8</v>
          </cell>
        </row>
        <row r="983">
          <cell r="A983" t="str">
            <v>Vidac, S.A. De C.V.</v>
          </cell>
          <cell r="B983" t="str">
            <v>VID9902188A2</v>
          </cell>
        </row>
        <row r="984">
          <cell r="A984" t="str">
            <v>Videoservicios, S.A. De C.V.</v>
          </cell>
          <cell r="B984" t="str">
            <v>VID850330QL2</v>
          </cell>
        </row>
        <row r="985">
          <cell r="A985" t="str">
            <v>Viejo Ferretería Y Materiales, S.A. De C.V.</v>
          </cell>
          <cell r="B985" t="str">
            <v>VFM810514595</v>
          </cell>
        </row>
        <row r="986">
          <cell r="A986" t="str">
            <v>Vip Vallarta Transportaciones Y Servicios, S. De R.L. De C.V.</v>
          </cell>
          <cell r="B986" t="str">
            <v>VVT120821RX4</v>
          </cell>
        </row>
        <row r="987">
          <cell r="A987" t="str">
            <v>Vitruvio. Ingeniería Cultural SA de CV</v>
          </cell>
          <cell r="B987" t="str">
            <v>VIC120831TH9</v>
          </cell>
        </row>
        <row r="988">
          <cell r="A988" t="str">
            <v xml:space="preserve">Vivaza Asesoría de Negocios, S.C. </v>
          </cell>
          <cell r="B988" t="str">
            <v>VAN120928ID2</v>
          </cell>
        </row>
        <row r="989">
          <cell r="A989" t="str">
            <v>Vocación Central, S.C.</v>
          </cell>
          <cell r="B989" t="str">
            <v>VCE120816I3A</v>
          </cell>
        </row>
        <row r="990">
          <cell r="A990" t="str">
            <v>White &amp; Case, S.C.</v>
          </cell>
          <cell r="B990" t="str">
            <v>W&amp;C950609I42</v>
          </cell>
        </row>
        <row r="991">
          <cell r="A991" t="str">
            <v>Wikiempresa SA de CV</v>
          </cell>
          <cell r="B991" t="str">
            <v>WIK130301B36</v>
          </cell>
        </row>
        <row r="992">
          <cell r="A992" t="str">
            <v>World Wide Tech Ventures SAPI De CV</v>
          </cell>
          <cell r="B992" t="str">
            <v>WWT1305076R0</v>
          </cell>
        </row>
        <row r="993">
          <cell r="A993" t="str">
            <v>Zaira Lizbeth Martínez Laurel</v>
          </cell>
          <cell r="B993" t="str">
            <v>MALZ880926KW6</v>
          </cell>
        </row>
        <row r="994">
          <cell r="A994" t="str">
            <v>Zuma, Tecnologías de Información, S.C.</v>
          </cell>
          <cell r="B994" t="str">
            <v>ZTI071120DX8</v>
          </cell>
        </row>
        <row r="995">
          <cell r="A995" t="str">
            <v>Zuri 1 Comunicación, S.A. De C.V.</v>
          </cell>
          <cell r="B995" t="str">
            <v>ZUC0310205U4</v>
          </cell>
        </row>
        <row r="996">
          <cell r="A996" t="str">
            <v>GRUPO IDSEC, S.A.P.I. DE C.V.</v>
          </cell>
          <cell r="B996" t="str">
            <v>GID170104788</v>
          </cell>
        </row>
        <row r="997">
          <cell r="A997" t="str">
            <v xml:space="preserve">Chilicloud, S.A. de C.V.  </v>
          </cell>
          <cell r="B997" t="str">
            <v>CIL200217QC9</v>
          </cell>
        </row>
        <row r="998">
          <cell r="A998" t="str">
            <v xml:space="preserve">Proceso de Ingeniería Aplicada, S.A. de C.V.  </v>
          </cell>
          <cell r="B998" t="str">
            <v>PIA970404KE8</v>
          </cell>
        </row>
        <row r="999">
          <cell r="A999" t="str">
            <v>Elevadores Schindler, S.A. de C.V.</v>
          </cell>
          <cell r="B999" t="str">
            <v>ESC8911081Q8</v>
          </cell>
        </row>
      </sheetData>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DIDOS"/>
      <sheetName val="OTRAS COT P."/>
      <sheetName val="SERVICIOS"/>
      <sheetName val="OTRAS COT SERVS."/>
      <sheetName val="COLORES"/>
      <sheetName val="CLASIFICADOR"/>
      <sheetName val="FESTIVOS"/>
      <sheetName val="RFC"/>
      <sheetName val="CONSECUTIVOS"/>
      <sheetName val="CONSEC PED"/>
      <sheetName val="MoServ"/>
      <sheetName val="MoP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A1" t="str">
            <v>Gestión Hilco Acetec, S. de R.L. de C.V.</v>
          </cell>
          <cell r="B1" t="str">
            <v>GHA0708211B8</v>
          </cell>
        </row>
        <row r="2">
          <cell r="A2" t="str">
            <v>El Trébol Automotriz Ermita, S.A. de C.V.</v>
          </cell>
          <cell r="B2" t="str">
            <v>TAE870320RC9</v>
          </cell>
        </row>
        <row r="3">
          <cell r="A3" t="str">
            <v>Segurisk, Agente de Seguros y de Fianzas, S.A. de C.V.</v>
          </cell>
          <cell r="B3" t="str">
            <v>SAS050314PA2</v>
          </cell>
        </row>
        <row r="4">
          <cell r="A4" t="str">
            <v>Instituto de Especialización para Ejecutivos, S.C.</v>
          </cell>
          <cell r="B4" t="str">
            <v>IEE700410BC4</v>
          </cell>
        </row>
        <row r="5">
          <cell r="A5" t="str">
            <v>Alef Soluciones Integrales, S.C. de P. de R.L. de C.V.</v>
          </cell>
          <cell r="B5" t="str">
            <v>ASI970227PZ4</v>
          </cell>
        </row>
        <row r="6">
          <cell r="A6" t="str">
            <v>Sictel Soluciones TI, S.A. de C.V.</v>
          </cell>
          <cell r="B6" t="str">
            <v>SST940111LG1</v>
          </cell>
        </row>
        <row r="7">
          <cell r="A7" t="str">
            <v>Contactos Terrestres, S.A. de C.V.</v>
          </cell>
          <cell r="B7" t="str">
            <v>CTE060224DA3</v>
          </cell>
        </row>
        <row r="8">
          <cell r="A8" t="str">
            <v>Tecnoprogramación Humana Especializada en Sistemas Operativos, S.A. de C.V.</v>
          </cell>
          <cell r="B8" t="str">
            <v>THE8701087R8</v>
          </cell>
        </row>
        <row r="9">
          <cell r="A9" t="str">
            <v>Creatika Media Group, S.A. de C.V.</v>
          </cell>
          <cell r="B9" t="str">
            <v>CMG030213S26</v>
          </cell>
        </row>
        <row r="10">
          <cell r="A10" t="str">
            <v>Aviprof, S.A. de C.V.</v>
          </cell>
          <cell r="B10" t="str">
            <v>AVI070228MA2</v>
          </cell>
        </row>
        <row r="11">
          <cell r="A11" t="str">
            <v>Paper Less, S.A. de C.V.</v>
          </cell>
          <cell r="B11" t="str">
            <v>PLE9608124QA</v>
          </cell>
        </row>
        <row r="12">
          <cell r="A12" t="str">
            <v>Aderhel S. Club, S.A. de C.V.</v>
          </cell>
          <cell r="B12" t="str">
            <v>ACL070521ND6</v>
          </cell>
        </row>
        <row r="13">
          <cell r="A13" t="str">
            <v>Sistema De Energía Ininterrumpida, S.A. de C.V.</v>
          </cell>
          <cell r="B13" t="str">
            <v>SEI930315MW9</v>
          </cell>
        </row>
        <row r="14">
          <cell r="A14" t="str">
            <v>Grupo Península Motors, S. de R.L. de C.V.</v>
          </cell>
          <cell r="B14" t="str">
            <v>GPM080609PV6</v>
          </cell>
        </row>
        <row r="15">
          <cell r="A15" t="str">
            <v>Milenio Automotriz, S.A. de C.V.</v>
          </cell>
          <cell r="B15" t="str">
            <v>MAU980413K91</v>
          </cell>
        </row>
        <row r="16">
          <cell r="A16" t="str">
            <v>Automotores de la Laguna, S.A. de C.V.</v>
          </cell>
          <cell r="B16" t="str">
            <v>ALA0210164S2</v>
          </cell>
        </row>
        <row r="17">
          <cell r="A17" t="str">
            <v>Automotriz Lagunera, S.A. de C.V.</v>
          </cell>
          <cell r="B17" t="str">
            <v>ALA821201DE1</v>
          </cell>
        </row>
        <row r="18">
          <cell r="A18" t="str">
            <v>Dahfsa de México, S.A. de C.V.</v>
          </cell>
          <cell r="B18" t="str">
            <v>DME0905224P7</v>
          </cell>
        </row>
        <row r="19">
          <cell r="A19" t="str">
            <v>Manufactura y Equipamiento Inoxidable, S.A. de C.V.</v>
          </cell>
          <cell r="B19" t="str">
            <v>MEI0209236G0</v>
          </cell>
        </row>
        <row r="20">
          <cell r="A20" t="str">
            <v>Cen Systems, S.A. de C.V.</v>
          </cell>
          <cell r="B20" t="str">
            <v>CSY100128PK5</v>
          </cell>
        </row>
        <row r="21">
          <cell r="A21" t="str">
            <v>Asesoría de Diseños Normativos, S.C.</v>
          </cell>
          <cell r="B21" t="str">
            <v>ADN060227DX9</v>
          </cell>
        </row>
        <row r="22">
          <cell r="A22" t="str">
            <v>Nefesh, S.A. de C.V.</v>
          </cell>
          <cell r="B22" t="str">
            <v>NEF010306G90</v>
          </cell>
        </row>
        <row r="23">
          <cell r="A23" t="str">
            <v>Viajes Escalona, S.A.</v>
          </cell>
          <cell r="B23" t="str">
            <v>VES760311V75</v>
          </cell>
        </row>
        <row r="24">
          <cell r="A24" t="str">
            <v>Hvac Mantenimiento Y Construcción, S.A. de C.V.</v>
          </cell>
          <cell r="B24" t="str">
            <v>HMC0908242N9</v>
          </cell>
        </row>
        <row r="25">
          <cell r="A25" t="str">
            <v>Audio Video &amp; Control, S.A. de C.V.</v>
          </cell>
          <cell r="B25" t="str">
            <v>AV&amp;060117UX0</v>
          </cell>
        </row>
        <row r="26">
          <cell r="A26" t="str">
            <v>Distribuidora Haikar, S.A. de C.V.</v>
          </cell>
          <cell r="B26" t="str">
            <v>DHA890317AP9</v>
          </cell>
        </row>
        <row r="27">
          <cell r="A27" t="str">
            <v>Impulso Metropolitano de Vivienda, S.A. de C.V.</v>
          </cell>
          <cell r="B27" t="str">
            <v>IMV040628UM1</v>
          </cell>
        </row>
        <row r="28">
          <cell r="A28" t="str">
            <v>Inmobiliaria y Constructora Coraza, S.A. de C.V.</v>
          </cell>
          <cell r="B28" t="str">
            <v>ICC010202649</v>
          </cell>
        </row>
        <row r="29">
          <cell r="A29" t="str">
            <v>Grupo Zonura Prendes, S.A. de C.V.</v>
          </cell>
          <cell r="B29" t="str">
            <v>GZP110607JX5</v>
          </cell>
        </row>
        <row r="30">
          <cell r="A30" t="str">
            <v>Soluciones para Ti, S.A. de C.V.</v>
          </cell>
          <cell r="B30" t="str">
            <v>STI070725SAA</v>
          </cell>
        </row>
        <row r="31">
          <cell r="A31" t="str">
            <v>Q Plus, S.A. de C.V.</v>
          </cell>
          <cell r="B31" t="str">
            <v>QPL980424K9A</v>
          </cell>
        </row>
        <row r="32">
          <cell r="A32" t="str">
            <v>Organización Contable Mexicana, S.A. de C.V.</v>
          </cell>
          <cell r="B32" t="str">
            <v>OCM840719LG4</v>
          </cell>
        </row>
        <row r="33">
          <cell r="A33" t="str">
            <v>Kronaline, S.A de C.V.</v>
          </cell>
          <cell r="B33" t="str">
            <v>KRO920518AL3</v>
          </cell>
        </row>
        <row r="34">
          <cell r="A34" t="str">
            <v>Comercializadora y Distribuidora 2011, S.A. de C.V.</v>
          </cell>
          <cell r="B34" t="str">
            <v>CDD110509A36</v>
          </cell>
        </row>
        <row r="35">
          <cell r="A35" t="str">
            <v>Editores Buena Onda, S.A. de C.V.</v>
          </cell>
          <cell r="B35" t="str">
            <v>EBO981030HL7</v>
          </cell>
        </row>
        <row r="36">
          <cell r="A36" t="str">
            <v>Cajas Para Archivo, S.A. de C.V.</v>
          </cell>
          <cell r="B36" t="str">
            <v>CAR990512379</v>
          </cell>
        </row>
        <row r="37">
          <cell r="A37" t="str">
            <v>Luz y Mundo Visual, S.A. de C.V.</v>
          </cell>
          <cell r="B37" t="str">
            <v>LMV850410LZ2</v>
          </cell>
        </row>
        <row r="38">
          <cell r="A38" t="str">
            <v>Viajes Premier, S.A.</v>
          </cell>
          <cell r="B38" t="str">
            <v>VPR680820KU9</v>
          </cell>
        </row>
        <row r="39">
          <cell r="A39" t="str">
            <v>Consultores Marnic, S.C.</v>
          </cell>
          <cell r="B39" t="str">
            <v>CMA050315G45</v>
          </cell>
        </row>
        <row r="40">
          <cell r="A40" t="str">
            <v>Gryr Construcciones, S.A. de C.V.</v>
          </cell>
          <cell r="B40" t="str">
            <v>GCO9808102M6</v>
          </cell>
        </row>
        <row r="41">
          <cell r="A41" t="str">
            <v>Conference Corporativo, S.C.</v>
          </cell>
          <cell r="B41" t="str">
            <v>CCO041127MS7</v>
          </cell>
        </row>
        <row r="42">
          <cell r="A42" t="str">
            <v>Refacciones Mexicanas, S.A. de C.V.</v>
          </cell>
          <cell r="B42" t="str">
            <v>RME620921HE3</v>
          </cell>
        </row>
        <row r="43">
          <cell r="A43" t="str">
            <v>Sesiti, S.A. de C.V.</v>
          </cell>
          <cell r="B43" t="str">
            <v>SES0305069R7</v>
          </cell>
        </row>
        <row r="44">
          <cell r="A44" t="str">
            <v>Dhimex Ciudad de México, S.A. de C.V.</v>
          </cell>
          <cell r="B44" t="str">
            <v>DCM060704I30</v>
          </cell>
        </row>
        <row r="45">
          <cell r="A45" t="str">
            <v>Eficiencia en Ingeniería, S.A. de C.V.</v>
          </cell>
          <cell r="B45" t="str">
            <v>EEI1009031Q7</v>
          </cell>
        </row>
        <row r="46">
          <cell r="A46" t="str">
            <v>Mefintax México, S.C.</v>
          </cell>
          <cell r="B46" t="str">
            <v>MME070216MF0</v>
          </cell>
        </row>
        <row r="47">
          <cell r="A47" t="str">
            <v>Tvm Técnicos Verticales De México, S.A. De C.V.</v>
          </cell>
          <cell r="B47" t="str">
            <v>TTV0711095D2</v>
          </cell>
        </row>
        <row r="48">
          <cell r="A48" t="str">
            <v>Desazolve Y Soluciones Ambientales, S.A. De C.V.</v>
          </cell>
          <cell r="B48" t="str">
            <v>DSA110104FG5</v>
          </cell>
        </row>
        <row r="49">
          <cell r="A49" t="str">
            <v>Impresora Y Encuadernadora Progreso, S.A. De C.V.</v>
          </cell>
          <cell r="B49" t="str">
            <v>IEP921123J76</v>
          </cell>
        </row>
        <row r="50">
          <cell r="A50" t="str">
            <v>Acb Stil Construcciones, S.A. De C.V.</v>
          </cell>
          <cell r="B50" t="str">
            <v>ASC080926MV9</v>
          </cell>
        </row>
        <row r="51">
          <cell r="A51" t="str">
            <v>Manantiales La Asunción, S.A.P.I. De C.V.</v>
          </cell>
          <cell r="B51" t="str">
            <v>MAS880707J27</v>
          </cell>
        </row>
        <row r="52">
          <cell r="A52" t="str">
            <v>Serret Derbez Hydraulic Power, S.A. De C.V.</v>
          </cell>
          <cell r="B52" t="str">
            <v>SDH050517II7</v>
          </cell>
        </row>
        <row r="53">
          <cell r="A53" t="str">
            <v>Tecnología En Comunicaciones E Informática, S.A. De C.V.</v>
          </cell>
          <cell r="B53" t="str">
            <v>TCI980226AY8</v>
          </cell>
        </row>
        <row r="54">
          <cell r="A54" t="str">
            <v>Sistemas Neumáticos De Envíos, S.A. De C.V.</v>
          </cell>
          <cell r="B54" t="str">
            <v>SNE8902146C0</v>
          </cell>
        </row>
        <row r="55">
          <cell r="A55" t="str">
            <v>Unico Vidrios, Domos y Aluminio, S.A. De C.V.</v>
          </cell>
          <cell r="B55" t="str">
            <v>UVD0610166TA</v>
          </cell>
        </row>
        <row r="56">
          <cell r="A56" t="str">
            <v>Papelería Lozano Hermanos S.A. De C.V.</v>
          </cell>
          <cell r="B56" t="str">
            <v>PLH86093081A</v>
          </cell>
        </row>
        <row r="57">
          <cell r="A57" t="str">
            <v>Promotora Byg, S.A. De C.V.</v>
          </cell>
          <cell r="B57" t="str">
            <v>PBY091217V60</v>
          </cell>
        </row>
        <row r="58">
          <cell r="A58" t="str">
            <v>Alianza Impresos Y Sellos, S.A. De C.V.</v>
          </cell>
          <cell r="B58" t="str">
            <v>AIS970924VA8</v>
          </cell>
        </row>
        <row r="59">
          <cell r="A59" t="str">
            <v>N Y N Construcciones Y Diseño, S.A.</v>
          </cell>
          <cell r="B59" t="str">
            <v>NNC970820QN0</v>
          </cell>
        </row>
        <row r="60">
          <cell r="A60" t="str">
            <v>Corporativo Adferi Consultores Ambientales, S.A. De C.V.</v>
          </cell>
          <cell r="B60" t="str">
            <v>CAC9402147F4</v>
          </cell>
        </row>
        <row r="61">
          <cell r="A61" t="str">
            <v>Proper Services, S.A. De C.V.</v>
          </cell>
          <cell r="B61" t="str">
            <v>PSE9908261P9</v>
          </cell>
        </row>
        <row r="62">
          <cell r="A62" t="str">
            <v>Ingeniería Electromecánica Gueavi, S.A. De C.V.</v>
          </cell>
          <cell r="B62" t="str">
            <v>IEG830404KB3</v>
          </cell>
        </row>
        <row r="63">
          <cell r="A63" t="str">
            <v>Lemonroy Business Solutions, S.A. De C.V.</v>
          </cell>
          <cell r="B63" t="str">
            <v>LBS050426184</v>
          </cell>
        </row>
        <row r="64">
          <cell r="A64" t="str">
            <v>Café 1810, S.A. De C.V.</v>
          </cell>
          <cell r="B64" t="str">
            <v>CMO111004CI3</v>
          </cell>
        </row>
        <row r="65">
          <cell r="A65" t="str">
            <v>Papelera Anzures, S.A. De C.V.</v>
          </cell>
          <cell r="B65" t="str">
            <v>PAN910613PB0</v>
          </cell>
        </row>
        <row r="66">
          <cell r="A66" t="str">
            <v>Grupo International Machines, S.A. de C.V.</v>
          </cell>
          <cell r="B66" t="str">
            <v>GIM100331EP1</v>
          </cell>
        </row>
        <row r="67">
          <cell r="A67" t="str">
            <v>Abastecedora Lumen, S.A. De C.V.</v>
          </cell>
          <cell r="B67" t="str">
            <v>ALU830902ST5</v>
          </cell>
        </row>
        <row r="68">
          <cell r="A68" t="str">
            <v>Integra Agente De Seguros Y De Fianzas, S.A. De C.V.</v>
          </cell>
          <cell r="B68" t="str">
            <v>IAS981204I43</v>
          </cell>
        </row>
        <row r="69">
          <cell r="A69" t="str">
            <v>Metlife México, S.A.</v>
          </cell>
          <cell r="B69" t="str">
            <v>MME920427EM3</v>
          </cell>
        </row>
        <row r="70">
          <cell r="A70" t="str">
            <v>Inovaciones Alaska Supply, S.A. De C.V.</v>
          </cell>
          <cell r="B70" t="str">
            <v>IAS050304Q45</v>
          </cell>
        </row>
        <row r="71">
          <cell r="A71" t="str">
            <v>Carlos Corral Y Asociados, S.C.</v>
          </cell>
          <cell r="B71" t="str">
            <v>CCA890918423</v>
          </cell>
        </row>
        <row r="72">
          <cell r="A72" t="str">
            <v>Cultura Y Protocolo Gastronomía, S.C.</v>
          </cell>
          <cell r="B72" t="str">
            <v>CPG080212UV3</v>
          </cell>
        </row>
        <row r="73">
          <cell r="A73" t="str">
            <v>Soluciones Alfaeficiencia, S.A. De C.V.</v>
          </cell>
          <cell r="B73" t="str">
            <v>SAL090511PV6</v>
          </cell>
        </row>
        <row r="74">
          <cell r="A74" t="str">
            <v>Servicios Akj, S.A. De C.V.</v>
          </cell>
          <cell r="B74" t="str">
            <v>SAK11061699A</v>
          </cell>
        </row>
        <row r="75">
          <cell r="A75" t="str">
            <v>J O M Co S.A. De C.V.</v>
          </cell>
          <cell r="B75" t="str">
            <v>JOM000207522</v>
          </cell>
        </row>
        <row r="76">
          <cell r="A76" t="str">
            <v>7kat, S.A. De C.V.</v>
          </cell>
          <cell r="B76" t="str">
            <v>LEM960821I52</v>
          </cell>
        </row>
        <row r="77">
          <cell r="A77" t="str">
            <v>Teletec De México, S.A.P.I. De C.V.</v>
          </cell>
          <cell r="B77" t="str">
            <v>TME910924TL5</v>
          </cell>
        </row>
        <row r="78">
          <cell r="A78" t="str">
            <v>Nuevo Horizonte Editores, S.A. De C.V.</v>
          </cell>
          <cell r="B78" t="str">
            <v>NHE9211136J9</v>
          </cell>
        </row>
        <row r="79">
          <cell r="A79" t="str">
            <v>Gilsama, S.A. De C.V.</v>
          </cell>
          <cell r="B79" t="str">
            <v>GIL000904HW8</v>
          </cell>
        </row>
        <row r="80">
          <cell r="A80" t="str">
            <v>Damovo México, S.A. de C.V.</v>
          </cell>
          <cell r="B80" t="str">
            <v>DME000725ST5</v>
          </cell>
        </row>
        <row r="81">
          <cell r="A81" t="str">
            <v>Color Cassettes, S.A. De C.V.</v>
          </cell>
          <cell r="B81" t="str">
            <v>CCA830113QZ4</v>
          </cell>
        </row>
        <row r="82">
          <cell r="A82" t="str">
            <v>Plata Villa De Polanco, S.A. De C.V.</v>
          </cell>
          <cell r="B82" t="str">
            <v>PVP920723D79</v>
          </cell>
        </row>
        <row r="83">
          <cell r="A83" t="str">
            <v>Especialidades Medico Odontológicas, S.A. De C.V.</v>
          </cell>
          <cell r="B83" t="str">
            <v>EMO910815PM5</v>
          </cell>
        </row>
        <row r="84">
          <cell r="A84" t="str">
            <v>Fridmay, S.A. De C.V.</v>
          </cell>
          <cell r="B84" t="str">
            <v>FRI0006282Q0</v>
          </cell>
        </row>
        <row r="85">
          <cell r="A85" t="str">
            <v>Grupo Editorial Miguel Ángel Porrúa, S.A. De C.V.</v>
          </cell>
          <cell r="B85" t="str">
            <v>GEM8109182R7</v>
          </cell>
        </row>
        <row r="86">
          <cell r="A86" t="str">
            <v>Gilsama Solutions S.A. De C.V.</v>
          </cell>
          <cell r="B86" t="str">
            <v>GSO041015G85</v>
          </cell>
        </row>
        <row r="87">
          <cell r="A87" t="str">
            <v>Impresora Silvaform, S.A. De C.V.</v>
          </cell>
          <cell r="B87" t="str">
            <v>ISI860331LQ4</v>
          </cell>
        </row>
        <row r="88">
          <cell r="A88" t="str">
            <v>Servicio de Capacitación, Asesoría y Productividad, S.C.</v>
          </cell>
          <cell r="B88" t="str">
            <v>SCA891107NM5</v>
          </cell>
        </row>
        <row r="89">
          <cell r="A89" t="str">
            <v>Meta 4 México, S.A. De C.V.</v>
          </cell>
          <cell r="B89" t="str">
            <v>MCM960712BB6</v>
          </cell>
        </row>
        <row r="90">
          <cell r="A90" t="str">
            <v>Trans-Comunicación, S.A. De C.V.</v>
          </cell>
          <cell r="B90" t="str">
            <v>TRA1201314F1</v>
          </cell>
        </row>
        <row r="91">
          <cell r="A91" t="str">
            <v>Pinturas Josfel, S.A. De C.V.</v>
          </cell>
          <cell r="B91" t="str">
            <v>PJO0211088R4</v>
          </cell>
        </row>
        <row r="92">
          <cell r="A92" t="str">
            <v>Kieken Group, S.A. De C.V.</v>
          </cell>
          <cell r="B92" t="str">
            <v>KGR090831TH1</v>
          </cell>
        </row>
        <row r="93">
          <cell r="A93" t="str">
            <v>Automation Point Soluciones Integrales, S.A. De C.V.</v>
          </cell>
          <cell r="B93" t="str">
            <v>APS040217I87</v>
          </cell>
        </row>
        <row r="94">
          <cell r="A94" t="str">
            <v>Isee Ingeniería Y Servicio Eléctrico Electrónico, S.A. De C.V.</v>
          </cell>
          <cell r="B94" t="str">
            <v>IIS090116P3A</v>
          </cell>
        </row>
        <row r="95">
          <cell r="A95" t="str">
            <v>Santamaría Reyes Y Asociados, S.A. De C.V.</v>
          </cell>
          <cell r="B95" t="str">
            <v>SRA970404QH0</v>
          </cell>
        </row>
        <row r="96">
          <cell r="A96" t="str">
            <v>Grupo Comercial E Impresos Condor, S.A. De C.V.</v>
          </cell>
          <cell r="B96" t="str">
            <v>GCI060303RY4</v>
          </cell>
        </row>
        <row r="97">
          <cell r="A97" t="str">
            <v>Presentation Services, S.A. De C.V.</v>
          </cell>
          <cell r="B97" t="str">
            <v>PSE931116PLA</v>
          </cell>
        </row>
        <row r="98">
          <cell r="A98" t="str">
            <v>Pinacoteca 2000, S.A. De C.V.</v>
          </cell>
          <cell r="B98" t="str">
            <v>PDM9005286U8</v>
          </cell>
        </row>
        <row r="99">
          <cell r="A99" t="str">
            <v>Nyr Tecnología, S.A. De C.V.</v>
          </cell>
          <cell r="B99" t="str">
            <v>NTE0602229T5</v>
          </cell>
        </row>
        <row r="100">
          <cell r="A100" t="str">
            <v>Productos Metálicos Steele, S.A. De C.V.</v>
          </cell>
          <cell r="B100" t="str">
            <v>PMS811203QE6</v>
          </cell>
        </row>
        <row r="101">
          <cell r="A101" t="str">
            <v>Data Warden, S.A. De C.V.</v>
          </cell>
          <cell r="B101" t="str">
            <v>DWA041125U40</v>
          </cell>
        </row>
        <row r="102">
          <cell r="A102" t="str">
            <v>Grabados Fernando Fernández, S. De R.L. De C.V.</v>
          </cell>
          <cell r="B102" t="str">
            <v>GFF550711KJA</v>
          </cell>
        </row>
        <row r="103">
          <cell r="A103" t="str">
            <v>Latin Id, S.A. De C.V.</v>
          </cell>
          <cell r="B103" t="str">
            <v>LID020301KV9</v>
          </cell>
        </row>
        <row r="104">
          <cell r="A104" t="str">
            <v>Audiopromex, S. De R.L. De C.V.</v>
          </cell>
          <cell r="B104" t="str">
            <v>AUD061127K36</v>
          </cell>
        </row>
        <row r="105">
          <cell r="A105" t="str">
            <v>Cuartoscuro, S.A. De C.V.</v>
          </cell>
          <cell r="B105" t="str">
            <v>CUA900116227</v>
          </cell>
        </row>
        <row r="106">
          <cell r="A106" t="str">
            <v>Construcciones Pausami, S.A. De C.V.</v>
          </cell>
          <cell r="B106" t="str">
            <v>CPA970613GK9</v>
          </cell>
        </row>
        <row r="107">
          <cell r="A107" t="str">
            <v>Ferretería Portales, S.A. De C.V.</v>
          </cell>
          <cell r="B107" t="str">
            <v>FPO5205219L4</v>
          </cell>
        </row>
        <row r="108">
          <cell r="A108" t="str">
            <v>Detección y Supresión Inteligentes, S.A. de C.V.</v>
          </cell>
          <cell r="B108" t="str">
            <v>DSI010223ST6</v>
          </cell>
        </row>
        <row r="109">
          <cell r="A109" t="str">
            <v>Desco De México, S.A.</v>
          </cell>
          <cell r="B109" t="str">
            <v>DME7611296B3</v>
          </cell>
        </row>
        <row r="110">
          <cell r="A110" t="str">
            <v>Delfos, Comunicación, Mercado Y Prospectiva, S.C.</v>
          </cell>
          <cell r="B110" t="str">
            <v>DM&amp;050126KF9</v>
          </cell>
        </row>
        <row r="111">
          <cell r="A111" t="str">
            <v>Janium Technology, S.A. De C.V.</v>
          </cell>
          <cell r="B111" t="str">
            <v>JTE010913N20</v>
          </cell>
        </row>
        <row r="112">
          <cell r="A112" t="str">
            <v>Explora Tours, S.A. de C.V.</v>
          </cell>
          <cell r="B112" t="str">
            <v>ETO941021L12</v>
          </cell>
        </row>
        <row r="113">
          <cell r="A113" t="str">
            <v>Centro de Instrumentación Y Registro Sismico, A.C.</v>
          </cell>
          <cell r="B113" t="str">
            <v>CIR860619EC9</v>
          </cell>
        </row>
        <row r="114">
          <cell r="A114" t="str">
            <v>Bvqi Mexicana, S.A. De C.V</v>
          </cell>
          <cell r="B114" t="str">
            <v>BME980708LL1</v>
          </cell>
        </row>
        <row r="115">
          <cell r="A115" t="str">
            <v>Ventas y Servicios al Consumidor, S.A. de C.V.</v>
          </cell>
          <cell r="B115" t="str">
            <v>VSC8609016J2</v>
          </cell>
        </row>
        <row r="116">
          <cell r="A116" t="str">
            <v>On Site Destruction México, S.A. De C.V.</v>
          </cell>
          <cell r="B116" t="str">
            <v>OSD060317BA4</v>
          </cell>
        </row>
        <row r="117">
          <cell r="A117" t="str">
            <v>Four J'S Development Tools Latinoamérica, S.A. De C.V.</v>
          </cell>
          <cell r="B117" t="str">
            <v>FJS0005021F1</v>
          </cell>
        </row>
        <row r="118">
          <cell r="A118" t="str">
            <v>Netrix, S.A. De C.V.</v>
          </cell>
          <cell r="B118" t="str">
            <v>NET9807027S0</v>
          </cell>
        </row>
        <row r="119">
          <cell r="A119" t="str">
            <v>Gas Uribe, S.A. De C.V.</v>
          </cell>
          <cell r="B119" t="str">
            <v>GUR620306BZ7</v>
          </cell>
        </row>
        <row r="120">
          <cell r="A120" t="str">
            <v>Automóviles Vallejo, S. De R.L. De C.V.</v>
          </cell>
          <cell r="B120" t="str">
            <v>AVA040106CP7</v>
          </cell>
        </row>
        <row r="121">
          <cell r="A121" t="str">
            <v>Instituto Nacional De Asesoría Especializada, S.C.</v>
          </cell>
          <cell r="B121" t="str">
            <v>INA8806237RA</v>
          </cell>
        </row>
        <row r="122">
          <cell r="A122" t="str">
            <v>Alianzas Estratégicas En Capacitación, S.C.</v>
          </cell>
          <cell r="B122" t="str">
            <v>AEC030107DJ2</v>
          </cell>
        </row>
        <row r="123">
          <cell r="A123" t="str">
            <v>Mapfre Tepeyac, S.A.</v>
          </cell>
          <cell r="B123" t="str">
            <v>MTE440316E54</v>
          </cell>
        </row>
        <row r="124">
          <cell r="A124" t="str">
            <v>Administración Integral Contable Consultores, S.C.</v>
          </cell>
          <cell r="B124" t="str">
            <v>AIC990211RQ1</v>
          </cell>
        </row>
        <row r="125">
          <cell r="A125" t="str">
            <v>Radefra Comunicación, S.A. De C.V.</v>
          </cell>
          <cell r="B125" t="str">
            <v>RCO111214BZ3</v>
          </cell>
        </row>
        <row r="126">
          <cell r="A126" t="str">
            <v>Industrias Girca, S.A. De C.V.</v>
          </cell>
          <cell r="B126" t="str">
            <v>IGI870415HZ0</v>
          </cell>
        </row>
        <row r="127">
          <cell r="A127" t="str">
            <v>Mr Computer Solutions, S.A. de C.V.</v>
          </cell>
          <cell r="B127" t="str">
            <v>MCS010116P69</v>
          </cell>
        </row>
        <row r="128">
          <cell r="A128" t="str">
            <v>Transportadora De Protección Y Seguridad, S.A. De C.V.</v>
          </cell>
          <cell r="B128" t="str">
            <v>TPS941223UG9</v>
          </cell>
        </row>
        <row r="129">
          <cell r="A129" t="str">
            <v>Grupo Besh, S.A. De C.V.</v>
          </cell>
          <cell r="B129" t="str">
            <v>GBE940526J33</v>
          </cell>
        </row>
        <row r="130">
          <cell r="A130" t="str">
            <v>Telemática Lefic, S.A. De C.V.</v>
          </cell>
          <cell r="B130" t="str">
            <v>TLE931001GT5</v>
          </cell>
        </row>
        <row r="131">
          <cell r="A131" t="str">
            <v>Orgánica Construcciones, S.A. De C.V.</v>
          </cell>
          <cell r="B131" t="str">
            <v>OCO060315SJ7</v>
          </cell>
        </row>
        <row r="132">
          <cell r="A132" t="str">
            <v>Creatividad Y Espectáculos, S.A. De C.V.</v>
          </cell>
          <cell r="B132" t="str">
            <v>CES010717LKA</v>
          </cell>
        </row>
        <row r="133">
          <cell r="A133" t="str">
            <v>Habeas Data México, S.A. De C.V.</v>
          </cell>
          <cell r="B133" t="str">
            <v>HDM051006JU5</v>
          </cell>
        </row>
        <row r="134">
          <cell r="A134" t="str">
            <v>Maak &amp; Paak, S.A. De C.V.</v>
          </cell>
          <cell r="B134" t="str">
            <v>MAA080520JH5</v>
          </cell>
        </row>
        <row r="135">
          <cell r="A135" t="str">
            <v>Comercializadora El Reloj, S.A. De C.V.</v>
          </cell>
          <cell r="B135" t="str">
            <v>CRE9908301S3</v>
          </cell>
        </row>
        <row r="136">
          <cell r="A136" t="str">
            <v>Estudios Clínicos Dr. T. J. Oriard, S.A. de C.V.</v>
          </cell>
          <cell r="B136" t="str">
            <v>ECD741021QA5</v>
          </cell>
        </row>
        <row r="137">
          <cell r="A137" t="str">
            <v>Llantas San Rafael, S.A. De C.V.</v>
          </cell>
          <cell r="B137" t="str">
            <v>LSR930909EA6</v>
          </cell>
        </row>
        <row r="138">
          <cell r="A138" t="str">
            <v>Apac I.A.P. Asociación Pro Personas Con Parálisis Cerebral</v>
          </cell>
          <cell r="B138" t="str">
            <v>AIA900517IM3</v>
          </cell>
        </row>
        <row r="139">
          <cell r="A139" t="str">
            <v>Sistemas Sintel, S.A. De C.V.</v>
          </cell>
          <cell r="B139" t="str">
            <v>SSI841005TN0</v>
          </cell>
        </row>
        <row r="140">
          <cell r="A140" t="str">
            <v>Grupo Tecnorrol, S.A. De C.V.</v>
          </cell>
          <cell r="B140" t="str">
            <v>GTE8702027I5</v>
          </cell>
        </row>
        <row r="141">
          <cell r="A141" t="str">
            <v>Servicios Especializados En Sistemas De Gestión, S.C.</v>
          </cell>
          <cell r="B141" t="str">
            <v>SES0504083N6</v>
          </cell>
        </row>
        <row r="142">
          <cell r="A142" t="str">
            <v>Grupo Diez Tecnología, S.A. De C.V.</v>
          </cell>
          <cell r="B142" t="str">
            <v>GDT9710225Q1</v>
          </cell>
        </row>
        <row r="143">
          <cell r="A143" t="str">
            <v>Radiocomunicaciones Sakda, S.A. De C.V.</v>
          </cell>
          <cell r="B143" t="str">
            <v>RSA030408F38</v>
          </cell>
        </row>
        <row r="144">
          <cell r="A144" t="str">
            <v>Holzer Y Compañía, S.A. De C.V.</v>
          </cell>
          <cell r="B144" t="str">
            <v>HOL841214S58</v>
          </cell>
        </row>
        <row r="145">
          <cell r="A145" t="str">
            <v>Dicimex, S.A. De C.V.</v>
          </cell>
          <cell r="B145" t="str">
            <v>DIC85102518A</v>
          </cell>
        </row>
        <row r="146">
          <cell r="A146" t="str">
            <v>Fortalitia, S.A. De C.V.</v>
          </cell>
          <cell r="B146" t="str">
            <v>FOR060213N45</v>
          </cell>
        </row>
        <row r="147">
          <cell r="A147" t="str">
            <v>Galerías Chippendale, S.A. De C.V.</v>
          </cell>
          <cell r="B147" t="str">
            <v>GCI500928872</v>
          </cell>
        </row>
        <row r="148">
          <cell r="A148" t="str">
            <v>Librería De Porrúa Hermanos Y Compañía, S.A. De C.V.</v>
          </cell>
          <cell r="B148" t="str">
            <v>LPH510514IQ7</v>
          </cell>
        </row>
        <row r="149">
          <cell r="A149" t="str">
            <v>Elevadores Otis, S. De R.L. De C.V.</v>
          </cell>
          <cell r="B149" t="str">
            <v>EOT631205877</v>
          </cell>
        </row>
        <row r="150">
          <cell r="A150" t="str">
            <v>Producciones Video Hills, S.A. De C.V.</v>
          </cell>
          <cell r="B150" t="str">
            <v>PVH9005223A1</v>
          </cell>
        </row>
        <row r="151">
          <cell r="A151" t="str">
            <v>Dimensión Data Commerce Centre México, S.A. De C.V.</v>
          </cell>
          <cell r="B151" t="str">
            <v>DDC031103FW7</v>
          </cell>
        </row>
        <row r="152">
          <cell r="A152" t="str">
            <v>Excelencia Médica, S.A. de C.V.</v>
          </cell>
          <cell r="B152" t="str">
            <v>EME971111ST5</v>
          </cell>
        </row>
        <row r="153">
          <cell r="A153" t="str">
            <v>Cablevisión, S.A. De C.V.</v>
          </cell>
          <cell r="B153" t="str">
            <v>CAB6610044K1</v>
          </cell>
        </row>
        <row r="154">
          <cell r="A154" t="str">
            <v>Instituto Tecnológico Autónomo De México</v>
          </cell>
          <cell r="B154" t="str">
            <v>ITA630119398</v>
          </cell>
        </row>
        <row r="155">
          <cell r="A155" t="str">
            <v>Asesoría Integral Del Patrimonio, S.C.</v>
          </cell>
          <cell r="B155" t="str">
            <v>AIP070816KV4</v>
          </cell>
        </row>
        <row r="156">
          <cell r="A156" t="str">
            <v>Corporativo De Servicios Empresariales Y Gastronómicos, S.A. De C.V.</v>
          </cell>
          <cell r="B156" t="str">
            <v>CSE9810296W9</v>
          </cell>
        </row>
        <row r="157">
          <cell r="A157" t="str">
            <v>Corporativo Coneltec, S.A. de C.V.</v>
          </cell>
          <cell r="B157" t="str">
            <v>CCO1110062T1</v>
          </cell>
        </row>
        <row r="158">
          <cell r="A158" t="str">
            <v>Servicios Profesionales Ra, S.A. De C.V.</v>
          </cell>
          <cell r="B158" t="str">
            <v>SPR050628PX2</v>
          </cell>
        </row>
        <row r="159">
          <cell r="A159" t="str">
            <v>Comunicaciones Estratégicas Newlink, S.A. De C.V.</v>
          </cell>
          <cell r="B159" t="str">
            <v>CEN081124QV8</v>
          </cell>
        </row>
        <row r="160">
          <cell r="A160" t="str">
            <v>Ld I Associats, S.A. De C.V.</v>
          </cell>
          <cell r="B160" t="str">
            <v>LIA9708133A3</v>
          </cell>
        </row>
        <row r="161">
          <cell r="A161" t="str">
            <v>Alta Tecnología En Ingeniería Y Construcción, S.A. De C.V.</v>
          </cell>
          <cell r="B161" t="str">
            <v>ATI010918UI3</v>
          </cell>
        </row>
        <row r="162">
          <cell r="A162" t="str">
            <v>Proyectos Alternativos De Comunicación, S.A. De C.V.</v>
          </cell>
          <cell r="B162" t="str">
            <v>PAC000704N72</v>
          </cell>
        </row>
        <row r="163">
          <cell r="A163" t="str">
            <v>Robotec Alta Tecnología En Seguridad Privada, S.A. De C.V.</v>
          </cell>
          <cell r="B163" t="str">
            <v>RAT970109BU6</v>
          </cell>
        </row>
        <row r="164">
          <cell r="A164" t="str">
            <v>Construcciones Y Distribuciones Eléctricas Fyosa, S.A. De C.V.</v>
          </cell>
          <cell r="B164" t="str">
            <v>CDE020312E12</v>
          </cell>
        </row>
        <row r="165">
          <cell r="A165" t="str">
            <v>Caja Electrónica, S.A.</v>
          </cell>
          <cell r="B165" t="str">
            <v>CEL870528727</v>
          </cell>
        </row>
        <row r="166">
          <cell r="A166" t="str">
            <v>Corporación Papelera El Sótano, S.A. De C.V.</v>
          </cell>
          <cell r="B166" t="str">
            <v>CPS040604RV8</v>
          </cell>
        </row>
        <row r="167">
          <cell r="A167" t="str">
            <v>Distribuidora Marín, S.A. De C.V.</v>
          </cell>
          <cell r="B167" t="str">
            <v>DMA910808BZ1</v>
          </cell>
        </row>
        <row r="168">
          <cell r="A168" t="str">
            <v>Versus Focum, S.A. De C.V.</v>
          </cell>
          <cell r="B168" t="str">
            <v>VFO071219A39</v>
          </cell>
        </row>
        <row r="169">
          <cell r="A169" t="str">
            <v>Treta Iluminación, S.A. De C.V.</v>
          </cell>
          <cell r="B169" t="str">
            <v>TIL890220N87</v>
          </cell>
        </row>
        <row r="170">
          <cell r="A170" t="str">
            <v>Datapoint, S.A. De C.V.</v>
          </cell>
          <cell r="B170" t="str">
            <v>DAT8102046P7</v>
          </cell>
        </row>
        <row r="171">
          <cell r="A171" t="str">
            <v>Viejo Ferretería Y Materiales, S.A. De C.V.</v>
          </cell>
          <cell r="B171" t="str">
            <v>VFM810514595</v>
          </cell>
        </row>
        <row r="172">
          <cell r="A172" t="str">
            <v>Estrategia En Eventos Integrales, S.A. De C.V.</v>
          </cell>
          <cell r="B172" t="str">
            <v>EEI060608V47</v>
          </cell>
        </row>
        <row r="173">
          <cell r="A173" t="str">
            <v>Delta Tiger, S.A. De C.V.</v>
          </cell>
          <cell r="B173" t="str">
            <v>DTI081211J61</v>
          </cell>
        </row>
        <row r="174">
          <cell r="A174" t="str">
            <v>Distribuidora Electrónica Brunca, S.A. De C.V.</v>
          </cell>
          <cell r="B174" t="str">
            <v>DEB890309SX0</v>
          </cell>
        </row>
        <row r="175">
          <cell r="A175" t="str">
            <v>Final Solutions, S.A. de C.V.</v>
          </cell>
          <cell r="B175" t="str">
            <v>FSO050217AN6</v>
          </cell>
        </row>
        <row r="176">
          <cell r="A176" t="str">
            <v>Complete Language Services, S.C.</v>
          </cell>
          <cell r="B176" t="str">
            <v>CLS951213BG7</v>
          </cell>
        </row>
        <row r="177">
          <cell r="A177" t="str">
            <v>Eisco Traducciones, S.A. De C.V.</v>
          </cell>
          <cell r="B177" t="str">
            <v>ETR941110KQ3</v>
          </cell>
        </row>
        <row r="178">
          <cell r="A178" t="str">
            <v>Jasev Computación, S.A. De C.V.</v>
          </cell>
          <cell r="B178" t="str">
            <v>JCO931215CI8</v>
          </cell>
        </row>
        <row r="179">
          <cell r="A179" t="str">
            <v>Sinteg En México, S.A. De C.V.</v>
          </cell>
          <cell r="B179" t="str">
            <v>SME9002277T7</v>
          </cell>
        </row>
        <row r="180">
          <cell r="A180" t="str">
            <v>Vari Internacional, S.A. De C.V.</v>
          </cell>
          <cell r="B180" t="str">
            <v>VIN970715UB5</v>
          </cell>
        </row>
        <row r="181">
          <cell r="A181" t="str">
            <v>Redpack, S.A. De C.V.</v>
          </cell>
          <cell r="B181" t="str">
            <v>RED940114JX9</v>
          </cell>
        </row>
        <row r="182">
          <cell r="A182" t="str">
            <v>Grupo Mantenimiento Biomédico Industrial, S.A. De C.V.</v>
          </cell>
          <cell r="B182" t="str">
            <v>GMB040629595</v>
          </cell>
        </row>
        <row r="183">
          <cell r="A183" t="str">
            <v>Universidad Autónoma Metropolitana</v>
          </cell>
          <cell r="B183" t="str">
            <v>UAM740101AR1</v>
          </cell>
        </row>
        <row r="184">
          <cell r="A184" t="str">
            <v>Seguimiento Técnico Ambiental, S.A. De C.V.</v>
          </cell>
          <cell r="B184" t="str">
            <v>STA020703444</v>
          </cell>
        </row>
        <row r="185">
          <cell r="A185" t="str">
            <v>Laurentius, S.A. De C.V.</v>
          </cell>
          <cell r="B185" t="str">
            <v>LAU7808166Z5</v>
          </cell>
        </row>
        <row r="186">
          <cell r="A186" t="str">
            <v>Botanas Y Productos Energéticos, S.A. De C.V.</v>
          </cell>
          <cell r="B186" t="str">
            <v>BPE9503282S3</v>
          </cell>
        </row>
        <row r="187">
          <cell r="A187" t="str">
            <v>Hechter, S.A. De C.V.</v>
          </cell>
          <cell r="B187" t="str">
            <v>HEC890511UR7</v>
          </cell>
        </row>
        <row r="188">
          <cell r="A188" t="str">
            <v>Soluciones Tecnológicas Especializadas, S.A. De C.V.</v>
          </cell>
          <cell r="B188" t="str">
            <v>STE040914LI2</v>
          </cell>
        </row>
        <row r="189">
          <cell r="A189" t="str">
            <v>Producciones Kinessis, S.A. De C.V.</v>
          </cell>
          <cell r="B189" t="str">
            <v>PKI910806NL9</v>
          </cell>
        </row>
        <row r="190">
          <cell r="A190" t="str">
            <v>La Marquesita, S.A.</v>
          </cell>
          <cell r="B190" t="str">
            <v>MAR541112CT8</v>
          </cell>
        </row>
        <row r="191">
          <cell r="A191" t="str">
            <v>Compucentro, S.A. De C.V.</v>
          </cell>
          <cell r="B191" t="str">
            <v>COM890206254</v>
          </cell>
        </row>
        <row r="192">
          <cell r="A192" t="str">
            <v>Communications For Distribution, S.A. De C.V.</v>
          </cell>
          <cell r="B192" t="str">
            <v>CFD050701MS3</v>
          </cell>
        </row>
        <row r="193">
          <cell r="A193" t="str">
            <v>Consultores Y Soporte Amd, S.A. De C.V.</v>
          </cell>
          <cell r="B193" t="str">
            <v>CSA960827626</v>
          </cell>
        </row>
        <row r="194">
          <cell r="A194" t="str">
            <v>Surman Anzures, S.A. De C.V.</v>
          </cell>
          <cell r="B194" t="str">
            <v>SAN070511T77</v>
          </cell>
        </row>
        <row r="195">
          <cell r="A195" t="str">
            <v>Biomédica De México, S.A. De C.V.</v>
          </cell>
          <cell r="B195" t="str">
            <v>BME941124C21</v>
          </cell>
        </row>
        <row r="196">
          <cell r="A196" t="str">
            <v>Proyecta Y Edifica, S.A. De C.V.</v>
          </cell>
          <cell r="B196" t="str">
            <v>PED990929PS8</v>
          </cell>
        </row>
        <row r="197">
          <cell r="A197" t="str">
            <v>Comunicación De Radio Y Luz De Emergencia, S.A. De C.V.</v>
          </cell>
          <cell r="B197" t="str">
            <v>CRL900521NV7</v>
          </cell>
        </row>
        <row r="198">
          <cell r="A198" t="str">
            <v>Pavilion Diseño Y Arquitectura, S.A. De C.V.</v>
          </cell>
          <cell r="B198" t="str">
            <v>PDA020118FQ5</v>
          </cell>
        </row>
        <row r="199">
          <cell r="A199" t="str">
            <v>Instituto Mexicano De Estudios Sobre El Poder Legislativo, S.A. De C.V.</v>
          </cell>
          <cell r="B199" t="str">
            <v>IME040721MV1</v>
          </cell>
        </row>
        <row r="200">
          <cell r="A200" t="str">
            <v>Edenred México, S.A. De C.V.</v>
          </cell>
          <cell r="B200" t="str">
            <v>ASE930924SS7</v>
          </cell>
        </row>
        <row r="201">
          <cell r="A201" t="str">
            <v>Editores E Impresores Profesionales Edimpro, S.A. De C.V.</v>
          </cell>
          <cell r="B201" t="str">
            <v>EIP050728B1A</v>
          </cell>
        </row>
        <row r="202">
          <cell r="A202" t="str">
            <v>Industrial Caisa, S.A. De C.V.</v>
          </cell>
          <cell r="B202" t="str">
            <v>ICA9406297P2</v>
          </cell>
        </row>
        <row r="203">
          <cell r="A203" t="str">
            <v>Asistencia Y Capacitación Electoral, S.C.</v>
          </cell>
          <cell r="B203" t="str">
            <v>ACE970221AL3</v>
          </cell>
        </row>
        <row r="204">
          <cell r="A204" t="str">
            <v>Nueva Imagen Comunicación Y Diseño Integral, S.A. De C.V.</v>
          </cell>
          <cell r="B204" t="str">
            <v>NID0701316S1</v>
          </cell>
        </row>
        <row r="205">
          <cell r="A205" t="str">
            <v>Insitel Mexicana, S.A. De C.V.</v>
          </cell>
          <cell r="B205" t="str">
            <v>IME960111CW6</v>
          </cell>
        </row>
        <row r="206">
          <cell r="A206" t="str">
            <v>Excelencia En Comunicaciones Y Tecnología, S.A. De C.V.</v>
          </cell>
          <cell r="B206" t="str">
            <v>ECT9303302H6</v>
          </cell>
        </row>
        <row r="207">
          <cell r="A207" t="str">
            <v>Fomento Automotriz Y Servicio Al Transporte, S.A. De C.V.</v>
          </cell>
          <cell r="B207" t="str">
            <v>FAS8509247IA</v>
          </cell>
        </row>
        <row r="208">
          <cell r="A208" t="str">
            <v>Sistemas De Energía Sise, S.A. De C.V.</v>
          </cell>
          <cell r="B208" t="str">
            <v>SES101101ENA</v>
          </cell>
        </row>
        <row r="209">
          <cell r="A209" t="str">
            <v>Abastecedora De Acabados Alce, S.A. De C.V.</v>
          </cell>
          <cell r="B209" t="str">
            <v>AAA070808KR4</v>
          </cell>
        </row>
        <row r="210">
          <cell r="A210" t="str">
            <v>Vocación Central, S.C.</v>
          </cell>
          <cell r="B210" t="str">
            <v>VCE120816I3A</v>
          </cell>
        </row>
        <row r="211">
          <cell r="A211" t="str">
            <v>3w Educación, S.C.</v>
          </cell>
          <cell r="B211" t="str">
            <v>WED130205MM6</v>
          </cell>
        </row>
        <row r="212">
          <cell r="A212" t="str">
            <v>Distribuidora Jjb, S.A. De C.V.</v>
          </cell>
          <cell r="B212" t="str">
            <v>DJJ111024RU0</v>
          </cell>
        </row>
        <row r="213">
          <cell r="A213" t="str">
            <v>Sabormex, S.A. De C.V.</v>
          </cell>
          <cell r="B213" t="str">
            <v>SAB9407014V3</v>
          </cell>
        </row>
        <row r="214">
          <cell r="A214" t="str">
            <v>Blegam Corp, S.A. De C.V.</v>
          </cell>
          <cell r="B214" t="str">
            <v>BCO101122JN6</v>
          </cell>
        </row>
        <row r="215">
          <cell r="A215" t="str">
            <v>Colchas México, S.A. De C.V.</v>
          </cell>
          <cell r="B215" t="str">
            <v>CME5910277L0</v>
          </cell>
        </row>
        <row r="216">
          <cell r="A216" t="str">
            <v>Iztacalco Motors, S.A. De C.V.</v>
          </cell>
          <cell r="B216" t="str">
            <v>IMO011119RG8</v>
          </cell>
        </row>
        <row r="217">
          <cell r="A217" t="str">
            <v>Ganaderos Productores De Leche Pura, S.A.P.I. De C.V.</v>
          </cell>
          <cell r="B217" t="str">
            <v>GPL860521FW8</v>
          </cell>
        </row>
        <row r="218">
          <cell r="A218" t="str">
            <v>Sales Del Istmo, S.A. De C.V.</v>
          </cell>
          <cell r="B218" t="str">
            <v>SIS811210H53</v>
          </cell>
        </row>
        <row r="219">
          <cell r="A219" t="str">
            <v>Vip Vallarta Transportaciones Y Servicios, S. De R.L. De C.V.</v>
          </cell>
          <cell r="B219" t="str">
            <v>VVT120821RX4</v>
          </cell>
        </row>
        <row r="220">
          <cell r="A220" t="str">
            <v>Centro De Publicaciones E Información De La OCDE En México</v>
          </cell>
          <cell r="B220" t="str">
            <v>CPI960419I89</v>
          </cell>
        </row>
        <row r="221">
          <cell r="A221" t="str">
            <v>Consultores En Sistemas Administrativos, S.A. De C.V.</v>
          </cell>
          <cell r="B221" t="str">
            <v>CSA981124KI7</v>
          </cell>
        </row>
        <row r="222">
          <cell r="A222" t="str">
            <v>Javanes Solutions, S.A. De C.V.</v>
          </cell>
          <cell r="B222" t="str">
            <v>JSO051021BH2</v>
          </cell>
        </row>
        <row r="223">
          <cell r="A223" t="str">
            <v>Blue &amp; Green Servicios Y Soluciones Al Medio Ambiente, S.A. De C.V.</v>
          </cell>
          <cell r="B223" t="str">
            <v>BAG1106299U7</v>
          </cell>
        </row>
        <row r="224">
          <cell r="A224" t="str">
            <v>Grupo Americano De Nuevos Negocios, S.A. De C.V.</v>
          </cell>
          <cell r="B224" t="str">
            <v>GAN020719MT5</v>
          </cell>
        </row>
        <row r="225">
          <cell r="A225" t="str">
            <v>Root Technologies, S.C.</v>
          </cell>
          <cell r="B225" t="str">
            <v>RTE040625HF8</v>
          </cell>
        </row>
        <row r="226">
          <cell r="A226" t="str">
            <v>Earn, S.A. De C.V.</v>
          </cell>
          <cell r="B226" t="str">
            <v>EAR971113AJ2</v>
          </cell>
        </row>
        <row r="227">
          <cell r="A227" t="str">
            <v>Epro Electrónica, Servicio Y Asesoría, S.A. De C.V.</v>
          </cell>
          <cell r="B227" t="str">
            <v>EES070528JX7</v>
          </cell>
        </row>
        <row r="228">
          <cell r="A228" t="str">
            <v>Abasi Servicios Integrales, S.A. De C.V.</v>
          </cell>
          <cell r="B228" t="str">
            <v>ASI0501142C2</v>
          </cell>
        </row>
        <row r="229">
          <cell r="A229" t="str">
            <v>Navegantes de La Comunicación Gráfica, S.A. de C.V.</v>
          </cell>
          <cell r="B229" t="str">
            <v>NCG010320MD0</v>
          </cell>
        </row>
        <row r="230">
          <cell r="A230" t="str">
            <v>Soluciones Integrales A Equipos De Oficina, S.A. De C.V.</v>
          </cell>
          <cell r="B230" t="str">
            <v>SIA0909017R8</v>
          </cell>
        </row>
        <row r="231">
          <cell r="A231" t="str">
            <v>Operadora Turística Emporio Reforma, S.A. de C.V.</v>
          </cell>
          <cell r="B231" t="str">
            <v>OTE0902104Q2</v>
          </cell>
        </row>
        <row r="232">
          <cell r="A232" t="str">
            <v>Desarrollo Y Tecnología Empresarial, S.A. De C.V.</v>
          </cell>
          <cell r="B232" t="str">
            <v>DTE000118N96</v>
          </cell>
        </row>
        <row r="233">
          <cell r="A233" t="str">
            <v>Consorcio De Construcción Y Comunicación, S.A. De C.V.</v>
          </cell>
          <cell r="B233" t="str">
            <v>CCC000202QM1</v>
          </cell>
        </row>
        <row r="234">
          <cell r="A234" t="str">
            <v>Muebles Roal, S.A. De C.V.</v>
          </cell>
          <cell r="B234" t="str">
            <v>MRO940415BL0</v>
          </cell>
        </row>
        <row r="235">
          <cell r="A235" t="str">
            <v>Teaasi Video, S.A. De C.V.</v>
          </cell>
          <cell r="B235" t="str">
            <v>TVI130211GD6</v>
          </cell>
        </row>
        <row r="236">
          <cell r="A236" t="str">
            <v>Servicios Especializados En Teleinformática, S.A. De C.V.</v>
          </cell>
          <cell r="B236" t="str">
            <v>SET061122NX8</v>
          </cell>
        </row>
        <row r="237">
          <cell r="A237" t="str">
            <v>Axa Seguros, S.A. De C.V.</v>
          </cell>
          <cell r="B237" t="str">
            <v>ASE931116231</v>
          </cell>
        </row>
        <row r="238">
          <cell r="A238" t="str">
            <v>Glucosystem, S.A. De C.V.</v>
          </cell>
          <cell r="B238" t="str">
            <v>GLU0801179A0</v>
          </cell>
        </row>
        <row r="239">
          <cell r="A239" t="str">
            <v>Thyssenkrupp Elevadores, S.A. De C.V.</v>
          </cell>
          <cell r="B239" t="str">
            <v>TEL940531FV9</v>
          </cell>
        </row>
        <row r="240">
          <cell r="A240" t="str">
            <v>Gibitnet Soluciones Integrales, S.A. De C.V.</v>
          </cell>
          <cell r="B240" t="str">
            <v>GIT070607171</v>
          </cell>
        </row>
        <row r="241">
          <cell r="A241" t="str">
            <v>Turavisión, S.A. De C.V.</v>
          </cell>
          <cell r="B241" t="str">
            <v>TUR920807TQ3</v>
          </cell>
        </row>
        <row r="242">
          <cell r="A242" t="str">
            <v>Acelerant Consulting Group, S.C.</v>
          </cell>
          <cell r="B242" t="str">
            <v>ACG000512S35</v>
          </cell>
        </row>
        <row r="243">
          <cell r="A243" t="str">
            <v>Ekomercio Electrónico, S.A. De C.V.</v>
          </cell>
          <cell r="B243" t="str">
            <v>EEL961104G96</v>
          </cell>
        </row>
        <row r="244">
          <cell r="A244" t="str">
            <v>Litual Distribuciones, S.A. De C.V.</v>
          </cell>
          <cell r="B244" t="str">
            <v>LDI080310TN8</v>
          </cell>
        </row>
        <row r="245">
          <cell r="A245" t="str">
            <v>Videoservicios, S.A. De C.V.</v>
          </cell>
          <cell r="B245" t="str">
            <v>VID850330QL2</v>
          </cell>
        </row>
        <row r="246">
          <cell r="A246" t="str">
            <v>Grupo Nacional Provincial, S.A.B.</v>
          </cell>
          <cell r="B246" t="str">
            <v>GNP9211244P0</v>
          </cell>
        </row>
        <row r="247">
          <cell r="A247" t="str">
            <v>Dessa Muebles, S.A. De C.V.</v>
          </cell>
          <cell r="B247" t="str">
            <v>DMU9206035G5</v>
          </cell>
        </row>
        <row r="248">
          <cell r="A248" t="str">
            <v>Tlaseca Construcciones, S.A. De C.V.</v>
          </cell>
          <cell r="B248" t="str">
            <v>TCO031121517</v>
          </cell>
        </row>
        <row r="249">
          <cell r="A249" t="str">
            <v>Polanco Hermanos, S.A. De C.V.</v>
          </cell>
          <cell r="B249" t="str">
            <v>PHE990728DXA</v>
          </cell>
        </row>
        <row r="250">
          <cell r="A250" t="str">
            <v>White &amp; Case, S.C.</v>
          </cell>
          <cell r="B250" t="str">
            <v>W&amp;C950609I42</v>
          </cell>
        </row>
        <row r="251">
          <cell r="A251" t="str">
            <v>Distribuciones Limonta, S.A. De C.V.</v>
          </cell>
          <cell r="B251" t="str">
            <v>DLI0802258E4</v>
          </cell>
        </row>
        <row r="252">
          <cell r="A252" t="str">
            <v>Seguros Inbursa, S.A. Grupo Financiero Inbursa</v>
          </cell>
          <cell r="B252" t="str">
            <v>SIN9408027L7</v>
          </cell>
        </row>
        <row r="253">
          <cell r="A253" t="str">
            <v>Aparatos Electromecánicos Von Haucke, S.A. de C.V.</v>
          </cell>
          <cell r="B253" t="str">
            <v>AEH841221234</v>
          </cell>
        </row>
        <row r="254">
          <cell r="A254" t="str">
            <v>Angar Azcapotzalco S.A. De C.V.</v>
          </cell>
          <cell r="B254" t="str">
            <v>AAZ040910IN3</v>
          </cell>
        </row>
        <row r="255">
          <cell r="A255" t="str">
            <v>Sharp Corporation México, S.A. De C.V.</v>
          </cell>
          <cell r="B255" t="str">
            <v>SCM091023TW3</v>
          </cell>
        </row>
        <row r="256">
          <cell r="A256" t="str">
            <v>Pas Gbs, S.A. De C.V.</v>
          </cell>
          <cell r="B256" t="str">
            <v>PGB101111MD8</v>
          </cell>
        </row>
        <row r="257">
          <cell r="A257" t="str">
            <v>Jr Equipos De Termofusión Y Electrofusión, S.A. De C.V.</v>
          </cell>
          <cell r="B257" t="str">
            <v>JET060717JN8</v>
          </cell>
        </row>
        <row r="258">
          <cell r="A258" t="str">
            <v>Soundspace, S.A. De C.V.</v>
          </cell>
          <cell r="B258" t="str">
            <v>SOU031210613</v>
          </cell>
        </row>
        <row r="259">
          <cell r="A259" t="str">
            <v>Consulting And Enterprise Integrations, S.A. De C.V.</v>
          </cell>
          <cell r="B259" t="str">
            <v>CEI0401121H9</v>
          </cell>
        </row>
        <row r="260">
          <cell r="A260" t="str">
            <v>Abastecedora Atlante, S.A. de C.V.</v>
          </cell>
          <cell r="B260" t="str">
            <v>AAT960111SY8</v>
          </cell>
        </row>
        <row r="261">
          <cell r="A261" t="str">
            <v>Maquinas Diesel, S.A. De C.V.</v>
          </cell>
          <cell r="B261" t="str">
            <v>MDI931014D37</v>
          </cell>
        </row>
        <row r="262">
          <cell r="A262" t="str">
            <v>Internacional Proveedora De Industrias, S.A. De C.V.</v>
          </cell>
          <cell r="B262" t="str">
            <v>IPI860721MN1</v>
          </cell>
        </row>
        <row r="263">
          <cell r="A263" t="str">
            <v>Plm México, S.A. De C.V.</v>
          </cell>
          <cell r="B263" t="str">
            <v>PME850716PN5</v>
          </cell>
        </row>
        <row r="264">
          <cell r="A264" t="str">
            <v>Mavape, S.A.P.I. De C.V.</v>
          </cell>
          <cell r="B264" t="str">
            <v>MAV130416P62</v>
          </cell>
        </row>
        <row r="265">
          <cell r="A265" t="str">
            <v>Rasbo Soluciones De Negocios, S.A. De C.V.</v>
          </cell>
          <cell r="B265" t="str">
            <v>RSN120327DMA</v>
          </cell>
        </row>
        <row r="266">
          <cell r="A266" t="str">
            <v>Power Systems Service, S.A. De C.V.</v>
          </cell>
          <cell r="B266" t="str">
            <v>PSS990127RE5</v>
          </cell>
        </row>
        <row r="267">
          <cell r="A267" t="str">
            <v>Instituto Mexicano De Investigaciones En Derecho Ambiental, A.C.</v>
          </cell>
          <cell r="B267" t="str">
            <v>IMI030217J33</v>
          </cell>
        </row>
        <row r="268">
          <cell r="A268" t="str">
            <v>Instituto De Estudios Avanzados Y De Actualización, A.C.</v>
          </cell>
          <cell r="B268" t="str">
            <v>IEA920724F99</v>
          </cell>
        </row>
        <row r="269">
          <cell r="A269" t="str">
            <v>Sistemas De Acondicionamiento Ambiental, S.A. De C.V.</v>
          </cell>
          <cell r="B269" t="str">
            <v>SAA7609095Q0</v>
          </cell>
        </row>
        <row r="270">
          <cell r="A270" t="str">
            <v>Lightech De México S.A. De C.V.</v>
          </cell>
          <cell r="B270" t="str">
            <v>LME020918D39</v>
          </cell>
        </row>
        <row r="271">
          <cell r="A271" t="str">
            <v>Apolo Tec, S.A. De C.V.</v>
          </cell>
          <cell r="B271" t="str">
            <v>ATE031117QJ5</v>
          </cell>
        </row>
        <row r="272">
          <cell r="A272" t="str">
            <v>Educación Matemática Hidalgo, S.C.</v>
          </cell>
          <cell r="B272" t="str">
            <v>EMH001123QT6</v>
          </cell>
        </row>
        <row r="273">
          <cell r="A273" t="str">
            <v>Efectivale, S. De R. L. De C. V.</v>
          </cell>
          <cell r="B273" t="str">
            <v>EFE8908015L3</v>
          </cell>
        </row>
        <row r="274">
          <cell r="A274" t="str">
            <v>Zuri 1 Comunicación, S.A. De C.V.</v>
          </cell>
          <cell r="B274" t="str">
            <v>ZUC0310205U4</v>
          </cell>
        </row>
        <row r="275">
          <cell r="A275" t="str">
            <v>Cetec Marina, S.C.</v>
          </cell>
          <cell r="B275" t="str">
            <v>CMA011116PM5</v>
          </cell>
        </row>
        <row r="276">
          <cell r="A276" t="str">
            <v>Entreventos, S.A. De C.V.</v>
          </cell>
          <cell r="B276" t="str">
            <v>ENT090622EY1</v>
          </cell>
        </row>
        <row r="277">
          <cell r="A277" t="str">
            <v>Cosmotech, S.A. De C.V.</v>
          </cell>
          <cell r="B277" t="str">
            <v>COS131119H97</v>
          </cell>
        </row>
        <row r="278">
          <cell r="A278" t="str">
            <v>Mr. Limpieza, S.A. De C.V.</v>
          </cell>
          <cell r="B278" t="str">
            <v>MLI0610289M7</v>
          </cell>
        </row>
        <row r="279">
          <cell r="A279" t="str">
            <v>Bojma De México, S.A. De C.V.</v>
          </cell>
          <cell r="B279" t="str">
            <v>BME100325TP5</v>
          </cell>
        </row>
        <row r="280">
          <cell r="A280" t="str">
            <v>Comtelsat, S.A. De C.V.</v>
          </cell>
          <cell r="B280" t="str">
            <v>COM010313SU8</v>
          </cell>
        </row>
        <row r="281">
          <cell r="A281" t="str">
            <v>Playmixes, S.A. De C.V.</v>
          </cell>
          <cell r="B281" t="str">
            <v>PLA08080861A</v>
          </cell>
        </row>
        <row r="282">
          <cell r="A282" t="str">
            <v>Rechtikal, S.A. De C.V.</v>
          </cell>
          <cell r="B282" t="str">
            <v>REC121107IMA</v>
          </cell>
        </row>
        <row r="283">
          <cell r="A283" t="str">
            <v>Treshwa Blue Solutions, S. De R.L. De C.V.</v>
          </cell>
          <cell r="B283" t="str">
            <v>TBS121122U58</v>
          </cell>
        </row>
        <row r="284">
          <cell r="A284" t="str">
            <v>Tabacos De Santa Fe, S.A. De C.V.</v>
          </cell>
          <cell r="B284" t="str">
            <v>TSF9905049L6</v>
          </cell>
        </row>
        <row r="285">
          <cell r="A285" t="str">
            <v>Fundación Para La Implementación Diseño Evaluación Y Análisis De Políticas Públicas Fundación IDEA, A.C.</v>
          </cell>
          <cell r="B285" t="str">
            <v>FID050712MV7</v>
          </cell>
        </row>
        <row r="286">
          <cell r="A286" t="str">
            <v>Martínez Barranco, S.A. De C.V.</v>
          </cell>
          <cell r="B286" t="str">
            <v>MBA960229SJ9</v>
          </cell>
        </row>
        <row r="287">
          <cell r="A287" t="str">
            <v>Neta Systems, S.A. De C.V.</v>
          </cell>
          <cell r="B287" t="str">
            <v>NSY121012UV0</v>
          </cell>
        </row>
        <row r="288">
          <cell r="A288" t="str">
            <v>FGC Valuaciones, S.C</v>
          </cell>
          <cell r="B288" t="str">
            <v>FVA980723AW1</v>
          </cell>
        </row>
        <row r="289">
          <cell r="A289" t="str">
            <v>Servicios Integrales En Promoción Y Comunicación, S.A. De C.V.</v>
          </cell>
          <cell r="B289" t="str">
            <v>SIP121211665</v>
          </cell>
        </row>
        <row r="290">
          <cell r="A290" t="str">
            <v>Información Y Análisis Empresarial, S. De R.L. De C.V.</v>
          </cell>
          <cell r="B290" t="str">
            <v>IAE0610209L8</v>
          </cell>
        </row>
        <row r="291">
          <cell r="A291" t="str">
            <v>Grupo Comercializador Y Constructor Siete, S.A. De C.V.</v>
          </cell>
          <cell r="B291" t="str">
            <v>GCC0703158LA</v>
          </cell>
        </row>
        <row r="292">
          <cell r="A292" t="str">
            <v>Comercializadora La Acción, S.A. De C.V.</v>
          </cell>
          <cell r="B292" t="str">
            <v>CAC1402058H4</v>
          </cell>
        </row>
        <row r="293">
          <cell r="A293" t="str">
            <v>Inmobiliaria Keda, S.A. De C.V.</v>
          </cell>
          <cell r="B293" t="str">
            <v>IKE691020MF2</v>
          </cell>
        </row>
        <row r="294">
          <cell r="A294" t="str">
            <v>Compuedro, S.A. De C.V.</v>
          </cell>
          <cell r="B294" t="str">
            <v>COM1205031H8</v>
          </cell>
        </row>
        <row r="295">
          <cell r="A295" t="str">
            <v>Ferretería Santander, S.A. de C.V.</v>
          </cell>
          <cell r="B295" t="str">
            <v>FSA680618RE3</v>
          </cell>
        </row>
        <row r="296">
          <cell r="A296" t="str">
            <v>Despacho González Villanueva Y Asociados, S.C.</v>
          </cell>
          <cell r="B296" t="str">
            <v>DGV990215NEA</v>
          </cell>
        </row>
        <row r="297">
          <cell r="A297" t="str">
            <v>Gabinete Twist, S. De R.L. De C.V.</v>
          </cell>
          <cell r="B297" t="str">
            <v>GTW070309CL8</v>
          </cell>
        </row>
        <row r="298">
          <cell r="A298" t="str">
            <v>Notimex, Agencia De Noticias Del Estado Mexicano</v>
          </cell>
          <cell r="B298" t="str">
            <v>NAN060602PW9</v>
          </cell>
        </row>
        <row r="299">
          <cell r="A299" t="str">
            <v>Instituto Nacional De Administración Publica, A.C.</v>
          </cell>
          <cell r="B299" t="str">
            <v>INA770420DW1</v>
          </cell>
        </row>
        <row r="300">
          <cell r="A300" t="str">
            <v>Servicios De Energía Ininterrumpible, S.A. De C.V.</v>
          </cell>
          <cell r="B300" t="str">
            <v>SEI001019RW3</v>
          </cell>
        </row>
        <row r="301">
          <cell r="A301" t="str">
            <v>Corporativo Asesores Sánchez Maluly / Sanmiguel, S.C.</v>
          </cell>
          <cell r="B301" t="str">
            <v>CAS940623569</v>
          </cell>
        </row>
        <row r="302">
          <cell r="A302" t="str">
            <v>DGC, Consentir, Alimentos Sanos, S.A. De C.V.</v>
          </cell>
          <cell r="B302" t="str">
            <v>DCA140116M60</v>
          </cell>
        </row>
        <row r="303">
          <cell r="A303" t="str">
            <v>Nubaj y Nubaj Consulting, S.A. De C.V.</v>
          </cell>
          <cell r="B303" t="str">
            <v>NNC121031D79</v>
          </cell>
        </row>
        <row r="304">
          <cell r="A304" t="str">
            <v>Difusión Comercial Y Tecnológica, S.A. De C.V.</v>
          </cell>
          <cell r="B304" t="str">
            <v>DCT110524AB5</v>
          </cell>
        </row>
        <row r="305">
          <cell r="A305" t="str">
            <v>Lb Sistemas, S.A. De C.V.</v>
          </cell>
          <cell r="B305" t="str">
            <v>LSI090130BR5</v>
          </cell>
        </row>
        <row r="306">
          <cell r="A306" t="str">
            <v>Producción De Eventos Y Display México, S.A. De C.V.</v>
          </cell>
          <cell r="B306" t="str">
            <v>PED140325SU5</v>
          </cell>
        </row>
        <row r="307">
          <cell r="A307" t="str">
            <v>Automotriz Nihon, S.A. De C.V.</v>
          </cell>
          <cell r="B307" t="str">
            <v>ANI140616N87</v>
          </cell>
        </row>
        <row r="308">
          <cell r="A308" t="str">
            <v>Electropura, S. de R.L. de C.V.</v>
          </cell>
          <cell r="B308" t="str">
            <v>ELE9012281G2</v>
          </cell>
        </row>
        <row r="309">
          <cell r="A309" t="str">
            <v>Teléfonos De México, S. A. B. De C. V.</v>
          </cell>
          <cell r="B309" t="str">
            <v>TME840315KT6</v>
          </cell>
        </row>
        <row r="310">
          <cell r="A310" t="str">
            <v>Sanipap de México, S.A. de C.V.</v>
          </cell>
          <cell r="B310" t="str">
            <v>SME0608184Z2</v>
          </cell>
        </row>
        <row r="311">
          <cell r="A311" t="str">
            <v>Ingeniería Y Desarrollo De Proyectos Didácticos, S.A. De C.V.</v>
          </cell>
          <cell r="B311" t="str">
            <v>IDP0312174Y7</v>
          </cell>
        </row>
        <row r="312">
          <cell r="A312" t="str">
            <v>Prospectiva Informática y Administrativa, S.A. De C.V.</v>
          </cell>
          <cell r="B312" t="str">
            <v>PIA900509D77</v>
          </cell>
        </row>
        <row r="313">
          <cell r="A313" t="str">
            <v>Gea Grupo De Economistas Y Asociados, S.C.</v>
          </cell>
          <cell r="B313" t="str">
            <v>GGE900917M92</v>
          </cell>
        </row>
        <row r="314">
          <cell r="A314" t="str">
            <v>Industrias Yosef, S.A. De C.V.</v>
          </cell>
          <cell r="B314" t="str">
            <v>IYO1210124Z2</v>
          </cell>
        </row>
        <row r="315">
          <cell r="A315" t="str">
            <v>Respuestas Optimas En Mayoreo S.A. De C.V.</v>
          </cell>
          <cell r="B315" t="str">
            <v>ROM900628QV1</v>
          </cell>
        </row>
        <row r="316">
          <cell r="A316" t="str">
            <v>Arre Lulu Producciones, S.A. De C.V.</v>
          </cell>
          <cell r="B316" t="str">
            <v>ALP1310187B9</v>
          </cell>
        </row>
        <row r="317">
          <cell r="A317" t="str">
            <v>Izta, S.A. De C.V.</v>
          </cell>
          <cell r="B317" t="str">
            <v>IZT0807077J9</v>
          </cell>
        </row>
        <row r="318">
          <cell r="A318" t="str">
            <v>Fabredi, S.A. De C.V.</v>
          </cell>
          <cell r="B318" t="str">
            <v>FAB010904I93</v>
          </cell>
        </row>
        <row r="319">
          <cell r="A319" t="str">
            <v>Escuela Mexicana De Archivos, A.C.</v>
          </cell>
          <cell r="B319" t="str">
            <v>EMA06013083A</v>
          </cell>
        </row>
        <row r="320">
          <cell r="A320" t="str">
            <v>Abaga Grupo Logístico, S.A. De C.V.</v>
          </cell>
          <cell r="B320" t="str">
            <v>AGL081218I56</v>
          </cell>
        </row>
        <row r="321">
          <cell r="A321" t="str">
            <v>Jca Motorbikes, S.A. De C.V.</v>
          </cell>
          <cell r="B321" t="str">
            <v>JMO131204716</v>
          </cell>
        </row>
        <row r="322">
          <cell r="A322" t="str">
            <v>Sabercomo, S.A. De C.V.</v>
          </cell>
          <cell r="B322" t="str">
            <v>SAB051015141</v>
          </cell>
        </row>
        <row r="323">
          <cell r="A323" t="str">
            <v>Fonatur Mantenimiento Turístico, S.A. De C.V.</v>
          </cell>
          <cell r="B323" t="str">
            <v>NHB770831BW3</v>
          </cell>
        </row>
        <row r="324">
          <cell r="A324" t="str">
            <v>Maxcontrol Private Security, S.A. De C.V.</v>
          </cell>
          <cell r="B324" t="str">
            <v>MPS050207821</v>
          </cell>
        </row>
        <row r="325">
          <cell r="A325" t="str">
            <v>Ideas Integrales En Jardinería Jisa, S. De R.L. De C.V.</v>
          </cell>
          <cell r="B325" t="str">
            <v>IIJ1112089F0</v>
          </cell>
        </row>
        <row r="326">
          <cell r="A326" t="str">
            <v>Distribuidores y Fabricantes de Artículos Escolares y de Oficina, S.A. De C.V.</v>
          </cell>
          <cell r="B326" t="str">
            <v>DFA0701181Y4</v>
          </cell>
        </row>
        <row r="327">
          <cell r="A327" t="str">
            <v>Tech Storm, S.A. De C.V.</v>
          </cell>
          <cell r="B327" t="str">
            <v>TST0603206T3</v>
          </cell>
        </row>
        <row r="328">
          <cell r="A328" t="str">
            <v>ICC Servicios &amp; Procesos De Ingeniería, S.A. De C.V.</v>
          </cell>
          <cell r="B328" t="str">
            <v>ISA130404ST6</v>
          </cell>
        </row>
        <row r="329">
          <cell r="A329" t="str">
            <v>Verticalmex, S.A. De C.V.</v>
          </cell>
          <cell r="B329" t="str">
            <v>VER1307057B4</v>
          </cell>
        </row>
        <row r="330">
          <cell r="A330" t="str">
            <v>Fumi-Dip Control De Plagas, S.A. De C.V.</v>
          </cell>
          <cell r="B330" t="str">
            <v>FCP0702164I3</v>
          </cell>
        </row>
        <row r="331">
          <cell r="A331" t="str">
            <v>Origen Sap, S.A. De C.V.</v>
          </cell>
          <cell r="B331" t="str">
            <v>OSA141010LW4</v>
          </cell>
        </row>
        <row r="332">
          <cell r="A332" t="str">
            <v>Registral Management, S.A. De C.V.</v>
          </cell>
          <cell r="B332" t="str">
            <v>RMA031205SQ1</v>
          </cell>
        </row>
        <row r="333">
          <cell r="A333" t="str">
            <v>Vanume, S. De R.L. De C.V.</v>
          </cell>
          <cell r="B333" t="str">
            <v>VAN120217V12</v>
          </cell>
        </row>
        <row r="334">
          <cell r="A334" t="str">
            <v>Uribe Ingenieros Asociados, S.A. De C.V.</v>
          </cell>
          <cell r="B334" t="str">
            <v>UIA840406731</v>
          </cell>
        </row>
        <row r="335">
          <cell r="A335" t="str">
            <v>Soluciones Samsara Services, S.A. De C.V.</v>
          </cell>
          <cell r="B335" t="str">
            <v>SSS111110DKA</v>
          </cell>
        </row>
        <row r="336">
          <cell r="A336" t="str">
            <v>Alsesa Infraestructura, S.A. De C.V.</v>
          </cell>
          <cell r="B336" t="str">
            <v>AIN121219ST4</v>
          </cell>
        </row>
        <row r="337">
          <cell r="A337" t="str">
            <v>Diseño Floral De Vanguardia Y Regalos, S.A. De C.V.</v>
          </cell>
          <cell r="B337" t="str">
            <v>DFV080325JG8</v>
          </cell>
        </row>
        <row r="338">
          <cell r="A338" t="str">
            <v>Mdreieck, S.A. De C.V.</v>
          </cell>
          <cell r="B338" t="str">
            <v>MDR0704049NS</v>
          </cell>
        </row>
        <row r="339">
          <cell r="A339" t="str">
            <v>MCS Network Solution, S.A. De C.V.</v>
          </cell>
          <cell r="B339" t="str">
            <v>MNS990319C39</v>
          </cell>
        </row>
        <row r="340">
          <cell r="A340" t="str">
            <v>Infobrain, S.A. De C.V.</v>
          </cell>
          <cell r="B340" t="str">
            <v>INF070614S84</v>
          </cell>
        </row>
        <row r="341">
          <cell r="A341" t="str">
            <v>BCM Business Consultants Management, S.C.</v>
          </cell>
          <cell r="B341" t="str">
            <v>BBC0602014Q6</v>
          </cell>
        </row>
        <row r="342">
          <cell r="A342" t="str">
            <v>Consulting All Service In Telecom And Medice, S. De R. L. De C.V.</v>
          </cell>
          <cell r="B342" t="str">
            <v>CAS1211066S3</v>
          </cell>
        </row>
        <row r="343">
          <cell r="A343" t="str">
            <v>Black Car Transportación, S.A. De C.V.</v>
          </cell>
          <cell r="B343" t="str">
            <v>BCT141021PA5</v>
          </cell>
        </row>
        <row r="344">
          <cell r="A344" t="str">
            <v>Ingeniería Y Servicios Mercantiles, S.A. De C.V.</v>
          </cell>
          <cell r="B344" t="str">
            <v>ISM0102164R0</v>
          </cell>
        </row>
        <row r="345">
          <cell r="A345" t="str">
            <v>Lógica En Medios, S.A. De C.V.</v>
          </cell>
          <cell r="B345" t="str">
            <v>LME020417SU5</v>
          </cell>
        </row>
        <row r="346">
          <cell r="A346" t="str">
            <v>Intellego, S.C.</v>
          </cell>
          <cell r="B346" t="str">
            <v>INT010509RB0</v>
          </cell>
        </row>
        <row r="347">
          <cell r="A347" t="str">
            <v>Medios Alternativos Battaglia, S.A. De C.V.</v>
          </cell>
          <cell r="B347" t="str">
            <v>MAB0308048H0</v>
          </cell>
        </row>
        <row r="348">
          <cell r="A348" t="str">
            <v>Organizacion Mitamex, S.A. De C.V.</v>
          </cell>
          <cell r="B348" t="str">
            <v>OMI880218NC4</v>
          </cell>
        </row>
        <row r="349">
          <cell r="A349" t="str">
            <v>Escalator, Elevator &amp; Electromechanics Enterprise, S.A. De C.V.</v>
          </cell>
          <cell r="B349" t="str">
            <v>EEA1006077G5</v>
          </cell>
        </row>
        <row r="350">
          <cell r="A350" t="str">
            <v>Propimex, S De R.L. De C.V.</v>
          </cell>
          <cell r="B350" t="str">
            <v>PRO840423SG8</v>
          </cell>
        </row>
        <row r="351">
          <cell r="A351" t="str">
            <v>Kodo Consulting Services, S.A. De C.V.</v>
          </cell>
          <cell r="B351" t="str">
            <v>KCS101129867</v>
          </cell>
        </row>
        <row r="352">
          <cell r="A352" t="str">
            <v>Controles Y Diseño, S.A. De C.V.</v>
          </cell>
          <cell r="B352" t="str">
            <v>CDI020815TR5</v>
          </cell>
        </row>
        <row r="353">
          <cell r="A353" t="str">
            <v>GDC Difusión Científica, S.A. De C.V.</v>
          </cell>
          <cell r="B353" t="str">
            <v>GDC070413NN7</v>
          </cell>
        </row>
        <row r="354">
          <cell r="A354" t="str">
            <v>Mami Pasteles Y Pan Fino, S.A. De C.V.</v>
          </cell>
          <cell r="B354" t="str">
            <v>MPP910909RG9</v>
          </cell>
        </row>
        <row r="355">
          <cell r="A355" t="str">
            <v>Kalan Consultores, S.A. De C.V.</v>
          </cell>
          <cell r="B355" t="str">
            <v>KCO05101281A</v>
          </cell>
        </row>
        <row r="356">
          <cell r="A356" t="str">
            <v>Six Flags México, S.A. De C.V.</v>
          </cell>
          <cell r="B356" t="str">
            <v>RAV790322QY4</v>
          </cell>
        </row>
        <row r="357">
          <cell r="A357" t="str">
            <v>Casa De La Amistad Para Niños Con Cáncer I.A.P.</v>
          </cell>
          <cell r="B357" t="str">
            <v>CAN980724KJ0</v>
          </cell>
        </row>
        <row r="358">
          <cell r="A358" t="str">
            <v>Millenium Technologies, S.A. De C.V.</v>
          </cell>
          <cell r="B358" t="str">
            <v>MTE000615LF6</v>
          </cell>
        </row>
        <row r="359">
          <cell r="A359" t="str">
            <v>Politeia Consultores En Evaluación, S.A. De C.V.</v>
          </cell>
          <cell r="B359" t="str">
            <v>PCE140407UQ4</v>
          </cell>
        </row>
        <row r="360">
          <cell r="A360" t="str">
            <v>Bimcon, S.C.</v>
          </cell>
          <cell r="B360" t="str">
            <v>BIM1309132DA</v>
          </cell>
        </row>
        <row r="361">
          <cell r="A361" t="str">
            <v>Clipware, S.C.</v>
          </cell>
          <cell r="B361" t="str">
            <v>CLI931122QP4</v>
          </cell>
        </row>
        <row r="362">
          <cell r="A362" t="str">
            <v>Construcciones Y Negocios Del Golfo, S.A. De C.V.</v>
          </cell>
          <cell r="B362" t="str">
            <v>CNG0808127R3</v>
          </cell>
        </row>
        <row r="363">
          <cell r="A363" t="str">
            <v>Velázquez Focos, S.A. De C.V.</v>
          </cell>
          <cell r="B363" t="str">
            <v>VFO841003RS6</v>
          </cell>
        </row>
        <row r="364">
          <cell r="A364" t="str">
            <v>Distribuidora Y Comercializadora Helios, S.A. De C.V.</v>
          </cell>
          <cell r="B364" t="str">
            <v>DCH140327HT8</v>
          </cell>
        </row>
        <row r="365">
          <cell r="A365" t="str">
            <v>Ordicasa Constructora, S.A. De C.V.</v>
          </cell>
          <cell r="B365" t="str">
            <v>OCO080702QL8</v>
          </cell>
        </row>
        <row r="366">
          <cell r="A366" t="str">
            <v>M&amp;C Desarrollo Laboral Y Personal, S.C.</v>
          </cell>
          <cell r="B366" t="str">
            <v>MDL1501164H4</v>
          </cell>
        </row>
        <row r="367">
          <cell r="A367" t="str">
            <v>Tecnologías Digitales Alternas De México, S. De R.L. De C.V.</v>
          </cell>
          <cell r="B367" t="str">
            <v>TDA100816147</v>
          </cell>
        </row>
        <row r="368">
          <cell r="A368" t="str">
            <v>Fábrica De Blancos, S.A. De C.V.</v>
          </cell>
          <cell r="B368" t="str">
            <v>FBL010206IN8</v>
          </cell>
        </row>
        <row r="369">
          <cell r="A369" t="str">
            <v>Ollin Iluminación, S.A. De C.V.</v>
          </cell>
          <cell r="B369" t="str">
            <v>OIL0911098P0</v>
          </cell>
        </row>
        <row r="370">
          <cell r="A370" t="str">
            <v>Administración Integral, Consultores Y Organización De Negocios, S.C.</v>
          </cell>
          <cell r="B370" t="str">
            <v>AIC080415HM6</v>
          </cell>
        </row>
        <row r="371">
          <cell r="A371" t="str">
            <v>Técnicas En Iluminación Urman, S.A. De C.V.</v>
          </cell>
          <cell r="B371" t="str">
            <v>TIU140528GLA</v>
          </cell>
        </row>
        <row r="372">
          <cell r="A372" t="str">
            <v>Asesores Jurídicos Especialistas En Derecho Administrativo, S.C.</v>
          </cell>
          <cell r="B372" t="str">
            <v>AJE120130P71</v>
          </cell>
        </row>
        <row r="373">
          <cell r="A373" t="str">
            <v>Johnson Controls México Be, S.A. De C.V.</v>
          </cell>
          <cell r="B373" t="str">
            <v>JCM910903G94</v>
          </cell>
        </row>
        <row r="374">
          <cell r="A374" t="str">
            <v>Educación Avanzada A Libro Abierto, S.A. De C.V.</v>
          </cell>
          <cell r="B374" t="str">
            <v>EAL1404256D3</v>
          </cell>
        </row>
        <row r="375">
          <cell r="A375" t="str">
            <v>Expertos En Computo Y Comunicaciones, S.A. De C.V.</v>
          </cell>
          <cell r="B375" t="str">
            <v>ECC990609FI3</v>
          </cell>
        </row>
        <row r="376">
          <cell r="A376" t="str">
            <v>Radiomóvil Dipsa, S.A. De C.V.</v>
          </cell>
          <cell r="B376" t="str">
            <v>RDI841003QJ4</v>
          </cell>
        </row>
        <row r="377">
          <cell r="A377" t="str">
            <v>Fbm Comercializadora, S.A. De C.V.</v>
          </cell>
          <cell r="B377" t="str">
            <v>FCO110208GU7</v>
          </cell>
        </row>
        <row r="378">
          <cell r="A378" t="str">
            <v>Tecnología Y Soluciones En Luz, S.A. De C.V.</v>
          </cell>
          <cell r="B378" t="str">
            <v>TSL0810061I3</v>
          </cell>
        </row>
        <row r="379">
          <cell r="A379" t="str">
            <v>Vehículos Santa Fe, S.A. De C.V.</v>
          </cell>
          <cell r="B379" t="str">
            <v>VSF100322GR2</v>
          </cell>
        </row>
        <row r="380">
          <cell r="A380" t="str">
            <v>Mextypsa, S.A. De C.V.</v>
          </cell>
          <cell r="B380" t="str">
            <v>MEX0907141P1</v>
          </cell>
        </row>
        <row r="381">
          <cell r="A381" t="str">
            <v>Toptel, S. De R.L. De C.V.</v>
          </cell>
          <cell r="B381" t="str">
            <v>TOP000419QFA</v>
          </cell>
        </row>
        <row r="382">
          <cell r="A382" t="str">
            <v>Corporativo Ebidar, S.A. De C.V.</v>
          </cell>
          <cell r="B382" t="str">
            <v>CEB070215L78</v>
          </cell>
        </row>
        <row r="383">
          <cell r="A383" t="str">
            <v>Proyecto E Instalaciones Integrales En Ingeniería, S.A. De C.V.</v>
          </cell>
          <cell r="B383" t="str">
            <v>PII991111CL6</v>
          </cell>
        </row>
        <row r="384">
          <cell r="A384" t="str">
            <v>Universidad Nacional Autónoma De México</v>
          </cell>
          <cell r="B384" t="str">
            <v>UNA2907227Y5</v>
          </cell>
        </row>
        <row r="385">
          <cell r="A385" t="str">
            <v>Custom Printing, S.A. De C.V.</v>
          </cell>
          <cell r="B385" t="str">
            <v>CPR1003296F8</v>
          </cell>
        </row>
        <row r="386">
          <cell r="A386" t="str">
            <v>Lito Grapo, S.A. De C.V.</v>
          </cell>
          <cell r="B386" t="str">
            <v>LGR960201IT4</v>
          </cell>
        </row>
        <row r="387">
          <cell r="A387" t="str">
            <v>Comercializadora Zucrel, S.A. De C.V.</v>
          </cell>
          <cell r="B387" t="str">
            <v>CZU120809MM1</v>
          </cell>
        </row>
        <row r="388">
          <cell r="A388" t="str">
            <v>Grupo Empresarial Chockmah, S.A. De C.V.</v>
          </cell>
          <cell r="B388" t="str">
            <v>GEC110812M76</v>
          </cell>
        </row>
        <row r="389">
          <cell r="A389" t="str">
            <v>Sictel Arrendamiento, S.A. De C.V.</v>
          </cell>
          <cell r="B389" t="str">
            <v>SAR000225UE4</v>
          </cell>
        </row>
        <row r="390">
          <cell r="A390" t="str">
            <v>Redes Y Micros Del Oriente, S.A. De C.V.</v>
          </cell>
          <cell r="B390" t="str">
            <v>RMO9411122L0</v>
          </cell>
        </row>
        <row r="391">
          <cell r="A391" t="str">
            <v>All Work Services, S.A. De C.V.</v>
          </cell>
          <cell r="B391" t="str">
            <v>AWS0803131R7</v>
          </cell>
        </row>
        <row r="392">
          <cell r="A392" t="str">
            <v>La Rueda Roja Publicidad Y Asociados, S.A De C.V.</v>
          </cell>
          <cell r="B392" t="str">
            <v>RRP041110839</v>
          </cell>
        </row>
        <row r="393">
          <cell r="A393" t="str">
            <v>Hipatia Genero Y Desarrollo, S.C.</v>
          </cell>
          <cell r="B393" t="str">
            <v>HGD080925URA</v>
          </cell>
        </row>
        <row r="394">
          <cell r="A394" t="str">
            <v>Estacionamientos Pumasa, S.A. De C.V.</v>
          </cell>
          <cell r="B394" t="str">
            <v>EPU060607C47</v>
          </cell>
        </row>
        <row r="395">
          <cell r="A395" t="str">
            <v>Comercial Distribuidora Helimax, S.A. De C.V.</v>
          </cell>
          <cell r="B395" t="str">
            <v>CDH0503035P3</v>
          </cell>
        </row>
        <row r="396">
          <cell r="A396" t="str">
            <v>Soluciones Integrales Amr, S.A. De C.V.</v>
          </cell>
          <cell r="B396" t="str">
            <v>SIA940408THA</v>
          </cell>
        </row>
        <row r="397">
          <cell r="A397" t="str">
            <v>Accenta Compañía De Displays, S.A. De C.V.</v>
          </cell>
          <cell r="B397" t="str">
            <v>ADI090116RC5</v>
          </cell>
        </row>
        <row r="398">
          <cell r="A398" t="str">
            <v>Asesoría Mediática, S.A. De C.V.</v>
          </cell>
          <cell r="B398" t="str">
            <v>AME100623GN0</v>
          </cell>
        </row>
        <row r="399">
          <cell r="A399" t="str">
            <v>Especialistas En Medios, S.A. De C.V.</v>
          </cell>
          <cell r="B399" t="str">
            <v>EME9408192F7</v>
          </cell>
        </row>
        <row r="400">
          <cell r="A400" t="str">
            <v>Mantenimiento Y Asesoría En Equipos De Cómputo, S.A. De C.V.</v>
          </cell>
          <cell r="B400" t="str">
            <v>MAE890613MH6</v>
          </cell>
        </row>
        <row r="401">
          <cell r="A401" t="str">
            <v>Integración Tecnológica 360, S.A. De C.V.</v>
          </cell>
          <cell r="B401" t="str">
            <v>ITT1307045Y4</v>
          </cell>
        </row>
        <row r="402">
          <cell r="A402" t="str">
            <v>Intercorp Contract Resources, S.A. De C.V.</v>
          </cell>
          <cell r="B402" t="str">
            <v>ICR090925MV2</v>
          </cell>
        </row>
        <row r="403">
          <cell r="A403" t="str">
            <v>Martez 13, S.A. De C.V.</v>
          </cell>
          <cell r="B403" t="str">
            <v>MTR0209062VA</v>
          </cell>
        </row>
        <row r="404">
          <cell r="A404" t="str">
            <v>Corporativo Profesional Cuellar, S.A. De C.V.</v>
          </cell>
          <cell r="B404" t="str">
            <v>CPC960910CY6</v>
          </cell>
        </row>
        <row r="405">
          <cell r="A405" t="str">
            <v>Siva Security Intelligence Vision &amp; Advising, S.A. De C.V.</v>
          </cell>
          <cell r="B405" t="str">
            <v>SSI050621GVA</v>
          </cell>
        </row>
        <row r="406">
          <cell r="A406" t="str">
            <v>Park Auto, S.A. De C.V.</v>
          </cell>
          <cell r="B406" t="str">
            <v>PAU070322DGA</v>
          </cell>
        </row>
        <row r="407">
          <cell r="A407" t="str">
            <v>Inmobiliaria Y Administradora Sar, S.A. De C.V.</v>
          </cell>
          <cell r="B407" t="str">
            <v>IAS910228DR7</v>
          </cell>
        </row>
        <row r="408">
          <cell r="A408" t="str">
            <v>Larson Technology, S.A. De C.V.</v>
          </cell>
          <cell r="B408" t="str">
            <v>LTE081024AW1</v>
          </cell>
        </row>
        <row r="409">
          <cell r="A409" t="str">
            <v>Oracle De México, S.A. De C.V.</v>
          </cell>
          <cell r="B409" t="str">
            <v>OME910101TA3</v>
          </cell>
        </row>
        <row r="410">
          <cell r="A410" t="str">
            <v>Tv Por Internet De Oaxaca, S.A. De C.V.</v>
          </cell>
          <cell r="B410" t="str">
            <v>TIO090407278</v>
          </cell>
        </row>
        <row r="411">
          <cell r="A411" t="str">
            <v>Universidad Iberoamericana, A.C.</v>
          </cell>
          <cell r="B411" t="str">
            <v>UIB540920IT3</v>
          </cell>
        </row>
        <row r="412">
          <cell r="A412" t="str">
            <v>Estrategas En Liderazgo Success Team, S. De R.L. De C.V.</v>
          </cell>
          <cell r="B412" t="str">
            <v>ELS141223V48</v>
          </cell>
        </row>
        <row r="413">
          <cell r="A413" t="str">
            <v>Vidac, S.A. De C.V.</v>
          </cell>
          <cell r="B413" t="str">
            <v>VID9902188A2</v>
          </cell>
        </row>
        <row r="414">
          <cell r="A414" t="str">
            <v>IAG En Color, S.A. De C.V.</v>
          </cell>
          <cell r="B414" t="str">
            <v>ICO060926BKA</v>
          </cell>
        </row>
        <row r="415">
          <cell r="A415" t="str">
            <v>Avetronic, S.A. De C.V.</v>
          </cell>
          <cell r="B415" t="str">
            <v>AVE850528ES9</v>
          </cell>
        </row>
        <row r="416">
          <cell r="A416" t="str">
            <v>Mitsubishi Electric De México, S.A. De C.V.</v>
          </cell>
          <cell r="B416" t="str">
            <v>MEM760401DJ7</v>
          </cell>
        </row>
        <row r="417">
          <cell r="A417" t="str">
            <v>Getronics (México), S. De R.L. De C.V.</v>
          </cell>
          <cell r="B417" t="str">
            <v>GME980427NP3</v>
          </cell>
        </row>
        <row r="418">
          <cell r="A418" t="str">
            <v>Englobar, S.A. De C.V.</v>
          </cell>
          <cell r="B418" t="str">
            <v>ENG050920SJ7</v>
          </cell>
        </row>
        <row r="419">
          <cell r="A419" t="str">
            <v>Galerías Muebles, S.A. De C.V.</v>
          </cell>
          <cell r="B419" t="str">
            <v>GMU050728Q86</v>
          </cell>
        </row>
        <row r="420">
          <cell r="A420" t="str">
            <v>Sffeera Producciones, S.A. De C.V.</v>
          </cell>
          <cell r="B420" t="str">
            <v>SPR070207L75</v>
          </cell>
        </row>
        <row r="421">
          <cell r="A421" t="str">
            <v>Amy Imagen Y Servicios, S.A. De C.V.</v>
          </cell>
          <cell r="B421" t="str">
            <v>AIY0808141N0</v>
          </cell>
        </row>
        <row r="422">
          <cell r="A422" t="str">
            <v>Comercializadora Promotodo, S.A. De C.V.</v>
          </cell>
          <cell r="B422" t="str">
            <v>CPR961125346</v>
          </cell>
        </row>
        <row r="423">
          <cell r="A423" t="str">
            <v>Ap Automatización Y Control Eléctrico, S.A. De C.V.</v>
          </cell>
          <cell r="B423" t="str">
            <v>AAC140310HK4</v>
          </cell>
        </row>
        <row r="424">
          <cell r="A424" t="str">
            <v>Telecomunicaciones Multidestino, S.A. De C.V.</v>
          </cell>
          <cell r="B424" t="str">
            <v>TMU9308161H5</v>
          </cell>
        </row>
        <row r="425">
          <cell r="A425" t="str">
            <v>Consorcio Grafico Magno, S.A. De C.V.</v>
          </cell>
          <cell r="B425" t="str">
            <v>CGM1412084F0</v>
          </cell>
        </row>
        <row r="426">
          <cell r="A426" t="str">
            <v>Electrónica, Ingeniería Y Comunicaciones, S.A. De C.V.</v>
          </cell>
          <cell r="B426" t="str">
            <v>EIC840213GT2</v>
          </cell>
        </row>
        <row r="427">
          <cell r="A427" t="str">
            <v>Graficos, Audio Y Video, S.A. De C.V.</v>
          </cell>
          <cell r="B427" t="str">
            <v>GAV000511827</v>
          </cell>
        </row>
        <row r="428">
          <cell r="A428" t="str">
            <v>Muebles Displan, S.A. De C.V.</v>
          </cell>
          <cell r="B428" t="str">
            <v>MDI970520QP8</v>
          </cell>
        </row>
        <row r="429">
          <cell r="A429" t="str">
            <v>Innocom Siglo XXI, S.A. De C.V.</v>
          </cell>
          <cell r="B429" t="str">
            <v>ISV090804CY6</v>
          </cell>
        </row>
        <row r="430">
          <cell r="A430" t="str">
            <v>Apostrofo, S.C.</v>
          </cell>
          <cell r="B430" t="str">
            <v>APO0703262F6</v>
          </cell>
        </row>
        <row r="431">
          <cell r="A431" t="str">
            <v>Ibarra Transformaciones Y Acabados Metálicos, S.A. De C.V.</v>
          </cell>
          <cell r="B431" t="str">
            <v>ITA110204Q52</v>
          </cell>
        </row>
        <row r="432">
          <cell r="A432" t="str">
            <v>COS Informática México, S. De R.L. De C.V.</v>
          </cell>
          <cell r="B432" t="str">
            <v>CIM091022RS5</v>
          </cell>
        </row>
        <row r="433">
          <cell r="A433" t="str">
            <v>TEC Electrónica, S.A. De C.V.</v>
          </cell>
          <cell r="B433" t="str">
            <v>TEL920701QXA</v>
          </cell>
        </row>
        <row r="434">
          <cell r="A434" t="str">
            <v>General Paint, S.A. De C.V.</v>
          </cell>
          <cell r="B434" t="str">
            <v>GPA000412PG4</v>
          </cell>
        </row>
        <row r="435">
          <cell r="A435" t="str">
            <v>Compulink Memory, S.A. De C.V.</v>
          </cell>
          <cell r="B435" t="str">
            <v>CME130626H13</v>
          </cell>
        </row>
        <row r="436">
          <cell r="A436" t="str">
            <v>Proyecto Día, S.A. De C.V.</v>
          </cell>
          <cell r="B436" t="str">
            <v>PDI9512142Q5</v>
          </cell>
        </row>
        <row r="437">
          <cell r="A437" t="str">
            <v>J.V. Construcción Y Proyecto, S.A. De C.V.</v>
          </cell>
          <cell r="B437" t="str">
            <v>JCP960502Q55</v>
          </cell>
        </row>
        <row r="438">
          <cell r="A438" t="str">
            <v>Suzuka Motos, S. De R.L. De C.V.</v>
          </cell>
          <cell r="B438" t="str">
            <v>SMO070514DS4</v>
          </cell>
        </row>
        <row r="439">
          <cell r="A439" t="str">
            <v>Industria 3, S.A. De C.V.</v>
          </cell>
          <cell r="B439" t="str">
            <v>ITR950926FU5</v>
          </cell>
        </row>
        <row r="440">
          <cell r="A440" t="str">
            <v>Late Construcciones, S.A. De C.V.</v>
          </cell>
          <cell r="B440" t="str">
            <v>LCO850607RX9</v>
          </cell>
        </row>
        <row r="441">
          <cell r="A441" t="str">
            <v>Microsoft Corporation</v>
          </cell>
          <cell r="B441">
            <v>911144442</v>
          </cell>
        </row>
        <row r="442">
          <cell r="A442" t="str">
            <v>Somboruco Films, S.A. De C.V.</v>
          </cell>
          <cell r="B442" t="str">
            <v>SFI140905PC6</v>
          </cell>
        </row>
        <row r="443">
          <cell r="A443" t="str">
            <v>Distribuidora Disom, S.A. De C.V.</v>
          </cell>
          <cell r="B443" t="str">
            <v>DDI150123PPA</v>
          </cell>
        </row>
        <row r="444">
          <cell r="A444" t="str">
            <v>Organización Papelera Del Centro, S.A. De C.V.</v>
          </cell>
          <cell r="B444" t="str">
            <v>OPC020131CP4</v>
          </cell>
        </row>
        <row r="445">
          <cell r="A445" t="str">
            <v>Grupo Proveedor Y Productor De Uniformes, S.A. De C.V.</v>
          </cell>
          <cell r="B445" t="str">
            <v>GPP0004034R8</v>
          </cell>
        </row>
        <row r="446">
          <cell r="A446" t="str">
            <v>Cenacce, S.C.</v>
          </cell>
          <cell r="B446" t="str">
            <v>CEN020207PF4</v>
          </cell>
        </row>
        <row r="447">
          <cell r="A447" t="str">
            <v>Soluciones Integrales Para Redes Y Sistemas De Cómputo, S.A. De C.V.</v>
          </cell>
          <cell r="B447" t="str">
            <v>SIR99022694A</v>
          </cell>
        </row>
        <row r="448">
          <cell r="A448" t="str">
            <v>Era Excelencia En Sillas Y Muebles Para Oficina, S.A. De C.V.</v>
          </cell>
          <cell r="B448" t="str">
            <v>EEE080312F65</v>
          </cell>
        </row>
        <row r="449">
          <cell r="A449" t="str">
            <v>Centro Industrial Ferretero, S.A. De C.V.</v>
          </cell>
          <cell r="B449" t="str">
            <v>CIF9204095U3</v>
          </cell>
        </row>
        <row r="450">
          <cell r="A450" t="str">
            <v>Equipos Y Climas De México, S.A. De C.V.</v>
          </cell>
          <cell r="B450" t="str">
            <v>ECM840330286</v>
          </cell>
        </row>
        <row r="451">
          <cell r="A451" t="str">
            <v>Compañía Extinguidores Latinos Mexicanos, S.A.</v>
          </cell>
          <cell r="B451" t="str">
            <v>ELM8001186BA</v>
          </cell>
        </row>
        <row r="452">
          <cell r="A452" t="str">
            <v>Promex Extintores, S.A. De C.V.</v>
          </cell>
          <cell r="B452" t="str">
            <v>PEX961112RA5</v>
          </cell>
        </row>
        <row r="453">
          <cell r="A453" t="str">
            <v>Fondo De Cultura Económica</v>
          </cell>
          <cell r="B453" t="str">
            <v>FCE940726U22</v>
          </cell>
        </row>
        <row r="454">
          <cell r="A454" t="str">
            <v>Qarta Sistemas, S.A. De C.V.</v>
          </cell>
          <cell r="B454" t="str">
            <v>QSI990312R52</v>
          </cell>
        </row>
        <row r="455">
          <cell r="A455" t="str">
            <v>Comercio Y Equipo, S.A. De C.V.</v>
          </cell>
          <cell r="B455" t="str">
            <v>CEQ030402790</v>
          </cell>
        </row>
        <row r="456">
          <cell r="A456" t="str">
            <v>Despacho Lozada Hermanos, S.C.</v>
          </cell>
          <cell r="B456" t="str">
            <v>DLH101202UJ5</v>
          </cell>
        </row>
        <row r="457">
          <cell r="A457" t="str">
            <v>Colectivo de Investigación, Desarrollo y Educación entre Mujeres, A.C.</v>
          </cell>
          <cell r="B457" t="str">
            <v>CID951006PG6</v>
          </cell>
        </row>
        <row r="458">
          <cell r="A458" t="str">
            <v>Servicio Integral En Computación, S.A. De C.V.</v>
          </cell>
          <cell r="B458" t="str">
            <v>SIC940816J2A</v>
          </cell>
        </row>
        <row r="459">
          <cell r="A459" t="str">
            <v>Siglo XXI Editores, S.A. De C.V.</v>
          </cell>
          <cell r="B459" t="str">
            <v>SVE8210018I5</v>
          </cell>
        </row>
        <row r="460">
          <cell r="A460" t="str">
            <v>Producciones De Proyecto Y Construcción Maya, S.A. De C.V.</v>
          </cell>
          <cell r="B460" t="str">
            <v>PCC020527TZ7</v>
          </cell>
        </row>
        <row r="461">
          <cell r="A461" t="str">
            <v>Autopolanco, S.A. De C.V.</v>
          </cell>
          <cell r="B461" t="str">
            <v>AUT980924GQ4</v>
          </cell>
        </row>
        <row r="462">
          <cell r="A462" t="str">
            <v>Sofam Motos, S.A. De C.V.</v>
          </cell>
          <cell r="B462" t="str">
            <v>SMO120213MA2</v>
          </cell>
        </row>
        <row r="463">
          <cell r="A463" t="str">
            <v>Connext Soluciones, S.A. De C.V.</v>
          </cell>
          <cell r="B463" t="str">
            <v>CSO070507GC6</v>
          </cell>
        </row>
        <row r="464">
          <cell r="A464" t="str">
            <v>Hoplites, S.A. De C.V.</v>
          </cell>
          <cell r="B464" t="str">
            <v>HOP150129SHA</v>
          </cell>
        </row>
        <row r="465">
          <cell r="A465" t="str">
            <v>Asesoría Supervisión Y Apoyo Técnico, S.C.</v>
          </cell>
          <cell r="B465" t="str">
            <v>ASA9906303S7</v>
          </cell>
        </row>
        <row r="466">
          <cell r="A466" t="str">
            <v>Cadgrafics, S.A. De C.V.</v>
          </cell>
          <cell r="B466" t="str">
            <v>CAD901017276</v>
          </cell>
        </row>
        <row r="467">
          <cell r="A467" t="str">
            <v>Hersol, S.A. De C.V.</v>
          </cell>
          <cell r="B467" t="str">
            <v>HER911219V94</v>
          </cell>
        </row>
        <row r="468">
          <cell r="A468" t="str">
            <v>Poliservicios, Tecnología E Ingeniería, S.A. De C.V.</v>
          </cell>
          <cell r="B468" t="str">
            <v>PTE1210296Y1</v>
          </cell>
        </row>
        <row r="469">
          <cell r="A469" t="str">
            <v>Comercializadora Internacional K'uun, S.A. de C.V.</v>
          </cell>
          <cell r="B469" t="str">
            <v>CIK110624EJ6</v>
          </cell>
        </row>
        <row r="470">
          <cell r="A470" t="str">
            <v>Enlace Corporativo Coa, S.A. De C.V.</v>
          </cell>
          <cell r="B470" t="str">
            <v>ECC091217RIA</v>
          </cell>
        </row>
        <row r="471">
          <cell r="A471" t="str">
            <v>The Anglo Mexican Foundation, A.C.</v>
          </cell>
          <cell r="B471" t="str">
            <v>AMF430610EK1</v>
          </cell>
        </row>
        <row r="472">
          <cell r="A472" t="str">
            <v>Promexar, S.A. De C.V.</v>
          </cell>
          <cell r="B472" t="str">
            <v>PRO0804072R0</v>
          </cell>
        </row>
        <row r="473">
          <cell r="A473" t="str">
            <v>Sistemas Digitales En Audio Y Video, S.A. De C.V.</v>
          </cell>
          <cell r="B473" t="str">
            <v>SDA881122NT7</v>
          </cell>
        </row>
        <row r="474">
          <cell r="A474" t="str">
            <v>Grupo Corporativo Eventos Viajes y Convenciones Grucevico FG, S.A. de C.V.</v>
          </cell>
          <cell r="B474" t="str">
            <v>GCE120822NY2</v>
          </cell>
        </row>
        <row r="475">
          <cell r="A475" t="str">
            <v>Un Logro Más, S.A. de C.V.</v>
          </cell>
          <cell r="B475" t="str">
            <v>ULM011128DC0</v>
          </cell>
        </row>
        <row r="476">
          <cell r="A476" t="str">
            <v>Trustnet De México, S.A. De C.V.</v>
          </cell>
          <cell r="B476" t="str">
            <v>TME001110NR9</v>
          </cell>
        </row>
        <row r="477">
          <cell r="A477" t="str">
            <v>Plattform Construcciones, S.A. De C.V.</v>
          </cell>
          <cell r="B477" t="str">
            <v>PCO100309P55</v>
          </cell>
        </row>
        <row r="478">
          <cell r="A478" t="str">
            <v>Ickrom, S.A. De C.V.</v>
          </cell>
          <cell r="B478" t="str">
            <v>ICK020218RI7</v>
          </cell>
        </row>
        <row r="479">
          <cell r="A479" t="str">
            <v>Asociación Necrológica Mexicana, S.A De C.V.</v>
          </cell>
          <cell r="B479" t="str">
            <v>ANM070827QL3</v>
          </cell>
        </row>
        <row r="480">
          <cell r="A480" t="str">
            <v>Alden Concesionaria Tacubaya, S.A. De C.V.</v>
          </cell>
          <cell r="B480" t="str">
            <v>ACT981214G77</v>
          </cell>
        </row>
        <row r="481">
          <cell r="A481" t="str">
            <v>Consultoría Integral Vilzel, S.A. De C.V.</v>
          </cell>
          <cell r="B481" t="str">
            <v>CIV150128AF9</v>
          </cell>
        </row>
        <row r="482">
          <cell r="A482" t="str">
            <v>Fuji Automotriz, S.A. De C.V.</v>
          </cell>
          <cell r="B482" t="str">
            <v>FAU810615SI8</v>
          </cell>
        </row>
        <row r="483">
          <cell r="A483" t="str">
            <v>Fibercom, S.A. De C.V.</v>
          </cell>
          <cell r="B483" t="str">
            <v>FIB0303042Z6</v>
          </cell>
        </row>
        <row r="484">
          <cell r="A484" t="str">
            <v>Taller Espiral, S.C.</v>
          </cell>
          <cell r="B484" t="str">
            <v>TES1006178P2</v>
          </cell>
        </row>
        <row r="485">
          <cell r="A485" t="str">
            <v>Automotores De México, S.A. De C.V.</v>
          </cell>
          <cell r="B485" t="str">
            <v>AME6907306R3</v>
          </cell>
        </row>
        <row r="486">
          <cell r="A486" t="str">
            <v>Cicovisa, S.A. De C.V.</v>
          </cell>
          <cell r="B486" t="str">
            <v>CIC8308165A4</v>
          </cell>
        </row>
        <row r="487">
          <cell r="A487" t="str">
            <v>Ferrer Consulting Group, S.C.</v>
          </cell>
          <cell r="B487" t="str">
            <v>FCG150213178</v>
          </cell>
        </row>
        <row r="488">
          <cell r="A488" t="str">
            <v>Dicabriolet, S.A. De C.V.</v>
          </cell>
          <cell r="B488" t="str">
            <v>DIC990527GN6</v>
          </cell>
        </row>
        <row r="489">
          <cell r="A489" t="str">
            <v>CHS Zaragoza Motors, S.A. De C.V.</v>
          </cell>
          <cell r="B489" t="str">
            <v>CZM970425J66</v>
          </cell>
        </row>
        <row r="490">
          <cell r="A490" t="str">
            <v>Proveedora Din, S.A. De C.V.</v>
          </cell>
          <cell r="B490" t="str">
            <v>PDI120118UF2</v>
          </cell>
        </row>
        <row r="491">
          <cell r="A491" t="str">
            <v>Gastronomía Preferente, S.A. De C.V.</v>
          </cell>
          <cell r="B491" t="str">
            <v>GPR130214BD0</v>
          </cell>
        </row>
        <row r="492">
          <cell r="A492" t="str">
            <v>Pineda Covalin, S.A. De C.V.</v>
          </cell>
          <cell r="B492" t="str">
            <v>PCO960904ST8</v>
          </cell>
        </row>
        <row r="493">
          <cell r="A493" t="str">
            <v>Centro Automotriz Coyoacán, S.A. De C.V.</v>
          </cell>
          <cell r="B493" t="str">
            <v>CAC920120RS1</v>
          </cell>
        </row>
        <row r="494">
          <cell r="A494" t="str">
            <v>Alos Mantenimiento Integral, S.A. de C.V.</v>
          </cell>
          <cell r="B494" t="str">
            <v>AMI0512018U5</v>
          </cell>
        </row>
        <row r="495">
          <cell r="A495" t="str">
            <v>Aerovías De México, S.A. De C.V.</v>
          </cell>
          <cell r="B495" t="str">
            <v>AME880912I89</v>
          </cell>
        </row>
        <row r="496">
          <cell r="A496" t="str">
            <v>Fondo Nacional Para El Fomento De Las Artesanías</v>
          </cell>
          <cell r="B496" t="str">
            <v>FNF740528TQ0</v>
          </cell>
        </row>
        <row r="497">
          <cell r="A497" t="str">
            <v>Advanced Research &amp; Technology, S.A. De C.V.</v>
          </cell>
          <cell r="B497" t="str">
            <v>AR&amp;020424235</v>
          </cell>
        </row>
        <row r="498">
          <cell r="A498" t="str">
            <v>Full Services Supplier, S.A. De C.V.</v>
          </cell>
          <cell r="B498" t="str">
            <v>FSS140801745</v>
          </cell>
        </row>
        <row r="499">
          <cell r="A499" t="str">
            <v>Estrategia Y Comercio Internacional Dm, S.A. De C.V.</v>
          </cell>
          <cell r="B499" t="str">
            <v>ECI081010D53</v>
          </cell>
        </row>
        <row r="500">
          <cell r="A500" t="str">
            <v>Comercializadora Escorpiogem, S.A. De C.V.</v>
          </cell>
          <cell r="B500" t="str">
            <v>CES130820KG2</v>
          </cell>
        </row>
        <row r="501">
          <cell r="A501" t="str">
            <v>Coffee Food And Service, S.A. De C.V.</v>
          </cell>
          <cell r="B501" t="str">
            <v>CFS950907SY1</v>
          </cell>
        </row>
        <row r="502">
          <cell r="A502" t="str">
            <v>Insys, S.A. De C.V.</v>
          </cell>
          <cell r="B502" t="str">
            <v>INS940106UW9</v>
          </cell>
        </row>
        <row r="503">
          <cell r="A503" t="str">
            <v>At&amp;T Comercialización Móvil, S. De R.L. De C.V.</v>
          </cell>
          <cell r="B503" t="str">
            <v>IUS890616RH6</v>
          </cell>
        </row>
        <row r="504">
          <cell r="A504" t="str">
            <v>Puertas Automáticas De Veracruz, S.A. De C.V.</v>
          </cell>
          <cell r="B504" t="str">
            <v>PAV940921S3A</v>
          </cell>
        </row>
        <row r="505">
          <cell r="A505" t="str">
            <v>Intraproc De México, S.A. De C.V.</v>
          </cell>
          <cell r="B505" t="str">
            <v>IME9402147C6</v>
          </cell>
        </row>
        <row r="506">
          <cell r="A506" t="str">
            <v>Consultoría Y Aplicaciones Avanzadas De ECM, S.A. De C.V.</v>
          </cell>
          <cell r="B506" t="str">
            <v>CAA050126TH6</v>
          </cell>
        </row>
        <row r="507">
          <cell r="A507" t="str">
            <v>Adgi Design, S.A. De C.V.</v>
          </cell>
          <cell r="B507" t="str">
            <v>ADE050405558</v>
          </cell>
        </row>
        <row r="508">
          <cell r="A508" t="str">
            <v>Grafiscanner, S.A. De C.V.</v>
          </cell>
          <cell r="B508" t="str">
            <v>GRA940407RNA</v>
          </cell>
        </row>
        <row r="509">
          <cell r="A509" t="str">
            <v>Corporación Técnica Ambiental, S.A. De C.V.</v>
          </cell>
          <cell r="B509" t="str">
            <v>CTA8504269W2</v>
          </cell>
        </row>
        <row r="510">
          <cell r="A510" t="str">
            <v>Grupo Mexicano De Seguros, S.A. De C.V.</v>
          </cell>
          <cell r="B510" t="str">
            <v>GMS971110BTA</v>
          </cell>
        </row>
        <row r="511">
          <cell r="A511" t="str">
            <v>Harpercollins México, S.A. De C.V.</v>
          </cell>
          <cell r="B511" t="str">
            <v>TNM110621870</v>
          </cell>
        </row>
        <row r="512">
          <cell r="A512" t="str">
            <v>Viajes Helvetia, S.A. De C.V.</v>
          </cell>
          <cell r="B512" t="str">
            <v>VHE860804S78</v>
          </cell>
        </row>
        <row r="513">
          <cell r="A513" t="str">
            <v>Crifasa, S.A. De C.V.</v>
          </cell>
          <cell r="B513" t="str">
            <v>CRI1001251M5</v>
          </cell>
        </row>
        <row r="514">
          <cell r="A514" t="str">
            <v>Roost Control De Plagas Y Servicios, S.A. De C.V.</v>
          </cell>
          <cell r="B514" t="str">
            <v>RCP040119SP3</v>
          </cell>
        </row>
        <row r="515">
          <cell r="A515" t="str">
            <v>Comercializadora Leonedy, S.A. De C.V.</v>
          </cell>
          <cell r="B515" t="str">
            <v>CLE130820HS3</v>
          </cell>
        </row>
        <row r="516">
          <cell r="A516" t="str">
            <v>Imagen De Inmuebles, S.A. De C.V.</v>
          </cell>
          <cell r="B516" t="str">
            <v>IIN011018BE8</v>
          </cell>
        </row>
        <row r="517">
          <cell r="A517" t="str">
            <v>Viajes Alpandeire, S.A. De C.V.</v>
          </cell>
          <cell r="B517" t="str">
            <v>VAL8601103X4</v>
          </cell>
        </row>
        <row r="518">
          <cell r="A518" t="str">
            <v>Ormen World Wide, S.A. De C.V.</v>
          </cell>
          <cell r="B518" t="str">
            <v>OWW0709124J3</v>
          </cell>
        </row>
        <row r="519">
          <cell r="A519" t="str">
            <v>Comercial De Impresos San Jorge, S.A. De C.V.</v>
          </cell>
          <cell r="B519" t="str">
            <v>CIS880620DI5</v>
          </cell>
        </row>
        <row r="520">
          <cell r="A520" t="str">
            <v>Valet Parking Bps, S. De R.L. De C.V.</v>
          </cell>
          <cell r="B520" t="str">
            <v>VPB090903LP4</v>
          </cell>
        </row>
        <row r="521">
          <cell r="A521" t="str">
            <v>Distribuidora Santiago, S.A. De C.V.</v>
          </cell>
          <cell r="B521" t="str">
            <v>DSA770718UT1</v>
          </cell>
        </row>
        <row r="522">
          <cell r="A522" t="str">
            <v>Connection Commerce &amp; Logistics, S.A. De C.V.</v>
          </cell>
          <cell r="B522" t="str">
            <v>CCA080820A46</v>
          </cell>
        </row>
        <row r="523">
          <cell r="A523" t="str">
            <v>Comercializadora En Soluciones Integrales Logicommerce, S.A. De C.V.</v>
          </cell>
          <cell r="B523" t="str">
            <v>CSI080130HQ6</v>
          </cell>
        </row>
        <row r="524">
          <cell r="A524" t="str">
            <v>Pitney Bowes De México, S.A. De C.V.</v>
          </cell>
          <cell r="B524" t="str">
            <v>PBM940819HT5</v>
          </cell>
        </row>
        <row r="525">
          <cell r="A525" t="str">
            <v>Ipark, S.A. De C.V.</v>
          </cell>
          <cell r="B525" t="str">
            <v>IPA140327555</v>
          </cell>
        </row>
        <row r="526">
          <cell r="A526" t="str">
            <v>Arthuman Direccionando Talentos, S.C.</v>
          </cell>
          <cell r="B526" t="str">
            <v>ADT090910A99</v>
          </cell>
        </row>
        <row r="527">
          <cell r="A527" t="str">
            <v>Colegio De Medicina Interna De México, A.C.</v>
          </cell>
          <cell r="B527" t="str">
            <v>CMI831205NH2</v>
          </cell>
        </row>
        <row r="528">
          <cell r="A528" t="str">
            <v>Medingenium, S.A. De C.V.</v>
          </cell>
          <cell r="B528" t="str">
            <v>MED090630739</v>
          </cell>
        </row>
        <row r="529">
          <cell r="A529" t="str">
            <v>It Sys, S.A. De C.V.</v>
          </cell>
          <cell r="B529" t="str">
            <v>ISY150408A49</v>
          </cell>
        </row>
        <row r="530">
          <cell r="A530" t="str">
            <v>Reino Educativo, S.A. De C.V.</v>
          </cell>
          <cell r="B530" t="str">
            <v>RED150319QW8</v>
          </cell>
        </row>
        <row r="531">
          <cell r="A531" t="str">
            <v>Arquetipo En Sistemas, S.A. De C.V.</v>
          </cell>
          <cell r="B531" t="str">
            <v>ASS940519BP6</v>
          </cell>
        </row>
        <row r="532">
          <cell r="A532" t="str">
            <v>Iesatel, S.A. De C.V.</v>
          </cell>
          <cell r="B532" t="str">
            <v>IES000412IQ1</v>
          </cell>
        </row>
        <row r="533">
          <cell r="A533" t="str">
            <v>Caudae, S.C.</v>
          </cell>
          <cell r="B533" t="str">
            <v>CAU141201FH0</v>
          </cell>
        </row>
        <row r="534">
          <cell r="A534" t="str">
            <v>Paupack, S.A. De C.V.</v>
          </cell>
          <cell r="B534" t="str">
            <v>PAU101224UC2</v>
          </cell>
        </row>
        <row r="535">
          <cell r="A535" t="str">
            <v>Promotora Audiovisual MZ, S.A. De C.V.</v>
          </cell>
          <cell r="B535" t="str">
            <v>PAM1105133L5</v>
          </cell>
        </row>
        <row r="536">
          <cell r="A536" t="str">
            <v>Tares Taller De Arquitectura Y Restauración, S.A. De C.V.</v>
          </cell>
          <cell r="B536" t="str">
            <v>TTA091015833</v>
          </cell>
        </row>
        <row r="537">
          <cell r="A537" t="str">
            <v>Tecnología Integral Ronu, S.A. De C.V.</v>
          </cell>
          <cell r="B537" t="str">
            <v>TIR140207ED6</v>
          </cell>
        </row>
        <row r="538">
          <cell r="A538" t="str">
            <v>Consorcio De Seguridad Privada Herrejón Y Ramírez, S.A. De C.V.</v>
          </cell>
          <cell r="B538" t="str">
            <v>CSP1504286J0</v>
          </cell>
        </row>
        <row r="539">
          <cell r="A539" t="str">
            <v>Brüdecom, S.A. De C.V.</v>
          </cell>
          <cell r="B539" t="str">
            <v>BRU150911FD5</v>
          </cell>
        </row>
        <row r="540">
          <cell r="A540" t="str">
            <v>Hidrotecnología Aplicada, S.A. De C.V.</v>
          </cell>
          <cell r="B540" t="str">
            <v>HAP060619JB</v>
          </cell>
        </row>
        <row r="541">
          <cell r="A541" t="str">
            <v>Hg Consultores, S.C.</v>
          </cell>
          <cell r="B541" t="str">
            <v>HCO040413ND8</v>
          </cell>
        </row>
        <row r="542">
          <cell r="A542" t="str">
            <v>Hs Soluciones Y Sistemas Integrales, S.A. De C.V.</v>
          </cell>
          <cell r="B542" t="str">
            <v>HSS040928EP2</v>
          </cell>
        </row>
        <row r="543">
          <cell r="A543" t="str">
            <v>Tradeleco México, S. De R. L. De C. V.</v>
          </cell>
          <cell r="B543" t="str">
            <v>TME140204GP5</v>
          </cell>
        </row>
        <row r="544">
          <cell r="A544" t="str">
            <v>Software Blancco, S.A. De C.V.</v>
          </cell>
          <cell r="B544" t="str">
            <v>SBL1008258T0</v>
          </cell>
        </row>
        <row r="545">
          <cell r="A545" t="str">
            <v>Galaz, Yamazaki, Ruiz Urquiza, S.C.</v>
          </cell>
          <cell r="B545" t="str">
            <v>GYR880101TL1</v>
          </cell>
        </row>
        <row r="546">
          <cell r="A546" t="str">
            <v>Asociación para Leer, Escuchar, Escribir y Recrear, A.C.</v>
          </cell>
          <cell r="B546" t="str">
            <v>ALE831107FQ8</v>
          </cell>
        </row>
        <row r="547">
          <cell r="A547" t="str">
            <v>AT&amp;T Comunicaciones Digitales, S. De R. L. De C. V.</v>
          </cell>
          <cell r="B547" t="str">
            <v>CNM980114PI2</v>
          </cell>
        </row>
        <row r="548">
          <cell r="A548" t="str">
            <v>Bereshiit Sherpa, S. De R.L. De C.V.</v>
          </cell>
          <cell r="B548" t="str">
            <v>BSH1506265B7</v>
          </cell>
        </row>
        <row r="549">
          <cell r="A549" t="str">
            <v>As Enterprises Integración De Soluciones, S.A. De C.V.</v>
          </cell>
          <cell r="B549" t="str">
            <v>AEI120709A34</v>
          </cell>
        </row>
        <row r="550">
          <cell r="A550" t="str">
            <v>Profesionales En Manejo De Datos, S.A. De C.V.</v>
          </cell>
          <cell r="B550" t="str">
            <v>PMD030717KGA</v>
          </cell>
        </row>
        <row r="551">
          <cell r="A551" t="str">
            <v>Marca De Agua Ediciones, S. De R.L. De C.V.</v>
          </cell>
          <cell r="B551" t="str">
            <v>MAE0002218A2</v>
          </cell>
        </row>
        <row r="552">
          <cell r="A552" t="str">
            <v>Ebcomm, S.A.P.I. De C.V.</v>
          </cell>
          <cell r="B552" t="str">
            <v>EBC060331DGA</v>
          </cell>
        </row>
        <row r="553">
          <cell r="A553" t="str">
            <v>Aplicaciones Y Organización Tecnológica En Administración, S.A. De C.V.</v>
          </cell>
          <cell r="B553" t="str">
            <v>AOT011031GQ8</v>
          </cell>
        </row>
        <row r="554">
          <cell r="A554" t="str">
            <v>Creativa Impresores SA de CV</v>
          </cell>
          <cell r="B554" t="str">
            <v>CIM020423GQ3</v>
          </cell>
        </row>
        <row r="555">
          <cell r="A555" t="str">
            <v>Ediciones Andrade SA de CV</v>
          </cell>
          <cell r="B555" t="str">
            <v>EAN601108TN8</v>
          </cell>
        </row>
        <row r="556">
          <cell r="A556" t="str">
            <v>Comercializadora Fire One, S.A. de C.V.</v>
          </cell>
          <cell r="B556" t="str">
            <v>CFO070403LC2</v>
          </cell>
        </row>
        <row r="557">
          <cell r="A557" t="str">
            <v>Idt en Sistemas De Información SA de CV</v>
          </cell>
          <cell r="B557" t="str">
            <v>ISI021115AFA</v>
          </cell>
        </row>
        <row r="558">
          <cell r="A558" t="str">
            <v>Berzerk, S.A. de C.V.</v>
          </cell>
          <cell r="B558" t="str">
            <v>BER130520RR5</v>
          </cell>
        </row>
        <row r="559">
          <cell r="A559" t="str">
            <v>Compañia Operadora De Estacionamientos Mexicanos SA de CV</v>
          </cell>
          <cell r="B559" t="str">
            <v>OEM920612B67</v>
          </cell>
        </row>
        <row r="560">
          <cell r="A560" t="str">
            <v>Iqsec SA de CV</v>
          </cell>
          <cell r="B560" t="str">
            <v>IQS0708233C9</v>
          </cell>
        </row>
        <row r="561">
          <cell r="A561" t="str">
            <v>Blue Ocean Technologies SA de CV</v>
          </cell>
          <cell r="B561" t="str">
            <v>BOT080828ADA</v>
          </cell>
        </row>
        <row r="562">
          <cell r="A562" t="str">
            <v>Interior Uno SA de CV</v>
          </cell>
          <cell r="B562" t="str">
            <v>IUN101124PV5</v>
          </cell>
        </row>
        <row r="563">
          <cell r="A563" t="str">
            <v>Elevadores Schindler SA de CV</v>
          </cell>
          <cell r="B563" t="str">
            <v>ESC8911081Q8</v>
          </cell>
        </row>
        <row r="564">
          <cell r="A564" t="str">
            <v>El Tibet Arrendadora SA de CV</v>
          </cell>
          <cell r="B564" t="str">
            <v>TAR000428LW4</v>
          </cell>
        </row>
        <row r="565">
          <cell r="A565" t="str">
            <v>Diseño Ingeniería y Manufacturas SA de CV</v>
          </cell>
          <cell r="B565" t="str">
            <v>DIM911022PPA</v>
          </cell>
        </row>
        <row r="566">
          <cell r="A566" t="str">
            <v>Bimsa Reports SA de CV</v>
          </cell>
          <cell r="B566" t="str">
            <v>BRE9705228S3</v>
          </cell>
        </row>
        <row r="567">
          <cell r="A567" t="str">
            <v>Deipi.Com, S.A. de C.V.</v>
          </cell>
          <cell r="B567" t="str">
            <v>DCO061214FF6</v>
          </cell>
        </row>
        <row r="568">
          <cell r="A568" t="str">
            <v>Jng &amp; Company SA de CV</v>
          </cell>
          <cell r="B568" t="str">
            <v>JNG1311112R0</v>
          </cell>
        </row>
        <row r="569">
          <cell r="A569" t="str">
            <v>The Os Del Sureste SA de CV</v>
          </cell>
          <cell r="B569" t="str">
            <v>OSU990909393</v>
          </cell>
        </row>
        <row r="570">
          <cell r="A570" t="str">
            <v>Servicios Tecnología y Organización SA de CV</v>
          </cell>
          <cell r="B570" t="str">
            <v>STO020301G28</v>
          </cell>
        </row>
        <row r="571">
          <cell r="A571" t="str">
            <v>Sistemas y Servicios de Alta Tecnología, S.A. de C.V.</v>
          </cell>
          <cell r="B571" t="str">
            <v>SSA010402FA0</v>
          </cell>
        </row>
        <row r="572">
          <cell r="A572" t="str">
            <v>Periódico La Extra SA de CV</v>
          </cell>
          <cell r="B572" t="str">
            <v>PEX860211TE5</v>
          </cell>
        </row>
        <row r="573">
          <cell r="A573" t="str">
            <v>Estafeta Mexicana SA de CV</v>
          </cell>
          <cell r="B573" t="str">
            <v>EME880309SK5</v>
          </cell>
        </row>
        <row r="574">
          <cell r="A574" t="str">
            <v>Miani Tecnologías SA de CV</v>
          </cell>
          <cell r="B574" t="str">
            <v>MTE091112I16</v>
          </cell>
        </row>
        <row r="575">
          <cell r="A575" t="str">
            <v>Servicios Integrales de Valoración, S. de R.L. de C.V.</v>
          </cell>
          <cell r="B575" t="str">
            <v>SIV141017541</v>
          </cell>
        </row>
        <row r="576">
          <cell r="A576" t="str">
            <v>Fecare SA de CV</v>
          </cell>
          <cell r="B576" t="str">
            <v>FEC011213D13</v>
          </cell>
        </row>
        <row r="577">
          <cell r="A577" t="str">
            <v>Eurobakery De México SA de CV</v>
          </cell>
          <cell r="B577" t="str">
            <v>EME110812L56</v>
          </cell>
        </row>
        <row r="578">
          <cell r="A578" t="str">
            <v>Servicios Troncalizados, S.A. de C.V.</v>
          </cell>
          <cell r="B578" t="str">
            <v>STR900622ES9</v>
          </cell>
        </row>
        <row r="579">
          <cell r="A579" t="str">
            <v>Lavisat Limpieza SA de CV</v>
          </cell>
          <cell r="B579" t="str">
            <v>LLI090220SUA</v>
          </cell>
        </row>
        <row r="580">
          <cell r="A580" t="str">
            <v>Corporativo Contraste SA de CV</v>
          </cell>
          <cell r="B580" t="str">
            <v>CCO9902231N0</v>
          </cell>
        </row>
        <row r="581">
          <cell r="A581" t="str">
            <v>Lingo Systems SA de CV</v>
          </cell>
          <cell r="B581" t="str">
            <v>LSy010601355</v>
          </cell>
        </row>
        <row r="582">
          <cell r="A582" t="str">
            <v>Diseño Integral Alze SA de CV</v>
          </cell>
          <cell r="B582" t="str">
            <v>DIA100928DD6</v>
          </cell>
        </row>
        <row r="583">
          <cell r="A583" t="str">
            <v>Madasi SA de CV</v>
          </cell>
          <cell r="B583" t="str">
            <v>MAD100430HN3</v>
          </cell>
        </row>
        <row r="584">
          <cell r="A584" t="str">
            <v>Music And Images SA de CV</v>
          </cell>
          <cell r="B584" t="str">
            <v>MIM931206MV0</v>
          </cell>
        </row>
        <row r="585">
          <cell r="A585" t="str">
            <v>Proyectos Recuperaciones E Inspecciones De México SA de CV</v>
          </cell>
          <cell r="B585" t="str">
            <v>PRI150721256</v>
          </cell>
        </row>
        <row r="586">
          <cell r="A586" t="str">
            <v>Ncubo Capital SAPI De CV</v>
          </cell>
          <cell r="B586" t="str">
            <v>NCA130123NM3</v>
          </cell>
        </row>
        <row r="587">
          <cell r="A587" t="str">
            <v>Medam S de RL de CV</v>
          </cell>
          <cell r="B587" t="str">
            <v>MED9705163K2</v>
          </cell>
        </row>
        <row r="588">
          <cell r="A588" t="str">
            <v>Abba Tech SA de CV</v>
          </cell>
          <cell r="B588" t="str">
            <v>ATE0409276R7</v>
          </cell>
        </row>
        <row r="589">
          <cell r="A589" t="str">
            <v>Gp Construcciones Consultoría y Supervisión SA de CV</v>
          </cell>
          <cell r="B589" t="str">
            <v>GPC9109028V2</v>
          </cell>
        </row>
        <row r="590">
          <cell r="A590" t="str">
            <v>Estrategia y Eventos Exclusivos SA de CV</v>
          </cell>
          <cell r="B590" t="str">
            <v>EEE130423P43</v>
          </cell>
        </row>
        <row r="591">
          <cell r="A591" t="str">
            <v>Giramsa SA de CV</v>
          </cell>
          <cell r="B591" t="str">
            <v>GIR050713QW0</v>
          </cell>
        </row>
        <row r="592">
          <cell r="A592" t="str">
            <v>Soluciones Inteligentes Solin SA de CV</v>
          </cell>
          <cell r="B592" t="str">
            <v>SIS1211079J4</v>
          </cell>
        </row>
        <row r="593">
          <cell r="A593" t="str">
            <v>Coordinadora y Desarrolladora P&amp;O SA de CV</v>
          </cell>
          <cell r="B593" t="str">
            <v>CDP110819QW6</v>
          </cell>
        </row>
        <row r="594">
          <cell r="A594" t="str">
            <v>Prestigio En Moda SA de CV</v>
          </cell>
          <cell r="B594" t="str">
            <v>PMO841026HC2</v>
          </cell>
        </row>
        <row r="595">
          <cell r="A595" t="str">
            <v>Industrias Jafher SA de CV</v>
          </cell>
          <cell r="B595" t="str">
            <v>IJA790503F39</v>
          </cell>
        </row>
        <row r="596">
          <cell r="A596" t="str">
            <v>Asociación de Televisiones Educativas y Culturales Iberoamericana</v>
          </cell>
          <cell r="B596" t="str">
            <v>G80455140</v>
          </cell>
        </row>
        <row r="597">
          <cell r="A597" t="str">
            <v>Sperto Digital SA de CV</v>
          </cell>
          <cell r="B597" t="str">
            <v>SDI120926K49</v>
          </cell>
        </row>
        <row r="598">
          <cell r="A598" t="str">
            <v>Guillermo De La Barrera SA de CV</v>
          </cell>
          <cell r="B598" t="str">
            <v>GBA840214BQ4</v>
          </cell>
        </row>
        <row r="599">
          <cell r="A599" t="str">
            <v>Csi Tactical And Balistic SA de CV</v>
          </cell>
          <cell r="B599" t="str">
            <v>CTB130716MAA</v>
          </cell>
        </row>
        <row r="600">
          <cell r="A600" t="str">
            <v>Compu Global Solutions SA de CV</v>
          </cell>
          <cell r="B600" t="str">
            <v>CGS140505Py1</v>
          </cell>
        </row>
        <row r="601">
          <cell r="A601" t="str">
            <v>Soft Computing México SA de CV</v>
          </cell>
          <cell r="B601" t="str">
            <v>SCM151211UA4</v>
          </cell>
        </row>
        <row r="602">
          <cell r="A602" t="str">
            <v>Combat Medic International SA de CV</v>
          </cell>
          <cell r="B602" t="str">
            <v>CMI1305152C1</v>
          </cell>
        </row>
        <row r="603">
          <cell r="A603" t="str">
            <v>El Tentero SC</v>
          </cell>
          <cell r="B603" t="str">
            <v>TEN130830NE1</v>
          </cell>
        </row>
        <row r="604">
          <cell r="A604" t="str">
            <v>Proveedora Internacional De Servicios Intitucionales SA de CV</v>
          </cell>
          <cell r="B604" t="str">
            <v>PIS130508AA4</v>
          </cell>
        </row>
        <row r="605">
          <cell r="A605" t="str">
            <v>Soluciones Integrales En Conscptos SC</v>
          </cell>
          <cell r="B605" t="str">
            <v>SIC150610170</v>
          </cell>
        </row>
        <row r="606">
          <cell r="A606" t="str">
            <v>Abastecedora Aragónesa SA de CV</v>
          </cell>
          <cell r="B606" t="str">
            <v>AAR060308TT4</v>
          </cell>
        </row>
        <row r="607">
          <cell r="A607" t="str">
            <v>Soestra SA de CV</v>
          </cell>
          <cell r="B607" t="str">
            <v>SOE1505187P8</v>
          </cell>
        </row>
        <row r="608">
          <cell r="A608" t="str">
            <v>Computer Land De Occidente SA de CV</v>
          </cell>
          <cell r="B608" t="str">
            <v>CLO980520AR3</v>
          </cell>
        </row>
        <row r="609">
          <cell r="A609" t="str">
            <v>Grupo Mexicano Aristo De Soluciones Estrategicas SA de CV</v>
          </cell>
          <cell r="B609" t="str">
            <v>GMA1109016A5</v>
          </cell>
        </row>
        <row r="610">
          <cell r="A610" t="str">
            <v>Acerta Computacion Aplicada SA de CV</v>
          </cell>
          <cell r="B610" t="str">
            <v>ACA920521LG9</v>
          </cell>
        </row>
        <row r="611">
          <cell r="A611" t="str">
            <v>Quadrax SA de CV</v>
          </cell>
          <cell r="B611" t="str">
            <v>QUA901030322</v>
          </cell>
        </row>
        <row r="612">
          <cell r="A612" t="str">
            <v>Toldos y Cubiertas A Tensión SA de CV</v>
          </cell>
          <cell r="B612" t="str">
            <v>TCT0207232I2</v>
          </cell>
        </row>
        <row r="613">
          <cell r="A613" t="str">
            <v>Grupo Lasbus SA de CV</v>
          </cell>
          <cell r="B613" t="str">
            <v>GLA020702NJ0</v>
          </cell>
        </row>
        <row r="614">
          <cell r="A614" t="str">
            <v>Modernización y Desarrollo Empresarial SC</v>
          </cell>
          <cell r="B614" t="str">
            <v>MDE030220K42</v>
          </cell>
        </row>
        <row r="615">
          <cell r="A615" t="str">
            <v>Momentum Media Design SA de CV</v>
          </cell>
          <cell r="B615" t="str">
            <v>MMD020722RQ0</v>
          </cell>
        </row>
        <row r="616">
          <cell r="A616" t="str">
            <v>Indigo Proambiental SAPI De CV</v>
          </cell>
          <cell r="B616" t="str">
            <v>IPR140521FA6</v>
          </cell>
        </row>
        <row r="617">
          <cell r="A617" t="str">
            <v>Espacio Consultores SC</v>
          </cell>
          <cell r="B617" t="str">
            <v>ECO870602JA7</v>
          </cell>
        </row>
        <row r="618">
          <cell r="A618" t="str">
            <v>Bpm4 Travel SC</v>
          </cell>
          <cell r="B618" t="str">
            <v>BCT090914HJ6</v>
          </cell>
        </row>
        <row r="619">
          <cell r="A619" t="str">
            <v>Grupo Corporativo Latis S de RL de CV</v>
          </cell>
          <cell r="B619" t="str">
            <v>GCL130714612</v>
          </cell>
        </row>
        <row r="620">
          <cell r="A620" t="str">
            <v>Calzada Construcciones SA de CV</v>
          </cell>
          <cell r="B620" t="str">
            <v>CCO980814BU4</v>
          </cell>
        </row>
        <row r="621">
          <cell r="A621" t="str">
            <v>Pargroup Consultoría, S.C.</v>
          </cell>
          <cell r="B621" t="str">
            <v>PCO050105FT7</v>
          </cell>
        </row>
        <row r="622">
          <cell r="A622" t="str">
            <v>Operadora De Tiendas Voluntarias SA de CV</v>
          </cell>
          <cell r="B622" t="str">
            <v>OTV801119HU2</v>
          </cell>
        </row>
        <row r="623">
          <cell r="A623" t="str">
            <v>Ella Marketing SA de CV</v>
          </cell>
          <cell r="B623" t="str">
            <v>EMA1507214N1</v>
          </cell>
        </row>
        <row r="624">
          <cell r="A624" t="str">
            <v>Pacal Armoring SA de CV</v>
          </cell>
          <cell r="B624" t="str">
            <v>PAR071005CV9</v>
          </cell>
        </row>
        <row r="625">
          <cell r="A625" t="str">
            <v>Soluciones Integrales Para Bibliotecas y Archivos SA de CV</v>
          </cell>
          <cell r="B625" t="str">
            <v>SIB050603RK4</v>
          </cell>
        </row>
        <row r="626">
          <cell r="A626" t="str">
            <v>Fermetex SA de CV</v>
          </cell>
          <cell r="B626" t="str">
            <v>FER131217NU9</v>
          </cell>
        </row>
        <row r="627">
          <cell r="A627" t="str">
            <v>Aiam Arquitectura Ingeniería y Arte En Movimiento SA de CV</v>
          </cell>
          <cell r="B627" t="str">
            <v>AAI150713169</v>
          </cell>
        </row>
        <row r="628">
          <cell r="A628" t="str">
            <v>La Red De Radiodifusoras y Televisoras Educativas y Culturales de México, A.C.</v>
          </cell>
          <cell r="B628" t="str">
            <v>RRT0511075U1</v>
          </cell>
        </row>
        <row r="629">
          <cell r="A629" t="str">
            <v>Solecsus SA de CV</v>
          </cell>
          <cell r="B629" t="str">
            <v>SOL1303057K6</v>
          </cell>
        </row>
        <row r="630">
          <cell r="A630" t="str">
            <v>Keep Value SA de CV</v>
          </cell>
          <cell r="B630" t="str">
            <v>KVA1206218G5</v>
          </cell>
        </row>
        <row r="631">
          <cell r="A631" t="str">
            <v>Tqv Mx SA de CV</v>
          </cell>
          <cell r="B631" t="str">
            <v>CCA120828H27</v>
          </cell>
        </row>
        <row r="632">
          <cell r="A632" t="str">
            <v>Génesis &amp; Éxodo SA de CV</v>
          </cell>
          <cell r="B632" t="str">
            <v>G&amp;E0408204M9</v>
          </cell>
        </row>
        <row r="633">
          <cell r="A633" t="str">
            <v>Ldb Fomento Comercial De México SA de CV</v>
          </cell>
          <cell r="B633" t="str">
            <v>LFC140408GN1</v>
          </cell>
        </row>
        <row r="634">
          <cell r="A634" t="str">
            <v>Operación Móvil SA de CV</v>
          </cell>
          <cell r="B634" t="str">
            <v>OMO090519453</v>
          </cell>
        </row>
        <row r="635">
          <cell r="A635" t="str">
            <v>Consultoría Tecnologías y Gestión Del Conocimiento SA de CV</v>
          </cell>
          <cell r="B635" t="str">
            <v>CTG120706IG6</v>
          </cell>
        </row>
        <row r="636">
          <cell r="A636" t="str">
            <v>Fábrica De Andamios De Seguridad SA de CV</v>
          </cell>
          <cell r="B636" t="str">
            <v>FAS991116688</v>
          </cell>
        </row>
        <row r="637">
          <cell r="A637" t="str">
            <v>Ng Asesores SA de CV</v>
          </cell>
          <cell r="B637" t="str">
            <v>NAS080121LT0</v>
          </cell>
        </row>
        <row r="638">
          <cell r="A638" t="str">
            <v>Emsi Profesionistas Asociados SC</v>
          </cell>
          <cell r="B638" t="str">
            <v>EPA9406035WA</v>
          </cell>
        </row>
        <row r="639">
          <cell r="A639" t="str">
            <v>Segudirecto Agente De Seguros y De Fianzas SA de CV</v>
          </cell>
          <cell r="B639" t="str">
            <v>GCM940630U99</v>
          </cell>
        </row>
        <row r="640">
          <cell r="A640" t="str">
            <v>Allsumin SA de CV</v>
          </cell>
          <cell r="B640" t="str">
            <v>ALL130722A28</v>
          </cell>
        </row>
        <row r="641">
          <cell r="A641" t="str">
            <v>Vaday De México SA de CV</v>
          </cell>
          <cell r="B641" t="str">
            <v>VME090323463</v>
          </cell>
        </row>
        <row r="642">
          <cell r="A642" t="str">
            <v>Constructora Kalisa SA de CV</v>
          </cell>
          <cell r="B642" t="str">
            <v>CKA040402UGA</v>
          </cell>
        </row>
        <row r="643">
          <cell r="A643" t="str">
            <v>Dispositivos Electrónicos y De Control SA de CV</v>
          </cell>
          <cell r="B643" t="str">
            <v>DEC7711299W6</v>
          </cell>
        </row>
        <row r="644">
          <cell r="A644" t="str">
            <v>Viajes Saeta SA de CV</v>
          </cell>
          <cell r="B644" t="str">
            <v>VSA840915TT0</v>
          </cell>
        </row>
        <row r="645">
          <cell r="A645" t="str">
            <v>Instalaciones Unicornio SA de CV</v>
          </cell>
          <cell r="B645" t="str">
            <v>IUN9007161E1</v>
          </cell>
        </row>
        <row r="646">
          <cell r="A646" t="str">
            <v>Integradora De Servicios Romaco SA de CV</v>
          </cell>
          <cell r="B646" t="str">
            <v>ISR141121NP0</v>
          </cell>
        </row>
        <row r="647">
          <cell r="A647" t="str">
            <v>Plásticos y Fertilizantes De Morelos SA De C.V.</v>
          </cell>
          <cell r="B647" t="str">
            <v>PFM891014836</v>
          </cell>
        </row>
        <row r="648">
          <cell r="A648" t="str">
            <v>Lingos y Educación SAPI De CV</v>
          </cell>
          <cell r="B648" t="str">
            <v>LED1405121X5</v>
          </cell>
        </row>
        <row r="649">
          <cell r="A649" t="str">
            <v>Ubando Ingeniería SA de CV</v>
          </cell>
          <cell r="B649" t="str">
            <v>UIN060511EX7</v>
          </cell>
        </row>
        <row r="650">
          <cell r="A650" t="str">
            <v>Interstuhl Latam SA de CV</v>
          </cell>
          <cell r="B650" t="str">
            <v>ILA130516P87</v>
          </cell>
        </row>
        <row r="651">
          <cell r="A651" t="str">
            <v>Todalaprensa SA de CV</v>
          </cell>
          <cell r="B651" t="str">
            <v>TOD001012FH8</v>
          </cell>
        </row>
        <row r="652">
          <cell r="A652" t="str">
            <v>Viajes Gengis Khan SA de CV</v>
          </cell>
          <cell r="B652" t="str">
            <v>VGK820210KR1</v>
          </cell>
        </row>
        <row r="653">
          <cell r="A653" t="str">
            <v>Constructora Terminal Sor Juana Tlalnepantla SA de CV</v>
          </cell>
          <cell r="B653" t="str">
            <v>CTS120720PF0</v>
          </cell>
        </row>
        <row r="654">
          <cell r="A654" t="str">
            <v>Sonda México SA de CV</v>
          </cell>
          <cell r="B654" t="str">
            <v>SME040223T23</v>
          </cell>
        </row>
        <row r="655">
          <cell r="A655" t="str">
            <v>Jorsal Construcciones y Promociones SA de CV</v>
          </cell>
          <cell r="B655" t="str">
            <v>JCP130429TM4</v>
          </cell>
        </row>
        <row r="656">
          <cell r="A656" t="str">
            <v>Rodriguez y Navarro Consultoría Legal SC</v>
          </cell>
          <cell r="B656" t="str">
            <v>RNC1508115GA</v>
          </cell>
        </row>
        <row r="657">
          <cell r="A657" t="str">
            <v>Fondo Para La Paz I.A.P.</v>
          </cell>
          <cell r="B657" t="str">
            <v>FPI940225PB4</v>
          </cell>
        </row>
        <row r="658">
          <cell r="A658" t="str">
            <v>Constructora Aspe y Asociados SA de CV</v>
          </cell>
          <cell r="B658" t="str">
            <v>CAA081003LX7</v>
          </cell>
        </row>
        <row r="659">
          <cell r="A659" t="str">
            <v>Proyectos Especiales Tic SA de CV</v>
          </cell>
          <cell r="B659" t="str">
            <v>PET1302229B5</v>
          </cell>
        </row>
        <row r="660">
          <cell r="A660" t="str">
            <v>Servi Estructuras Alfa SA de CV</v>
          </cell>
          <cell r="B660" t="str">
            <v>SEA760803S60</v>
          </cell>
        </row>
        <row r="661">
          <cell r="A661" t="str">
            <v>Pegaso Servicio Integral De Turismo SA de CV</v>
          </cell>
          <cell r="B661" t="str">
            <v>PSI021114QE1</v>
          </cell>
        </row>
        <row r="662">
          <cell r="A662" t="str">
            <v>Goitil SA de CV</v>
          </cell>
          <cell r="B662" t="str">
            <v>GOI100901FA5</v>
          </cell>
        </row>
        <row r="663">
          <cell r="A663" t="str">
            <v>Ip Productos y Servicios SA de CV</v>
          </cell>
          <cell r="B663" t="str">
            <v>IPS0703142W1</v>
          </cell>
        </row>
        <row r="664">
          <cell r="A664" t="str">
            <v>Comercializadora Novang SA de CV</v>
          </cell>
          <cell r="B664" t="str">
            <v>CNO051024TQ8</v>
          </cell>
        </row>
        <row r="665">
          <cell r="A665" t="str">
            <v>Edinteligent S de RL de CV</v>
          </cell>
          <cell r="B665" t="str">
            <v>EDI060421GT0</v>
          </cell>
        </row>
        <row r="666">
          <cell r="A666" t="str">
            <v>Consultores y Servicios En Calidad De Alimentos SA de CV</v>
          </cell>
          <cell r="B666" t="str">
            <v>CSC011218455</v>
          </cell>
        </row>
        <row r="667">
          <cell r="A667" t="str">
            <v>Organización De Sistemas Constructivos SA de CV</v>
          </cell>
          <cell r="B667" t="str">
            <v>OSC900702RL8</v>
          </cell>
        </row>
        <row r="668">
          <cell r="A668" t="str">
            <v>Fotogenia SA de CV</v>
          </cell>
          <cell r="B668" t="str">
            <v>FOT940525HB9</v>
          </cell>
        </row>
        <row r="669">
          <cell r="A669" t="str">
            <v>Pearl &amp; Pearl SA de CV</v>
          </cell>
          <cell r="B669" t="str">
            <v>PPE960925EV2</v>
          </cell>
        </row>
        <row r="670">
          <cell r="A670" t="str">
            <v>Distribuidor Urko y Drago SA de CV</v>
          </cell>
          <cell r="B670" t="str">
            <v>DUD100319QLA</v>
          </cell>
        </row>
        <row r="671">
          <cell r="A671" t="str">
            <v>Ingeniería Syr SA de CV</v>
          </cell>
          <cell r="B671" t="str">
            <v>ISy910621IU7</v>
          </cell>
        </row>
        <row r="672">
          <cell r="A672" t="str">
            <v>Diario Imagen SA de CV</v>
          </cell>
          <cell r="B672" t="str">
            <v>DIM1504148V6</v>
          </cell>
        </row>
        <row r="673">
          <cell r="A673" t="str">
            <v>Siroel Proyectos SAPI De CV</v>
          </cell>
          <cell r="B673" t="str">
            <v>SPR130319LT7</v>
          </cell>
        </row>
        <row r="674">
          <cell r="A674" t="str">
            <v>Homotec SA de CV</v>
          </cell>
          <cell r="B674" t="str">
            <v>HOM150114D2A</v>
          </cell>
        </row>
        <row r="675">
          <cell r="A675" t="str">
            <v>Construcción Estructura y Paileria SA de CV</v>
          </cell>
          <cell r="B675" t="str">
            <v>CEP9311266U5</v>
          </cell>
        </row>
        <row r="676">
          <cell r="A676" t="str">
            <v>Gianni Gaiti De México, S.A. de C.V.</v>
          </cell>
          <cell r="B676" t="str">
            <v>GGM9606041K5</v>
          </cell>
        </row>
        <row r="677">
          <cell r="A677" t="str">
            <v>Audio Acústica y Electrónica SA de CV</v>
          </cell>
          <cell r="B677" t="str">
            <v>AAE7905157ZA</v>
          </cell>
        </row>
        <row r="678">
          <cell r="A678" t="str">
            <v>Greenergy Energía No Convencional S de RL de CV</v>
          </cell>
          <cell r="B678" t="str">
            <v>GEN080905861</v>
          </cell>
        </row>
        <row r="679">
          <cell r="A679" t="str">
            <v>Industrias Unifila SA de CV</v>
          </cell>
          <cell r="B679" t="str">
            <v>IUN950102S57</v>
          </cell>
        </row>
        <row r="680">
          <cell r="A680" t="str">
            <v>Gentase Gente y Talento Al Servicio SA de CV</v>
          </cell>
          <cell r="B680" t="str">
            <v>GGT150904768</v>
          </cell>
        </row>
        <row r="681">
          <cell r="A681" t="str">
            <v>Office Coffee Service SA de CV</v>
          </cell>
          <cell r="B681" t="str">
            <v>OCS991207Q1A</v>
          </cell>
        </row>
        <row r="682">
          <cell r="A682" t="str">
            <v>Corporativo Adoal-Rot Manufacturing SA de CV</v>
          </cell>
          <cell r="B682" t="str">
            <v>CAM150715NQ3</v>
          </cell>
        </row>
        <row r="683">
          <cell r="A683" t="str">
            <v>Farmacias El Fenix Del Centro SA de CV</v>
          </cell>
          <cell r="B683" t="str">
            <v>FFC6611235C0</v>
          </cell>
        </row>
        <row r="684">
          <cell r="A684" t="str">
            <v>Bengoshi Servicios Corporativos SC</v>
          </cell>
          <cell r="B684" t="str">
            <v>BSC090213MP5</v>
          </cell>
        </row>
        <row r="685">
          <cell r="A685" t="str">
            <v>Logcom México SA de CV</v>
          </cell>
          <cell r="B685" t="str">
            <v>LME0903058C3</v>
          </cell>
        </row>
        <row r="686">
          <cell r="A686" t="str">
            <v>Executive Business Consulting Mexico, S.C.</v>
          </cell>
          <cell r="B686" t="str">
            <v>EBC140116Hy2</v>
          </cell>
        </row>
        <row r="687">
          <cell r="A687" t="str">
            <v>Academia Mexicana De La Educación AC</v>
          </cell>
          <cell r="B687" t="str">
            <v>AME580808Q60</v>
          </cell>
        </row>
        <row r="688">
          <cell r="A688" t="str">
            <v>Sublicompany SA de CV</v>
          </cell>
          <cell r="B688" t="str">
            <v>SUB1304186R4</v>
          </cell>
        </row>
        <row r="689">
          <cell r="A689" t="str">
            <v>Polmherd De México SA de CV</v>
          </cell>
          <cell r="B689" t="str">
            <v>PME990726LB7</v>
          </cell>
        </row>
        <row r="690">
          <cell r="A690" t="str">
            <v>Consorcio Audiovisa SA de CV</v>
          </cell>
          <cell r="B690" t="str">
            <v>CAU980825C56</v>
          </cell>
        </row>
        <row r="691">
          <cell r="A691" t="str">
            <v>Innovation Advanced Solutions SA de CV</v>
          </cell>
          <cell r="B691" t="str">
            <v>IAS1602045V4</v>
          </cell>
        </row>
        <row r="692">
          <cell r="A692" t="str">
            <v>7 Cerros Construcciones SA de CV</v>
          </cell>
          <cell r="B692" t="str">
            <v>SCC0211014J2</v>
          </cell>
        </row>
        <row r="693">
          <cell r="A693" t="str">
            <v>Centro Académico Especializado en Ciencias Jurídicas y Criminológicas, S.C.</v>
          </cell>
          <cell r="B693" t="str">
            <v>CAE110503MW1</v>
          </cell>
        </row>
        <row r="694">
          <cell r="A694" t="str">
            <v>Productos y Sistemas En Informática SA de CV</v>
          </cell>
          <cell r="B694" t="str">
            <v>PSI911216KA9</v>
          </cell>
        </row>
        <row r="695">
          <cell r="A695" t="str">
            <v>Calidad y Negocios Faih SA de CV</v>
          </cell>
          <cell r="B695" t="str">
            <v>CNF031124N73</v>
          </cell>
        </row>
        <row r="696">
          <cell r="A696" t="str">
            <v>World Wide Tech Ventures SAPI De CV</v>
          </cell>
          <cell r="B696" t="str">
            <v>WWT1305076R0</v>
          </cell>
        </row>
        <row r="697">
          <cell r="A697" t="str">
            <v>American Best Conversion, S.A. de C.V.</v>
          </cell>
          <cell r="B697" t="str">
            <v>ABC000511NB7</v>
          </cell>
        </row>
        <row r="698">
          <cell r="A698" t="str">
            <v>Defensa Jurídica y Educación Para Mujeres SC</v>
          </cell>
          <cell r="B698" t="str">
            <v>DJE990506464</v>
          </cell>
        </row>
        <row r="699">
          <cell r="A699" t="str">
            <v>Distrito Grupo Inmobiliario Del Norte SA de CV</v>
          </cell>
          <cell r="B699" t="str">
            <v>DGI140819MBA</v>
          </cell>
        </row>
        <row r="700">
          <cell r="A700" t="str">
            <v>Corporativo Lederskap SA de CV</v>
          </cell>
          <cell r="B700" t="str">
            <v>CLE1410089W8</v>
          </cell>
        </row>
        <row r="701">
          <cell r="A701" t="str">
            <v>Hombres Por La Equidad Centro De Intervención Con Hombres E Investigación Sobre Genero y Masculinidades, A.C.</v>
          </cell>
          <cell r="B701" t="str">
            <v>HEC050622B38</v>
          </cell>
        </row>
        <row r="702">
          <cell r="A702" t="str">
            <v>Servicios Integrales Vencher, S.A. de C.V.</v>
          </cell>
          <cell r="B702" t="str">
            <v>SIV030412VB3</v>
          </cell>
        </row>
        <row r="703">
          <cell r="A703" t="str">
            <v>Hemoser SA de CV</v>
          </cell>
          <cell r="B703" t="str">
            <v>HEM9808262E0</v>
          </cell>
        </row>
        <row r="704">
          <cell r="A704" t="str">
            <v>Distribuidora Goba De Querétaro SA de CV</v>
          </cell>
          <cell r="B704" t="str">
            <v>DGQ9611278N9</v>
          </cell>
        </row>
        <row r="705">
          <cell r="A705" t="str">
            <v>Issa Edificaciones SA de CV</v>
          </cell>
          <cell r="B705" t="str">
            <v>IED120102R74</v>
          </cell>
        </row>
        <row r="706">
          <cell r="A706" t="str">
            <v>Investigaciones y Estudios Superiores SC</v>
          </cell>
          <cell r="B706" t="str">
            <v>IES870531FU5</v>
          </cell>
        </row>
        <row r="707">
          <cell r="A707" t="str">
            <v>Ventor Internacional SA de CV</v>
          </cell>
          <cell r="B707" t="str">
            <v>VIN000811HT2</v>
          </cell>
        </row>
        <row r="708">
          <cell r="A708" t="str">
            <v>Int Intelligence and Telecom Technologies México SA de CV</v>
          </cell>
          <cell r="B708" t="str">
            <v>IIT101216JW0</v>
          </cell>
        </row>
        <row r="709">
          <cell r="A709" t="str">
            <v>Colinas De Buen SA de CV</v>
          </cell>
          <cell r="B709" t="str">
            <v>CBU831230ETA</v>
          </cell>
        </row>
        <row r="710">
          <cell r="A710" t="str">
            <v>Toma De Protesta SA de CV</v>
          </cell>
          <cell r="B710" t="str">
            <v>TPR0306184U6</v>
          </cell>
        </row>
        <row r="711">
          <cell r="A711" t="str">
            <v>Wikiempresa, S.A. de C.V.</v>
          </cell>
          <cell r="B711" t="str">
            <v>WIK130301B36</v>
          </cell>
        </row>
        <row r="712">
          <cell r="A712" t="str">
            <v>Federación De Colegios De Economistas De La República Mexicana AC</v>
          </cell>
          <cell r="B712" t="str">
            <v>CNE120927A60</v>
          </cell>
        </row>
        <row r="713">
          <cell r="A713" t="str">
            <v>Centro De Investigación Interdisciplinario Del Estado De México SC</v>
          </cell>
          <cell r="B713" t="str">
            <v>CII140829T20</v>
          </cell>
        </row>
        <row r="714">
          <cell r="A714" t="str">
            <v>Segtec SA de CV</v>
          </cell>
          <cell r="B714" t="str">
            <v>SEG030317E48</v>
          </cell>
        </row>
        <row r="715">
          <cell r="A715" t="str">
            <v>Abc Sivmed SA de CV</v>
          </cell>
          <cell r="B715" t="str">
            <v>ASI1602178C4</v>
          </cell>
        </row>
        <row r="716">
          <cell r="A716" t="str">
            <v>Adriana Paramo, S.A. de C.V.</v>
          </cell>
          <cell r="B716" t="str">
            <v>APA1012161M9</v>
          </cell>
        </row>
        <row r="717">
          <cell r="A717" t="str">
            <v>Grupo Empresarial Remotek, S.A. de C.V.</v>
          </cell>
          <cell r="B717" t="str">
            <v>GER051219JP4</v>
          </cell>
        </row>
        <row r="718">
          <cell r="A718" t="str">
            <v>Fehlmex SA de CV</v>
          </cell>
          <cell r="B718" t="str">
            <v>FEH781106F99</v>
          </cell>
        </row>
        <row r="719">
          <cell r="A719" t="str">
            <v>Leading the Customer Experience, S. de R.L. de C.V.</v>
          </cell>
          <cell r="B719" t="str">
            <v>LCE1112086H8</v>
          </cell>
        </row>
        <row r="720">
          <cell r="A720" t="str">
            <v>Sinergía Consultoría y Capacitación en Calidad, S.C.</v>
          </cell>
          <cell r="B720" t="str">
            <v>SCC0605025Q7</v>
          </cell>
        </row>
        <row r="721">
          <cell r="A721" t="str">
            <v>Grupo Infitu Eventos Comercializadora y Marketing SA de CV</v>
          </cell>
          <cell r="B721" t="str">
            <v>GIE100312LX6</v>
          </cell>
        </row>
        <row r="722">
          <cell r="A722" t="str">
            <v>Concepto Risográfico SA de CV</v>
          </cell>
          <cell r="B722" t="str">
            <v>CRI901019HW5</v>
          </cell>
        </row>
        <row r="723">
          <cell r="A723" t="str">
            <v>Bufete de Informática y Organización, S.A. de C.V.</v>
          </cell>
          <cell r="B723" t="str">
            <v>BIO890925RE7</v>
          </cell>
        </row>
        <row r="724">
          <cell r="A724" t="str">
            <v>Sai Consultores SC</v>
          </cell>
          <cell r="B724" t="str">
            <v>SAI950920KS8</v>
          </cell>
        </row>
        <row r="725">
          <cell r="A725" t="str">
            <v>Dextro Representaciones SA de CV</v>
          </cell>
          <cell r="B725" t="str">
            <v>DRE091204SP0</v>
          </cell>
        </row>
        <row r="726">
          <cell r="A726" t="str">
            <v>Burst Com SA de CV</v>
          </cell>
          <cell r="B726" t="str">
            <v>BCO090130HN3</v>
          </cell>
        </row>
        <row r="727">
          <cell r="A727" t="str">
            <v>Extensión Software Mx SA de CV</v>
          </cell>
          <cell r="B727" t="str">
            <v>GEI100129BI7</v>
          </cell>
        </row>
        <row r="728">
          <cell r="A728" t="str">
            <v>Representaciones Y Control Administrativo SA de CV</v>
          </cell>
          <cell r="B728" t="str">
            <v>RCA940318R83</v>
          </cell>
        </row>
        <row r="729">
          <cell r="A729" t="str">
            <v>Krolls Telcomm De México SA de CV</v>
          </cell>
          <cell r="B729" t="str">
            <v>KTM090212KD9</v>
          </cell>
        </row>
        <row r="730">
          <cell r="A730" t="str">
            <v>Líder En Administración De Riesgos Agente De Seguros SA de CV</v>
          </cell>
          <cell r="B730" t="str">
            <v>LAR0207252G5</v>
          </cell>
        </row>
        <row r="731">
          <cell r="A731" t="str">
            <v>Estructuras Digitales De México Comercializadora SA de CV</v>
          </cell>
          <cell r="B731" t="str">
            <v>EDM090610E77</v>
          </cell>
        </row>
        <row r="732">
          <cell r="A732" t="str">
            <v>Lirun Rs SA de CV</v>
          </cell>
          <cell r="B732" t="str">
            <v>LRS140212U14</v>
          </cell>
        </row>
        <row r="733">
          <cell r="A733" t="str">
            <v>Sacmag De México SA de CV</v>
          </cell>
          <cell r="B733" t="str">
            <v>SME850212FD0</v>
          </cell>
        </row>
        <row r="734">
          <cell r="A734" t="str">
            <v>Thorsmex SA de CV</v>
          </cell>
          <cell r="B734" t="str">
            <v>THO961212IK7</v>
          </cell>
        </row>
        <row r="735">
          <cell r="A735" t="str">
            <v>Amtrad-Traducción Interpretación Y Servicios Relacionados SC</v>
          </cell>
          <cell r="B735" t="str">
            <v>AIS2080813JNA</v>
          </cell>
        </row>
        <row r="736">
          <cell r="A736" t="str">
            <v>Tirant Lo Blanch México S de RL de CV</v>
          </cell>
          <cell r="B736" t="str">
            <v>TLB110322C48</v>
          </cell>
        </row>
        <row r="737">
          <cell r="A737" t="str">
            <v>Discurseros, S.C.</v>
          </cell>
          <cell r="B737" t="str">
            <v>DIS160505K49</v>
          </cell>
        </row>
        <row r="738">
          <cell r="A738" t="str">
            <v>Centro De Audio Video Y Comunicaciones SA de CV</v>
          </cell>
          <cell r="B738" t="str">
            <v>CAV970312KZ9</v>
          </cell>
        </row>
        <row r="739">
          <cell r="A739" t="str">
            <v>Servicio, Instalación, Mantenimiento y Asesoría de Equipos de Accesibilidad, S.A. de C.V.</v>
          </cell>
          <cell r="B739" t="str">
            <v>SIM080805SK1</v>
          </cell>
        </row>
        <row r="740">
          <cell r="A740" t="str">
            <v>Pronto Repartos Rápidos SA de CV</v>
          </cell>
          <cell r="B740" t="str">
            <v>PRR050906KG4</v>
          </cell>
        </row>
        <row r="741">
          <cell r="A741" t="str">
            <v>Mantenimiento Y Construcciones Calego SA de CV</v>
          </cell>
          <cell r="B741" t="str">
            <v>MCC110519EZ0</v>
          </cell>
        </row>
        <row r="742">
          <cell r="A742" t="str">
            <v>Turismo Y Convenciones SA de CV</v>
          </cell>
          <cell r="B742" t="str">
            <v>TCO920113174</v>
          </cell>
        </row>
        <row r="743">
          <cell r="A743" t="str">
            <v>Alto Nivel En Construcciones SA de CV</v>
          </cell>
          <cell r="B743" t="str">
            <v>ANC991216ED0</v>
          </cell>
        </row>
        <row r="744">
          <cell r="A744" t="str">
            <v>Afore XXI Banorte SA de CV</v>
          </cell>
          <cell r="B744" t="str">
            <v>AXX970225GL0</v>
          </cell>
        </row>
        <row r="745">
          <cell r="A745" t="str">
            <v>Profhemsa, S.A. de C.V.</v>
          </cell>
          <cell r="B745" t="str">
            <v>PRO960426EX2</v>
          </cell>
        </row>
        <row r="746">
          <cell r="A746" t="str">
            <v>Intercomza SA de CV</v>
          </cell>
          <cell r="B746" t="str">
            <v>INT160705BN4</v>
          </cell>
        </row>
        <row r="747">
          <cell r="A747" t="str">
            <v>D3 Ediciones, S.A. de C.V.</v>
          </cell>
          <cell r="B747" t="str">
            <v>DED120709MI7</v>
          </cell>
        </row>
        <row r="748">
          <cell r="A748" t="str">
            <v>Asociación Mexicana De Estudios Internacionales Amei AC</v>
          </cell>
          <cell r="B748" t="str">
            <v>AME980224213</v>
          </cell>
        </row>
        <row r="749">
          <cell r="A749" t="str">
            <v>1AHC Producciones, S.A. de C.V.</v>
          </cell>
          <cell r="B749" t="str">
            <v>UHC060216CSA</v>
          </cell>
        </row>
        <row r="750">
          <cell r="A750" t="str">
            <v>Papelmetal SC</v>
          </cell>
          <cell r="B750" t="str">
            <v>PAP140613F15</v>
          </cell>
        </row>
        <row r="751">
          <cell r="A751" t="str">
            <v>Servicios De Interiorismo Master Key SA de CV</v>
          </cell>
          <cell r="B751" t="str">
            <v>SIM150526V66</v>
          </cell>
        </row>
        <row r="752">
          <cell r="A752" t="str">
            <v>Free Marketing SA de CV</v>
          </cell>
          <cell r="B752" t="str">
            <v>FMA140304EY9</v>
          </cell>
        </row>
        <row r="753">
          <cell r="A753" t="str">
            <v>Agencia Medios DMT, S.C.</v>
          </cell>
          <cell r="B753" t="str">
            <v>AMD160309FU8</v>
          </cell>
        </row>
        <row r="754">
          <cell r="A754" t="str">
            <v>Constructora E Inmobiliaria Ava SA de CV</v>
          </cell>
          <cell r="B754" t="str">
            <v>CIA940819UZ8</v>
          </cell>
        </row>
        <row r="755">
          <cell r="A755" t="str">
            <v>Capacitación Y Consultoría Organizacional SA de CV</v>
          </cell>
          <cell r="B755" t="str">
            <v>CCO040312V35</v>
          </cell>
        </row>
        <row r="756">
          <cell r="A756" t="str">
            <v>Comercializadora de Impresos OM, S.A. de C.V.</v>
          </cell>
          <cell r="B756" t="str">
            <v>CIO130923MT1</v>
          </cell>
        </row>
        <row r="757">
          <cell r="A757" t="str">
            <v>Digilogics SA de CV</v>
          </cell>
          <cell r="B757" t="str">
            <v>DIG081024SR8</v>
          </cell>
        </row>
        <row r="758">
          <cell r="A758" t="str">
            <v>Arquitectos Constructores Pic SA de CV</v>
          </cell>
          <cell r="B758" t="str">
            <v>ACP050110J50</v>
          </cell>
        </row>
        <row r="759">
          <cell r="A759" t="str">
            <v>Informática Aurum SA de CV</v>
          </cell>
          <cell r="B759" t="str">
            <v>IAU900131R7A</v>
          </cell>
        </row>
        <row r="760">
          <cell r="A760" t="str">
            <v>Selipro SA de CV</v>
          </cell>
          <cell r="B760" t="str">
            <v>SEL140507KH0</v>
          </cell>
        </row>
        <row r="761">
          <cell r="A761" t="str">
            <v>Ediciones la Biblioteca, S.A. de C.V.</v>
          </cell>
          <cell r="B761" t="str">
            <v>EBI1310299M4</v>
          </cell>
        </row>
        <row r="762">
          <cell r="A762" t="str">
            <v>Construcción Y Asesoría En Obras Y Servicios SA de CV</v>
          </cell>
          <cell r="B762" t="str">
            <v>CAO070122P44</v>
          </cell>
        </row>
        <row r="763">
          <cell r="A763" t="str">
            <v>Populus Fintec SAPI De CV</v>
          </cell>
          <cell r="B763" t="str">
            <v>PFI151110QJ7</v>
          </cell>
        </row>
        <row r="764">
          <cell r="A764" t="str">
            <v>City Garden México SA de CV</v>
          </cell>
          <cell r="B764" t="str">
            <v>CGM1407077Q3</v>
          </cell>
        </row>
        <row r="765">
          <cell r="A765" t="str">
            <v>Dita Software And Electronics SA de CV</v>
          </cell>
          <cell r="B765" t="str">
            <v>DSE160122I87</v>
          </cell>
        </row>
        <row r="766">
          <cell r="A766" t="str">
            <v>Exterminio Integral De Plagas E Higiene Ambiental SA de CV</v>
          </cell>
          <cell r="B766" t="str">
            <v>EIP130411Q51</v>
          </cell>
        </row>
        <row r="767">
          <cell r="A767" t="str">
            <v>Imsatech Ultrasonido SA de CV</v>
          </cell>
          <cell r="B767" t="str">
            <v>IUL140304GE9</v>
          </cell>
        </row>
        <row r="768">
          <cell r="A768" t="str">
            <v>Ge Equipo De Control Y Distribución S de RL de CV</v>
          </cell>
          <cell r="B768" t="str">
            <v>GEC9312206XA</v>
          </cell>
        </row>
        <row r="769">
          <cell r="A769" t="str">
            <v>Serretecno, S.A. de C.V.</v>
          </cell>
          <cell r="B769" t="str">
            <v>SER911203JU5</v>
          </cell>
        </row>
        <row r="770">
          <cell r="A770" t="str">
            <v>Automovilística Andrade SA de CV</v>
          </cell>
          <cell r="B770" t="str">
            <v>AAN841022G20</v>
          </cell>
        </row>
        <row r="771">
          <cell r="A771" t="str">
            <v>Protecto Glass de México SA de CV</v>
          </cell>
          <cell r="B771" t="str">
            <v>PGM940404E10</v>
          </cell>
        </row>
        <row r="772">
          <cell r="A772" t="str">
            <v>Uniformes Carsan SA de CV</v>
          </cell>
          <cell r="B772" t="str">
            <v>UCA140325TL3</v>
          </cell>
        </row>
        <row r="773">
          <cell r="A773" t="str">
            <v>Desarrolladora de Estacionamientos Privados SA de CV</v>
          </cell>
          <cell r="B773" t="str">
            <v>DEP931001T6</v>
          </cell>
        </row>
        <row r="774">
          <cell r="A774" t="str">
            <v>ACYPSA Proyectos Construcciones y Servicios, S.A. de C.V.</v>
          </cell>
          <cell r="B774" t="str">
            <v>APC020715EA3</v>
          </cell>
        </row>
        <row r="775">
          <cell r="A775" t="str">
            <v>Crona, S.A. de C.V.</v>
          </cell>
          <cell r="B775" t="str">
            <v>CRO1502241H2</v>
          </cell>
        </row>
        <row r="776">
          <cell r="A776" t="str">
            <v>Ingeniería de Servicio para Equipos de Laboratorio SA de CV</v>
          </cell>
          <cell r="B776" t="str">
            <v>ISE060322F61</v>
          </cell>
        </row>
        <row r="777">
          <cell r="A777" t="str">
            <v>Balam Comercio Exterior Mr. SA de CV</v>
          </cell>
          <cell r="B777" t="str">
            <v>BCE101029KF8</v>
          </cell>
        </row>
        <row r="778">
          <cell r="A778" t="str">
            <v>Recycle Tech, S.A. de C.V.</v>
          </cell>
          <cell r="B778" t="str">
            <v>RTE990419</v>
          </cell>
        </row>
        <row r="779">
          <cell r="A779" t="str">
            <v>Tres News Producciones, S.A. de C.V.</v>
          </cell>
          <cell r="B779" t="str">
            <v>TNP040917SP5</v>
          </cell>
        </row>
        <row r="780">
          <cell r="A780" t="str">
            <v>ISAE Informática y Servicios Administrativos para Empresas SA de CV</v>
          </cell>
          <cell r="B780" t="str">
            <v>IIS160212IT5</v>
          </cell>
        </row>
        <row r="781">
          <cell r="A781" t="str">
            <v>Proyectos Edificaciones y Montajes SA de CV</v>
          </cell>
          <cell r="B781" t="str">
            <v>PEM050301KS6</v>
          </cell>
        </row>
        <row r="782">
          <cell r="A782" t="str">
            <v>Forlac Store SA de CV</v>
          </cell>
          <cell r="B782" t="str">
            <v>FST1310074I1</v>
          </cell>
        </row>
        <row r="783">
          <cell r="A783" t="str">
            <v>Ingeniería en Aislamientos Térmicos Aplicación y Venta, S.A. de C.V.</v>
          </cell>
          <cell r="B783" t="str">
            <v>IAT1601263AA</v>
          </cell>
        </row>
        <row r="784">
          <cell r="A784" t="str">
            <v>Solución Publicitaria y Eventos SA de CV</v>
          </cell>
          <cell r="B784" t="str">
            <v>SPE130207LW6</v>
          </cell>
        </row>
        <row r="785">
          <cell r="A785" t="str">
            <v>Corporativo Prográfico SA de CV</v>
          </cell>
          <cell r="B785" t="str">
            <v>CPR040818NI6</v>
          </cell>
        </row>
        <row r="786">
          <cell r="A786" t="str">
            <v>Consprocon SA de CV</v>
          </cell>
          <cell r="B786" t="str">
            <v>CON130213988</v>
          </cell>
        </row>
        <row r="787">
          <cell r="A787" t="str">
            <v>Integradores de Tecnología Corporativa SA de CV</v>
          </cell>
          <cell r="B787" t="str">
            <v>ITC020215M69</v>
          </cell>
        </row>
        <row r="788">
          <cell r="A788" t="str">
            <v>Mac Toner Audio y Video SA de CV</v>
          </cell>
          <cell r="B788" t="str">
            <v>TAV051216TN1</v>
          </cell>
        </row>
        <row r="789">
          <cell r="A789" t="str">
            <v>Artículos Promocionales OVI SA de CV</v>
          </cell>
          <cell r="B789" t="str">
            <v>APO121112CE2</v>
          </cell>
        </row>
        <row r="790">
          <cell r="A790" t="str">
            <v>Soluciones Capitales SA de CV</v>
          </cell>
          <cell r="B790" t="str">
            <v>SCA1302219U1</v>
          </cell>
        </row>
        <row r="791">
          <cell r="A791" t="str">
            <v>GVG Grupo Gráfico SA de CV</v>
          </cell>
          <cell r="B791" t="str">
            <v>GGG901128441</v>
          </cell>
        </row>
        <row r="792">
          <cell r="A792" t="str">
            <v>Proyectos Lumínicos SA</v>
          </cell>
          <cell r="B792" t="str">
            <v>PLU8303109G6</v>
          </cell>
        </row>
        <row r="793">
          <cell r="A793" t="str">
            <v>Trilce Ediciones SA de CV</v>
          </cell>
          <cell r="B793" t="str">
            <v>TED910618C83</v>
          </cell>
        </row>
        <row r="794">
          <cell r="A794" t="str">
            <v>Infopower SA de CV</v>
          </cell>
          <cell r="B794" t="str">
            <v>INF080312DK2</v>
          </cell>
        </row>
        <row r="795">
          <cell r="A795" t="str">
            <v>Qrea-t Solutions SA de CV</v>
          </cell>
          <cell r="B795" t="str">
            <v>QSO100827UB0</v>
          </cell>
        </row>
        <row r="796">
          <cell r="A796" t="str">
            <v>SM Global Fast, S.A. de C.V.</v>
          </cell>
          <cell r="B796" t="str">
            <v>SGF150608D92</v>
          </cell>
        </row>
        <row r="797">
          <cell r="A797" t="str">
            <v>Lobbying y Desarrollo Institucional SC</v>
          </cell>
          <cell r="B797" t="str">
            <v>LYD110519IK0</v>
          </cell>
        </row>
        <row r="798">
          <cell r="A798" t="str">
            <v>Talento SA de CV</v>
          </cell>
          <cell r="B798" t="str">
            <v>TAL810120K38</v>
          </cell>
        </row>
        <row r="799">
          <cell r="A799" t="str">
            <v>Cosmopapel, S.A. de C.V.</v>
          </cell>
          <cell r="B799" t="str">
            <v>COS060209D57</v>
          </cell>
        </row>
        <row r="800">
          <cell r="A800" t="str">
            <v>Interconecta SA de CV</v>
          </cell>
          <cell r="B800" t="str">
            <v>INT001130R88</v>
          </cell>
        </row>
        <row r="801">
          <cell r="A801" t="str">
            <v>Observatorio Mexicano De Bioética AC</v>
          </cell>
          <cell r="B801" t="str">
            <v>OMB120726KA6</v>
          </cell>
        </row>
        <row r="802">
          <cell r="A802" t="str">
            <v>Incluir - T SA de CV</v>
          </cell>
          <cell r="B802" t="str">
            <v>INC141210UN2</v>
          </cell>
        </row>
        <row r="803">
          <cell r="A803" t="str">
            <v>Sandoval Sacal Cohen Y Compañía SC</v>
          </cell>
          <cell r="B803" t="str">
            <v>SSC091020MQ8</v>
          </cell>
        </row>
        <row r="804">
          <cell r="A804" t="str">
            <v>Pauta Comunicaciones, S.A. de C.V.</v>
          </cell>
          <cell r="B804" t="str">
            <v>PCO1603288L6</v>
          </cell>
        </row>
        <row r="805">
          <cell r="A805" t="str">
            <v>Network Storage Solutions SA de CV</v>
          </cell>
          <cell r="B805" t="str">
            <v>NSS030109F59</v>
          </cell>
        </row>
        <row r="806">
          <cell r="A806" t="str">
            <v>Estrategia y Desarrollo Pro.Ambiance de México, S.A. de C.V.</v>
          </cell>
          <cell r="B806" t="str">
            <v>EDP140924853</v>
          </cell>
        </row>
        <row r="807">
          <cell r="A807" t="str">
            <v>Tecnología &amp; Contacto SA de CV</v>
          </cell>
          <cell r="B807" t="str">
            <v>T&amp;C991118HH5</v>
          </cell>
        </row>
        <row r="808">
          <cell r="A808" t="str">
            <v>Vitruvio. Ingeniería Cultural SA de CV</v>
          </cell>
          <cell r="B808" t="str">
            <v>VIC120831TH9</v>
          </cell>
        </row>
        <row r="809">
          <cell r="A809" t="str">
            <v>Mobiliarios Ergonómicos De México SA de CV</v>
          </cell>
          <cell r="B809" t="str">
            <v>MEM08080175A</v>
          </cell>
        </row>
        <row r="810">
          <cell r="A810" t="str">
            <v>Ipm Control De Confianza SA de CV</v>
          </cell>
          <cell r="B810" t="str">
            <v>ICC151208AU3</v>
          </cell>
        </row>
        <row r="811">
          <cell r="A811" t="str">
            <v>Servicio Postal Mexicano</v>
          </cell>
          <cell r="B811" t="str">
            <v>SPM860820CF5</v>
          </cell>
        </row>
        <row r="812">
          <cell r="A812" t="str">
            <v>Dubón Logística y Servicios, S.A. de C.V.</v>
          </cell>
          <cell r="B812" t="str">
            <v>DLS130819S16</v>
          </cell>
        </row>
        <row r="813">
          <cell r="A813" t="str">
            <v>Phonect, S.A. De C.V.</v>
          </cell>
          <cell r="B813" t="str">
            <v>PHO130128CI3</v>
          </cell>
        </row>
        <row r="814">
          <cell r="A814" t="str">
            <v>Constructora E Inmobiliaria De Espacios, S.A. De C.V.</v>
          </cell>
          <cell r="B814" t="str">
            <v>CIE040324AP1</v>
          </cell>
        </row>
        <row r="815">
          <cell r="A815" t="str">
            <v>Producciones Balas, S.A. De C.V.</v>
          </cell>
          <cell r="B815" t="str">
            <v>PBA160309SM9</v>
          </cell>
        </row>
        <row r="816">
          <cell r="A816" t="str">
            <v>General De Anuncios Publicitarios, S.A. De C.V.</v>
          </cell>
          <cell r="B816" t="str">
            <v>GAP050216AB1</v>
          </cell>
        </row>
        <row r="817">
          <cell r="A817" t="str">
            <v>Camerier, S.A. De C.V.</v>
          </cell>
          <cell r="B817" t="str">
            <v>CAM140321F13</v>
          </cell>
        </row>
        <row r="818">
          <cell r="A818" t="str">
            <v>Rm Systems, S.A. De C.V.</v>
          </cell>
          <cell r="B818" t="str">
            <v>RSY130429NW3</v>
          </cell>
        </row>
        <row r="819">
          <cell r="A819" t="str">
            <v>R3m Soluciones, S.A. De C.V.</v>
          </cell>
          <cell r="B819" t="str">
            <v>RSO110727BG3</v>
          </cell>
        </row>
        <row r="820">
          <cell r="A820" t="str">
            <v>Ogun Bi, S.A. De C.V.</v>
          </cell>
          <cell r="B820" t="str">
            <v>OBI1511304KA</v>
          </cell>
        </row>
        <row r="821">
          <cell r="A821" t="str">
            <v>Media Products De México, S.A. De C.V.</v>
          </cell>
          <cell r="B821" t="str">
            <v>MPM980601CG3</v>
          </cell>
        </row>
        <row r="822">
          <cell r="A822" t="str">
            <v>Por Ti Sea, A.C.</v>
          </cell>
          <cell r="B822" t="str">
            <v>TSE151217DCA</v>
          </cell>
        </row>
        <row r="823">
          <cell r="A823" t="str">
            <v>Información Segura, S.A. De C.V.</v>
          </cell>
          <cell r="B823" t="str">
            <v>ISE0402136VA</v>
          </cell>
        </row>
        <row r="824">
          <cell r="A824" t="str">
            <v xml:space="preserve"> Sys Suministros Y Soluciones, S.A. De C.V.</v>
          </cell>
          <cell r="B824" t="str">
            <v>SSS160921JC6</v>
          </cell>
        </row>
        <row r="825">
          <cell r="A825" t="str">
            <v>Conceptos En Productividad Empresarial, S.A. De C.V.</v>
          </cell>
          <cell r="B825" t="str">
            <v>CPE060512H22</v>
          </cell>
        </row>
        <row r="826">
          <cell r="A826" t="str">
            <v>Merkex México, S. de R.L. de C.V.</v>
          </cell>
          <cell r="B826" t="str">
            <v>MME130821H62</v>
          </cell>
        </row>
        <row r="827">
          <cell r="A827" t="str">
            <v xml:space="preserve"> Perceptiaxxi, S.C.</v>
          </cell>
          <cell r="B827" t="str">
            <v>PER160823RP6</v>
          </cell>
        </row>
        <row r="828">
          <cell r="A828" t="str">
            <v>Iret Telecomunicaciones, S.A. De C.V.</v>
          </cell>
          <cell r="B828" t="str">
            <v>ITE040707M15</v>
          </cell>
        </row>
        <row r="829">
          <cell r="A829" t="str">
            <v>New Mind Group, S.A. de C.V.</v>
          </cell>
          <cell r="B829" t="str">
            <v>NMG130606Q68</v>
          </cell>
        </row>
        <row r="830">
          <cell r="A830" t="str">
            <v>Mundo Escolar Y De Oficina, S.A. De C.V.</v>
          </cell>
          <cell r="B830" t="str">
            <v>MEO131015NB4</v>
          </cell>
        </row>
        <row r="831">
          <cell r="A831" t="str">
            <v>Jasak, S.A. De C.V.</v>
          </cell>
          <cell r="B831" t="str">
            <v>JAS1307088DA</v>
          </cell>
        </row>
        <row r="832">
          <cell r="A832" t="str">
            <v xml:space="preserve"> Centro Mexicano De Investigación Especializada, A.C.</v>
          </cell>
          <cell r="B832" t="str">
            <v>CMI150324PX1</v>
          </cell>
        </row>
        <row r="833">
          <cell r="A833" t="str">
            <v xml:space="preserve"> Tiacal Constructores, S.A. De C.V.</v>
          </cell>
          <cell r="B833" t="str">
            <v>TCO120817FZ6</v>
          </cell>
        </row>
        <row r="834">
          <cell r="A834" t="str">
            <v>Johnson Controls Be Operations México, S. De R.L. De C.V.</v>
          </cell>
          <cell r="B834" t="str">
            <v>JCB100702TQ1</v>
          </cell>
        </row>
        <row r="835">
          <cell r="A835" t="str">
            <v xml:space="preserve"> Editorial Marco Polo, S.A. De C.V.</v>
          </cell>
          <cell r="B835" t="str">
            <v>EMP800618JM0</v>
          </cell>
        </row>
        <row r="836">
          <cell r="A836" t="str">
            <v xml:space="preserve"> Capital Networks, S.A. De C.V.</v>
          </cell>
          <cell r="B836" t="str">
            <v>CDI0412149Q5</v>
          </cell>
        </row>
        <row r="837">
          <cell r="A837" t="str">
            <v xml:space="preserve"> Servicios Y Equipo Fotográfico Profesional, S.A. De C.V.</v>
          </cell>
          <cell r="B837" t="str">
            <v>SEF970611BR4</v>
          </cell>
        </row>
        <row r="838">
          <cell r="A838" t="str">
            <v>Medical Dimegar, S.A. De C.V.</v>
          </cell>
          <cell r="B838" t="str">
            <v>MDI891030IH9</v>
          </cell>
        </row>
        <row r="839">
          <cell r="A839" t="str">
            <v>Servicios Jurídicos Sistematizados Serjusis, S.C.</v>
          </cell>
          <cell r="B839" t="str">
            <v>SJS0905252R7</v>
          </cell>
        </row>
        <row r="840">
          <cell r="A840" t="str">
            <v>Grupo Competitividad y Talento Empresarial, S.C.</v>
          </cell>
          <cell r="B840" t="str">
            <v>GCT101203RW3</v>
          </cell>
        </row>
        <row r="841">
          <cell r="A841" t="str">
            <v>Tecnología Especializada Bitcom, S.A. De C.V.</v>
          </cell>
          <cell r="B841" t="str">
            <v>TEB1406231E8</v>
          </cell>
        </row>
        <row r="842">
          <cell r="A842" t="str">
            <v>Arsoba Consultores, S.C.</v>
          </cell>
          <cell r="B842" t="str">
            <v>ACO051205BY1</v>
          </cell>
        </row>
        <row r="843">
          <cell r="A843" t="str">
            <v>Foto Regis Compañía Importadora Fotográfica, S.A. De C.V.</v>
          </cell>
          <cell r="B843" t="str">
            <v>FRI670920AS8</v>
          </cell>
        </row>
        <row r="844">
          <cell r="A844" t="str">
            <v>Siva Consultoría En Seguridad, S.A. De C.V.</v>
          </cell>
          <cell r="B844" t="str">
            <v>SCS161122SS1</v>
          </cell>
        </row>
        <row r="845">
          <cell r="A845" t="str">
            <v>Gts Gaba Group, S.A. De C.V.</v>
          </cell>
          <cell r="B845" t="str">
            <v>GGG160802AT9</v>
          </cell>
        </row>
        <row r="846">
          <cell r="A846" t="str">
            <v>Advanced Secure Solutions, S.A. De C.V.</v>
          </cell>
          <cell r="B846" t="str">
            <v>ASS061018DV3</v>
          </cell>
        </row>
        <row r="847">
          <cell r="A847" t="str">
            <v>Universidad La Salle, A.C.</v>
          </cell>
          <cell r="B847" t="str">
            <v>USA620620N49</v>
          </cell>
        </row>
        <row r="848">
          <cell r="A848" t="str">
            <v>Comiempsa, S.A. De C.V.</v>
          </cell>
          <cell r="B848" t="str">
            <v>COM070704K12</v>
          </cell>
        </row>
        <row r="849">
          <cell r="A849" t="str">
            <v>Corporativo Multidisciplinario BGG, S.A. De C.V.</v>
          </cell>
          <cell r="B849" t="str">
            <v>CMB140131576</v>
          </cell>
        </row>
        <row r="850">
          <cell r="A850" t="str">
            <v>Live 13.5, S. De R.L. De C.V.</v>
          </cell>
          <cell r="B850" t="str">
            <v>LCT140403S7A</v>
          </cell>
        </row>
        <row r="851">
          <cell r="A851" t="str">
            <v>It Open Knowledge Center, S.A. de C.V.</v>
          </cell>
          <cell r="B851" t="str">
            <v>IKC1409265L9</v>
          </cell>
        </row>
        <row r="852">
          <cell r="A852" t="str">
            <v>Construcciones Y Dragados Del Sureste, S.A. De C.V.</v>
          </cell>
          <cell r="B852" t="str">
            <v>CDS970212MV3</v>
          </cell>
        </row>
        <row r="853">
          <cell r="A853" t="str">
            <v>Corporativo Alberdy, S.A. De C.V.</v>
          </cell>
          <cell r="B853" t="str">
            <v>CAL040311K70</v>
          </cell>
        </row>
        <row r="854">
          <cell r="A854" t="str">
            <v>Imm Internet Media México, S. De R.L. De C.V.</v>
          </cell>
          <cell r="B854" t="str">
            <v>IMM100219CQ9</v>
          </cell>
        </row>
        <row r="855">
          <cell r="A855" t="str">
            <v>Gastelum Ix, S.A. De C.V.</v>
          </cell>
          <cell r="B855" t="str">
            <v>GIX151118RT9</v>
          </cell>
        </row>
        <row r="856">
          <cell r="A856" t="str">
            <v>Bas International Certification Co. S.C.</v>
          </cell>
          <cell r="B856" t="str">
            <v>BIC110928LH3</v>
          </cell>
        </row>
        <row r="857">
          <cell r="A857" t="str">
            <v>Empresas De Telecomunicación Del Cerro Chiquihuite, A.C.</v>
          </cell>
          <cell r="B857" t="str">
            <v>ETC950810RR6</v>
          </cell>
        </row>
        <row r="858">
          <cell r="A858" t="str">
            <v>Al Gau, S.A. De C.V.</v>
          </cell>
          <cell r="B858" t="str">
            <v>GAU041020371</v>
          </cell>
        </row>
        <row r="859">
          <cell r="A859" t="str">
            <v>Gesip, Centro Para La Gestión Integral Y Participativa, S.C.</v>
          </cell>
          <cell r="B859" t="str">
            <v>GCG041020HB2</v>
          </cell>
        </row>
        <row r="860">
          <cell r="A860" t="str">
            <v>Howling Monkey Studio, S.C.</v>
          </cell>
          <cell r="B860" t="str">
            <v>HMS1111285V7</v>
          </cell>
        </row>
        <row r="861">
          <cell r="A861" t="str">
            <v>Libros Grano De Sal, S.A. de C.V.</v>
          </cell>
          <cell r="B861" t="str">
            <v>LGS170227LGA</v>
          </cell>
        </row>
        <row r="862">
          <cell r="A862" t="str">
            <v>Estrategia Total En Competitividad Nacional E Internacional, S.A. De C.V.</v>
          </cell>
          <cell r="B862" t="str">
            <v>ETC090612DM6</v>
          </cell>
        </row>
        <row r="863">
          <cell r="A863" t="str">
            <v>C.I. Leam, S.A. De C.V.</v>
          </cell>
          <cell r="B863" t="str">
            <v>CLE150714IR3</v>
          </cell>
        </row>
        <row r="864">
          <cell r="A864" t="str">
            <v>Construcciones Y Diseño Elisa, S.A. De C.V.</v>
          </cell>
          <cell r="B864" t="str">
            <v>CDE1404075I4</v>
          </cell>
        </row>
        <row r="865">
          <cell r="A865" t="str">
            <v>Radamanthis, S.A. De C.V.</v>
          </cell>
          <cell r="B865" t="str">
            <v>RAD130715QK9</v>
          </cell>
        </row>
        <row r="866">
          <cell r="A866" t="str">
            <v>Equipos Carlin De Morelos, S.A. De C.V.</v>
          </cell>
          <cell r="B866" t="str">
            <v>ECM110819NL3</v>
          </cell>
        </row>
        <row r="867">
          <cell r="A867" t="str">
            <v>Fuerza Y Tecnología En Ingeniería, S.A. De C.V.</v>
          </cell>
          <cell r="B867" t="str">
            <v>FTI0701173J7</v>
          </cell>
        </row>
        <row r="868">
          <cell r="A868" t="str">
            <v>Agencia 80 - 20, S.A. De C.V.</v>
          </cell>
          <cell r="B868" t="str">
            <v>AGE151120UT2</v>
          </cell>
        </row>
        <row r="869">
          <cell r="A869" t="str">
            <v>Grupo Arte Y Comunicación, S.C.</v>
          </cell>
          <cell r="B869" t="str">
            <v>GAC930817TC7</v>
          </cell>
        </row>
        <row r="870">
          <cell r="A870" t="str">
            <v>Farvisan Insumos Institucionales, S.A. De C.V.</v>
          </cell>
          <cell r="B870" t="str">
            <v>FII110204978</v>
          </cell>
        </row>
        <row r="871">
          <cell r="A871" t="str">
            <v>Inmobiliaria Tamaca, S.A. de C.V.</v>
          </cell>
          <cell r="B871" t="str">
            <v>ITA061026Q36</v>
          </cell>
        </row>
        <row r="872">
          <cell r="A872" t="str">
            <v>Skandatecnology Advisors, S.A. De C.V.</v>
          </cell>
          <cell r="B872" t="str">
            <v>SAD090420959</v>
          </cell>
        </row>
        <row r="873">
          <cell r="A873" t="str">
            <v>Rincón Méndez Construcciones, S.A. De C.V.</v>
          </cell>
          <cell r="B873" t="str">
            <v>RMC160914FT3</v>
          </cell>
        </row>
        <row r="874">
          <cell r="A874" t="str">
            <v>Diseño Y Construcción Activos, S.A De C.V.</v>
          </cell>
          <cell r="B874" t="str">
            <v>DCA061027CZ8</v>
          </cell>
        </row>
        <row r="875">
          <cell r="A875" t="str">
            <v>Sinergia Participativa, S.A. De C.V.</v>
          </cell>
          <cell r="B875" t="str">
            <v>SPA090908CU3</v>
          </cell>
        </row>
        <row r="876">
          <cell r="A876" t="str">
            <v>Momentos.Com, S. De R.L. De C.V.</v>
          </cell>
          <cell r="B876" t="str">
            <v>MOM070709516</v>
          </cell>
        </row>
        <row r="877">
          <cell r="A877" t="str">
            <v>Lógica Aplicaciones Soporte Y Servicio, S.A. De C.V.</v>
          </cell>
          <cell r="B877" t="str">
            <v>LAS880427DP8</v>
          </cell>
        </row>
        <row r="878">
          <cell r="A878" t="str">
            <v>Gemad, S.A. De C.V.</v>
          </cell>
          <cell r="B878" t="str">
            <v>GEM161031I8A</v>
          </cell>
        </row>
        <row r="879">
          <cell r="A879" t="str">
            <v>Prake Consultores Y Asesores, S.A. De C.V.</v>
          </cell>
          <cell r="B879" t="str">
            <v>PCA161013R16</v>
          </cell>
        </row>
        <row r="880">
          <cell r="A880" t="str">
            <v>Instituto Mexicano Para La Investigación Y Desarrollo De La Legalidad, S.C.</v>
          </cell>
          <cell r="B880" t="str">
            <v>IMI160725KT7</v>
          </cell>
        </row>
        <row r="881">
          <cell r="A881" t="str">
            <v>Amarello Tecnologías De Información, S.A. De C.V.</v>
          </cell>
          <cell r="B881" t="str">
            <v>ATI110906IG6</v>
          </cell>
        </row>
        <row r="882">
          <cell r="A882" t="str">
            <v>Paradigma Publicidad, S.A. De C.V.</v>
          </cell>
          <cell r="B882" t="str">
            <v>PPU950516HI5</v>
          </cell>
        </row>
        <row r="883">
          <cell r="A883" t="str">
            <v>Mercado Negro Producciones, S.A. De C.V.</v>
          </cell>
          <cell r="B883" t="str">
            <v>MNP040303DQ6</v>
          </cell>
        </row>
        <row r="884">
          <cell r="A884" t="str">
            <v>Darac Network Solutions, S.A. De C.V.</v>
          </cell>
          <cell r="B884" t="str">
            <v>DNS160721773</v>
          </cell>
        </row>
        <row r="885">
          <cell r="A885" t="str">
            <v>Qualli Servicios Ti, S.A. De C.V.</v>
          </cell>
          <cell r="B885" t="str">
            <v>QST120409GU9</v>
          </cell>
        </row>
        <row r="886">
          <cell r="A886" t="str">
            <v>Delectric, S.A. De C.V.</v>
          </cell>
          <cell r="B886" t="str">
            <v>DEL9112172G8</v>
          </cell>
        </row>
        <row r="887">
          <cell r="A887" t="str">
            <v>Rilke Management, S.A. De C.V.</v>
          </cell>
          <cell r="B887" t="str">
            <v>RMA161031DJ1</v>
          </cell>
        </row>
        <row r="888">
          <cell r="A888" t="str">
            <v>Operadora Onis, S.A. De C.V.</v>
          </cell>
          <cell r="B888" t="str">
            <v>OON170610R5A</v>
          </cell>
        </row>
        <row r="889">
          <cell r="A889" t="str">
            <v>Moro Electronic Systems, S.A. De C.V.</v>
          </cell>
          <cell r="B889" t="str">
            <v>MES080514CSA</v>
          </cell>
        </row>
        <row r="890">
          <cell r="A890" t="str">
            <v>Construcciones Ligeras Y Pesadas De México, S.A. De C.V.</v>
          </cell>
          <cell r="B890" t="str">
            <v>CLP8507138E3</v>
          </cell>
        </row>
        <row r="891">
          <cell r="A891" t="str">
            <v>TDMA Celular, S.A. De C.V.</v>
          </cell>
          <cell r="B891" t="str">
            <v>TDM000815SK4</v>
          </cell>
        </row>
        <row r="892">
          <cell r="A892" t="str">
            <v>Pb &amp; Id By Paola Y Federica, S.C.</v>
          </cell>
          <cell r="B892" t="str">
            <v>PAI140703GM6</v>
          </cell>
        </row>
        <row r="893">
          <cell r="A893" t="str">
            <v>CSI Dynamics, S.A. De C.V.</v>
          </cell>
          <cell r="B893" t="str">
            <v>CDY140627RC1</v>
          </cell>
        </row>
        <row r="894">
          <cell r="A894" t="str">
            <v>Biolights Solutions, S.A. De C.V.</v>
          </cell>
          <cell r="B894" t="str">
            <v>BSO130207QG7</v>
          </cell>
        </row>
        <row r="895">
          <cell r="A895" t="str">
            <v>Publicidad A Todo Color, S.A. De C.V.</v>
          </cell>
          <cell r="B895" t="str">
            <v>PTC1511179A1</v>
          </cell>
        </row>
        <row r="896">
          <cell r="A896" t="str">
            <v>Desysnet, Consultores De Opinión Y Estrategia, S.A. De C.V.</v>
          </cell>
          <cell r="B896" t="str">
            <v>DCO131210S70</v>
          </cell>
        </row>
        <row r="897">
          <cell r="A897" t="str">
            <v>Penguin Random House Grupo Editorial, S.A. De C.V.</v>
          </cell>
          <cell r="B897" t="str">
            <v>RHM540924EFA</v>
          </cell>
        </row>
        <row r="898">
          <cell r="A898" t="str">
            <v>Instalaciones y Mantenimiento GG, S.A. de C.V.</v>
          </cell>
          <cell r="B898" t="str">
            <v>IMG070621B48</v>
          </cell>
        </row>
        <row r="899">
          <cell r="A899" t="str">
            <v>Centro De Estudios Profesionales Renacimiento, S.C.</v>
          </cell>
          <cell r="B899" t="str">
            <v>CEP0310298U8</v>
          </cell>
        </row>
        <row r="900">
          <cell r="A900" t="str">
            <v>Ingeniería, Servicios Y Sistemas Aplicados, S.A. De C.V.</v>
          </cell>
          <cell r="B900" t="str">
            <v>ISS911211PB6</v>
          </cell>
        </row>
        <row r="901">
          <cell r="A901" t="str">
            <v>Redsyscom, S.A. De C.V.</v>
          </cell>
          <cell r="B901" t="str">
            <v>RED020402FZA</v>
          </cell>
        </row>
        <row r="902">
          <cell r="A902" t="str">
            <v>Vector Impulsor De Proyectos, S.A. De C.V.</v>
          </cell>
          <cell r="B902" t="str">
            <v>VIP111024LR4</v>
          </cell>
        </row>
        <row r="903">
          <cell r="A903" t="str">
            <v>Constructora Harps, S.A. De C.V.</v>
          </cell>
          <cell r="B903" t="str">
            <v>CHA121003PM0</v>
          </cell>
        </row>
        <row r="904">
          <cell r="A904" t="str">
            <v>Productos Lyt, S.A. De C.V.</v>
          </cell>
          <cell r="B904" t="str">
            <v>PLY911206FC9</v>
          </cell>
        </row>
        <row r="905">
          <cell r="A905" t="str">
            <v>Berumen Y Asociados, S.A. De C.V.</v>
          </cell>
          <cell r="B905" t="str">
            <v>BAS9203045G8</v>
          </cell>
        </row>
        <row r="906">
          <cell r="A906" t="str">
            <v>Grupo De Administracion Y Sistemas, S.A. De C.V.</v>
          </cell>
          <cell r="B906" t="str">
            <v>GAS9310051IX4</v>
          </cell>
        </row>
        <row r="907">
          <cell r="A907" t="str">
            <v>Filtracion Productiva, S.A. De C.V.</v>
          </cell>
          <cell r="B907" t="str">
            <v>FPR871112U51</v>
          </cell>
        </row>
        <row r="908">
          <cell r="A908" t="str">
            <v>Automations Solutions Factory, S.A. De C.V.</v>
          </cell>
          <cell r="B908" t="str">
            <v>ASF020311UQ5</v>
          </cell>
        </row>
        <row r="909">
          <cell r="A909" t="str">
            <v>Gadxe, S.A. De C.V.</v>
          </cell>
          <cell r="B909" t="str">
            <v>GAD170208PM0</v>
          </cell>
        </row>
        <row r="910">
          <cell r="A910" t="str">
            <v>Duty Cold, S.A. De C.V.</v>
          </cell>
          <cell r="B910" t="str">
            <v>DCO101130F17</v>
          </cell>
        </row>
        <row r="911">
          <cell r="A911" t="str">
            <v>Centro De Estudios Superiores En Contrataciones Publicas, A.C.</v>
          </cell>
          <cell r="B911" t="str">
            <v>CES17011182</v>
          </cell>
        </row>
        <row r="912">
          <cell r="A912" t="str">
            <v>Distribuidora Aplicada A Negocios De La Industria, S.A. De C.V.</v>
          </cell>
          <cell r="B912" t="str">
            <v>DAN140728G12</v>
          </cell>
        </row>
        <row r="913">
          <cell r="A913" t="str">
            <v>Construcción Y Estructuras Danmari, S.A. De C.V.</v>
          </cell>
          <cell r="B913" t="str">
            <v>CED1308207IA</v>
          </cell>
        </row>
        <row r="914">
          <cell r="A914" t="str">
            <v>Criba Taller Editorial, S.A. De C.V.</v>
          </cell>
          <cell r="B914" t="str">
            <v>CTE9210292F6</v>
          </cell>
        </row>
        <row r="915">
          <cell r="A915" t="str">
            <v>Consorcio Ad Merx, S. De R.L. De C.V.</v>
          </cell>
          <cell r="B915" t="str">
            <v>CAM1207186I9</v>
          </cell>
        </row>
        <row r="916">
          <cell r="A916" t="str">
            <v>Instituto Mexicano De Auditores Internos, A.C.</v>
          </cell>
          <cell r="B916" t="str">
            <v>IMA840723ME8</v>
          </cell>
        </row>
        <row r="917">
          <cell r="A917" t="str">
            <v>Centro De Estudio De Inteligencia Estratégica, S.A. De C.V.</v>
          </cell>
          <cell r="B917" t="str">
            <v>CEI020589W4</v>
          </cell>
        </row>
        <row r="918">
          <cell r="A918" t="str">
            <v xml:space="preserve">Gbnetworks, S.A. De C.V.  </v>
          </cell>
          <cell r="B918" t="str">
            <v>GBN100426483</v>
          </cell>
        </row>
        <row r="919">
          <cell r="A919" t="str">
            <v>Grupo Bcrea Com, S.A. De C.V.</v>
          </cell>
          <cell r="B919" t="str">
            <v>GBC0401197K2</v>
          </cell>
        </row>
        <row r="920">
          <cell r="A920" t="str">
            <v>Grupo Einzig Pixan, S.A. De C.V.</v>
          </cell>
          <cell r="B920" t="str">
            <v>GEP161128A11</v>
          </cell>
        </row>
        <row r="921">
          <cell r="A921" t="str">
            <v xml:space="preserve">Grupo Distribuidora Y Comercializadora Nacional E Internacional De México, S.A. </v>
          </cell>
          <cell r="B921" t="str">
            <v>GDC1307162L1</v>
          </cell>
        </row>
        <row r="922">
          <cell r="A922" t="str">
            <v>Global Assurance Brokers Agente De Seguros Y De Fianzas, S.A. De C.V.</v>
          </cell>
          <cell r="B922" t="str">
            <v>GAB0709244G5</v>
          </cell>
        </row>
        <row r="923">
          <cell r="A923" t="str">
            <v>Ludicorp, S.A. de C.V.</v>
          </cell>
          <cell r="B923" t="str">
            <v>LUD060210AC8</v>
          </cell>
        </row>
        <row r="924">
          <cell r="A924" t="str">
            <v>Plaza Y Valdés, S.A. De C.V.</v>
          </cell>
          <cell r="B924" t="str">
            <v>PVA890818IY8</v>
          </cell>
        </row>
        <row r="925">
          <cell r="A925" t="str">
            <v>Comercializadora Bandick, S.A. De C.V.</v>
          </cell>
          <cell r="B925" t="str">
            <v>CBA070607UT3</v>
          </cell>
        </row>
        <row r="926">
          <cell r="A926" t="str">
            <v>Editorial Porrúa, S.A. De C.V.</v>
          </cell>
          <cell r="B926" t="str">
            <v>EPO440314PK9</v>
          </cell>
        </row>
        <row r="927">
          <cell r="A927" t="str">
            <v>File Service De México, S.A. De C.V.</v>
          </cell>
          <cell r="B927" t="str">
            <v>FSM9811164P1</v>
          </cell>
        </row>
        <row r="928">
          <cell r="A928" t="str">
            <v>Distribuidora De Material Dental Y Hospitalario, S.A. De C.V.</v>
          </cell>
          <cell r="B928" t="str">
            <v>DMD911021FP5</v>
          </cell>
        </row>
        <row r="929">
          <cell r="A929" t="str">
            <v>Grupo Industrial de Maquinaria Electromecánica, S.A. de C.V.</v>
          </cell>
          <cell r="B929" t="str">
            <v>GIM971204IYA</v>
          </cell>
        </row>
        <row r="930">
          <cell r="A930" t="str">
            <v>Innovaciones Alaska Supply, S.A. de C.V.</v>
          </cell>
          <cell r="B930" t="str">
            <v>IAS050304Q45</v>
          </cell>
        </row>
        <row r="931">
          <cell r="A931" t="str">
            <v>Indice Dover, S.A. de C.V.</v>
          </cell>
          <cell r="B931" t="str">
            <v>IDO1804036JA</v>
          </cell>
        </row>
        <row r="932">
          <cell r="A932" t="str">
            <v>Best Id De México, S.A. De C.V.</v>
          </cell>
          <cell r="B932" t="str">
            <v>BIM1704217S8</v>
          </cell>
        </row>
        <row r="933">
          <cell r="A933" t="str">
            <v>Dyproisa Diseño y Proyectos de Ingeniería Industrial, S.A. de C.V.</v>
          </cell>
          <cell r="B933" t="str">
            <v>DDP1409198F2</v>
          </cell>
        </row>
        <row r="934">
          <cell r="A934" t="str">
            <v xml:space="preserve">Instituto de Investigaciones Dr. José María Luis Mora </v>
          </cell>
          <cell r="B934" t="str">
            <v>IIJ8111184L7</v>
          </cell>
        </row>
        <row r="935">
          <cell r="A935" t="str">
            <v>Uniformes Médicos y Desechables, S.A. de C.V.</v>
          </cell>
          <cell r="B935" t="str">
            <v>UMD100309Q9A</v>
          </cell>
        </row>
        <row r="936">
          <cell r="A936" t="str">
            <v>Thales México, S.A. de C.V.</v>
          </cell>
          <cell r="B936" t="str">
            <v>TSS000724HT5</v>
          </cell>
        </row>
        <row r="937">
          <cell r="A937" t="str">
            <v>A.B.H. Edificaciones y Proyectos, S.A. de C.V.</v>
          </cell>
          <cell r="B937" t="str">
            <v>BCE890301FW4</v>
          </cell>
        </row>
        <row r="938">
          <cell r="A938" t="str">
            <v>Guizar Ingeniería, S.A. de C.V.</v>
          </cell>
          <cell r="B938" t="str">
            <v>GUVR370526LI5</v>
          </cell>
        </row>
        <row r="939">
          <cell r="A939" t="str">
            <v xml:space="preserve">Ingeniería Electromecánica en Infraestructura Computacional, S.A. de C.V. </v>
          </cell>
          <cell r="B939" t="str">
            <v>IEE070329DR4</v>
          </cell>
        </row>
        <row r="940">
          <cell r="A940" t="str">
            <v>Archivos de Cartón y Más, S.A. de C.V.</v>
          </cell>
          <cell r="B940" t="str">
            <v>ACM170303NU9</v>
          </cell>
        </row>
        <row r="941">
          <cell r="A941" t="str">
            <v xml:space="preserve">Mactell de México, S.A. de C.V. </v>
          </cell>
          <cell r="B941" t="str">
            <v>MME010322PM5</v>
          </cell>
        </row>
        <row r="942">
          <cell r="A942" t="str">
            <v xml:space="preserve">Distribuidor Computacional Deco, S.A. de C.V. </v>
          </cell>
          <cell r="B942" t="str">
            <v>DCD090806GJ4</v>
          </cell>
        </row>
        <row r="943">
          <cell r="A943" t="str">
            <v xml:space="preserve">Caminos y Puentes Federales de Ingresos y Servicios Conexos </v>
          </cell>
          <cell r="B943" t="str">
            <v>CPF6307036N8</v>
          </cell>
        </row>
        <row r="944">
          <cell r="A944" t="str">
            <v>Edicionesakal México, S.A. de C.V.</v>
          </cell>
          <cell r="B944" t="str">
            <v>EAK100407RL9</v>
          </cell>
        </row>
        <row r="945">
          <cell r="A945" t="str">
            <v>Stallum Construcciones Globales, S.A. de C.V.</v>
          </cell>
          <cell r="B945" t="str">
            <v>SCG161201TUO</v>
          </cell>
        </row>
        <row r="946">
          <cell r="A946" t="str">
            <v xml:space="preserve">Vivaza, Asesoría de Negocios, S.C. </v>
          </cell>
          <cell r="B946" t="str">
            <v>VAN120928ID2</v>
          </cell>
        </row>
        <row r="947">
          <cell r="A947" t="str">
            <v>Distribuidora Ojusami, S.A. de C.V.</v>
          </cell>
          <cell r="B947" t="str">
            <v>DOJ030211CU9</v>
          </cell>
        </row>
        <row r="948">
          <cell r="A948" t="str">
            <v>Telecomunicaciones De México</v>
          </cell>
          <cell r="B948" t="str">
            <v>TME891117F56</v>
          </cell>
        </row>
        <row r="949">
          <cell r="A949" t="str">
            <v>In Illi Tempore SA De CV</v>
          </cell>
          <cell r="B949" t="str">
            <v>IIT030805BX9</v>
          </cell>
        </row>
        <row r="950">
          <cell r="A950" t="str">
            <v>Grupo Cireque Sociedad Civil</v>
          </cell>
          <cell r="B950" t="str">
            <v>GCI1706306R2</v>
          </cell>
        </row>
        <row r="951">
          <cell r="A951" t="str">
            <v>Suven, S.A. De C.V.</v>
          </cell>
          <cell r="B951" t="str">
            <v>SUV130405TK8</v>
          </cell>
        </row>
        <row r="952">
          <cell r="A952" t="str">
            <v>Construcciones Nycpza, S.A. De C.V.</v>
          </cell>
          <cell r="B952" t="str">
            <v>CNY160516HP5</v>
          </cell>
        </row>
        <row r="953">
          <cell r="A953" t="str">
            <v>Bla Bla Bla Contenidos, S.C.</v>
          </cell>
          <cell r="B953" t="str">
            <v>BBB160309FU5</v>
          </cell>
        </row>
        <row r="954">
          <cell r="A954" t="str">
            <v>Dbs Consultoría, S.C.</v>
          </cell>
          <cell r="B954" t="str">
            <v>DCO140912G37</v>
          </cell>
        </row>
        <row r="955">
          <cell r="A955" t="str">
            <v>Renovacomex, S.A. De C.V.</v>
          </cell>
          <cell r="B955" t="str">
            <v>REN171023BW3</v>
          </cell>
        </row>
        <row r="956">
          <cell r="A956" t="str">
            <v>Samurai Motors Ciudad De México, S. De R.L. De C.V.</v>
          </cell>
          <cell r="B956" t="str">
            <v>SMC171030UG5</v>
          </cell>
        </row>
        <row r="957">
          <cell r="A957" t="str">
            <v>Borgonio &amp; Rojas Consulting, S.C.</v>
          </cell>
          <cell r="B957" t="str">
            <v>BAR1205142A6</v>
          </cell>
        </row>
        <row r="958">
          <cell r="A958" t="str">
            <v>Autocom Metro, S.A.P.I. De C.V.</v>
          </cell>
          <cell r="B958" t="str">
            <v>AME110623A95</v>
          </cell>
        </row>
        <row r="959">
          <cell r="A959" t="str">
            <v>Atml, S.A. De C.V.</v>
          </cell>
          <cell r="B959" t="str">
            <v>ATM131008EM0</v>
          </cell>
        </row>
        <row r="960">
          <cell r="A960" t="str">
            <v>Sollertis Consultores, S.C.</v>
          </cell>
          <cell r="B960" t="str">
            <v>SCO110208942</v>
          </cell>
        </row>
        <row r="961">
          <cell r="A961" t="str">
            <v>Corporativo H9, S.A. De C.V.</v>
          </cell>
          <cell r="B961" t="str">
            <v>CHX1612143I4</v>
          </cell>
        </row>
        <row r="962">
          <cell r="A962" t="str">
            <v>Bio Green Products, S.A. De C.V.</v>
          </cell>
          <cell r="B962" t="str">
            <v>BGP140314BQ5</v>
          </cell>
        </row>
        <row r="963">
          <cell r="A963" t="str">
            <v>Multiservicios Damu, S.A. De C.V.</v>
          </cell>
          <cell r="B963" t="str">
            <v>MDA150522Q27</v>
          </cell>
        </row>
        <row r="964">
          <cell r="A964" t="str">
            <v>Grupo Avatecsys, S.A. De C.V.</v>
          </cell>
          <cell r="B964" t="str">
            <v>GAV080114UY7</v>
          </cell>
        </row>
        <row r="965">
          <cell r="A965" t="str">
            <v>Serbitecsa, S.A. De C.V.</v>
          </cell>
          <cell r="B965" t="str">
            <v>SER080612IY7</v>
          </cell>
        </row>
        <row r="966">
          <cell r="A966" t="str">
            <v>C.L. Editorial Praxis, S.A. De C.V.</v>
          </cell>
          <cell r="B966" t="str">
            <v>CLE9207094M5</v>
          </cell>
        </row>
        <row r="967">
          <cell r="A967" t="str">
            <v>Ingeniería Ambiental Roca, S.A. De C.V.</v>
          </cell>
          <cell r="B967" t="str">
            <v>IAR1704052Z2</v>
          </cell>
        </row>
        <row r="968">
          <cell r="A968" t="str">
            <v>Grupo Lafi, S.A. De C.V.</v>
          </cell>
          <cell r="B968" t="str">
            <v>GLA841203HGA</v>
          </cell>
        </row>
        <row r="969">
          <cell r="A969" t="str">
            <v>Eclecsis Sinergía y Tecnología, S. de R.L. de C.V.</v>
          </cell>
          <cell r="B969" t="str">
            <v>EST071221PZ0</v>
          </cell>
        </row>
        <row r="970">
          <cell r="A970" t="str">
            <v>Equipo Gráfico, S.A. De C.V.</v>
          </cell>
          <cell r="B970" t="str">
            <v>EGR010521I50</v>
          </cell>
        </row>
        <row r="971">
          <cell r="A971" t="str">
            <v>Savener Eventos Y Servicios, S.A. De C.V.</v>
          </cell>
          <cell r="B971" t="str">
            <v>SES130419489</v>
          </cell>
        </row>
        <row r="972">
          <cell r="A972" t="str">
            <v>Jal Consultoría Estratégica, S.A. De C.V.</v>
          </cell>
          <cell r="B972" t="str">
            <v>JCE0811074VA</v>
          </cell>
        </row>
        <row r="973">
          <cell r="A973" t="str">
            <v>Dango Entretenimiento, S.A. de C.V.</v>
          </cell>
          <cell r="B973" t="str">
            <v>DEN150901UB0</v>
          </cell>
        </row>
        <row r="974">
          <cell r="A974" t="str">
            <v>Ingeniería, Soluciones Y Respaldo Profesional, S.A. De C.V.</v>
          </cell>
          <cell r="B974" t="str">
            <v>ISR1402285L4</v>
          </cell>
        </row>
        <row r="975">
          <cell r="A975" t="str">
            <v>Código Genético Empresarial, S.A. De C.V.</v>
          </cell>
          <cell r="B975" t="str">
            <v>CGE141216K26</v>
          </cell>
        </row>
        <row r="976">
          <cell r="A976" t="str">
            <v>Grupo Empresarial Garac, S.A. de C.V.</v>
          </cell>
          <cell r="B976" t="str">
            <v>GEG1209258X0</v>
          </cell>
        </row>
        <row r="977">
          <cell r="A977" t="str">
            <v>Fendis, S.A. De C.V.</v>
          </cell>
          <cell r="B977" t="str">
            <v>FEN020203M39</v>
          </cell>
        </row>
        <row r="978">
          <cell r="A978" t="str">
            <v>Lion Import, S.A. de C.V.</v>
          </cell>
          <cell r="B978" t="str">
            <v>LIM161006K77</v>
          </cell>
        </row>
        <row r="979">
          <cell r="A979" t="str">
            <v>Ariata Total Consulting, S.A. de C.V.</v>
          </cell>
          <cell r="B979" t="str">
            <v>ATC150423HIA</v>
          </cell>
        </row>
        <row r="980">
          <cell r="A980" t="str">
            <v>Kuepa Capacitaciones, S.A. de C.V.</v>
          </cell>
          <cell r="B980" t="str">
            <v>KCA160310UX5</v>
          </cell>
        </row>
        <row r="981">
          <cell r="A981" t="str">
            <v>Langre Camarena y Asociados, S.A. de C.V.</v>
          </cell>
          <cell r="B981" t="str">
            <v>LCA0901271GA</v>
          </cell>
        </row>
        <row r="982">
          <cell r="A982" t="str">
            <v>Díaz García Ingeniería, S.A. de C.V.</v>
          </cell>
          <cell r="B982" t="str">
            <v>DGI120329QA5</v>
          </cell>
        </row>
        <row r="983">
          <cell r="A983" t="str">
            <v>Interstudio, S. de R.L.</v>
          </cell>
          <cell r="B983" t="str">
            <v>INT140901IT0</v>
          </cell>
        </row>
        <row r="984">
          <cell r="A984" t="str">
            <v>Extravagancia Funcional, S.C.</v>
          </cell>
          <cell r="B984" t="str">
            <v>EFU020710338</v>
          </cell>
        </row>
        <row r="985">
          <cell r="A985" t="str">
            <v>Impresos Publicitarios y Comerciales, S.A. de C.V.</v>
          </cell>
          <cell r="B985" t="str">
            <v>IPC8204281T0</v>
          </cell>
        </row>
        <row r="986">
          <cell r="A986" t="str">
            <v>Faro Business Process Consulting, S.A. de C.V.</v>
          </cell>
          <cell r="B986" t="str">
            <v>FBP090509KP6</v>
          </cell>
        </row>
        <row r="987">
          <cell r="A987" t="str">
            <v>CL Consultoría, S.C.</v>
          </cell>
          <cell r="B987" t="str">
            <v>CCO100825DN9</v>
          </cell>
        </row>
        <row r="988">
          <cell r="A988" t="str">
            <v>Present Life Consulting Latinoamérica, S.A. de C.V.</v>
          </cell>
          <cell r="B988" t="str">
            <v>PLC1506228W5</v>
          </cell>
        </row>
        <row r="989">
          <cell r="A989" t="str">
            <v>Mujica Impresor, S.A. de C.V.</v>
          </cell>
          <cell r="B989" t="str">
            <v>M1M0711131B3</v>
          </cell>
        </row>
        <row r="990">
          <cell r="A990" t="str">
            <v>Draghi Consulltoría, S.C.</v>
          </cell>
          <cell r="B990" t="str">
            <v>DCO120717BJ9</v>
          </cell>
        </row>
        <row r="991">
          <cell r="A991" t="str">
            <v>Asociación de Normalización y Certificación A.C.</v>
          </cell>
          <cell r="B991" t="str">
            <v>ANC9212111T8</v>
          </cell>
        </row>
        <row r="992">
          <cell r="A992" t="str">
            <v>Zuma Tecnologías de Información, S.C.</v>
          </cell>
          <cell r="B992" t="str">
            <v>ZTI071120DX8</v>
          </cell>
        </row>
        <row r="993">
          <cell r="A993" t="str">
            <v>Manatie Prod, S.A. de C.V.</v>
          </cell>
          <cell r="B993" t="str">
            <v>MPR040331G7A</v>
          </cell>
        </row>
        <row r="994">
          <cell r="A994" t="str">
            <v>Consultoría Empresarial Universal, S.A. de C.V.</v>
          </cell>
          <cell r="B994" t="str">
            <v>CEU130910BPA</v>
          </cell>
        </row>
        <row r="995">
          <cell r="A995" t="str">
            <v>Malnor Sistemas, S.A. de C.V.</v>
          </cell>
          <cell r="B995" t="str">
            <v>MSI020717SQ9</v>
          </cell>
        </row>
        <row r="996">
          <cell r="A996" t="str">
            <v>Pagrali, S.A. de C.V.</v>
          </cell>
          <cell r="B996" t="str">
            <v>PAG110223741</v>
          </cell>
        </row>
        <row r="997">
          <cell r="A997" t="str">
            <v>Grupo Industrial de Maquinaria Electromecánica, S.A. de C.V.</v>
          </cell>
          <cell r="B997" t="str">
            <v>GIM971204IYA</v>
          </cell>
        </row>
        <row r="998">
          <cell r="A998" t="str">
            <v>Manuel Ayala Amador</v>
          </cell>
          <cell r="B998" t="str">
            <v>AAAM780312B42</v>
          </cell>
        </row>
        <row r="999">
          <cell r="A999" t="str">
            <v>Jashmal, S.A. de C.V.</v>
          </cell>
          <cell r="B999" t="str">
            <v>JAS981106A77</v>
          </cell>
        </row>
        <row r="1000">
          <cell r="A1000" t="str">
            <v>Manatie Prod, S.A. de C.V.</v>
          </cell>
          <cell r="B1000" t="str">
            <v>MPR040331G7A</v>
          </cell>
        </row>
        <row r="1001">
          <cell r="A1001" t="str">
            <v>Asociación de Televisiones Educativas y Culturales Iberoamericanas</v>
          </cell>
          <cell r="B1001" t="str">
            <v>G80455140</v>
          </cell>
        </row>
        <row r="1002">
          <cell r="A1002" t="str">
            <v>La Red de Radiodifusoras Televisoras Educativas y Culturales de México, A.C.</v>
          </cell>
          <cell r="B1002" t="str">
            <v>RRT0511075U1</v>
          </cell>
        </row>
        <row r="1003">
          <cell r="A1003" t="str">
            <v>Interlift de México, S.A. de C.V.</v>
          </cell>
          <cell r="B1003" t="str">
            <v>IME0308124V3</v>
          </cell>
        </row>
        <row r="1004">
          <cell r="A1004" t="str">
            <v>Diseño y Construcción Activos, S.A. de C.V.</v>
          </cell>
          <cell r="B1004" t="str">
            <v>DCA061027CZ8</v>
          </cell>
        </row>
        <row r="1005">
          <cell r="A1005" t="str">
            <v>Impulsora de Articulos y Servicios Mexicanos, S.A. de C.V.</v>
          </cell>
          <cell r="B1005" t="str">
            <v>IAS0707069B8</v>
          </cell>
        </row>
        <row r="1006">
          <cell r="A1006" t="str">
            <v>ZV Diseños, S.A. de C.V.</v>
          </cell>
          <cell r="B1006" t="str">
            <v>ZDI941115I19</v>
          </cell>
        </row>
        <row r="1007">
          <cell r="A1007" t="str">
            <v>Jasev Computación, S.A de C.V.</v>
          </cell>
          <cell r="B1007" t="str">
            <v>JCO931215CI8</v>
          </cell>
        </row>
        <row r="1008">
          <cell r="A1008" t="str">
            <v>Gustavo Espinoza Sotero</v>
          </cell>
          <cell r="B1008" t="str">
            <v>EISG730404LV2</v>
          </cell>
        </row>
        <row r="1009">
          <cell r="A1009" t="str">
            <v>Francisco Antonio Munive Y González</v>
          </cell>
          <cell r="B1009" t="str">
            <v>MUGF420612NV3</v>
          </cell>
        </row>
        <row r="1010">
          <cell r="A1010" t="str">
            <v>Omar García  Castillo</v>
          </cell>
          <cell r="B1010" t="str">
            <v>GACO890821PI4</v>
          </cell>
        </row>
        <row r="1011">
          <cell r="A1011" t="str">
            <v>Victor Hugo Moreno Herrera</v>
          </cell>
          <cell r="B1011" t="str">
            <v>MOHV751206EC4</v>
          </cell>
        </row>
        <row r="1012">
          <cell r="A1012" t="str">
            <v>Victor Hugo Magallón Loyola</v>
          </cell>
          <cell r="B1012" t="str">
            <v>MALV730712AU8</v>
          </cell>
        </row>
        <row r="1013">
          <cell r="A1013" t="str">
            <v>Silvia Regalado Godinez</v>
          </cell>
          <cell r="B1013" t="str">
            <v>REGS711018TI4</v>
          </cell>
        </row>
        <row r="1014">
          <cell r="A1014" t="str">
            <v>Adela Mora López</v>
          </cell>
          <cell r="B1014" t="str">
            <v>MOLA630212FP5</v>
          </cell>
        </row>
        <row r="1015">
          <cell r="A1015" t="str">
            <v>Carlos Dario Hernández Crespo</v>
          </cell>
          <cell r="B1015" t="str">
            <v>HECC8308029P8</v>
          </cell>
        </row>
        <row r="1016">
          <cell r="A1016" t="str">
            <v>Joaquín Heracleo Vázquez Martínez</v>
          </cell>
          <cell r="B1016" t="str">
            <v>VAMJ650104NIA</v>
          </cell>
        </row>
        <row r="1017">
          <cell r="A1017" t="str">
            <v>Gabriel Mauricio Leyva Castillo</v>
          </cell>
          <cell r="B1017" t="str">
            <v>LECG660426254</v>
          </cell>
        </row>
        <row r="1018">
          <cell r="A1018" t="str">
            <v>Jose Antonio Medina  Gutiérrez</v>
          </cell>
          <cell r="B1018" t="str">
            <v>MEGA570514ERA</v>
          </cell>
        </row>
        <row r="1019">
          <cell r="A1019" t="str">
            <v>Julio Manuel Robles Palafox</v>
          </cell>
          <cell r="B1019" t="str">
            <v>ROPJ7706096V6</v>
          </cell>
        </row>
        <row r="1020">
          <cell r="A1020" t="str">
            <v>Paulina Jurado García</v>
          </cell>
          <cell r="B1020" t="str">
            <v>JUGP8808222IA</v>
          </cell>
        </row>
        <row r="1021">
          <cell r="A1021" t="str">
            <v>Estrategia y Eventos Exclusivos,S.A. de C.V.</v>
          </cell>
          <cell r="B1021" t="str">
            <v>EEE130423P43</v>
          </cell>
        </row>
        <row r="1022">
          <cell r="A1022" t="str">
            <v>Sr.  &amp; Friends, S.A. de C.V</v>
          </cell>
          <cell r="B1022" t="str">
            <v>SAF0612063I7</v>
          </cell>
        </row>
        <row r="1023">
          <cell r="A1023" t="str">
            <v>Pórtico, Información y Análisis</v>
          </cell>
          <cell r="B1023" t="str">
            <v>PIA9803134F7</v>
          </cell>
        </row>
        <row r="1024">
          <cell r="A1024" t="str">
            <v>Caja Electrónica, S.A.</v>
          </cell>
          <cell r="B1024" t="str">
            <v>CEL870528727</v>
          </cell>
        </row>
        <row r="1025">
          <cell r="A1025" t="str">
            <v>Offset Santiago, S.A. de C.V.</v>
          </cell>
          <cell r="B1025" t="str">
            <v>OSA800929DQ9</v>
          </cell>
        </row>
        <row r="1026">
          <cell r="A1026" t="str">
            <v>Transporte de Carga Grupo MYM, S.A. de C.V.</v>
          </cell>
          <cell r="B1026" t="str">
            <v>TCG151202KQ8</v>
          </cell>
        </row>
        <row r="1027">
          <cell r="A1027" t="str">
            <v>Servicios de Capacitación, Asesoria y Productividad, S.C.</v>
          </cell>
          <cell r="B1027" t="str">
            <v>SCA891107NM5</v>
          </cell>
        </row>
        <row r="1028">
          <cell r="A1028" t="str">
            <v>Business Consultans Management, S.C.</v>
          </cell>
          <cell r="B1028" t="str">
            <v>BBC0602014Q6</v>
          </cell>
        </row>
        <row r="1029">
          <cell r="A1029" t="str">
            <v>Impresión de Arte Bindu, S.A. de C.V.</v>
          </cell>
          <cell r="B1029" t="str">
            <v>IAB1512105H6</v>
          </cell>
        </row>
        <row r="1030">
          <cell r="A1030" t="str">
            <v>Nueva Papelera Catalunya, S.A. de C.V.</v>
          </cell>
          <cell r="B1030" t="str">
            <v>NPC170801KQ3</v>
          </cell>
        </row>
        <row r="1031">
          <cell r="A1031" t="str">
            <v>Alfredo Muñoz Herranz</v>
          </cell>
          <cell r="B1031" t="str">
            <v>MUHA53072547A</v>
          </cell>
        </row>
        <row r="1032">
          <cell r="A1032" t="str">
            <v>Aureliano Contreras Morales</v>
          </cell>
          <cell r="B1032" t="str">
            <v>COMA650616KG7</v>
          </cell>
        </row>
        <row r="1033">
          <cell r="A1033" t="str">
            <v>Eliseo Madera Olague</v>
          </cell>
          <cell r="B1033" t="str">
            <v>MAOE530615TW4</v>
          </cell>
        </row>
        <row r="1034">
          <cell r="A1034" t="str">
            <v xml:space="preserve">Alos Mantenimiento Integral, S.A. de C.V.  </v>
          </cell>
          <cell r="B1034" t="str">
            <v>AMI0512018U5</v>
          </cell>
        </row>
        <row r="1035">
          <cell r="A1035" t="str">
            <v>Multiservicios Damu, S.A. De C.V.</v>
          </cell>
          <cell r="B1035" t="str">
            <v>MDA150522Q27</v>
          </cell>
        </row>
        <row r="1036">
          <cell r="A1036" t="str">
            <v>Angela González Alvárez</v>
          </cell>
          <cell r="B1036" t="str">
            <v>GOAA5903303H2</v>
          </cell>
        </row>
        <row r="1037">
          <cell r="A1037" t="str">
            <v xml:space="preserve">Proper Services, S.A. de C.V  </v>
          </cell>
          <cell r="B1037" t="str">
            <v>PSE9908261P9</v>
          </cell>
        </row>
        <row r="1038">
          <cell r="A1038" t="str">
            <v xml:space="preserve">Servicio, Instalación, Mantenimiento y Asesoría de equipos de accesibilidad, S.A. de C.V.  </v>
          </cell>
          <cell r="B1038" t="str">
            <v>SIM080805SK1</v>
          </cell>
        </row>
        <row r="1039">
          <cell r="A1039" t="str">
            <v>Acrom Impresores, S.A. de C.V.</v>
          </cell>
          <cell r="B1039" t="str">
            <v>AIM0601111Y0</v>
          </cell>
        </row>
        <row r="1040">
          <cell r="A1040" t="str">
            <v>Edgar Adán Nicacio Zepeta</v>
          </cell>
          <cell r="B1040" t="str">
            <v>NIZE870906BW8</v>
          </cell>
        </row>
        <row r="1041">
          <cell r="A1041" t="str">
            <v>Palita Master Clean, S.A. de C.V.</v>
          </cell>
          <cell r="B1041" t="str">
            <v>PMC131203C18</v>
          </cell>
        </row>
        <row r="1042">
          <cell r="A1042" t="str">
            <v>Los Ismaeles Ideas, Creaciones y Promocionales, S. de RL. De C.V.</v>
          </cell>
          <cell r="B1042" t="str">
            <v>ICC140403A51</v>
          </cell>
        </row>
        <row r="1043">
          <cell r="A1043" t="str">
            <v>René Geovanni Montes Rojas</v>
          </cell>
          <cell r="B1043" t="str">
            <v>MORR830620CG2</v>
          </cell>
        </row>
        <row r="1044">
          <cell r="A1044" t="str">
            <v>Francisco Javier Álvarez  González</v>
          </cell>
          <cell r="B1044" t="str">
            <v>AAGF8503122L3</v>
          </cell>
        </row>
        <row r="1045">
          <cell r="A1045" t="str">
            <v>Consorcio Audiovisa, S.A. de C.V.</v>
          </cell>
          <cell r="B1045" t="str">
            <v>CAU980825C56</v>
          </cell>
        </row>
        <row r="1046">
          <cell r="A1046" t="str">
            <v>Lega Industrial, S.A. de C.V.</v>
          </cell>
          <cell r="B1046" t="str">
            <v>LIN160930DK9</v>
          </cell>
        </row>
        <row r="1047">
          <cell r="A1047" t="str">
            <v>Mauricio Ricardo Cristante Skinfield</v>
          </cell>
          <cell r="B1047" t="str">
            <v>CISM700813529</v>
          </cell>
        </row>
        <row r="1048">
          <cell r="A1048" t="str">
            <v>José Antonio Peña Herrera</v>
          </cell>
          <cell r="B1048" t="str">
            <v>PEHA6801105F1</v>
          </cell>
        </row>
        <row r="1049">
          <cell r="A1049" t="str">
            <v>César Landeros Valencia</v>
          </cell>
          <cell r="B1049" t="str">
            <v>LAVC7701086V7</v>
          </cell>
        </row>
        <row r="1050">
          <cell r="A1050" t="str">
            <v>Desazolve y Soluciones Ambientales, S.A. de C.V</v>
          </cell>
          <cell r="B1050" t="str">
            <v>DSA110104FG5</v>
          </cell>
        </row>
        <row r="1051">
          <cell r="A1051" t="str">
            <v xml:space="preserve">AudioPromex, S. de R.L. de C.V.  </v>
          </cell>
          <cell r="B1051" t="str">
            <v xml:space="preserve">AudioPromex, S. de R.L. de C.V.  </v>
          </cell>
        </row>
        <row r="1052">
          <cell r="A1052" t="str">
            <v>Merkatus Distribuidora, S.A. de C.V.</v>
          </cell>
          <cell r="B1052" t="str">
            <v>MDI1004166B7</v>
          </cell>
        </row>
        <row r="1053">
          <cell r="A1053" t="str">
            <v>Rubén León Cortés</v>
          </cell>
          <cell r="B1053" t="str">
            <v>LECR790214495</v>
          </cell>
        </row>
        <row r="1054">
          <cell r="A1054" t="str">
            <v>Daniel Maya Ortega</v>
          </cell>
          <cell r="B1054" t="str">
            <v>MAOE701111RA2</v>
          </cell>
        </row>
        <row r="1055">
          <cell r="A1055" t="str">
            <v>Ana Cristina Lobo Barrón</v>
          </cell>
          <cell r="B1055" t="str">
            <v>LOBA860218S57</v>
          </cell>
        </row>
        <row r="1056">
          <cell r="A1056" t="str">
            <v xml:space="preserve">Manatie Prod, S.A. de C.V.  </v>
          </cell>
          <cell r="B1056" t="str">
            <v>MPR040331G7A</v>
          </cell>
        </row>
        <row r="1057">
          <cell r="A1057" t="str">
            <v>René Geovanni Montes Rojas</v>
          </cell>
          <cell r="B1057" t="str">
            <v>MORR830620CG2</v>
          </cell>
        </row>
        <row r="1058">
          <cell r="A1058" t="str">
            <v>Luz Elena Topete Flores</v>
          </cell>
          <cell r="B1058" t="str">
            <v>TOFL540517RK2</v>
          </cell>
        </row>
        <row r="1059">
          <cell r="A1059" t="str">
            <v xml:space="preserve">Distribuidora Comercial Ronyte, S.A. de C.V.  </v>
          </cell>
          <cell r="B1059" t="str">
            <v>DCR0711291Y6</v>
          </cell>
        </row>
        <row r="1060">
          <cell r="A1060" t="str">
            <v>Ciberna, S.A. de C.V.</v>
          </cell>
          <cell r="B1060" t="str">
            <v>CIB7605149N9</v>
          </cell>
        </row>
        <row r="1061">
          <cell r="A1061" t="str">
            <v>Grupo Editorial Miguel Ángel Porrúa, S.A. de C.V.</v>
          </cell>
          <cell r="B1061" t="str">
            <v>GEM8109182R7</v>
          </cell>
        </row>
      </sheetData>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DIDOS"/>
      <sheetName val="SERVICIOS"/>
      <sheetName val="CONTRATOS"/>
    </sheetNames>
    <sheetDataSet>
      <sheetData sheetId="0" refreshError="1"/>
      <sheetData sheetId="1" refreshError="1"/>
      <sheetData sheetId="2">
        <row r="7">
          <cell r="H7">
            <v>45291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UNDAMENTOS"/>
      <sheetName val="2018"/>
      <sheetName val="2019"/>
      <sheetName val="2020"/>
      <sheetName val="2021 "/>
      <sheetName val="2022"/>
      <sheetName val="2023"/>
      <sheetName val="2024"/>
      <sheetName val="PLURIANUALES"/>
      <sheetName val="idsec"/>
      <sheetName val=" RFC"/>
      <sheetName val="Hoja1"/>
      <sheetName val="DIAS FESTIVOS 2023"/>
      <sheetName val="Cuentas"/>
      <sheetName val="clasif obj gast"/>
    </sheetNames>
    <definedNames>
      <definedName name="AJ123A" sheetId="10"/>
    </definedNames>
    <sheetDataSet>
      <sheetData sheetId="0"/>
      <sheetData sheetId="1"/>
      <sheetData sheetId="2"/>
      <sheetData sheetId="3"/>
      <sheetData sheetId="4"/>
      <sheetData sheetId="5"/>
      <sheetData sheetId="6"/>
      <sheetData sheetId="7"/>
      <sheetData sheetId="8"/>
      <sheetData sheetId="9"/>
      <sheetData sheetId="10">
        <row r="1">
          <cell r="A1" t="str">
            <v>Gestión Hilco Acetec, S. de R.L. de C.V.</v>
          </cell>
          <cell r="B1" t="str">
            <v>GHA0708211B8</v>
          </cell>
        </row>
        <row r="2">
          <cell r="A2" t="str">
            <v xml:space="preserve"> Capital Networks, S.A. De C.V.</v>
          </cell>
          <cell r="B2" t="str">
            <v>CDI0412149Q5</v>
          </cell>
        </row>
        <row r="3">
          <cell r="A3" t="str">
            <v xml:space="preserve"> Centro Mexicano De Investigación Especializada, A.C.</v>
          </cell>
          <cell r="B3" t="str">
            <v>CMI150324PX1</v>
          </cell>
        </row>
        <row r="4">
          <cell r="A4" t="str">
            <v xml:space="preserve"> Editorial Marco Polo, S.A. De C.V.</v>
          </cell>
          <cell r="B4" t="str">
            <v>EMP800618JM0</v>
          </cell>
        </row>
        <row r="5">
          <cell r="A5" t="str">
            <v xml:space="preserve"> Merkex México, S. De R.L. De C.V.</v>
          </cell>
          <cell r="B5" t="str">
            <v>MME130821H62</v>
          </cell>
        </row>
        <row r="6">
          <cell r="A6" t="str">
            <v xml:space="preserve"> New Mind Group, S.A. De C.V.</v>
          </cell>
          <cell r="B6" t="str">
            <v>NMG130606Q68</v>
          </cell>
        </row>
        <row r="7">
          <cell r="A7" t="str">
            <v xml:space="preserve"> Perceptiaxxi, S.C.</v>
          </cell>
          <cell r="B7" t="str">
            <v>PER160823RP6</v>
          </cell>
        </row>
        <row r="8">
          <cell r="A8" t="str">
            <v xml:space="preserve"> Servicios Y Equipo Fotográfico Profesional, S.A. De C.V.</v>
          </cell>
          <cell r="B8" t="str">
            <v>SEF970611BR4</v>
          </cell>
        </row>
        <row r="9">
          <cell r="A9" t="str">
            <v xml:space="preserve"> Sys Suministros Y Soluciones, S.A. De C.V.</v>
          </cell>
          <cell r="B9" t="str">
            <v>SSS160921JC6</v>
          </cell>
        </row>
        <row r="10">
          <cell r="A10" t="str">
            <v xml:space="preserve"> Tiacal Constructores, S.A. De C.V.</v>
          </cell>
          <cell r="B10" t="str">
            <v>TCO120817FZ6</v>
          </cell>
        </row>
        <row r="11">
          <cell r="A11" t="str">
            <v>1ahc Producciones SA de CV</v>
          </cell>
          <cell r="B11" t="str">
            <v>UHC060216CSA</v>
          </cell>
        </row>
        <row r="12">
          <cell r="A12" t="str">
            <v>3w Educación, S.C.</v>
          </cell>
          <cell r="B12" t="str">
            <v>WED130205MM6</v>
          </cell>
        </row>
        <row r="13">
          <cell r="A13" t="str">
            <v>7 Cerros Construcciones SA de CV</v>
          </cell>
          <cell r="B13" t="str">
            <v>SCC0211014J2</v>
          </cell>
        </row>
        <row r="14">
          <cell r="A14" t="str">
            <v>7kat, S.A. De C.V.</v>
          </cell>
          <cell r="B14" t="str">
            <v>LEM960821I52</v>
          </cell>
        </row>
        <row r="15">
          <cell r="A15" t="str">
            <v>A.B.H. Edificaciones y Proyectos, S.A. de C.V.</v>
          </cell>
          <cell r="B15" t="str">
            <v>BCE890301FW4</v>
          </cell>
        </row>
        <row r="16">
          <cell r="A16" t="str">
            <v>Abaga Grupo Logístico, S.A. De C.V.</v>
          </cell>
          <cell r="B16" t="str">
            <v>AGL081218I56</v>
          </cell>
        </row>
        <row r="17">
          <cell r="A17" t="str">
            <v>Abasi Servicios Integrales, S.A. De C.V.</v>
          </cell>
          <cell r="B17" t="str">
            <v>ASI0501142C2</v>
          </cell>
        </row>
        <row r="18">
          <cell r="A18" t="str">
            <v>Abastecedora Aragónesa SA de CV</v>
          </cell>
          <cell r="B18" t="str">
            <v>AAR060308TT4</v>
          </cell>
        </row>
        <row r="19">
          <cell r="A19" t="str">
            <v>Abastecedora Atlante, S.A. De C.V.</v>
          </cell>
          <cell r="B19" t="str">
            <v>AAT960111SY8</v>
          </cell>
        </row>
        <row r="20">
          <cell r="A20" t="str">
            <v>Abastecedora De Acabados Alce, S.A. De C.V.</v>
          </cell>
          <cell r="B20" t="str">
            <v>AAA070808KR4</v>
          </cell>
        </row>
        <row r="21">
          <cell r="A21" t="str">
            <v>Abastecedora Lumen, S.A. De C.V.</v>
          </cell>
          <cell r="B21" t="str">
            <v>ALU830902ST5</v>
          </cell>
        </row>
        <row r="22">
          <cell r="A22" t="str">
            <v>Abba Tech SA de CV</v>
          </cell>
          <cell r="B22" t="str">
            <v>ATE0409276R7</v>
          </cell>
        </row>
        <row r="23">
          <cell r="A23" t="str">
            <v>Abc Sivmed SA de CV</v>
          </cell>
          <cell r="B23" t="str">
            <v>ASI1602178C4</v>
          </cell>
        </row>
        <row r="24">
          <cell r="A24" t="str">
            <v>Academia Mexicana De La Educación AC</v>
          </cell>
          <cell r="B24" t="str">
            <v>AME580808Q60</v>
          </cell>
        </row>
        <row r="25">
          <cell r="A25" t="str">
            <v>Acb Stil Construcciones, S.A. De C.V.</v>
          </cell>
          <cell r="B25" t="str">
            <v>ASC080926MV9</v>
          </cell>
        </row>
        <row r="26">
          <cell r="A26" t="str">
            <v>Accenta Compañía De Displays, S.A. De C.V.</v>
          </cell>
          <cell r="B26" t="str">
            <v>ADI090116RC5</v>
          </cell>
        </row>
        <row r="27">
          <cell r="A27" t="str">
            <v>Acelerant Consulting Group, S.C.</v>
          </cell>
          <cell r="B27" t="str">
            <v>ACG000512S35</v>
          </cell>
        </row>
        <row r="28">
          <cell r="A28" t="str">
            <v>Acerta Computacion Aplicada SA de CV</v>
          </cell>
          <cell r="B28" t="str">
            <v>ACA920521LG9</v>
          </cell>
        </row>
        <row r="29">
          <cell r="A29" t="str">
            <v>ACYPSA Proyectos Construcciones y Servicios SA de CV</v>
          </cell>
          <cell r="B29" t="str">
            <v>APC020715EA3</v>
          </cell>
        </row>
        <row r="30">
          <cell r="A30" t="str">
            <v>Aderhel S. Club, S.A. de C.V.</v>
          </cell>
          <cell r="B30" t="str">
            <v>ACL070521ND6</v>
          </cell>
        </row>
        <row r="31">
          <cell r="A31" t="str">
            <v>Adgi Design, S.A. De C.V.</v>
          </cell>
          <cell r="B31" t="str">
            <v>ADE050405558</v>
          </cell>
        </row>
        <row r="32">
          <cell r="A32" t="str">
            <v>Administración Integral Contable Consultores, S.C.</v>
          </cell>
          <cell r="B32" t="str">
            <v>AIC990211RQ1</v>
          </cell>
        </row>
        <row r="33">
          <cell r="A33" t="str">
            <v>Administración Integral, Consultores Y Organización De Negocios, S.C.</v>
          </cell>
          <cell r="B33" t="str">
            <v>AIC080415HM6</v>
          </cell>
        </row>
        <row r="34">
          <cell r="A34" t="str">
            <v>Adriana Paramo, S.A. de C.V.</v>
          </cell>
          <cell r="B34" t="str">
            <v>APA1012161M9</v>
          </cell>
        </row>
        <row r="35">
          <cell r="A35" t="str">
            <v>Advanced Research &amp; Technology, S.A. De C.V.</v>
          </cell>
          <cell r="B35" t="str">
            <v>AR&amp;020424235</v>
          </cell>
        </row>
        <row r="36">
          <cell r="A36" t="str">
            <v>Advanced Secure Solutions, S.A. De C.V.</v>
          </cell>
          <cell r="B36" t="str">
            <v>ASS061018DV3</v>
          </cell>
        </row>
        <row r="37">
          <cell r="A37" t="str">
            <v>Aerovías De México, S.A. De C.V.</v>
          </cell>
          <cell r="B37" t="str">
            <v>AME880912I89</v>
          </cell>
        </row>
        <row r="38">
          <cell r="A38" t="str">
            <v>Afore XXI Banorte SA de CV</v>
          </cell>
          <cell r="B38" t="str">
            <v>AXX970225GL0</v>
          </cell>
        </row>
        <row r="39">
          <cell r="A39" t="str">
            <v>Agencia 80 - 20, S.A. De C.V.</v>
          </cell>
          <cell r="B39" t="str">
            <v>AGE151120UT2</v>
          </cell>
        </row>
        <row r="40">
          <cell r="A40" t="str">
            <v>Agencia Medios Dmt SC</v>
          </cell>
          <cell r="B40" t="str">
            <v>AMD160309FU8</v>
          </cell>
        </row>
        <row r="41">
          <cell r="A41" t="str">
            <v>Aiam Arquitectura Ingeniería y Arte En Movimiento SA de CV</v>
          </cell>
          <cell r="B41" t="str">
            <v>AAI150713169</v>
          </cell>
        </row>
        <row r="42">
          <cell r="A42" t="str">
            <v>Al Gau, S.A. De C.V.</v>
          </cell>
          <cell r="B42" t="str">
            <v>GAU041020371</v>
          </cell>
        </row>
        <row r="43">
          <cell r="A43" t="str">
            <v>Alden Concesionaria Tacubaya, S.A. De C.V.</v>
          </cell>
          <cell r="B43" t="str">
            <v>ACT981214G77</v>
          </cell>
        </row>
        <row r="44">
          <cell r="A44" t="str">
            <v>Alef Soluciones Integrales, S.C. de P. de R.L. de C.V.</v>
          </cell>
          <cell r="B44" t="str">
            <v>ASI970227PZ4</v>
          </cell>
        </row>
        <row r="45">
          <cell r="A45" t="str">
            <v>Alianza Impresos Y Sellos, S.A. De C.V.</v>
          </cell>
          <cell r="B45" t="str">
            <v>AIS970924VA8</v>
          </cell>
        </row>
        <row r="46">
          <cell r="A46" t="str">
            <v>Alianzas Estratégicas En Capacitación, S.C.</v>
          </cell>
          <cell r="B46" t="str">
            <v>AEC030107DJ2</v>
          </cell>
        </row>
        <row r="47">
          <cell r="A47" t="str">
            <v>All Work Services, S.A. De C.V.</v>
          </cell>
          <cell r="B47" t="str">
            <v>AWS0803131R7</v>
          </cell>
        </row>
        <row r="48">
          <cell r="A48" t="str">
            <v>Allsumin SA de CV</v>
          </cell>
          <cell r="B48" t="str">
            <v>ALL130722A28</v>
          </cell>
        </row>
        <row r="49">
          <cell r="A49" t="str">
            <v>Alos Mantenimiento Integral, S.A. De C.V.</v>
          </cell>
          <cell r="B49" t="str">
            <v>AMI0512018U5</v>
          </cell>
        </row>
        <row r="50">
          <cell r="A50" t="str">
            <v>Alsesa Infraestructura, S.A. De C.V.</v>
          </cell>
          <cell r="B50" t="str">
            <v>AIN121219ST4</v>
          </cell>
        </row>
        <row r="51">
          <cell r="A51" t="str">
            <v>Alta Tecnología En Ingeniería Y Construcción, S.A. De C.V.</v>
          </cell>
          <cell r="B51" t="str">
            <v>ATI010918UI3</v>
          </cell>
        </row>
        <row r="52">
          <cell r="A52" t="str">
            <v>Alto Nivel En Construcciones SA de CV</v>
          </cell>
          <cell r="B52" t="str">
            <v>ANC991216ED0</v>
          </cell>
        </row>
        <row r="53">
          <cell r="A53" t="str">
            <v>Amarello Tecnologías De Información, S.A. De C.V.</v>
          </cell>
          <cell r="B53" t="str">
            <v>ATI110906IG6</v>
          </cell>
        </row>
        <row r="54">
          <cell r="A54" t="str">
            <v>American Best Conversion SA de CV</v>
          </cell>
          <cell r="B54" t="str">
            <v>ABC000511NB7</v>
          </cell>
        </row>
        <row r="55">
          <cell r="A55" t="str">
            <v>Amtrad-Traducción Interpretación Y Servicios Relacionados SC</v>
          </cell>
          <cell r="B55" t="str">
            <v>AIS2080813JNA</v>
          </cell>
        </row>
        <row r="56">
          <cell r="A56" t="str">
            <v>Amy Imagen Y Servicios, S.A. De C.V.</v>
          </cell>
          <cell r="B56" t="str">
            <v>AIY0808141N0</v>
          </cell>
        </row>
        <row r="57">
          <cell r="A57" t="str">
            <v>Angar Azcapotzalco S.A. De C.V.</v>
          </cell>
          <cell r="B57" t="str">
            <v>AAZ040910IN3</v>
          </cell>
        </row>
        <row r="58">
          <cell r="A58" t="str">
            <v>Ap Automatización Y Control Eléctrico, S.A. De C.V.</v>
          </cell>
          <cell r="B58" t="str">
            <v>AAC140310HK4</v>
          </cell>
        </row>
        <row r="59">
          <cell r="A59" t="str">
            <v>Apac I.A.P. Asociación Pro Personas Con Parálisis Cerebral</v>
          </cell>
          <cell r="B59" t="str">
            <v>AIA900517IM3</v>
          </cell>
        </row>
        <row r="60">
          <cell r="A60" t="str">
            <v>Aparatos Electromecánicos Von Haucke, S.A. De C.V.</v>
          </cell>
          <cell r="B60" t="str">
            <v>AEH841221234</v>
          </cell>
        </row>
        <row r="61">
          <cell r="A61" t="str">
            <v>Aplicaciones Y Organización Tecnológica En Administración, S.A. De C.V.</v>
          </cell>
          <cell r="B61" t="str">
            <v>AOT011031GQ8</v>
          </cell>
        </row>
        <row r="62">
          <cell r="A62" t="str">
            <v>Apolo Tec, S.A. De C.V.</v>
          </cell>
          <cell r="B62" t="str">
            <v>ATE031117QJ5</v>
          </cell>
        </row>
        <row r="63">
          <cell r="A63" t="str">
            <v>Apostrofo, S.C.</v>
          </cell>
          <cell r="B63" t="str">
            <v>APO0703262F6</v>
          </cell>
        </row>
        <row r="64">
          <cell r="A64" t="str">
            <v>Archivos de Cartón y Más, S.A. de C.V.</v>
          </cell>
          <cell r="B64" t="str">
            <v>ACM170303NU9</v>
          </cell>
        </row>
        <row r="65">
          <cell r="A65" t="str">
            <v>Arquetipo En Sistemas, S.A. De C.V.</v>
          </cell>
          <cell r="B65" t="str">
            <v>ASS940519BP6</v>
          </cell>
        </row>
        <row r="66">
          <cell r="A66" t="str">
            <v>Arquitectos Constructores Pic SA de CV</v>
          </cell>
          <cell r="B66" t="str">
            <v>ACP050110J50</v>
          </cell>
        </row>
        <row r="67">
          <cell r="A67" t="str">
            <v>Arre Lulu Producciones, S.A. De C.V.</v>
          </cell>
          <cell r="B67" t="str">
            <v>ALP1310187B9</v>
          </cell>
        </row>
        <row r="68">
          <cell r="A68" t="str">
            <v>Arsoba Consultores, S.C.</v>
          </cell>
          <cell r="B68" t="str">
            <v>ACO051205BY1</v>
          </cell>
        </row>
        <row r="69">
          <cell r="A69" t="str">
            <v>Arthuman Direccionando Talentos, S.C.</v>
          </cell>
          <cell r="B69" t="str">
            <v>ADT090910A99</v>
          </cell>
        </row>
        <row r="70">
          <cell r="A70" t="str">
            <v>Artículos Promocionales OVI SA de CV</v>
          </cell>
          <cell r="B70" t="str">
            <v>APO121112CE2</v>
          </cell>
        </row>
        <row r="71">
          <cell r="A71" t="str">
            <v>As Enterprises Integración De Soluciones, S.A. De C.V.</v>
          </cell>
          <cell r="B71" t="str">
            <v>AEI120709A34</v>
          </cell>
        </row>
        <row r="72">
          <cell r="A72" t="str">
            <v>Asesores Jurídicos Especialistas En Derecho Administrativo, S.C.</v>
          </cell>
          <cell r="B72" t="str">
            <v>AJE120130P71</v>
          </cell>
        </row>
        <row r="73">
          <cell r="A73" t="str">
            <v>Asesoría de Diseños Normativos, S.C.</v>
          </cell>
          <cell r="B73" t="str">
            <v>ADN060227DX9</v>
          </cell>
        </row>
        <row r="74">
          <cell r="A74" t="str">
            <v>Asesoría Integral Del Patrimonio, S.C.</v>
          </cell>
          <cell r="B74" t="str">
            <v>AIP070816KV4</v>
          </cell>
        </row>
        <row r="75">
          <cell r="A75" t="str">
            <v>Asesoría Mediática, S.A. De C.V.</v>
          </cell>
          <cell r="B75" t="str">
            <v>AME100623GN0</v>
          </cell>
        </row>
        <row r="76">
          <cell r="A76" t="str">
            <v>Asesoría Supervisión Y Apoyo Técnico, S.C.</v>
          </cell>
          <cell r="B76" t="str">
            <v>ASA9906303S7</v>
          </cell>
        </row>
        <row r="77">
          <cell r="A77" t="str">
            <v>Asistencia Y Capacitación Electoral, S.C.</v>
          </cell>
          <cell r="B77" t="str">
            <v>ACE970221AL3</v>
          </cell>
        </row>
        <row r="78">
          <cell r="A78" t="str">
            <v>Asociación De Televisiones Educativas y Culturales Iberoamericana</v>
          </cell>
          <cell r="B78" t="str">
            <v>G80455140</v>
          </cell>
        </row>
        <row r="79">
          <cell r="A79" t="str">
            <v>Asociación Mexicana De Estudios Internacionales Amei AC</v>
          </cell>
          <cell r="B79" t="str">
            <v>AME980224213</v>
          </cell>
        </row>
        <row r="80">
          <cell r="A80" t="str">
            <v>Asociación Necrológica Mexicana, S.A De C.V.</v>
          </cell>
          <cell r="B80" t="str">
            <v>ANM070827QL3</v>
          </cell>
        </row>
        <row r="81">
          <cell r="A81" t="str">
            <v>Asociación Para Leer Escuchar Escribir Y Recrear, A.C</v>
          </cell>
          <cell r="B81" t="str">
            <v>ALE831107FQ8</v>
          </cell>
        </row>
        <row r="82">
          <cell r="A82" t="str">
            <v>At&amp;T Comercialización Móvil, S. De R.L. De C.V.</v>
          </cell>
          <cell r="B82" t="str">
            <v>IUS890616RH6</v>
          </cell>
        </row>
        <row r="83">
          <cell r="A83" t="str">
            <v>AT&amp;T Comunicaciones Digitales, S. De R. L. De C. V.</v>
          </cell>
          <cell r="B83" t="str">
            <v>CNM980114PI2</v>
          </cell>
        </row>
        <row r="84">
          <cell r="A84" t="str">
            <v>Atml, S.A. De C.V.</v>
          </cell>
          <cell r="B84" t="str">
            <v>ATM131008EM0</v>
          </cell>
        </row>
        <row r="85">
          <cell r="A85" t="str">
            <v>Atracción Comercial, S.A. de C.V.</v>
          </cell>
          <cell r="B85" t="str">
            <v>ACO161017UQ5</v>
          </cell>
        </row>
        <row r="86">
          <cell r="A86" t="str">
            <v>Audio Acústica y Electrónica SA de CV</v>
          </cell>
          <cell r="B86" t="str">
            <v>AAE7905157ZA</v>
          </cell>
        </row>
        <row r="87">
          <cell r="A87" t="str">
            <v>Audio Video &amp; Control, S.A. de C.V.</v>
          </cell>
          <cell r="B87" t="str">
            <v>AV&amp;060117UX0</v>
          </cell>
        </row>
        <row r="88">
          <cell r="A88" t="str">
            <v>Audiopromex, S. De R.L. De C.V.</v>
          </cell>
          <cell r="B88" t="str">
            <v>AUD061127K36</v>
          </cell>
        </row>
        <row r="89">
          <cell r="A89" t="str">
            <v>Autocom Metro, S.A.P.I. De C.V.</v>
          </cell>
          <cell r="B89" t="str">
            <v>AME110623A95</v>
          </cell>
        </row>
        <row r="90">
          <cell r="A90" t="str">
            <v>Automation Point Soluciones Integrales, S.A. De C.V.</v>
          </cell>
          <cell r="B90" t="str">
            <v>APS040217I87</v>
          </cell>
        </row>
        <row r="91">
          <cell r="A91" t="str">
            <v>Automations Solutions Factory, S.A. De C.V.</v>
          </cell>
          <cell r="B91" t="str">
            <v>ASF020311UQ5</v>
          </cell>
        </row>
        <row r="92">
          <cell r="A92" t="str">
            <v>Automotores de la Laguna, S.A. de C.V.</v>
          </cell>
          <cell r="B92" t="str">
            <v>ALA0210164S2</v>
          </cell>
        </row>
        <row r="93">
          <cell r="A93" t="str">
            <v>Automotores De México, S.A. De C.V.</v>
          </cell>
          <cell r="B93" t="str">
            <v>AME6907306R3</v>
          </cell>
        </row>
        <row r="94">
          <cell r="A94" t="str">
            <v>Automotriz Lagunera, S.A. de C.V.</v>
          </cell>
          <cell r="B94" t="str">
            <v>ALA821201DE1</v>
          </cell>
        </row>
        <row r="95">
          <cell r="A95" t="str">
            <v>Automotriz Nihon, S.A. De C.V.</v>
          </cell>
          <cell r="B95" t="str">
            <v>ANI140616N87</v>
          </cell>
        </row>
        <row r="96">
          <cell r="A96" t="str">
            <v>Automóviles Vallejo, S. De R.L. De C.V.</v>
          </cell>
          <cell r="B96" t="str">
            <v>AVA040106CP7</v>
          </cell>
        </row>
        <row r="97">
          <cell r="A97" t="str">
            <v>Automovilística Andrade SA de CV</v>
          </cell>
          <cell r="B97" t="str">
            <v>AAN841022G20</v>
          </cell>
        </row>
        <row r="98">
          <cell r="A98" t="str">
            <v>Autopolanco, S.A. De C.V.</v>
          </cell>
          <cell r="B98" t="str">
            <v>AUT980924GQ4</v>
          </cell>
        </row>
        <row r="99">
          <cell r="A99" t="str">
            <v>Avetronic, S.A. De C.V.</v>
          </cell>
          <cell r="B99" t="str">
            <v>AVE850528ES9</v>
          </cell>
        </row>
        <row r="100">
          <cell r="A100" t="str">
            <v>Aviprof, S.A. de C.V.</v>
          </cell>
          <cell r="B100" t="str">
            <v>AVI070228MA2</v>
          </cell>
        </row>
        <row r="101">
          <cell r="A101" t="str">
            <v>Axa Seguros, S.A. De C.V.</v>
          </cell>
          <cell r="B101" t="str">
            <v>ASE931116231</v>
          </cell>
        </row>
        <row r="102">
          <cell r="A102" t="str">
            <v>Balam Comercio Exterior Mr. SA de CV</v>
          </cell>
          <cell r="B102" t="str">
            <v>BCE101029KF8</v>
          </cell>
        </row>
        <row r="103">
          <cell r="A103" t="str">
            <v>Bas International Certification Co. S.C.</v>
          </cell>
          <cell r="B103" t="str">
            <v>BIC110928LH3</v>
          </cell>
        </row>
        <row r="104">
          <cell r="A104" t="str">
            <v>BCM Business Consultants Management, S.C.</v>
          </cell>
          <cell r="B104" t="str">
            <v>BBC0602014Q6</v>
          </cell>
        </row>
        <row r="105">
          <cell r="A105" t="str">
            <v>Bengoshi Servicios Corporativos SC</v>
          </cell>
          <cell r="B105" t="str">
            <v>BSC090213MP5</v>
          </cell>
        </row>
        <row r="106">
          <cell r="A106" t="str">
            <v>Bereshiit Sherpa, S. De R.L. De C.V.</v>
          </cell>
          <cell r="B106" t="str">
            <v>BSH1506265B7</v>
          </cell>
        </row>
        <row r="107">
          <cell r="A107" t="str">
            <v>Berumen Y Asociados, S.A. De C.V.</v>
          </cell>
          <cell r="B107" t="str">
            <v>BAS9203045G8</v>
          </cell>
        </row>
        <row r="108">
          <cell r="A108" t="str">
            <v>Berzerk SA de CV</v>
          </cell>
          <cell r="B108" t="str">
            <v>BER130520RR5</v>
          </cell>
        </row>
        <row r="109">
          <cell r="A109" t="str">
            <v>Best Id De México, S.A. De C.V.</v>
          </cell>
          <cell r="B109" t="str">
            <v>BIM1704217S8</v>
          </cell>
        </row>
        <row r="110">
          <cell r="A110" t="str">
            <v>Bimcon, S.C.</v>
          </cell>
          <cell r="B110" t="str">
            <v>BIM1309132DA</v>
          </cell>
        </row>
        <row r="111">
          <cell r="A111" t="str">
            <v>Bimsa Reports SA de CV</v>
          </cell>
          <cell r="B111" t="str">
            <v>BRE9705228S3</v>
          </cell>
        </row>
        <row r="112">
          <cell r="A112" t="str">
            <v>Bio Green Products, S.A. De C.V.</v>
          </cell>
          <cell r="B112" t="str">
            <v>BGP140314BQ5</v>
          </cell>
        </row>
        <row r="113">
          <cell r="A113" t="str">
            <v>Biolights Solutions, S.A. De C.V.</v>
          </cell>
          <cell r="B113" t="str">
            <v>BSO130207QG7</v>
          </cell>
        </row>
        <row r="114">
          <cell r="A114" t="str">
            <v>Biomédica De México, S.A. De C.V.</v>
          </cell>
          <cell r="B114" t="str">
            <v>BME941124C21</v>
          </cell>
        </row>
        <row r="115">
          <cell r="A115" t="str">
            <v>Bla Bla Bla Contenidos, S.C.</v>
          </cell>
          <cell r="B115" t="str">
            <v>BBB160309FU5</v>
          </cell>
        </row>
        <row r="116">
          <cell r="A116" t="str">
            <v>Black Car Transportación, S.A. De C.V.</v>
          </cell>
          <cell r="B116" t="str">
            <v>BCT141021PA5</v>
          </cell>
        </row>
        <row r="117">
          <cell r="A117" t="str">
            <v>Blegam Corp, S.A. De C.V.</v>
          </cell>
          <cell r="B117" t="str">
            <v>BCO101122JN6</v>
          </cell>
        </row>
        <row r="118">
          <cell r="A118" t="str">
            <v>Blue &amp; Green Servicios Y Soluciones Al Medio Ambiente, S.A. De C.V.</v>
          </cell>
          <cell r="B118" t="str">
            <v>BAG1106299U7</v>
          </cell>
        </row>
        <row r="119">
          <cell r="A119" t="str">
            <v>Blue Ocean Technologies SA de CV</v>
          </cell>
          <cell r="B119" t="str">
            <v>BOT080828ADA</v>
          </cell>
        </row>
        <row r="120">
          <cell r="A120" t="str">
            <v>Bojma De México, S.A. De C.V.</v>
          </cell>
          <cell r="B120" t="str">
            <v>BME100325TP5</v>
          </cell>
        </row>
        <row r="121">
          <cell r="A121" t="str">
            <v>Borgonio &amp; Rojas Consulting, S.C.</v>
          </cell>
          <cell r="B121" t="str">
            <v>BAR1205142A6</v>
          </cell>
        </row>
        <row r="122">
          <cell r="A122" t="str">
            <v>Botanas Y Productos Energéticos, S.A. De C.V.</v>
          </cell>
          <cell r="B122" t="str">
            <v>BPE9503282S3</v>
          </cell>
        </row>
        <row r="123">
          <cell r="A123" t="str">
            <v>Bpm4 Travel SC</v>
          </cell>
          <cell r="B123" t="str">
            <v>BCT090914HJ6</v>
          </cell>
        </row>
        <row r="124">
          <cell r="A124" t="str">
            <v>Brüdecom, S.A. De C.V.</v>
          </cell>
          <cell r="B124" t="str">
            <v>BRU150911FD5</v>
          </cell>
        </row>
        <row r="125">
          <cell r="A125" t="str">
            <v>Bufete De Informática y Organización SA de CV</v>
          </cell>
          <cell r="B125" t="str">
            <v>BIO890925RE7</v>
          </cell>
        </row>
        <row r="126">
          <cell r="A126" t="str">
            <v>Burst Com SA de CV</v>
          </cell>
          <cell r="B126" t="str">
            <v>BCO090130HN3</v>
          </cell>
        </row>
        <row r="127">
          <cell r="A127" t="str">
            <v>Bvqi Mexicana, S.A. De C.V</v>
          </cell>
          <cell r="B127" t="str">
            <v>BME980708LL1</v>
          </cell>
        </row>
        <row r="128">
          <cell r="A128" t="str">
            <v>C.I. Leam, S.A. De C.V.</v>
          </cell>
          <cell r="B128" t="str">
            <v>CLE150714IR3</v>
          </cell>
        </row>
        <row r="129">
          <cell r="A129" t="str">
            <v>C.L. Editorial Praxis, S.A. De C.V.</v>
          </cell>
          <cell r="B129" t="str">
            <v>CLE9207094M5</v>
          </cell>
        </row>
        <row r="130">
          <cell r="A130" t="str">
            <v>C.T.C. de México, S.A. de C.V.</v>
          </cell>
          <cell r="B130" t="str">
            <v>CTC760309LD2</v>
          </cell>
        </row>
        <row r="131">
          <cell r="A131" t="str">
            <v>Cablevisión, S.A. De C.V.</v>
          </cell>
          <cell r="B131" t="str">
            <v>CAB6610044K1</v>
          </cell>
        </row>
        <row r="132">
          <cell r="A132" t="str">
            <v>Cadgrafics, S.A. De C.V.</v>
          </cell>
          <cell r="B132" t="str">
            <v>CAD901017276</v>
          </cell>
        </row>
        <row r="133">
          <cell r="A133" t="str">
            <v>Café 1810, S.A. De C.V.</v>
          </cell>
          <cell r="B133" t="str">
            <v>CMO111004CI3</v>
          </cell>
        </row>
        <row r="134">
          <cell r="A134" t="str">
            <v>Caja Electrónica, S.A.</v>
          </cell>
          <cell r="B134" t="str">
            <v>CEL870528727</v>
          </cell>
        </row>
        <row r="135">
          <cell r="A135" t="str">
            <v>Cajas Para Archivo, S.A. de C.V.</v>
          </cell>
          <cell r="B135" t="str">
            <v>CAR990512379</v>
          </cell>
        </row>
        <row r="136">
          <cell r="A136" t="str">
            <v>Calidad y Negocios Faih SA de CV</v>
          </cell>
          <cell r="B136" t="str">
            <v>CNF031124N73</v>
          </cell>
        </row>
        <row r="137">
          <cell r="A137" t="str">
            <v>Calzada Construcciones SA de CV</v>
          </cell>
          <cell r="B137" t="str">
            <v>CCO980814BU4</v>
          </cell>
        </row>
        <row r="138">
          <cell r="A138" t="str">
            <v>Camerier, S.A. De C.V.</v>
          </cell>
          <cell r="B138" t="str">
            <v>CAM140321F13</v>
          </cell>
        </row>
        <row r="139">
          <cell r="A139" t="str">
            <v xml:space="preserve">Caminos y Puentes Federales de Ingresos y Servicios Conexos </v>
          </cell>
          <cell r="B139" t="str">
            <v>CPF6307036N8</v>
          </cell>
        </row>
        <row r="140">
          <cell r="A140" t="str">
            <v>Capacitación Y Consultoría Organizacional SA de CV</v>
          </cell>
          <cell r="B140" t="str">
            <v>CCO040312V35</v>
          </cell>
        </row>
        <row r="141">
          <cell r="A141" t="str">
            <v>Carlos Corral Y Asociados, S.C.</v>
          </cell>
          <cell r="B141" t="str">
            <v>CCA890918423</v>
          </cell>
        </row>
        <row r="142">
          <cell r="A142" t="str">
            <v>Casa De La Amistad Para Niños Con Cáncer I.A.P.</v>
          </cell>
          <cell r="B142" t="str">
            <v>CAN980724KJ0</v>
          </cell>
        </row>
        <row r="143">
          <cell r="A143" t="str">
            <v>Caudae, S.C.</v>
          </cell>
          <cell r="B143" t="str">
            <v>CAU141201FH0</v>
          </cell>
        </row>
        <row r="144">
          <cell r="A144" t="str">
            <v>Cen Systems, S.A. de C.V.</v>
          </cell>
          <cell r="B144" t="str">
            <v>CSY100128PK5</v>
          </cell>
        </row>
        <row r="145">
          <cell r="A145" t="str">
            <v>Cenacce, S.C.</v>
          </cell>
          <cell r="B145" t="str">
            <v>CEN020207PF4</v>
          </cell>
        </row>
        <row r="146">
          <cell r="A146" t="str">
            <v>Centro Académico Especializado En Ciencias Jurídicas y Criminológicas SC</v>
          </cell>
          <cell r="B146" t="str">
            <v>CAE110503MW1</v>
          </cell>
        </row>
        <row r="147">
          <cell r="A147" t="str">
            <v>Centro Automotriz Coyoacán, S.A. De C.V.</v>
          </cell>
          <cell r="B147" t="str">
            <v>CAC920120RS1</v>
          </cell>
        </row>
        <row r="148">
          <cell r="A148" t="str">
            <v>Centro De Audio Video Y Comunicaciones SA de CV</v>
          </cell>
          <cell r="B148" t="str">
            <v>CAV970312KZ9</v>
          </cell>
        </row>
        <row r="149">
          <cell r="A149" t="str">
            <v>Centro De Estudio De Inteligencia Estratégica, S.A. De C.V.</v>
          </cell>
          <cell r="B149" t="str">
            <v>CEI020589W4</v>
          </cell>
        </row>
        <row r="150">
          <cell r="A150" t="str">
            <v>Centro De Estudios Profesionales Renacimiento, S.C.</v>
          </cell>
          <cell r="B150" t="str">
            <v>CEP0310298U8</v>
          </cell>
        </row>
        <row r="151">
          <cell r="A151" t="str">
            <v>Centro De Estudios Superiores En Contrataciones Publicas, A.C.</v>
          </cell>
          <cell r="B151" t="str">
            <v>CES17011182</v>
          </cell>
        </row>
        <row r="152">
          <cell r="A152" t="str">
            <v>Centro De Instrumentación Y Registro Sísmico, A.C.</v>
          </cell>
          <cell r="B152" t="str">
            <v>CIR860619EC9</v>
          </cell>
        </row>
        <row r="153">
          <cell r="A153" t="str">
            <v>Centro De Investigación Interdisciplinario Del Estado De México SC</v>
          </cell>
          <cell r="B153" t="str">
            <v>CII140829T20</v>
          </cell>
        </row>
        <row r="154">
          <cell r="A154" t="str">
            <v>Centro De Publicaciones E Información De La OCDE En México</v>
          </cell>
          <cell r="B154" t="str">
            <v>CPI960419I89</v>
          </cell>
        </row>
        <row r="155">
          <cell r="A155" t="str">
            <v>Centro Industrial Ferretero, S.A. De C.V.</v>
          </cell>
          <cell r="B155" t="str">
            <v>CIF9204095U3</v>
          </cell>
        </row>
        <row r="156">
          <cell r="A156" t="str">
            <v>Cetec Marina, S.C.</v>
          </cell>
          <cell r="B156" t="str">
            <v>CMA011116PM5</v>
          </cell>
        </row>
        <row r="157">
          <cell r="A157" t="str">
            <v>CHS Zaragoza Motors, S.A. De C.V.</v>
          </cell>
          <cell r="B157" t="str">
            <v>CZM970425J66</v>
          </cell>
        </row>
        <row r="158">
          <cell r="A158" t="str">
            <v>Cicovisa, S.A. De C.V.</v>
          </cell>
          <cell r="B158" t="str">
            <v>CIC8308165A4</v>
          </cell>
        </row>
        <row r="159">
          <cell r="A159" t="str">
            <v>City Garden México SA de CV</v>
          </cell>
          <cell r="B159" t="str">
            <v>CGM1407077Q3</v>
          </cell>
        </row>
        <row r="160">
          <cell r="A160" t="str">
            <v>Clipware, S.C.</v>
          </cell>
          <cell r="B160" t="str">
            <v>CLI931122QP4</v>
          </cell>
        </row>
        <row r="161">
          <cell r="A161" t="str">
            <v>Código Genético Empresarial, S.A. De C.V.</v>
          </cell>
          <cell r="B161" t="str">
            <v>CGE141216K26</v>
          </cell>
        </row>
        <row r="162">
          <cell r="A162" t="str">
            <v>Coffee Food And Service, S.A. De C.V.</v>
          </cell>
          <cell r="B162" t="str">
            <v>CFS950907SY1</v>
          </cell>
        </row>
        <row r="163">
          <cell r="A163" t="str">
            <v>Colchas México, S.A. De C.V.</v>
          </cell>
          <cell r="B163" t="str">
            <v>CME5910277L0</v>
          </cell>
        </row>
        <row r="164">
          <cell r="A164" t="str">
            <v>Colectivo De Investigación, Desarrollo Y Educación Entre Mujeres, A.C.</v>
          </cell>
          <cell r="B164" t="str">
            <v>CID951006PG6</v>
          </cell>
        </row>
        <row r="165">
          <cell r="A165" t="str">
            <v>Colegio De Medicina Interna De México, A.C.</v>
          </cell>
          <cell r="B165" t="str">
            <v>CMI831205NH2</v>
          </cell>
        </row>
        <row r="166">
          <cell r="A166" t="str">
            <v>Colinas De Buen SA de CV</v>
          </cell>
          <cell r="B166" t="str">
            <v>CBU831230ETA</v>
          </cell>
        </row>
        <row r="167">
          <cell r="A167" t="str">
            <v>Color Cassettes, S.A. De C.V.</v>
          </cell>
          <cell r="B167" t="str">
            <v>CCA830113QZ4</v>
          </cell>
        </row>
        <row r="168">
          <cell r="A168" t="str">
            <v>Combat Medic International SA de CV</v>
          </cell>
          <cell r="B168" t="str">
            <v>CMI1305152C1</v>
          </cell>
        </row>
        <row r="169">
          <cell r="A169" t="str">
            <v>Comercial De Impresos San Jorge, S.A. De C.V.</v>
          </cell>
          <cell r="B169" t="str">
            <v>CIS880620DI5</v>
          </cell>
        </row>
        <row r="170">
          <cell r="A170" t="str">
            <v>Comercial Distribuidora Helimax, S.A. De C.V.</v>
          </cell>
          <cell r="B170" t="str">
            <v>CDH0503035P3</v>
          </cell>
        </row>
        <row r="171">
          <cell r="A171" t="str">
            <v>Comercializadora Bandick, S.A. De C.V.</v>
          </cell>
          <cell r="B171" t="str">
            <v>CBA070607UT3</v>
          </cell>
        </row>
        <row r="172">
          <cell r="A172" t="str">
            <v>Comercializadora De Impresos Om SA de CV</v>
          </cell>
          <cell r="B172" t="str">
            <v>CIO130923MT1</v>
          </cell>
        </row>
        <row r="173">
          <cell r="A173" t="str">
            <v>Comercializadora El Reloj, S.A. De C.V.</v>
          </cell>
          <cell r="B173" t="str">
            <v>CRE9908301S3</v>
          </cell>
        </row>
        <row r="174">
          <cell r="A174" t="str">
            <v>Comercializadora En Soluciones Integrales Logicommerce, S.A. De C.V.</v>
          </cell>
          <cell r="B174" t="str">
            <v>CSI080130HQ6</v>
          </cell>
        </row>
        <row r="175">
          <cell r="A175" t="str">
            <v>Comercializadora Escorpiogem, S.A. De C.V.</v>
          </cell>
          <cell r="B175" t="str">
            <v>CES130820KG2</v>
          </cell>
        </row>
        <row r="176">
          <cell r="A176" t="str">
            <v>Comercializadora Fire One SA de CV</v>
          </cell>
          <cell r="B176" t="str">
            <v>CFO070403LC2</v>
          </cell>
        </row>
        <row r="177">
          <cell r="A177" t="str">
            <v>Comercializadora Internacional KUun, S.A. De C.V.</v>
          </cell>
          <cell r="B177" t="str">
            <v>CIK110624EJ6</v>
          </cell>
        </row>
        <row r="178">
          <cell r="A178" t="str">
            <v>Comercializadora La Acción, S.A. De C.V.</v>
          </cell>
          <cell r="B178" t="str">
            <v>CAC1402058H4</v>
          </cell>
        </row>
        <row r="179">
          <cell r="A179" t="str">
            <v>Comercializadora Leonedy, S.A. De C.V.</v>
          </cell>
          <cell r="B179" t="str">
            <v>CLE130820HS3</v>
          </cell>
        </row>
        <row r="180">
          <cell r="A180" t="str">
            <v>Comercializadora Novang SA de CV</v>
          </cell>
          <cell r="B180" t="str">
            <v>CNO051024TQ8</v>
          </cell>
        </row>
        <row r="181">
          <cell r="A181" t="str">
            <v>Comercializadora Promotodo, S.A. De C.V.</v>
          </cell>
          <cell r="B181" t="str">
            <v>CPR961125346</v>
          </cell>
        </row>
        <row r="182">
          <cell r="A182" t="str">
            <v>Comercializadora y Distribuidora 2011, S.A. de C.V.</v>
          </cell>
          <cell r="B182" t="str">
            <v>CDD110509A36</v>
          </cell>
        </row>
        <row r="183">
          <cell r="A183" t="str">
            <v>Comercializadora Zucrel, S.A. De C.V.</v>
          </cell>
          <cell r="B183" t="str">
            <v>CZU120809MM1</v>
          </cell>
        </row>
        <row r="184">
          <cell r="A184" t="str">
            <v>Comercio Y Equipo, S.A. De C.V.</v>
          </cell>
          <cell r="B184" t="str">
            <v>CEQ030402790</v>
          </cell>
        </row>
        <row r="185">
          <cell r="A185" t="str">
            <v>Comiempsa, S.A. De C.V.</v>
          </cell>
          <cell r="B185" t="str">
            <v>COM070704K12</v>
          </cell>
        </row>
        <row r="186">
          <cell r="A186" t="str">
            <v>Communications For Distribution, S.A. De C.V.</v>
          </cell>
          <cell r="B186" t="str">
            <v>CFD050701MS3</v>
          </cell>
        </row>
        <row r="187">
          <cell r="A187" t="str">
            <v>Compañía Extinguidores Latinos Mexicanos, S.A.</v>
          </cell>
          <cell r="B187" t="str">
            <v>ELM8001186BA</v>
          </cell>
        </row>
        <row r="188">
          <cell r="A188" t="str">
            <v>Compañia Operadora De Estacionamientos Mexicanos SA de CV</v>
          </cell>
          <cell r="B188" t="str">
            <v>OEM920612B67</v>
          </cell>
        </row>
        <row r="189">
          <cell r="A189" t="str">
            <v>Complete Language Services, S.C.</v>
          </cell>
          <cell r="B189" t="str">
            <v>CLS951213BG7</v>
          </cell>
        </row>
        <row r="190">
          <cell r="A190" t="str">
            <v>Compu Global Solutions SA de CV</v>
          </cell>
          <cell r="B190" t="str">
            <v>CGS140505Py1</v>
          </cell>
        </row>
        <row r="191">
          <cell r="A191" t="str">
            <v>Compucentro, S.A. De C.V.</v>
          </cell>
          <cell r="B191" t="str">
            <v>COM890206254</v>
          </cell>
        </row>
        <row r="192">
          <cell r="A192" t="str">
            <v>Compuedro, S.A. De C.V.</v>
          </cell>
          <cell r="B192" t="str">
            <v>COM1205031H8</v>
          </cell>
        </row>
        <row r="193">
          <cell r="A193" t="str">
            <v>Compulink Memory, S.A. De C.V.</v>
          </cell>
          <cell r="B193" t="str">
            <v>CME130626H13</v>
          </cell>
        </row>
        <row r="194">
          <cell r="A194" t="str">
            <v>Computer Land De Occidente SA de CV</v>
          </cell>
          <cell r="B194" t="str">
            <v>CLO980520AR3</v>
          </cell>
        </row>
        <row r="195">
          <cell r="A195" t="str">
            <v>Comtelsat, S.A. De C.V.</v>
          </cell>
          <cell r="B195" t="str">
            <v>COM010313SU8</v>
          </cell>
        </row>
        <row r="196">
          <cell r="A196" t="str">
            <v>Comunicación De Radio Y Luz De Emergencia, S.A. De C.V.</v>
          </cell>
          <cell r="B196" t="str">
            <v>CRL900521NV7</v>
          </cell>
        </row>
        <row r="197">
          <cell r="A197" t="str">
            <v>Comunicaciones Estratégicas Newlink, S.A. De C.V.</v>
          </cell>
          <cell r="B197" t="str">
            <v>CEN081124QV8</v>
          </cell>
        </row>
        <row r="198">
          <cell r="A198" t="str">
            <v>Concepto Risográfico SA de CV</v>
          </cell>
          <cell r="B198" t="str">
            <v>CRI901019HW5</v>
          </cell>
        </row>
        <row r="199">
          <cell r="A199" t="str">
            <v>Conceptos En Productividad Empresarial, S.A. De C.V.</v>
          </cell>
          <cell r="B199" t="str">
            <v>CPE060512H22</v>
          </cell>
        </row>
        <row r="200">
          <cell r="A200" t="str">
            <v>Conference Corporativo, S.C.</v>
          </cell>
          <cell r="B200" t="str">
            <v>CCO041127MS7</v>
          </cell>
        </row>
        <row r="201">
          <cell r="A201" t="str">
            <v>Connection Commerce &amp; Logistics, S.A. De C.V.</v>
          </cell>
          <cell r="B201" t="str">
            <v>CCA080820A46</v>
          </cell>
        </row>
        <row r="202">
          <cell r="A202" t="str">
            <v>Connext Soluciones, S.A. De C.V.</v>
          </cell>
          <cell r="B202" t="str">
            <v>CSO070507GC6</v>
          </cell>
        </row>
        <row r="203">
          <cell r="A203" t="str">
            <v>Consorcio Ad Merx, S. De R.L. De C.V.</v>
          </cell>
          <cell r="B203" t="str">
            <v>CAM1207186I9</v>
          </cell>
        </row>
        <row r="204">
          <cell r="A204" t="str">
            <v>Consorcio Audiovisa SA de CV</v>
          </cell>
          <cell r="B204" t="str">
            <v>CAU980825C56</v>
          </cell>
        </row>
        <row r="205">
          <cell r="A205" t="str">
            <v>Consorcio De Construcción Y Comunicación, S.A. De C.V.</v>
          </cell>
          <cell r="B205" t="str">
            <v>CCC000202QM1</v>
          </cell>
        </row>
        <row r="206">
          <cell r="A206" t="str">
            <v>Consorcio De Seguridad Privada Herrejón Y Ramírez, S.A. De C.V.</v>
          </cell>
          <cell r="B206" t="str">
            <v>CSP1504286J0</v>
          </cell>
        </row>
        <row r="207">
          <cell r="A207" t="str">
            <v>Consorcio Grafico Magno, S.A. De C.V.</v>
          </cell>
          <cell r="B207" t="str">
            <v>CGM1412084F0</v>
          </cell>
        </row>
        <row r="208">
          <cell r="A208" t="str">
            <v>Consprocon SA de CV</v>
          </cell>
          <cell r="B208" t="str">
            <v>CON130213988</v>
          </cell>
        </row>
        <row r="209">
          <cell r="A209" t="str">
            <v>Construcción Estructura y Paileria SA de CV</v>
          </cell>
          <cell r="B209" t="str">
            <v>CEP9311266U5</v>
          </cell>
        </row>
        <row r="210">
          <cell r="A210" t="str">
            <v>Construcción Y Asesoría En Obras Y Servicios SA de CV</v>
          </cell>
          <cell r="B210" t="str">
            <v>CAO070122P44</v>
          </cell>
        </row>
        <row r="211">
          <cell r="A211" t="str">
            <v>Construcción Y Estructuras Danmari, S.A. De C.V.</v>
          </cell>
          <cell r="B211" t="str">
            <v>CED1308207IA</v>
          </cell>
        </row>
        <row r="212">
          <cell r="A212" t="str">
            <v>Construcciones Ligeras Y Pesadas De México, S.A. De C.V.</v>
          </cell>
          <cell r="B212" t="str">
            <v>CLP8507138E3</v>
          </cell>
        </row>
        <row r="213">
          <cell r="A213" t="str">
            <v>Construcciones Nycpza, S.A. De C.V.</v>
          </cell>
          <cell r="B213" t="str">
            <v>CNY160516HP5</v>
          </cell>
        </row>
        <row r="214">
          <cell r="A214" t="str">
            <v>Construcciones Pausami, S.A. De C.V.</v>
          </cell>
          <cell r="B214" t="str">
            <v>CPA970613GK9</v>
          </cell>
        </row>
        <row r="215">
          <cell r="A215" t="str">
            <v>Construcciones Y Diseño Elisa, S.A. De C.V.</v>
          </cell>
          <cell r="B215" t="str">
            <v>CDE1404075I4</v>
          </cell>
        </row>
        <row r="216">
          <cell r="A216" t="str">
            <v>Construcciones Y Distribuciones Eléctricas Fyosa, S.A. De C.V.</v>
          </cell>
          <cell r="B216" t="str">
            <v>CDE020312E12</v>
          </cell>
        </row>
        <row r="217">
          <cell r="A217" t="str">
            <v>Construcciones Y Dragados Del Sureste, S.A. De C.V.</v>
          </cell>
          <cell r="B217" t="str">
            <v>CDS970212MV3</v>
          </cell>
        </row>
        <row r="218">
          <cell r="A218" t="str">
            <v>Construcciones Y Negocios Del Golfo, S.A. De C.V.</v>
          </cell>
          <cell r="B218" t="str">
            <v>CNG0808127R3</v>
          </cell>
        </row>
        <row r="219">
          <cell r="A219" t="str">
            <v>Constructora Aspe y Asociados SA de CV</v>
          </cell>
          <cell r="B219" t="str">
            <v>CAA081003LX7</v>
          </cell>
        </row>
        <row r="220">
          <cell r="A220" t="str">
            <v>Constructora E Inmobiliaria Ava SA de CV</v>
          </cell>
          <cell r="B220" t="str">
            <v>CIA940819UZ8</v>
          </cell>
        </row>
        <row r="221">
          <cell r="A221" t="str">
            <v>Constructora E Inmobiliaria De Espacios, S.A. De C.V.</v>
          </cell>
          <cell r="B221" t="str">
            <v>CIE040324AP1</v>
          </cell>
        </row>
        <row r="222">
          <cell r="A222" t="str">
            <v>Constructora Harps, S.A. De C.V.</v>
          </cell>
          <cell r="B222" t="str">
            <v>CHA121003PM0</v>
          </cell>
        </row>
        <row r="223">
          <cell r="A223" t="str">
            <v>Constructora Kalisa SA de CV</v>
          </cell>
          <cell r="B223" t="str">
            <v>CKA040402UGA</v>
          </cell>
        </row>
        <row r="224">
          <cell r="A224" t="str">
            <v>Constructora Terminal Sor Juana Tlalnepantla SA de CV</v>
          </cell>
          <cell r="B224" t="str">
            <v>CTS120720PF0</v>
          </cell>
        </row>
        <row r="225">
          <cell r="A225" t="str">
            <v>Consulting All Service In Telecom And Medice, S. De R. L. De C.V.</v>
          </cell>
          <cell r="B225" t="str">
            <v>CAS1211066S3</v>
          </cell>
        </row>
        <row r="226">
          <cell r="A226" t="str">
            <v>Consulting And Enterprise Integrations, S.A. De C.V.</v>
          </cell>
          <cell r="B226" t="str">
            <v>CEI0401121H9</v>
          </cell>
        </row>
        <row r="227">
          <cell r="A227" t="str">
            <v>Consultores En Sistemas Administrativos, S.A. De C.V.</v>
          </cell>
          <cell r="B227" t="str">
            <v>CSA981124KI7</v>
          </cell>
        </row>
        <row r="228">
          <cell r="A228" t="str">
            <v>Consultores Marnic, S.C.</v>
          </cell>
          <cell r="B228" t="str">
            <v>CMA050315G45</v>
          </cell>
        </row>
        <row r="229">
          <cell r="A229" t="str">
            <v>Consultores y Servicios En Calidad De Alimentos SA de CV</v>
          </cell>
          <cell r="B229" t="str">
            <v>CSC011218455</v>
          </cell>
        </row>
        <row r="230">
          <cell r="A230" t="str">
            <v>Consultores Y Soporte Amd, S.A. De C.V.</v>
          </cell>
          <cell r="B230" t="str">
            <v>CSA960827626</v>
          </cell>
        </row>
        <row r="231">
          <cell r="A231" t="str">
            <v>Consultoría Integral Vilzel, S.A. De C.V.</v>
          </cell>
          <cell r="B231" t="str">
            <v>CIV150128AF9</v>
          </cell>
        </row>
        <row r="232">
          <cell r="A232" t="str">
            <v>Consultoría Tecnologías y Gestión Del Conocimiento SA de CV</v>
          </cell>
          <cell r="B232" t="str">
            <v>CTG120706IG6</v>
          </cell>
        </row>
        <row r="233">
          <cell r="A233" t="str">
            <v>Consultoría Y Aplicaciones Avanzadas De ECM, S.A. De C.V.</v>
          </cell>
          <cell r="B233" t="str">
            <v>CAA050126TH6</v>
          </cell>
        </row>
        <row r="234">
          <cell r="A234" t="str">
            <v>Controles Y Diseño, S.A. De C.V.</v>
          </cell>
          <cell r="B234" t="str">
            <v>CDI020815TR5</v>
          </cell>
        </row>
        <row r="235">
          <cell r="A235" t="str">
            <v>Coordinadora y Desarrolladora P&amp;O SA de CV</v>
          </cell>
          <cell r="B235" t="str">
            <v>CDP110819QW6</v>
          </cell>
        </row>
        <row r="236">
          <cell r="A236" t="str">
            <v>Corporación Papelera El Sótano, S.A. De C.V.</v>
          </cell>
          <cell r="B236" t="str">
            <v>CPS040604RV8</v>
          </cell>
        </row>
        <row r="237">
          <cell r="A237" t="str">
            <v>Corporación Técnica Ambiental, S.A. De C.V.</v>
          </cell>
          <cell r="B237" t="str">
            <v>CTA8504269W2</v>
          </cell>
        </row>
        <row r="238">
          <cell r="A238" t="str">
            <v>Corporate Accon en conocimientos e Ingeniería, S.A. de C.V.</v>
          </cell>
          <cell r="B238" t="str">
            <v>CAC160323RE3</v>
          </cell>
        </row>
        <row r="239">
          <cell r="A239" t="str">
            <v>Corporativo Adferi Consultores Ambientales, S.A. De C.V.</v>
          </cell>
          <cell r="B239" t="str">
            <v>CAC9402147F4</v>
          </cell>
        </row>
        <row r="240">
          <cell r="A240" t="str">
            <v>Corporativo Adoal-Rot Manufacturing SA de CV</v>
          </cell>
          <cell r="B240" t="str">
            <v>CAM150715NQ3</v>
          </cell>
        </row>
        <row r="241">
          <cell r="A241" t="str">
            <v>Corporativo Alberdy, S.A. De C.V.</v>
          </cell>
          <cell r="B241" t="str">
            <v>CAL040311K70</v>
          </cell>
        </row>
        <row r="242">
          <cell r="A242" t="str">
            <v>Corporativo Asesores Sánchez Maluly / Sanmiguel, S.C.</v>
          </cell>
          <cell r="B242" t="str">
            <v>CAS940623569</v>
          </cell>
        </row>
        <row r="243">
          <cell r="A243" t="str">
            <v>Corporativo Coneltec, S.A De. C.V.</v>
          </cell>
          <cell r="B243" t="str">
            <v>CCO1110062T1</v>
          </cell>
        </row>
        <row r="244">
          <cell r="A244" t="str">
            <v>Corporativo Contraste SA de CV</v>
          </cell>
          <cell r="B244" t="str">
            <v>CCO9902231N0</v>
          </cell>
        </row>
        <row r="245">
          <cell r="A245" t="str">
            <v>Corporativo De Servicios Empresariales Y Gastronómicos, S.A. De C.V.</v>
          </cell>
          <cell r="B245" t="str">
            <v>CSE9810296W9</v>
          </cell>
        </row>
        <row r="246">
          <cell r="A246" t="str">
            <v>Corporativo Ebidar, S.A. De C.V.</v>
          </cell>
          <cell r="B246" t="str">
            <v>CEB070215L78</v>
          </cell>
        </row>
        <row r="247">
          <cell r="A247" t="str">
            <v>Corporativo H9, S.A. De C.V.</v>
          </cell>
          <cell r="B247" t="str">
            <v>CHX1612143I4</v>
          </cell>
        </row>
        <row r="248">
          <cell r="A248" t="str">
            <v>Corporativo Lederskap SA de CV</v>
          </cell>
          <cell r="B248" t="str">
            <v>CLE1410089W8</v>
          </cell>
        </row>
        <row r="249">
          <cell r="A249" t="str">
            <v>Corporativo Multidisciplinario BGG, S.A. De C.V.</v>
          </cell>
          <cell r="B249" t="str">
            <v>CMB140131576</v>
          </cell>
        </row>
        <row r="250">
          <cell r="A250" t="str">
            <v>Corporativo Profesional Cuellar, S.A. De C.V.</v>
          </cell>
          <cell r="B250" t="str">
            <v>CPC960910CY6</v>
          </cell>
        </row>
        <row r="251">
          <cell r="A251" t="str">
            <v>Corporativo Prográfico SA de CV</v>
          </cell>
          <cell r="B251" t="str">
            <v>CPR040818NI6</v>
          </cell>
        </row>
        <row r="252">
          <cell r="A252" t="str">
            <v>COS Informática México, S. De R.L. De C.V.</v>
          </cell>
          <cell r="B252" t="str">
            <v>CIM091022RS5</v>
          </cell>
        </row>
        <row r="253">
          <cell r="A253" t="str">
            <v>Cosmopapel, S.A. de C.V.</v>
          </cell>
          <cell r="B253" t="str">
            <v>COS060209D57</v>
          </cell>
        </row>
        <row r="254">
          <cell r="A254" t="str">
            <v>Cosmotech, S.A. De C.V.</v>
          </cell>
          <cell r="B254" t="str">
            <v>COS131119H97</v>
          </cell>
        </row>
        <row r="255">
          <cell r="A255" t="str">
            <v>Creatika Media Group, S.A. de C.V.</v>
          </cell>
          <cell r="B255" t="str">
            <v>CMG030213S26</v>
          </cell>
        </row>
        <row r="256">
          <cell r="A256" t="str">
            <v>Creativa Impresores SA de CV</v>
          </cell>
          <cell r="B256" t="str">
            <v>CIM020423GQ3</v>
          </cell>
        </row>
        <row r="257">
          <cell r="A257" t="str">
            <v>Creatividad Y Espectáculos, S.A. De C.V.</v>
          </cell>
          <cell r="B257" t="str">
            <v>CES010717LKA</v>
          </cell>
        </row>
        <row r="258">
          <cell r="A258" t="str">
            <v>Criba Taller Editorial, S.A. De C.V.</v>
          </cell>
          <cell r="B258" t="str">
            <v>CTE9210292F6</v>
          </cell>
        </row>
        <row r="259">
          <cell r="A259" t="str">
            <v>Crifasa, S.A. De C.V.</v>
          </cell>
          <cell r="B259" t="str">
            <v>CRI1001251M5</v>
          </cell>
        </row>
        <row r="260">
          <cell r="A260" t="str">
            <v>Crona SA de CV</v>
          </cell>
          <cell r="B260" t="str">
            <v>CRO1502241H2</v>
          </cell>
        </row>
        <row r="261">
          <cell r="A261" t="str">
            <v>CSI Dynamics, S.A. De C.V.</v>
          </cell>
          <cell r="B261" t="str">
            <v>CDY140627RC1</v>
          </cell>
        </row>
        <row r="262">
          <cell r="A262" t="str">
            <v>Csi Tactical And Balistic SA de CV</v>
          </cell>
          <cell r="B262" t="str">
            <v>CTB130716MAA</v>
          </cell>
        </row>
        <row r="263">
          <cell r="A263" t="str">
            <v>Cuartoscuro, S.A. De C.V.</v>
          </cell>
          <cell r="B263" t="str">
            <v>CUA900116227</v>
          </cell>
        </row>
        <row r="264">
          <cell r="A264" t="str">
            <v>Cultura Y Protocolo Gastronomía, S.C.</v>
          </cell>
          <cell r="B264" t="str">
            <v>CPG080212UV3</v>
          </cell>
        </row>
        <row r="265">
          <cell r="A265" t="str">
            <v>Custom Printing, S.A. De C.V.</v>
          </cell>
          <cell r="B265" t="str">
            <v>CPR1003296F8</v>
          </cell>
        </row>
        <row r="266">
          <cell r="A266" t="str">
            <v>D3 Ediciones SA de CV</v>
          </cell>
          <cell r="B266" t="str">
            <v>DED120709MI7</v>
          </cell>
        </row>
        <row r="267">
          <cell r="A267" t="str">
            <v>Dahfsa de México, S.A. de C.V.</v>
          </cell>
          <cell r="B267" t="str">
            <v>DME0905224P7</v>
          </cell>
        </row>
        <row r="268">
          <cell r="A268" t="str">
            <v>Dalia Women, S.A.P.I. de C.V.</v>
          </cell>
          <cell r="B268" t="str">
            <v>DWO170331HY1</v>
          </cell>
        </row>
        <row r="269">
          <cell r="A269" t="str">
            <v>Damovo México, S. De R.L. De C.V.</v>
          </cell>
          <cell r="B269" t="str">
            <v>DME000725ST5</v>
          </cell>
        </row>
        <row r="270">
          <cell r="A270" t="str">
            <v>Dango Entretenimiento, S.A. De C.V.</v>
          </cell>
          <cell r="B270" t="str">
            <v>DEN150901UB0</v>
          </cell>
        </row>
        <row r="271">
          <cell r="A271" t="str">
            <v>Darac Network Solutions, S.A. De C.V.</v>
          </cell>
          <cell r="B271" t="str">
            <v>DNS160721773</v>
          </cell>
        </row>
        <row r="272">
          <cell r="A272" t="str">
            <v>Data Warden, S.A. De C.V.</v>
          </cell>
          <cell r="B272" t="str">
            <v>DWA041125U40</v>
          </cell>
        </row>
        <row r="273">
          <cell r="A273" t="str">
            <v>Datapoint, S.A. De C.V.</v>
          </cell>
          <cell r="B273" t="str">
            <v>DAT8102046P7</v>
          </cell>
        </row>
        <row r="274">
          <cell r="A274" t="str">
            <v>Dbs Consultoría, S.C.</v>
          </cell>
          <cell r="B274" t="str">
            <v>DCO140912G37</v>
          </cell>
        </row>
        <row r="275">
          <cell r="A275" t="str">
            <v>Defensa Jurídica y Educación Para Mujeres SC</v>
          </cell>
          <cell r="B275" t="str">
            <v>DJE990506464</v>
          </cell>
        </row>
        <row r="276">
          <cell r="A276" t="str">
            <v>Deipi.Com SA de CV</v>
          </cell>
          <cell r="B276" t="str">
            <v>DCO061214FF6</v>
          </cell>
        </row>
        <row r="277">
          <cell r="A277" t="str">
            <v>Delectric, S.A. De C.V.</v>
          </cell>
          <cell r="B277" t="str">
            <v>DEL9112172G8</v>
          </cell>
        </row>
        <row r="278">
          <cell r="A278" t="str">
            <v>Delfos, Comunicación, Mercado Y Prospectiva, S.C.</v>
          </cell>
          <cell r="B278" t="str">
            <v>DM&amp;050126KF9</v>
          </cell>
        </row>
        <row r="279">
          <cell r="A279" t="str">
            <v>Delta Tiger, S.A. De C.V.</v>
          </cell>
          <cell r="B279" t="str">
            <v>DTI081211J61</v>
          </cell>
        </row>
        <row r="280">
          <cell r="A280" t="str">
            <v>Desarrolladora de Estacionamientos Privados SA de CV</v>
          </cell>
          <cell r="B280" t="str">
            <v>DEP931001T6</v>
          </cell>
        </row>
        <row r="281">
          <cell r="A281" t="str">
            <v>Desarrollo Y Tecnología Empresarial, S.A. De C.V.</v>
          </cell>
          <cell r="B281" t="str">
            <v>DTE000118N96</v>
          </cell>
        </row>
        <row r="282">
          <cell r="A282" t="str">
            <v>Desazolve Y Soluciones Ambientales, S.A. De C.V.</v>
          </cell>
          <cell r="B282" t="str">
            <v>DSA110104FG5</v>
          </cell>
        </row>
        <row r="283">
          <cell r="A283" t="str">
            <v>Desco De México, S.A.</v>
          </cell>
          <cell r="B283" t="str">
            <v>DME7611296B3</v>
          </cell>
        </row>
        <row r="284">
          <cell r="A284" t="str">
            <v>Despacho González Villanueva Y Asociados, S.C.</v>
          </cell>
          <cell r="B284" t="str">
            <v>DGV990215NEA</v>
          </cell>
        </row>
        <row r="285">
          <cell r="A285" t="str">
            <v>Despacho Lozada Hermanos, S.C.</v>
          </cell>
          <cell r="B285" t="str">
            <v>DLH101202UJ5</v>
          </cell>
        </row>
        <row r="286">
          <cell r="A286" t="str">
            <v>Dessa Muebles, S.A. De C.V.</v>
          </cell>
          <cell r="B286" t="str">
            <v>DMU9206035G5</v>
          </cell>
        </row>
        <row r="287">
          <cell r="A287" t="str">
            <v>Desysnet, Consultores De Opinión Y Estrategia, S.A. De C.V.</v>
          </cell>
          <cell r="B287" t="str">
            <v>DCO131210S70</v>
          </cell>
        </row>
        <row r="288">
          <cell r="A288" t="str">
            <v>Detección Y Supresión Inteligentes, S.A. De C.V.</v>
          </cell>
          <cell r="B288" t="str">
            <v>DSI010223ST6</v>
          </cell>
        </row>
        <row r="289">
          <cell r="A289" t="str">
            <v>Dextro Representaciones SA de CV</v>
          </cell>
          <cell r="B289" t="str">
            <v>DRE091204SP0</v>
          </cell>
        </row>
        <row r="290">
          <cell r="A290" t="str">
            <v>DGC, Consentir, Alimentos Sanos, S.A. De C.V.</v>
          </cell>
          <cell r="B290" t="str">
            <v>DCA140116M60</v>
          </cell>
        </row>
        <row r="291">
          <cell r="A291" t="str">
            <v>Dhimex Ciudad de México, S.A. de C.V.</v>
          </cell>
          <cell r="B291" t="str">
            <v>DCM060704I30</v>
          </cell>
        </row>
        <row r="292">
          <cell r="A292" t="str">
            <v>Diario Imagen SA de CV</v>
          </cell>
          <cell r="B292" t="str">
            <v>DIM1504148V6</v>
          </cell>
        </row>
        <row r="293">
          <cell r="A293" t="str">
            <v>Dicabriolet, S.A. De C.V.</v>
          </cell>
          <cell r="B293" t="str">
            <v>DIC990527GN6</v>
          </cell>
        </row>
        <row r="294">
          <cell r="A294" t="str">
            <v>Dicimex, S.A. De C.V.</v>
          </cell>
          <cell r="B294" t="str">
            <v>DIC85102518A</v>
          </cell>
        </row>
        <row r="295">
          <cell r="A295" t="str">
            <v>Difusión Comercial Y Tecnológica, S.A. De C.V.</v>
          </cell>
          <cell r="B295" t="str">
            <v>DCT110524AB5</v>
          </cell>
        </row>
        <row r="296">
          <cell r="A296" t="str">
            <v>Digilogics SA de CV</v>
          </cell>
          <cell r="B296" t="str">
            <v>DIG081024SR8</v>
          </cell>
        </row>
        <row r="297">
          <cell r="A297" t="str">
            <v>Dimensión Data Commerce Centre México, S.A. De C.V.</v>
          </cell>
          <cell r="B297" t="str">
            <v>DDC031103FW7</v>
          </cell>
        </row>
        <row r="298">
          <cell r="A298" t="str">
            <v>Discurseros SC</v>
          </cell>
          <cell r="B298" t="str">
            <v>DIS160505K49</v>
          </cell>
        </row>
        <row r="299">
          <cell r="A299" t="str">
            <v>Diseño Floral De Vanguardia Y Regalos, S.A. De C.V.</v>
          </cell>
          <cell r="B299" t="str">
            <v>DFV080325JG8</v>
          </cell>
        </row>
        <row r="300">
          <cell r="A300" t="str">
            <v>Diseño Ingeniería y Manufacturas SA de CV</v>
          </cell>
          <cell r="B300" t="str">
            <v>DIM911022PPA</v>
          </cell>
        </row>
        <row r="301">
          <cell r="A301" t="str">
            <v>Diseño Integral Alze SA de CV</v>
          </cell>
          <cell r="B301" t="str">
            <v>DIA100928DD6</v>
          </cell>
        </row>
        <row r="302">
          <cell r="A302" t="str">
            <v>Diseño y Construcción Activos, S.A. de C.V.</v>
          </cell>
          <cell r="B302" t="str">
            <v>DCA061027CZ8</v>
          </cell>
        </row>
        <row r="303">
          <cell r="A303" t="str">
            <v>Dispositivos Electrónicos y De Control SA de CV</v>
          </cell>
          <cell r="B303" t="str">
            <v>DEC7711299W6</v>
          </cell>
        </row>
        <row r="304">
          <cell r="A304" t="str">
            <v>DISTRIBUCION DE LIBROS MIGUEL ANGEL PORRUA SA DE CV</v>
          </cell>
          <cell r="B304" t="str">
            <v>DLM8904077E9</v>
          </cell>
        </row>
        <row r="305">
          <cell r="A305" t="str">
            <v>Distribuciones Limonta, S.A. De C.V.</v>
          </cell>
          <cell r="B305" t="str">
            <v>DLI0802258E4</v>
          </cell>
        </row>
        <row r="306">
          <cell r="A306" t="str">
            <v xml:space="preserve">Distribuidor Computacional Deco, S.A. de C.V. </v>
          </cell>
          <cell r="B306" t="str">
            <v>DCD090806GJ4</v>
          </cell>
        </row>
        <row r="307">
          <cell r="A307" t="str">
            <v>Distribuidor Urko y Drago SA de CV</v>
          </cell>
          <cell r="B307" t="str">
            <v>DUD100319QLA</v>
          </cell>
        </row>
        <row r="308">
          <cell r="A308" t="str">
            <v>Distribuidora Aplicada A Negocios De La Industria, S.A. De C.V.</v>
          </cell>
          <cell r="B308" t="str">
            <v>DAN140728G12</v>
          </cell>
        </row>
        <row r="309">
          <cell r="A309" t="str">
            <v>Distribuidora De Material Dental Y Hospitalario, S.A. De C.V.</v>
          </cell>
          <cell r="B309" t="str">
            <v>DMD911021FP5</v>
          </cell>
        </row>
        <row r="310">
          <cell r="A310" t="str">
            <v>Distribuidora Disom, S.A. De C.V.</v>
          </cell>
          <cell r="B310" t="str">
            <v>DDI150123PPA</v>
          </cell>
        </row>
        <row r="311">
          <cell r="A311" t="str">
            <v>Distribuidora Electrónica Brunca, S.A. De C.V.</v>
          </cell>
          <cell r="B311" t="str">
            <v>DEB890309SX0</v>
          </cell>
        </row>
        <row r="312">
          <cell r="A312" t="str">
            <v>Distribuidora Goba De Querétaro SA de CV</v>
          </cell>
          <cell r="B312" t="str">
            <v>DGQ9611278N9</v>
          </cell>
        </row>
        <row r="313">
          <cell r="A313" t="str">
            <v>Distribuidora Haikar, S.A. de C.V.</v>
          </cell>
          <cell r="B313" t="str">
            <v>DHA890317AP9</v>
          </cell>
        </row>
        <row r="314">
          <cell r="A314" t="str">
            <v>Distribuidora Jjb, S.A. De C.V.</v>
          </cell>
          <cell r="B314" t="str">
            <v>DJJ111024RU0</v>
          </cell>
        </row>
        <row r="315">
          <cell r="A315" t="str">
            <v>Distribuidora Marín, S.A. De C.V.</v>
          </cell>
          <cell r="B315" t="str">
            <v>DMA910808BZ1</v>
          </cell>
        </row>
        <row r="316">
          <cell r="A316" t="str">
            <v xml:space="preserve">Distribuidora Ojusami, S.A. de C.V. </v>
          </cell>
          <cell r="B316" t="str">
            <v>DOJ030211CU9</v>
          </cell>
        </row>
        <row r="317">
          <cell r="A317" t="str">
            <v>Distribuidora Santiago, S.A. De C.V.</v>
          </cell>
          <cell r="B317" t="str">
            <v>DSA770718UT1</v>
          </cell>
        </row>
        <row r="318">
          <cell r="A318" t="str">
            <v>Distribuidora Y Comercializadora Helios, S.A. De C.V.</v>
          </cell>
          <cell r="B318" t="str">
            <v>DCH140327HT8</v>
          </cell>
        </row>
        <row r="319">
          <cell r="A319" t="str">
            <v>Distribuidores Y Fabricantes De Artículos Escolares Y De Oficina, S.A. De C.V.</v>
          </cell>
          <cell r="B319" t="str">
            <v>DFA0701181Y4</v>
          </cell>
        </row>
        <row r="320">
          <cell r="A320" t="str">
            <v>Distrito Grupo Inmobiliario Del Norte SA de CV</v>
          </cell>
          <cell r="B320" t="str">
            <v>DGI140819MBA</v>
          </cell>
        </row>
        <row r="321">
          <cell r="A321" t="str">
            <v>Dita Software And Electronics SA de CV</v>
          </cell>
          <cell r="B321" t="str">
            <v>DSE160122I87</v>
          </cell>
        </row>
        <row r="322">
          <cell r="A322" t="str">
            <v>Dubon Logística Y Servicios, S.A. De C.V.</v>
          </cell>
          <cell r="B322" t="str">
            <v>DLS130819S16</v>
          </cell>
        </row>
        <row r="323">
          <cell r="A323" t="str">
            <v>Duty Cold, S.A. De C.V.</v>
          </cell>
          <cell r="B323" t="str">
            <v>DCO101130F17</v>
          </cell>
        </row>
        <row r="324">
          <cell r="A324" t="str">
            <v>Dyproisa Diseño y Proyectos de Ingeniería Industrial, S.A. de C.V.</v>
          </cell>
          <cell r="B324" t="str">
            <v>DDP1409198F2</v>
          </cell>
        </row>
        <row r="325">
          <cell r="A325" t="str">
            <v>Earn, S.A. De C.V.</v>
          </cell>
          <cell r="B325" t="str">
            <v>EAR971113AJ2</v>
          </cell>
        </row>
        <row r="326">
          <cell r="A326" t="str">
            <v>Ebcomm, S.A.P.I. De C.V.</v>
          </cell>
          <cell r="B326" t="str">
            <v>EBC060331DGA</v>
          </cell>
        </row>
        <row r="327">
          <cell r="A327" t="str">
            <v>Eclecsis Sinergia Y Tecnología, S. De R.L. De C.V.</v>
          </cell>
          <cell r="B327" t="str">
            <v>EST071221PZ0</v>
          </cell>
        </row>
        <row r="328">
          <cell r="A328" t="str">
            <v>Edenred México, S.A. De C.V.</v>
          </cell>
          <cell r="B328" t="str">
            <v>ASE930924SS7</v>
          </cell>
        </row>
        <row r="329">
          <cell r="A329" t="str">
            <v>Ediciones Andrade SA de CV</v>
          </cell>
          <cell r="B329" t="str">
            <v>EAN601108TN8</v>
          </cell>
        </row>
        <row r="330">
          <cell r="A330" t="str">
            <v>Ediciones La Biblioteca SA de CV</v>
          </cell>
          <cell r="B330" t="str">
            <v>EBI1310299M4</v>
          </cell>
        </row>
        <row r="331">
          <cell r="A331" t="str">
            <v>Edicionesakal México, S.A. de C.V.</v>
          </cell>
          <cell r="B331" t="str">
            <v>EAK100407RL9</v>
          </cell>
        </row>
        <row r="332">
          <cell r="A332" t="str">
            <v>Edinteligent S de RL de CV</v>
          </cell>
          <cell r="B332" t="str">
            <v>EDI060421GT0</v>
          </cell>
        </row>
        <row r="333">
          <cell r="A333" t="str">
            <v>Editores Buena Onda, S.A. de C.V.</v>
          </cell>
          <cell r="B333" t="str">
            <v>EBO981030HL7</v>
          </cell>
        </row>
        <row r="334">
          <cell r="A334" t="str">
            <v>Editores E Impresores Profesionales Edimpro, S.A. De C.V.</v>
          </cell>
          <cell r="B334" t="str">
            <v>EIP050728B1A</v>
          </cell>
        </row>
        <row r="335">
          <cell r="A335" t="str">
            <v>Editorial Porrúa, S.A. De C.V.</v>
          </cell>
          <cell r="B335" t="str">
            <v>EPO440314PK9</v>
          </cell>
        </row>
        <row r="336">
          <cell r="A336" t="str">
            <v>Educación Avanzada A Libro Abierto, S.A. De C.V.</v>
          </cell>
          <cell r="B336" t="str">
            <v>EAL1404256D3</v>
          </cell>
        </row>
        <row r="337">
          <cell r="A337" t="str">
            <v>Educación Matemática Hidalgo, S.C.</v>
          </cell>
          <cell r="B337" t="str">
            <v>EMH001123QT6</v>
          </cell>
        </row>
        <row r="338">
          <cell r="A338" t="str">
            <v>Efectivale, S. De R. L. De C. V.</v>
          </cell>
          <cell r="B338" t="str">
            <v>EFE8908015L3</v>
          </cell>
        </row>
        <row r="339">
          <cell r="A339" t="str">
            <v>Eficiencia en Ingeniería S.A. De C.V.</v>
          </cell>
          <cell r="B339" t="str">
            <v>EEI1009031Q7</v>
          </cell>
        </row>
        <row r="340">
          <cell r="A340" t="str">
            <v>Eisco Traducciones, S.A. De C.V.</v>
          </cell>
          <cell r="B340" t="str">
            <v>ETR941110KQ3</v>
          </cell>
        </row>
        <row r="341">
          <cell r="A341" t="str">
            <v>Ekomercio Electrónico, S.A. De C.V.</v>
          </cell>
          <cell r="B341" t="str">
            <v>EEL961104G96</v>
          </cell>
        </row>
        <row r="342">
          <cell r="A342" t="str">
            <v>El Tentero SC</v>
          </cell>
          <cell r="B342" t="str">
            <v>TEN130830NE1</v>
          </cell>
        </row>
        <row r="343">
          <cell r="A343" t="str">
            <v>El Tibet Arrendadora SA de CV</v>
          </cell>
          <cell r="B343" t="str">
            <v>TAR000428LW4</v>
          </cell>
        </row>
        <row r="344">
          <cell r="A344" t="str">
            <v>El Trébol Automotriz Ermita, S.A. de C.V.</v>
          </cell>
          <cell r="B344" t="str">
            <v>TAE870320RC9</v>
          </cell>
        </row>
        <row r="345">
          <cell r="A345" t="str">
            <v>Electrónica, Ingeniería Y Comunicaciones, S.A. De C.V.</v>
          </cell>
          <cell r="B345" t="str">
            <v>EIC840213GT2</v>
          </cell>
        </row>
        <row r="346">
          <cell r="A346" t="str">
            <v>Electropura, S. de R.L. De C.V.</v>
          </cell>
          <cell r="B346" t="str">
            <v>ELE9012281G2</v>
          </cell>
        </row>
        <row r="347">
          <cell r="A347" t="str">
            <v>Elevadores Otis, S. De R.L. De C.V.</v>
          </cell>
          <cell r="B347" t="str">
            <v>EOT631205877</v>
          </cell>
        </row>
        <row r="348">
          <cell r="A348" t="str">
            <v>Elevadores Schindler SA de CV</v>
          </cell>
          <cell r="B348" t="str">
            <v>ESC8911081Q8</v>
          </cell>
        </row>
        <row r="349">
          <cell r="A349" t="str">
            <v>Ella Marketing SA de CV</v>
          </cell>
          <cell r="B349" t="str">
            <v>EMA1507214N1</v>
          </cell>
        </row>
        <row r="350">
          <cell r="A350" t="str">
            <v>Empresas De Telecomunicación Del Cerro Chiquihuite, A.C.</v>
          </cell>
          <cell r="B350" t="str">
            <v>ETC950810RR6</v>
          </cell>
        </row>
        <row r="351">
          <cell r="A351" t="str">
            <v>Emsi Profesionistas Asociados SC</v>
          </cell>
          <cell r="B351" t="str">
            <v>EPA9406035WA</v>
          </cell>
        </row>
        <row r="352">
          <cell r="A352" t="str">
            <v>Enforcer Units Fire Service Pluse México, S.A. de C.V.</v>
          </cell>
          <cell r="B352" t="str">
            <v>EUF110124C4A</v>
          </cell>
        </row>
        <row r="353">
          <cell r="A353" t="str">
            <v>Englobar, S.A. De C.V.</v>
          </cell>
          <cell r="B353" t="str">
            <v>ENG050920SJ7</v>
          </cell>
        </row>
        <row r="354">
          <cell r="A354" t="str">
            <v>Enlace Corporativo Coa, S.A. De C.V.</v>
          </cell>
          <cell r="B354" t="str">
            <v>ECC091217RIA</v>
          </cell>
        </row>
        <row r="355">
          <cell r="A355" t="str">
            <v>Entreventos, S.A. De C.V.</v>
          </cell>
          <cell r="B355" t="str">
            <v>ENT090622EY1</v>
          </cell>
        </row>
        <row r="356">
          <cell r="A356" t="str">
            <v>Epro Electrónica, Servicio Y Asesoría, S.A. De C.V.</v>
          </cell>
          <cell r="B356" t="str">
            <v>EES070528JX7</v>
          </cell>
        </row>
        <row r="357">
          <cell r="A357" t="str">
            <v>Equipo Grafico, S.A. De C.V.</v>
          </cell>
          <cell r="B357" t="str">
            <v>EGR010521I50</v>
          </cell>
        </row>
        <row r="358">
          <cell r="A358" t="str">
            <v>Equipos Carlin De Morelos, S.A. De C.V.</v>
          </cell>
          <cell r="B358" t="str">
            <v>ECM110819NL3</v>
          </cell>
        </row>
        <row r="359">
          <cell r="A359" t="str">
            <v>Equipos Y Climas De México, S.A. De C.V.</v>
          </cell>
          <cell r="B359" t="str">
            <v>ECM840330286</v>
          </cell>
        </row>
        <row r="360">
          <cell r="A360" t="str">
            <v>Era Excelencia En Sillas Y Muebles Para Oficina, S.A. De C.V.</v>
          </cell>
          <cell r="B360" t="str">
            <v>EEE080312F65</v>
          </cell>
        </row>
        <row r="361">
          <cell r="A361" t="str">
            <v>Escalator, Elevator &amp; Electromechanics Enterprise, S.A. De C.V.</v>
          </cell>
          <cell r="B361" t="str">
            <v>EEA1006077G5</v>
          </cell>
        </row>
        <row r="362">
          <cell r="A362" t="str">
            <v>Escuela Mexicana De Archivos, A.C.</v>
          </cell>
          <cell r="B362" t="str">
            <v>EMA06013083A</v>
          </cell>
        </row>
        <row r="363">
          <cell r="A363" t="str">
            <v>Espacio Consultores SC</v>
          </cell>
          <cell r="B363" t="str">
            <v>ECO870602JA7</v>
          </cell>
        </row>
        <row r="364">
          <cell r="A364" t="str">
            <v>Especialidades Medico Odontológicas, S.A. De C.V.</v>
          </cell>
          <cell r="B364" t="str">
            <v>EMO910815PM5</v>
          </cell>
        </row>
        <row r="365">
          <cell r="A365" t="str">
            <v>Especialistas En Medios, S.A. De C.V.</v>
          </cell>
          <cell r="B365" t="str">
            <v>EME9408192F7</v>
          </cell>
        </row>
        <row r="366">
          <cell r="A366" t="str">
            <v>Estacionamientos Pumasa, S.A. De C.V.</v>
          </cell>
          <cell r="B366" t="str">
            <v>EPU060607C47</v>
          </cell>
        </row>
        <row r="367">
          <cell r="A367" t="str">
            <v>Estafeta Mexicana, S.A. de C.V.</v>
          </cell>
          <cell r="B367" t="str">
            <v>EME880309SK5</v>
          </cell>
        </row>
        <row r="368">
          <cell r="A368" t="str">
            <v>Estratec, S.A. de C.V.</v>
          </cell>
          <cell r="B368" t="str">
            <v>EST850718Q51</v>
          </cell>
        </row>
        <row r="369">
          <cell r="A369" t="str">
            <v>Estrategas En Liderazgo Success Team, S. De R.L. De C.V.</v>
          </cell>
          <cell r="B369" t="str">
            <v>ELS141223V48</v>
          </cell>
        </row>
        <row r="370">
          <cell r="A370" t="str">
            <v>Estrategia En Eventos Integrales, S.A. De C.V.</v>
          </cell>
          <cell r="B370" t="str">
            <v>EEI060608V47</v>
          </cell>
        </row>
        <row r="371">
          <cell r="A371" t="str">
            <v>Estrategia Total En Competitividad Nacional E Internacional, S.A. De C.V.</v>
          </cell>
          <cell r="B371" t="str">
            <v>ETC090612DM6</v>
          </cell>
        </row>
        <row r="372">
          <cell r="A372" t="str">
            <v>Estrategia Y Comercio Internacional Dm, S.A. De C.V.</v>
          </cell>
          <cell r="B372" t="str">
            <v>ECI081010D53</v>
          </cell>
        </row>
        <row r="373">
          <cell r="A373" t="str">
            <v>Estrategia Y Desarrollo Pro.Ambiance De México SA de CV</v>
          </cell>
          <cell r="B373" t="str">
            <v>EDP140924853</v>
          </cell>
        </row>
        <row r="374">
          <cell r="A374" t="str">
            <v>Estrategia y Eventos Exclusivos SA de CV</v>
          </cell>
          <cell r="B374" t="str">
            <v>EEE130423P43</v>
          </cell>
        </row>
        <row r="375">
          <cell r="A375" t="str">
            <v>Estructuras Digitales de México Comercializadora, S.A. de C.V.</v>
          </cell>
          <cell r="B375" t="str">
            <v>EDM090610E77</v>
          </cell>
        </row>
        <row r="376">
          <cell r="A376" t="str">
            <v>Estudios Clínicos Dr. T. J. Oriard, S.A. De C.V.</v>
          </cell>
          <cell r="B376" t="str">
            <v>ECD741021QA5</v>
          </cell>
        </row>
        <row r="377">
          <cell r="A377" t="str">
            <v>Eurobakery De México SA de CV</v>
          </cell>
          <cell r="B377" t="str">
            <v>EME110812L56</v>
          </cell>
        </row>
        <row r="378">
          <cell r="A378" t="str">
            <v>Excelencia En Comunicaciones Y Tecnología, S.A. De C.V.</v>
          </cell>
          <cell r="B378" t="str">
            <v>ECT9303302H6</v>
          </cell>
        </row>
        <row r="379">
          <cell r="A379" t="str">
            <v>Excelencia Medica, S.A. De C.V.</v>
          </cell>
          <cell r="B379" t="str">
            <v>EME971111ST5</v>
          </cell>
        </row>
        <row r="380">
          <cell r="A380" t="str">
            <v>Executive Business Consulting México SC</v>
          </cell>
          <cell r="B380" t="str">
            <v>EBC140116Hy2</v>
          </cell>
        </row>
        <row r="381">
          <cell r="A381" t="str">
            <v>Expertos En Computo Y Comunicaciones, S.A. De C.V.</v>
          </cell>
          <cell r="B381" t="str">
            <v>ECC990609FI3</v>
          </cell>
        </row>
        <row r="382">
          <cell r="A382" t="str">
            <v>Extensión Software Mx SA de CV</v>
          </cell>
          <cell r="B382" t="str">
            <v>GEI100129BI7</v>
          </cell>
        </row>
        <row r="383">
          <cell r="A383" t="str">
            <v>Exterminio Integral De Plagas E Higiene Ambiental SA de CV</v>
          </cell>
          <cell r="B383" t="str">
            <v>EIP130411Q51</v>
          </cell>
        </row>
        <row r="384">
          <cell r="A384" t="str">
            <v>Fabredi, S.A. De C.V.</v>
          </cell>
          <cell r="B384" t="str">
            <v>FAB010904I93</v>
          </cell>
        </row>
        <row r="385">
          <cell r="A385" t="str">
            <v>Fábrica De Andamios De Seguridad SA de CV</v>
          </cell>
          <cell r="B385" t="str">
            <v>FAS991116688</v>
          </cell>
        </row>
        <row r="386">
          <cell r="A386" t="str">
            <v>Fábrica De Blancos, S.A. De C.V.</v>
          </cell>
          <cell r="B386" t="str">
            <v>FBL010206IN8</v>
          </cell>
        </row>
        <row r="387">
          <cell r="A387" t="str">
            <v>Farmacias El Fenix Del Centro SA de CV</v>
          </cell>
          <cell r="B387" t="str">
            <v>FFC6611235C0</v>
          </cell>
        </row>
        <row r="388">
          <cell r="A388" t="str">
            <v>Farvisan Insumos Institucionales, S.A. De C.V.</v>
          </cell>
          <cell r="B388" t="str">
            <v>FII110204978</v>
          </cell>
        </row>
        <row r="389">
          <cell r="A389" t="str">
            <v>Fbm Comercializadora, S.A. De C.V.</v>
          </cell>
          <cell r="B389" t="str">
            <v>FCO110208GU7</v>
          </cell>
        </row>
        <row r="390">
          <cell r="A390" t="str">
            <v>Fecare SA de CV</v>
          </cell>
          <cell r="B390" t="str">
            <v>FEC011213D13</v>
          </cell>
        </row>
        <row r="391">
          <cell r="A391" t="str">
            <v>Federación De Colegios De Economistas De La República Mexicana AC</v>
          </cell>
          <cell r="B391" t="str">
            <v>CNE120927A60</v>
          </cell>
        </row>
        <row r="392">
          <cell r="A392" t="str">
            <v>Fehlmex SA de CV</v>
          </cell>
          <cell r="B392" t="str">
            <v>FEH781106F99</v>
          </cell>
        </row>
        <row r="393">
          <cell r="A393" t="str">
            <v>Fendis, S.A. De C.V.</v>
          </cell>
          <cell r="B393" t="str">
            <v>FEN020203M39</v>
          </cell>
        </row>
        <row r="394">
          <cell r="A394" t="str">
            <v>Fermetex SA de CV</v>
          </cell>
          <cell r="B394" t="str">
            <v>FER131217NU9</v>
          </cell>
        </row>
        <row r="395">
          <cell r="A395" t="str">
            <v>Ferrer Consulting Group, S.C.</v>
          </cell>
          <cell r="B395" t="str">
            <v>FCG150213178</v>
          </cell>
        </row>
        <row r="396">
          <cell r="A396" t="str">
            <v>Ferretería Portales, S.A. De C.V.</v>
          </cell>
          <cell r="B396" t="str">
            <v>FPO5205219L4</v>
          </cell>
        </row>
        <row r="397">
          <cell r="A397" t="str">
            <v>Ferretería Santander, S.A. De C.V.</v>
          </cell>
          <cell r="B397" t="str">
            <v>FSA680618RE3</v>
          </cell>
        </row>
        <row r="398">
          <cell r="A398" t="str">
            <v>FGC Valuaciones, S.C</v>
          </cell>
          <cell r="B398" t="str">
            <v>FVA980723AW1</v>
          </cell>
        </row>
        <row r="399">
          <cell r="A399" t="str">
            <v>Fibercom, S.A. De C.V.</v>
          </cell>
          <cell r="B399" t="str">
            <v>FIB0303042Z6</v>
          </cell>
        </row>
        <row r="400">
          <cell r="A400" t="str">
            <v>File Service De México, S.A. De C.V.</v>
          </cell>
          <cell r="B400" t="str">
            <v>FSM9811164P1</v>
          </cell>
        </row>
        <row r="401">
          <cell r="A401" t="str">
            <v>Filtracion Productiva, S.A. De C.V.</v>
          </cell>
          <cell r="B401" t="str">
            <v>FPR871112U51</v>
          </cell>
        </row>
        <row r="402">
          <cell r="A402" t="str">
            <v>Final Solutions, S.A. De C.V.</v>
          </cell>
          <cell r="B402" t="str">
            <v>FSO050217AN6</v>
          </cell>
        </row>
        <row r="403">
          <cell r="A403" t="str">
            <v>Fomento Automotriz Y Servicio Al Transporte, S.A. De C.V.</v>
          </cell>
          <cell r="B403" t="str">
            <v>FAS8509247IA</v>
          </cell>
        </row>
        <row r="404">
          <cell r="A404" t="str">
            <v>Fonatur Mantenimiento Turístico, S.A. De C.V.</v>
          </cell>
          <cell r="B404" t="str">
            <v>NHB770831BW3</v>
          </cell>
        </row>
        <row r="405">
          <cell r="A405" t="str">
            <v>Fondo De Cultura Económica</v>
          </cell>
          <cell r="B405" t="str">
            <v>FCE940726U22</v>
          </cell>
        </row>
        <row r="406">
          <cell r="A406" t="str">
            <v>Fondo Nacional Para El Fomento De Las Artesanías</v>
          </cell>
          <cell r="B406" t="str">
            <v>FNF740528TQ0</v>
          </cell>
        </row>
        <row r="407">
          <cell r="A407" t="str">
            <v>Fondo Para La Paz I.A.P.</v>
          </cell>
          <cell r="B407" t="str">
            <v>FPI940225PB4</v>
          </cell>
        </row>
        <row r="408">
          <cell r="A408" t="str">
            <v>Forlac Store SA de CV</v>
          </cell>
          <cell r="B408" t="str">
            <v>FST1310074I1</v>
          </cell>
        </row>
        <row r="409">
          <cell r="A409" t="str">
            <v>Fortalitia, S.A. De C.V.</v>
          </cell>
          <cell r="B409" t="str">
            <v>FOR060213N45</v>
          </cell>
        </row>
        <row r="410">
          <cell r="A410" t="str">
            <v>Foto Regis Compañía Importadora Fotográfica, S.A. De C.V.</v>
          </cell>
          <cell r="B410" t="str">
            <v>FRI670920AS8</v>
          </cell>
        </row>
        <row r="411">
          <cell r="A411" t="str">
            <v>Fotogenia SA de CV</v>
          </cell>
          <cell r="B411" t="str">
            <v>FOT940525HB9</v>
          </cell>
        </row>
        <row r="412">
          <cell r="A412" t="str">
            <v>Four JS Development Tools Latinoamérica, S.A. De C.V.</v>
          </cell>
          <cell r="B412" t="str">
            <v>FJS0005021F1</v>
          </cell>
        </row>
        <row r="413">
          <cell r="A413" t="str">
            <v>Free Marketing SA de CV</v>
          </cell>
          <cell r="B413" t="str">
            <v>FMA140304EY9</v>
          </cell>
        </row>
        <row r="414">
          <cell r="A414" t="str">
            <v>Fridmay, S.A. De C.V.</v>
          </cell>
          <cell r="B414" t="str">
            <v>FRI0006282Q0</v>
          </cell>
        </row>
        <row r="415">
          <cell r="A415" t="str">
            <v>Fuerza Y Tecnología En Ingeniería, S.A. De C.V.</v>
          </cell>
          <cell r="B415" t="str">
            <v>FTI0701173J7</v>
          </cell>
        </row>
        <row r="416">
          <cell r="A416" t="str">
            <v>Fuji Automotriz, S.A. De C.V.</v>
          </cell>
          <cell r="B416" t="str">
            <v>FAU810615SI8</v>
          </cell>
        </row>
        <row r="417">
          <cell r="A417" t="str">
            <v>Full Service de México, S.A. de C.V.</v>
          </cell>
          <cell r="B417" t="str">
            <v>FSM9302165A5</v>
          </cell>
        </row>
        <row r="418">
          <cell r="A418" t="str">
            <v>Full Services Supplier, S.A. De C.V.</v>
          </cell>
          <cell r="B418" t="str">
            <v>FSS140801745</v>
          </cell>
        </row>
        <row r="419">
          <cell r="A419" t="str">
            <v>Fumi-Dip Control De Plagas, S.A. De C.V.</v>
          </cell>
          <cell r="B419" t="str">
            <v>FCP0702164I3</v>
          </cell>
        </row>
        <row r="420">
          <cell r="A420" t="str">
            <v>Fundación Para La Implementación Diseño Evaluación Y Análisis De Políticas Públicas Fundación IDEA, A.C.</v>
          </cell>
          <cell r="B420" t="str">
            <v>FID050712MV7</v>
          </cell>
        </row>
        <row r="421">
          <cell r="A421" t="str">
            <v>Gabinete Twist, S. De R.L. De C.V.</v>
          </cell>
          <cell r="B421" t="str">
            <v>GTW070309CL8</v>
          </cell>
        </row>
        <row r="422">
          <cell r="A422" t="str">
            <v>Gabriel de la Vega Mora</v>
          </cell>
          <cell r="B422" t="str">
            <v>VEMG780623Q53</v>
          </cell>
        </row>
        <row r="423">
          <cell r="A423" t="str">
            <v>Gadxe, S.A. De C.V.</v>
          </cell>
          <cell r="B423" t="str">
            <v>GAD170208PM0</v>
          </cell>
        </row>
        <row r="424">
          <cell r="A424" t="str">
            <v>Galaz, Yamazaki, Ruiz Urquiza, S.C.</v>
          </cell>
          <cell r="B424" t="str">
            <v>GYR880101TL1</v>
          </cell>
        </row>
        <row r="425">
          <cell r="A425" t="str">
            <v>Galerías Chippendale, S.A. De C.V.</v>
          </cell>
          <cell r="B425" t="str">
            <v>GCI500928872</v>
          </cell>
        </row>
        <row r="426">
          <cell r="A426" t="str">
            <v>Galerías Muebles, S.A. De C.V.</v>
          </cell>
          <cell r="B426" t="str">
            <v>GMU050728Q86</v>
          </cell>
        </row>
        <row r="427">
          <cell r="A427" t="str">
            <v>Ganaderos Productores De Leche Pura, S.A.P.I. De C.V.</v>
          </cell>
          <cell r="B427" t="str">
            <v>GPL860521FW8</v>
          </cell>
        </row>
        <row r="428">
          <cell r="A428" t="str">
            <v xml:space="preserve">Gas Licuado de México, S.A. de C.V.  </v>
          </cell>
          <cell r="B428" t="str">
            <v>GLM4608019P3</v>
          </cell>
        </row>
        <row r="429">
          <cell r="A429" t="str">
            <v xml:space="preserve">Gas Licuado de México, S.A. de C.V.  </v>
          </cell>
          <cell r="B429" t="str">
            <v>GLM4608019P3</v>
          </cell>
        </row>
        <row r="430">
          <cell r="A430" t="str">
            <v>Gas Uribe, S.A. De C.V.</v>
          </cell>
          <cell r="B430" t="str">
            <v>GUR620306BZ7</v>
          </cell>
        </row>
        <row r="431">
          <cell r="A431" t="str">
            <v>Gastelum Ix, S.A. De C.V.</v>
          </cell>
          <cell r="B431" t="str">
            <v>GIX151118RT9</v>
          </cell>
        </row>
        <row r="432">
          <cell r="A432" t="str">
            <v>Gastronomía Preferente, S.A. De C.V.</v>
          </cell>
          <cell r="B432" t="str">
            <v>GPR130214BD0</v>
          </cell>
        </row>
        <row r="433">
          <cell r="A433" t="str">
            <v xml:space="preserve">Gbnetworks, S.A. De C.V.  </v>
          </cell>
          <cell r="B433" t="str">
            <v>GBN100426483</v>
          </cell>
        </row>
        <row r="434">
          <cell r="A434" t="str">
            <v>GDC Difusión Científica, S.A. De C.V.</v>
          </cell>
          <cell r="B434" t="str">
            <v>GDC070413NN7</v>
          </cell>
        </row>
        <row r="435">
          <cell r="A435" t="str">
            <v>Ge Equipo De Control Y Distribución S de RL de CV</v>
          </cell>
          <cell r="B435" t="str">
            <v>GEC9312206XA</v>
          </cell>
        </row>
        <row r="436">
          <cell r="A436" t="str">
            <v>Gea Grupo De Economistas Y Asociados, S.C.</v>
          </cell>
          <cell r="B436" t="str">
            <v>GGE900917M92</v>
          </cell>
        </row>
        <row r="437">
          <cell r="A437" t="str">
            <v>Gemad, S.A. De C.V.</v>
          </cell>
          <cell r="B437" t="str">
            <v>GEM161031I8A</v>
          </cell>
        </row>
        <row r="438">
          <cell r="A438" t="str">
            <v>General De Anuncios Publicitarios, S.A. De C.V.</v>
          </cell>
          <cell r="B438" t="str">
            <v>GAP050216AB1</v>
          </cell>
        </row>
        <row r="439">
          <cell r="A439" t="str">
            <v>General Paint, S.A. De C.V.</v>
          </cell>
          <cell r="B439" t="str">
            <v>GPA000412PG4</v>
          </cell>
        </row>
        <row r="440">
          <cell r="A440" t="str">
            <v>Génesis &amp; Éxodo SA de CV</v>
          </cell>
          <cell r="B440" t="str">
            <v>G&amp;E0408204M9</v>
          </cell>
        </row>
        <row r="441">
          <cell r="A441" t="str">
            <v>Gentase Gente y Talento Al Servicio SA de CV</v>
          </cell>
          <cell r="B441" t="str">
            <v>GGT150904768</v>
          </cell>
        </row>
        <row r="442">
          <cell r="A442" t="str">
            <v>Gesip, Centro Para La Gestión Integral Y Participativa, S.C.</v>
          </cell>
          <cell r="B442" t="str">
            <v>GCG041020HB2</v>
          </cell>
        </row>
        <row r="443">
          <cell r="A443" t="str">
            <v>Gestión y Edificación Inmobiliaria, S.A. de C.V.</v>
          </cell>
          <cell r="B443" t="str">
            <v>GEI081021V78</v>
          </cell>
        </row>
        <row r="444">
          <cell r="A444" t="str">
            <v>Getronics (México), S. De R.L. De C.V.</v>
          </cell>
          <cell r="B444" t="str">
            <v>GME980427NP3</v>
          </cell>
        </row>
        <row r="445">
          <cell r="A445" t="str">
            <v>Gianni Gaiti De México SA de CV</v>
          </cell>
          <cell r="B445" t="str">
            <v>GGM9606041K5</v>
          </cell>
        </row>
        <row r="446">
          <cell r="A446" t="str">
            <v>Gibitnet Soluciones Integrales, S.A. De C.V.</v>
          </cell>
          <cell r="B446" t="str">
            <v>GIT070607171</v>
          </cell>
        </row>
        <row r="447">
          <cell r="A447" t="str">
            <v>Gilsama Solutions S.A. De C.V.</v>
          </cell>
          <cell r="B447" t="str">
            <v>GSO041015G85</v>
          </cell>
        </row>
        <row r="448">
          <cell r="A448" t="str">
            <v>Gilsama, S.A. De C.V.</v>
          </cell>
          <cell r="B448" t="str">
            <v>GIL000904HW8</v>
          </cell>
        </row>
        <row r="449">
          <cell r="A449" t="str">
            <v>Giramsa SA de CV</v>
          </cell>
          <cell r="B449" t="str">
            <v>GIR050713QW0</v>
          </cell>
        </row>
        <row r="450">
          <cell r="A450" t="str">
            <v>Global Assurance Brokers Agente De Seguros Y De Fianzas, S.A. De C.V.</v>
          </cell>
          <cell r="B450" t="str">
            <v>GAB0709244G5</v>
          </cell>
        </row>
        <row r="451">
          <cell r="A451" t="str">
            <v>Glucosystem, S.A. De C.V.</v>
          </cell>
          <cell r="B451" t="str">
            <v>GLU0801179A0</v>
          </cell>
        </row>
        <row r="452">
          <cell r="A452" t="str">
            <v>Goitil SA de CV</v>
          </cell>
          <cell r="B452" t="str">
            <v>GOI100901FA5</v>
          </cell>
        </row>
        <row r="453">
          <cell r="A453" t="str">
            <v>Gp Construcciones Consultoría y Supervisión SA de CV</v>
          </cell>
          <cell r="B453" t="str">
            <v>GPC9109028V2</v>
          </cell>
        </row>
        <row r="454">
          <cell r="A454" t="str">
            <v>Grabados Fernando Fernández, S. De R.L. De C.V.</v>
          </cell>
          <cell r="B454" t="str">
            <v>GFF550711KJA</v>
          </cell>
        </row>
        <row r="455">
          <cell r="A455" t="str">
            <v>Graficos, Audio Y Video, S.A. De C.V.</v>
          </cell>
          <cell r="B455" t="str">
            <v>GAV000511827</v>
          </cell>
        </row>
        <row r="456">
          <cell r="A456" t="str">
            <v>Grafiscanner, S.A. De C.V.</v>
          </cell>
          <cell r="B456" t="str">
            <v>GRA940407RNA</v>
          </cell>
        </row>
        <row r="457">
          <cell r="A457" t="str">
            <v>Greenergy Energía No Convencional S de RL de CV</v>
          </cell>
          <cell r="B457" t="str">
            <v>GEN080905861</v>
          </cell>
        </row>
        <row r="458">
          <cell r="A458" t="str">
            <v>Grupo Americano De Nuevos Negocios, S.A. De C.V.</v>
          </cell>
          <cell r="B458" t="str">
            <v>GAN020719MT5</v>
          </cell>
        </row>
        <row r="459">
          <cell r="A459" t="str">
            <v>Grupo Antda, S.A. de C.V.</v>
          </cell>
          <cell r="B459" t="str">
            <v>GAN120329343</v>
          </cell>
        </row>
        <row r="460">
          <cell r="A460" t="str">
            <v>Grupo Arte Y Comunicación, S.C.</v>
          </cell>
          <cell r="B460" t="str">
            <v>GAC930817TC7</v>
          </cell>
        </row>
        <row r="461">
          <cell r="A461" t="str">
            <v>Grupo Avatecsys, S.A. De C.V.</v>
          </cell>
          <cell r="B461" t="str">
            <v>GAV080114UY7</v>
          </cell>
        </row>
        <row r="462">
          <cell r="A462" t="str">
            <v>Grupo Bcrea Com, S.A. De C.V.</v>
          </cell>
          <cell r="B462" t="str">
            <v>GBC0401197K2</v>
          </cell>
        </row>
        <row r="463">
          <cell r="A463" t="str">
            <v>Grupo Besh, S.A. De C.V.</v>
          </cell>
          <cell r="B463" t="str">
            <v>GBE940526J33</v>
          </cell>
        </row>
        <row r="464">
          <cell r="A464" t="str">
            <v>Grupo Cireque Sociedad Civil</v>
          </cell>
          <cell r="B464" t="str">
            <v>GCI1706306R2</v>
          </cell>
        </row>
        <row r="465">
          <cell r="A465" t="str">
            <v>Grupo Comercial E Impresos Condor, S.A. De C.V.</v>
          </cell>
          <cell r="B465" t="str">
            <v>GCI060303RY4</v>
          </cell>
        </row>
        <row r="466">
          <cell r="A466" t="str">
            <v>Grupo Comercializador Y Constructor Siete, S.A. De C.V.</v>
          </cell>
          <cell r="B466" t="str">
            <v>GCC0703158LA</v>
          </cell>
        </row>
        <row r="467">
          <cell r="A467" t="str">
            <v>Grupo Competitividad y Talento Empresarial, S.C.</v>
          </cell>
          <cell r="B467" t="str">
            <v>GCT101203RW3</v>
          </cell>
        </row>
        <row r="468">
          <cell r="A468" t="str">
            <v>Grupo Corporativo Eventos Viajes Y Convenciones Grucevico, Fg, S.A. De C.V.</v>
          </cell>
          <cell r="B468" t="str">
            <v>GCE120822NY2</v>
          </cell>
        </row>
        <row r="469">
          <cell r="A469" t="str">
            <v>Grupo Corporativo Latis S de RL de CV</v>
          </cell>
          <cell r="B469" t="str">
            <v>GCL130714612</v>
          </cell>
        </row>
        <row r="470">
          <cell r="A470" t="str">
            <v>Grupo De Administracion Y Sistemas, S.A. De C.V.</v>
          </cell>
          <cell r="B470" t="str">
            <v>GAS9310051IX4</v>
          </cell>
        </row>
        <row r="471">
          <cell r="A471" t="str">
            <v>Grupo Diez Tecnología, S.A. De C.V.</v>
          </cell>
          <cell r="B471" t="str">
            <v>GDT9710225Q1</v>
          </cell>
        </row>
        <row r="472">
          <cell r="A472" t="str">
            <v xml:space="preserve">Grupo Distribuidora Y Comercializadora Nacional E Internacional De México, S.A. </v>
          </cell>
          <cell r="B472" t="str">
            <v>GDC1307162L1</v>
          </cell>
        </row>
        <row r="473">
          <cell r="A473" t="str">
            <v>GRUPO EDITORIAL MIGUEL ANGEL PORRUA, S.A. DE C.V.</v>
          </cell>
          <cell r="B473" t="str">
            <v>GEM8109182R7</v>
          </cell>
        </row>
        <row r="474">
          <cell r="A474" t="str">
            <v>Grupo Editorial Miguel Ángel Porrúa, S.A. De C.V.</v>
          </cell>
          <cell r="B474" t="str">
            <v>GEM8109182R7</v>
          </cell>
        </row>
        <row r="475">
          <cell r="A475" t="str">
            <v>Grupo Einzig Pixan, S.A. De C.V.</v>
          </cell>
          <cell r="B475" t="str">
            <v>GEP161128A11</v>
          </cell>
        </row>
        <row r="476">
          <cell r="A476" t="str">
            <v>Grupo Empresarial Chockmah, S.A. De C.V.</v>
          </cell>
          <cell r="B476" t="str">
            <v>GEC110812M76</v>
          </cell>
        </row>
        <row r="477">
          <cell r="A477" t="str">
            <v>Grupo Empresarial Garac, S.A. De C.V.</v>
          </cell>
          <cell r="B477" t="str">
            <v>GEG1209258X0</v>
          </cell>
        </row>
        <row r="478">
          <cell r="A478" t="str">
            <v>Grupo Empresarial Remotek SA de CV</v>
          </cell>
          <cell r="B478" t="str">
            <v>GER051219JP4</v>
          </cell>
        </row>
        <row r="479">
          <cell r="A479" t="str">
            <v>Grupo Infitu Eventos Comercializadora y Marketing SA de CV</v>
          </cell>
          <cell r="B479" t="str">
            <v>GIE100312LX6</v>
          </cell>
        </row>
        <row r="480">
          <cell r="A480" t="str">
            <v>Grupo International Machines, S.A. De C.V.</v>
          </cell>
          <cell r="B480" t="str">
            <v>GIM100331EP1</v>
          </cell>
        </row>
        <row r="481">
          <cell r="A481" t="str">
            <v>Grupo Lafi, S.A. De C.V.</v>
          </cell>
          <cell r="B481" t="str">
            <v>GLA841203HGA</v>
          </cell>
        </row>
        <row r="482">
          <cell r="A482" t="str">
            <v>Grupo Lasbus SA de CV</v>
          </cell>
          <cell r="B482" t="str">
            <v>GLA020702NJ0</v>
          </cell>
        </row>
        <row r="483">
          <cell r="A483" t="str">
            <v>Grupo Mantenimiento Biomédico Industrial, S.A. De C.V.</v>
          </cell>
          <cell r="B483" t="str">
            <v>GMB040629595</v>
          </cell>
        </row>
        <row r="484">
          <cell r="A484" t="str">
            <v>Grupo Mexicano Aristo De Soluciones Estrategicas SA de CV</v>
          </cell>
          <cell r="B484" t="str">
            <v>GMA1109016A5</v>
          </cell>
        </row>
        <row r="485">
          <cell r="A485" t="str">
            <v>Grupo Mexicano De Seguros, S.A. De C.V.</v>
          </cell>
          <cell r="B485" t="str">
            <v>GMS971110BTA</v>
          </cell>
        </row>
        <row r="486">
          <cell r="A486" t="str">
            <v>Grupo Nacional Provincial, S.A.B.</v>
          </cell>
          <cell r="B486" t="str">
            <v>GNP9211244P0</v>
          </cell>
        </row>
        <row r="487">
          <cell r="A487" t="str">
            <v>Grupo Península Motors, S. de R.L. de C.V.</v>
          </cell>
          <cell r="B487" t="str">
            <v>GPM080609PV6</v>
          </cell>
        </row>
        <row r="488">
          <cell r="A488" t="str">
            <v>Grupo Proveedor Y Productor De Uniformes, S.A. De C.V.</v>
          </cell>
          <cell r="B488" t="str">
            <v>GPP0004034R8</v>
          </cell>
        </row>
        <row r="489">
          <cell r="A489" t="str">
            <v>Grupo Tecnorrol, S.A. De C.V.</v>
          </cell>
          <cell r="B489" t="str">
            <v>GTE8702027I5</v>
          </cell>
        </row>
        <row r="490">
          <cell r="A490" t="str">
            <v>Grupo Zonura Prendes, S.A. de C.V.</v>
          </cell>
          <cell r="B490" t="str">
            <v>GZP110607JX5</v>
          </cell>
        </row>
        <row r="491">
          <cell r="A491" t="str">
            <v>Gryr Construcciones, S.A. de C.V.</v>
          </cell>
          <cell r="B491" t="str">
            <v>GCO9808102M6</v>
          </cell>
        </row>
        <row r="492">
          <cell r="A492" t="str">
            <v>Gts Gaba Group, S.A. De C.V.</v>
          </cell>
          <cell r="B492" t="str">
            <v>GGG160802AT9</v>
          </cell>
        </row>
        <row r="493">
          <cell r="A493" t="str">
            <v>Guillermo De La Barrera SA de CV</v>
          </cell>
          <cell r="B493" t="str">
            <v>GBA840214BQ4</v>
          </cell>
        </row>
        <row r="494">
          <cell r="A494" t="str">
            <v xml:space="preserve">Guizar Ingeniería, S.A. de C.V. </v>
          </cell>
          <cell r="B494" t="str">
            <v>GUVR370526LI5</v>
          </cell>
        </row>
        <row r="495">
          <cell r="A495" t="str">
            <v>GVG Grupo Gráfico SA de CV</v>
          </cell>
          <cell r="B495" t="str">
            <v>GGG901128441</v>
          </cell>
        </row>
        <row r="496">
          <cell r="A496" t="str">
            <v>Habeas Data México, S.A. De C.V.</v>
          </cell>
          <cell r="B496" t="str">
            <v>HDM051006JU5</v>
          </cell>
        </row>
        <row r="497">
          <cell r="A497" t="str">
            <v>Harpercollins México, S.A. De C.V.</v>
          </cell>
          <cell r="B497" t="str">
            <v>TNM110621870</v>
          </cell>
        </row>
        <row r="498">
          <cell r="A498" t="str">
            <v>Hechter, S.A. De C.V.</v>
          </cell>
          <cell r="B498" t="str">
            <v>HEC890511UR7</v>
          </cell>
        </row>
        <row r="499">
          <cell r="A499" t="str">
            <v>Hemoser SA de CV</v>
          </cell>
          <cell r="B499" t="str">
            <v>HEM9808262E0</v>
          </cell>
        </row>
        <row r="500">
          <cell r="A500" t="str">
            <v>Hersol, S.A. De C.V.</v>
          </cell>
          <cell r="B500" t="str">
            <v>HER911219V94</v>
          </cell>
        </row>
        <row r="501">
          <cell r="A501" t="str">
            <v>Hg Consultores, S.C.</v>
          </cell>
          <cell r="B501" t="str">
            <v>HCO040413ND8</v>
          </cell>
        </row>
        <row r="502">
          <cell r="A502" t="str">
            <v>Hidrotecnología Aplicada, S.A. De C.V.</v>
          </cell>
          <cell r="B502" t="str">
            <v>HAP060619JB</v>
          </cell>
        </row>
        <row r="503">
          <cell r="A503" t="str">
            <v>Hipatia Genero Y Desarrollo, S.C.</v>
          </cell>
          <cell r="B503" t="str">
            <v>HGD080925URA</v>
          </cell>
        </row>
        <row r="504">
          <cell r="A504" t="str">
            <v>Holzer Y Compañía, S.A. De C.V.</v>
          </cell>
          <cell r="B504" t="str">
            <v>HOL841214S58</v>
          </cell>
        </row>
        <row r="505">
          <cell r="A505" t="str">
            <v>Hombres Por La Equidad Centro De Intervención Con Hombres E Investigación Sobre Genero y Masculinidades, A.C.</v>
          </cell>
          <cell r="B505" t="str">
            <v>HEC050622B38</v>
          </cell>
        </row>
        <row r="506">
          <cell r="A506" t="str">
            <v>Homotec SA de CV</v>
          </cell>
          <cell r="B506" t="str">
            <v>HOM150114D2A</v>
          </cell>
        </row>
        <row r="507">
          <cell r="A507" t="str">
            <v>Hoplites, S.A. De C.V.</v>
          </cell>
          <cell r="B507" t="str">
            <v>HOP150129SHA</v>
          </cell>
        </row>
        <row r="508">
          <cell r="A508" t="str">
            <v>Howling Monkey Studio, S.C.</v>
          </cell>
          <cell r="B508" t="str">
            <v>HMS1111285V7</v>
          </cell>
        </row>
        <row r="509">
          <cell r="A509" t="str">
            <v>Hs Soluciones Y Sistemas Integrales, S.A. De C.V.</v>
          </cell>
          <cell r="B509" t="str">
            <v>HSS040928EP2</v>
          </cell>
        </row>
        <row r="510">
          <cell r="A510" t="str">
            <v>Hvac Mantenimiento Y Construcción, S.A. de C.V.</v>
          </cell>
          <cell r="B510" t="str">
            <v>HMC0908242N9</v>
          </cell>
        </row>
        <row r="511">
          <cell r="A511" t="str">
            <v>IAG En Color, S.A. De C.V.</v>
          </cell>
          <cell r="B511" t="str">
            <v>ICO060926BKA</v>
          </cell>
        </row>
        <row r="512">
          <cell r="A512" t="str">
            <v>Ibarra Transformaciones Y Acabados Metálicos, S.A. De C.V.</v>
          </cell>
          <cell r="B512" t="str">
            <v>ITA110204Q52</v>
          </cell>
        </row>
        <row r="513">
          <cell r="A513" t="str">
            <v>ICC Servicios &amp; Procesos De Ingeniería, S.A. De C.V.</v>
          </cell>
          <cell r="B513" t="str">
            <v>ISA130404ST6</v>
          </cell>
        </row>
        <row r="514">
          <cell r="A514" t="str">
            <v>Ickrom, S.A. De C.V.</v>
          </cell>
          <cell r="B514" t="str">
            <v>ICK020218RI7</v>
          </cell>
        </row>
        <row r="515">
          <cell r="A515" t="str">
            <v>Ideas Integrales En Jardinería Jisa, S. De R.L. De C.V.</v>
          </cell>
          <cell r="B515" t="str">
            <v>IIJ1112089F0</v>
          </cell>
        </row>
        <row r="516">
          <cell r="A516" t="str">
            <v>Idt en Sistemas De Información SA de CV</v>
          </cell>
          <cell r="B516" t="str">
            <v>ISI021115AFA</v>
          </cell>
        </row>
        <row r="517">
          <cell r="A517" t="str">
            <v>Iesatel, S.A. De C.V.</v>
          </cell>
          <cell r="B517" t="str">
            <v>IES000412IQ1</v>
          </cell>
        </row>
        <row r="518">
          <cell r="A518" t="str">
            <v>Imagen De Inmuebles, S.A. De C.V.</v>
          </cell>
          <cell r="B518" t="str">
            <v>IIN011018BE8</v>
          </cell>
        </row>
        <row r="519">
          <cell r="A519" t="str">
            <v>Imm Internet Media México, S. De R.L. De C.V.</v>
          </cell>
          <cell r="B519" t="str">
            <v>IMM100219CQ9</v>
          </cell>
        </row>
        <row r="520">
          <cell r="A520" t="str">
            <v>Impresora Silvaform, S.A. De C.V.</v>
          </cell>
          <cell r="B520" t="str">
            <v>ISI860331LQ4</v>
          </cell>
        </row>
        <row r="521">
          <cell r="A521" t="str">
            <v>Impresora Y Encuadernadora Progreso, S.A. De C.V.</v>
          </cell>
          <cell r="B521" t="str">
            <v>IEP921123J76</v>
          </cell>
        </row>
        <row r="522">
          <cell r="A522" t="str">
            <v>Impulso Metropolitano de Vivienda, S.A. de C.V.</v>
          </cell>
          <cell r="B522" t="str">
            <v>IMV040628UM1</v>
          </cell>
        </row>
        <row r="523">
          <cell r="A523" t="str">
            <v>Imsatech Ultrasonido SA de CV</v>
          </cell>
          <cell r="B523" t="str">
            <v>IUL140304GE9</v>
          </cell>
        </row>
        <row r="524">
          <cell r="A524" t="str">
            <v>In Illi Tempore SA De CV</v>
          </cell>
          <cell r="B524" t="str">
            <v>IIT030805BX9</v>
          </cell>
        </row>
        <row r="525">
          <cell r="A525" t="str">
            <v>Incluir-T, S.A. de C.V.</v>
          </cell>
          <cell r="B525" t="str">
            <v>INC141210UN2</v>
          </cell>
        </row>
        <row r="526">
          <cell r="A526" t="str">
            <v>Índice Dover, S.A. de C.V.</v>
          </cell>
        </row>
        <row r="527">
          <cell r="A527" t="str">
            <v>Indigo Proambiental SAPI De CV</v>
          </cell>
          <cell r="B527" t="str">
            <v>IPR140521FA6</v>
          </cell>
        </row>
        <row r="528">
          <cell r="A528" t="str">
            <v>Industria 3, S.A. De C.V.</v>
          </cell>
          <cell r="B528" t="str">
            <v>ITR950926FU5</v>
          </cell>
        </row>
        <row r="529">
          <cell r="A529" t="str">
            <v>Industrial Caisa, S.A. De C.V.</v>
          </cell>
          <cell r="B529" t="str">
            <v>ICA9406297P2</v>
          </cell>
        </row>
        <row r="530">
          <cell r="A530" t="str">
            <v>Industrias Girca, S.A. De C.V.</v>
          </cell>
          <cell r="B530" t="str">
            <v>IGI870415HZ0</v>
          </cell>
        </row>
        <row r="531">
          <cell r="A531" t="str">
            <v>Industrias Jafher SA de CV</v>
          </cell>
          <cell r="B531" t="str">
            <v>IJA790503F39</v>
          </cell>
        </row>
        <row r="532">
          <cell r="A532" t="str">
            <v>Industrias Unifila SA de CV</v>
          </cell>
          <cell r="B532" t="str">
            <v>IUN950102S57</v>
          </cell>
        </row>
        <row r="533">
          <cell r="A533" t="str">
            <v>Industrias Yosef, S.A. De C.V.</v>
          </cell>
          <cell r="B533" t="str">
            <v>IYO1210124Z2</v>
          </cell>
        </row>
        <row r="534">
          <cell r="A534" t="str">
            <v>Infobrain, S.A. De C.V.</v>
          </cell>
          <cell r="B534" t="str">
            <v>INF070614S84</v>
          </cell>
        </row>
        <row r="535">
          <cell r="A535" t="str">
            <v>Infopower SA de CV</v>
          </cell>
          <cell r="B535" t="str">
            <v>INF080312DK2</v>
          </cell>
        </row>
        <row r="536">
          <cell r="A536" t="str">
            <v>Información Segura, S.A. De C.V.</v>
          </cell>
          <cell r="B536" t="str">
            <v>ISE0402136VA</v>
          </cell>
        </row>
        <row r="537">
          <cell r="A537" t="str">
            <v>Información Y Análisis Empresarial, S. De R.L. De C.V.</v>
          </cell>
          <cell r="B537" t="str">
            <v>IAE0610209L8</v>
          </cell>
        </row>
        <row r="538">
          <cell r="A538" t="str">
            <v>Informática Aurum SA de CV</v>
          </cell>
          <cell r="B538" t="str">
            <v>IAU900131R7A</v>
          </cell>
        </row>
        <row r="539">
          <cell r="A539" t="str">
            <v>Ingeniería Ambiental Roca, S.A. De C.V.</v>
          </cell>
          <cell r="B539" t="str">
            <v>IAR1704052Z2</v>
          </cell>
        </row>
        <row r="540">
          <cell r="A540" t="str">
            <v>Ingeniería de Servicio para Equipos de Laboratorio SA de CV</v>
          </cell>
          <cell r="B540" t="str">
            <v>ISE060322F61</v>
          </cell>
        </row>
        <row r="541">
          <cell r="A541" t="str">
            <v xml:space="preserve">Ingeniería Electromecánica en Infraestructura Computacional, S.A. de C.V. </v>
          </cell>
          <cell r="B541" t="str">
            <v>IEE070329DR4</v>
          </cell>
        </row>
        <row r="542">
          <cell r="A542" t="str">
            <v>Ingeniería Electromecánica Gueavi, S.A. De C.V.</v>
          </cell>
          <cell r="B542" t="str">
            <v>IEG830404KB3</v>
          </cell>
        </row>
        <row r="543">
          <cell r="A543" t="str">
            <v>Ingeniería en Aislamientos Termicos Aplicación y Venta SA de CV</v>
          </cell>
          <cell r="B543" t="str">
            <v>IAT1601263AA</v>
          </cell>
        </row>
        <row r="544">
          <cell r="A544" t="str">
            <v>Ingeniería Syr SA de CV</v>
          </cell>
          <cell r="B544" t="str">
            <v>ISy910621IU7</v>
          </cell>
        </row>
        <row r="545">
          <cell r="A545" t="str">
            <v>Ingeniería Y Desarrollo De Proyectos Didácticos, S.A. De C.V.</v>
          </cell>
          <cell r="B545" t="str">
            <v>IDP0312174Y7</v>
          </cell>
        </row>
        <row r="546">
          <cell r="A546" t="str">
            <v>Ingeniería Y Servicios Mercantiles, S.A. De C.V.</v>
          </cell>
          <cell r="B546" t="str">
            <v>ISM0102164R0</v>
          </cell>
        </row>
        <row r="547">
          <cell r="A547" t="str">
            <v>Ingeniería, Servicios Y Sistemas Aplicados, S.A. De C.V.</v>
          </cell>
          <cell r="B547" t="str">
            <v>ISS911211PB6</v>
          </cell>
        </row>
        <row r="548">
          <cell r="A548" t="str">
            <v>Ingeniería, Soluciones Y Respaldo Profesional, S.A. De C.V.</v>
          </cell>
          <cell r="B548" t="str">
            <v>ISR1402285L4</v>
          </cell>
        </row>
        <row r="549">
          <cell r="A549" t="str">
            <v>Inmobiliaria Keda, S.A. De C.V.</v>
          </cell>
          <cell r="B549" t="str">
            <v>IKE691020MF2</v>
          </cell>
        </row>
        <row r="550">
          <cell r="A550" t="str">
            <v>Inmobiliaria Tamaca, S.A De C.V.</v>
          </cell>
          <cell r="B550" t="str">
            <v>ITA061026Q36</v>
          </cell>
        </row>
        <row r="551">
          <cell r="A551" t="str">
            <v>Inmobiliaria Y Administradora Sar, S.A. De C.V.</v>
          </cell>
          <cell r="B551" t="str">
            <v>IAS910228DR7</v>
          </cell>
        </row>
        <row r="552">
          <cell r="A552" t="str">
            <v>Inmobiliaria y Constructora Coraza, S.A. de C.V.</v>
          </cell>
          <cell r="B552" t="str">
            <v>ICC010202649</v>
          </cell>
        </row>
        <row r="553">
          <cell r="A553" t="str">
            <v>Innocom Siglo XXI, S.A. De C.V.</v>
          </cell>
          <cell r="B553" t="str">
            <v>ISV090804CY6</v>
          </cell>
        </row>
        <row r="554">
          <cell r="A554" t="str">
            <v>Innovation Advanced Solutions SA de CV</v>
          </cell>
          <cell r="B554" t="str">
            <v>IAS1602045V4</v>
          </cell>
        </row>
        <row r="555">
          <cell r="A555" t="str">
            <v>Inovaciones Alaska Supply, S.A. De C.V.</v>
          </cell>
          <cell r="B555" t="str">
            <v>IAS050304Q45</v>
          </cell>
        </row>
        <row r="556">
          <cell r="A556" t="str">
            <v>Insitel Mexicana, S.A. De C.V.</v>
          </cell>
          <cell r="B556" t="str">
            <v>IME960111CW6</v>
          </cell>
        </row>
        <row r="557">
          <cell r="A557" t="str">
            <v>Instalaciones Unicornio SA de CV</v>
          </cell>
          <cell r="B557" t="str">
            <v>IUN9007161E1</v>
          </cell>
        </row>
        <row r="558">
          <cell r="A558" t="str">
            <v>Instalaciones Y Mantenimiento Gg, S.A. De C.V.</v>
          </cell>
          <cell r="B558" t="str">
            <v>IMG070621B48</v>
          </cell>
        </row>
        <row r="559">
          <cell r="A559" t="str">
            <v>Instituto de Especialización para Ejecutivos, S.C.</v>
          </cell>
          <cell r="B559" t="str">
            <v>IEE700410BC4</v>
          </cell>
        </row>
        <row r="560">
          <cell r="A560" t="str">
            <v>Instituto De Estudios Avanzados Y De Actualización, A.C.</v>
          </cell>
          <cell r="B560" t="str">
            <v>IEA920724F99</v>
          </cell>
        </row>
        <row r="561">
          <cell r="A561" t="str">
            <v xml:space="preserve">Instituto de Investigaciones Dr. José María Luis Mora </v>
          </cell>
          <cell r="B561" t="str">
            <v>IIJ8111184L7</v>
          </cell>
        </row>
        <row r="562">
          <cell r="A562" t="str">
            <v>Instituto Mexicano De Auditores Internos, A.C.</v>
          </cell>
          <cell r="B562" t="str">
            <v>IMA840723ME8</v>
          </cell>
        </row>
        <row r="563">
          <cell r="A563" t="str">
            <v>Instituto Mexicano De Estudios Sobre El Poder Legislativo, S.A. De C.V.</v>
          </cell>
          <cell r="B563" t="str">
            <v>IME040721MV1</v>
          </cell>
        </row>
        <row r="564">
          <cell r="A564" t="str">
            <v>Instituto Mexicano De Investigaciones En Derecho Ambiental, A.C.</v>
          </cell>
          <cell r="B564" t="str">
            <v>IMI030217J33</v>
          </cell>
        </row>
        <row r="565">
          <cell r="A565" t="str">
            <v>Instituto Mexicano Para La Investigación Y Desarrollo De La Legalidad, S.C.</v>
          </cell>
          <cell r="B565" t="str">
            <v>IMI160725KT7</v>
          </cell>
        </row>
        <row r="566">
          <cell r="A566" t="str">
            <v>Instituto Nacional De Administración Publica, A.C.</v>
          </cell>
          <cell r="B566" t="str">
            <v>INA770420DW1</v>
          </cell>
        </row>
        <row r="567">
          <cell r="A567" t="str">
            <v>Instituto Nacional De Asesoría Especializada, S.C.</v>
          </cell>
          <cell r="B567" t="str">
            <v>INA8806237RA</v>
          </cell>
        </row>
        <row r="568">
          <cell r="A568" t="str">
            <v>Instituto Tecnológico Autónomo De México</v>
          </cell>
          <cell r="B568" t="str">
            <v>ITA630119398</v>
          </cell>
        </row>
        <row r="569">
          <cell r="A569" t="str">
            <v>Insys, S.A. De C.V.</v>
          </cell>
          <cell r="B569" t="str">
            <v>INS940106UW9</v>
          </cell>
        </row>
        <row r="570">
          <cell r="A570" t="str">
            <v>Int Intelligence and Telecom Technologies México SA de CV</v>
          </cell>
          <cell r="B570" t="str">
            <v>IIT101216JW0</v>
          </cell>
        </row>
        <row r="571">
          <cell r="A571" t="str">
            <v>Integra Agente De Seguros Y De Fianzas, S.A. De C.V.</v>
          </cell>
          <cell r="B571" t="str">
            <v>IAS981204I43</v>
          </cell>
        </row>
        <row r="572">
          <cell r="A572" t="str">
            <v>Integración Tecnológica 360, S.A. De C.V.</v>
          </cell>
          <cell r="B572" t="str">
            <v>ITT1307045Y4</v>
          </cell>
        </row>
        <row r="573">
          <cell r="A573" t="str">
            <v>Integradora De Servicios Romaco SA de CV</v>
          </cell>
          <cell r="B573" t="str">
            <v>ISR141121NP0</v>
          </cell>
        </row>
        <row r="574">
          <cell r="A574" t="str">
            <v>Integradores de Tecnología Corporativa SA de CV</v>
          </cell>
          <cell r="B574" t="str">
            <v>ITC020215M69</v>
          </cell>
        </row>
        <row r="575">
          <cell r="A575" t="str">
            <v>Intellego, S.C.</v>
          </cell>
          <cell r="B575" t="str">
            <v>INT010509RB0</v>
          </cell>
        </row>
        <row r="576">
          <cell r="A576" t="str">
            <v>Interamericana CMH, S.A. de C.V.</v>
          </cell>
          <cell r="B576" t="str">
            <v>ICM040519GR9</v>
          </cell>
        </row>
        <row r="577">
          <cell r="A577" t="str">
            <v>Intercomza SA de CV</v>
          </cell>
          <cell r="B577" t="str">
            <v>INT160705BN4</v>
          </cell>
        </row>
        <row r="578">
          <cell r="A578" t="str">
            <v>Interconecta SA de CV</v>
          </cell>
          <cell r="B578" t="str">
            <v>INT001130R88</v>
          </cell>
        </row>
        <row r="579">
          <cell r="A579" t="str">
            <v>Intercorp Contract Resources, S.A. De C.V.</v>
          </cell>
          <cell r="B579" t="str">
            <v>ICR090925MV2</v>
          </cell>
        </row>
        <row r="580">
          <cell r="A580" t="str">
            <v>Interior Uno SA de CV</v>
          </cell>
          <cell r="B580" t="str">
            <v>IUN101124PV5</v>
          </cell>
        </row>
        <row r="581">
          <cell r="A581" t="str">
            <v>Internacional Proveedora De Industrias, S.A. De C.V.</v>
          </cell>
          <cell r="B581" t="str">
            <v>IPI860721MN1</v>
          </cell>
        </row>
        <row r="582">
          <cell r="A582" t="str">
            <v>Intérpretes y Traductores de Lengua de Señas en la República Mexicana, A.C.</v>
          </cell>
          <cell r="B582" t="str">
            <v>ITL140408AU4</v>
          </cell>
        </row>
        <row r="583">
          <cell r="A583" t="str">
            <v>Interstuhl Latam SA de CV</v>
          </cell>
          <cell r="B583" t="str">
            <v>ILA130516P87</v>
          </cell>
        </row>
        <row r="584">
          <cell r="A584" t="str">
            <v>Intraproc De México, S.A. De C.V.</v>
          </cell>
          <cell r="B584" t="str">
            <v>IME9402147C6</v>
          </cell>
        </row>
        <row r="585">
          <cell r="A585" t="str">
            <v>Investigaciones y Estudios Superiores SC</v>
          </cell>
          <cell r="B585" t="str">
            <v>IES870531FU5</v>
          </cell>
        </row>
        <row r="586">
          <cell r="A586" t="str">
            <v>Ip Productos y Servicios SA de CV</v>
          </cell>
          <cell r="B586" t="str">
            <v>IPS0703142W1</v>
          </cell>
        </row>
        <row r="587">
          <cell r="A587" t="str">
            <v>Ipark, S.A. De C.V.</v>
          </cell>
          <cell r="B587" t="str">
            <v>IPA140327555</v>
          </cell>
        </row>
        <row r="588">
          <cell r="A588" t="str">
            <v>Ipm Control De Confianza SA de CV</v>
          </cell>
          <cell r="B588" t="str">
            <v>ICC151208AU3</v>
          </cell>
        </row>
        <row r="589">
          <cell r="A589" t="str">
            <v>Iqsec SA de CV</v>
          </cell>
          <cell r="B589" t="str">
            <v>IQS0708233C9</v>
          </cell>
        </row>
        <row r="590">
          <cell r="A590" t="str">
            <v>Iret Telecomunicaciones, S.A. De C.V.</v>
          </cell>
          <cell r="B590" t="str">
            <v>ITE040707M15</v>
          </cell>
        </row>
        <row r="591">
          <cell r="A591" t="str">
            <v>ISAE Informática y Servicios Administrativos para Empresas SA de CV</v>
          </cell>
          <cell r="B591" t="str">
            <v>IIS160212IT5</v>
          </cell>
        </row>
        <row r="592">
          <cell r="A592" t="str">
            <v>Isee Ingeniería Y Servicio Eléctrico Electrónico, S.A. De C.V.</v>
          </cell>
          <cell r="B592" t="str">
            <v>IIS090116P3A</v>
          </cell>
        </row>
        <row r="593">
          <cell r="A593" t="str">
            <v>Issa Edificaciones SA de CV</v>
          </cell>
          <cell r="B593" t="str">
            <v>IED120102R74</v>
          </cell>
        </row>
        <row r="594">
          <cell r="A594" t="str">
            <v>It - Open Knowledge Center, S.A. De C.V.</v>
          </cell>
          <cell r="B594" t="str">
            <v>IKC1409265L9</v>
          </cell>
        </row>
        <row r="595">
          <cell r="A595" t="str">
            <v>It Sys, S.A. De C.V.</v>
          </cell>
          <cell r="B595" t="str">
            <v>ISY150408A49</v>
          </cell>
        </row>
        <row r="596">
          <cell r="A596" t="str">
            <v>Izta, S.A. De C.V.</v>
          </cell>
          <cell r="B596" t="str">
            <v>IZT0807077J9</v>
          </cell>
        </row>
        <row r="597">
          <cell r="A597" t="str">
            <v>Iztacalco Motors, S.A. De C.V.</v>
          </cell>
          <cell r="B597" t="str">
            <v>IMO011119RG8</v>
          </cell>
        </row>
        <row r="598">
          <cell r="A598" t="str">
            <v>J O M Co S.A. De C.V.</v>
          </cell>
          <cell r="B598" t="str">
            <v>JOM000207522</v>
          </cell>
        </row>
        <row r="599">
          <cell r="A599" t="str">
            <v>J.V. Construcción Y Proyecto, S.A. De C.V.</v>
          </cell>
          <cell r="B599" t="str">
            <v>JCP960502Q55</v>
          </cell>
        </row>
        <row r="600">
          <cell r="A600" t="str">
            <v>Jal Consultoría Estratégica, S.A. De C.V.</v>
          </cell>
          <cell r="B600" t="str">
            <v>JCE0811074VA</v>
          </cell>
        </row>
        <row r="601">
          <cell r="A601" t="str">
            <v>Janium Technology, S.A. De C.V.</v>
          </cell>
          <cell r="B601" t="str">
            <v>JTE010913N20</v>
          </cell>
        </row>
        <row r="602">
          <cell r="A602" t="str">
            <v>Jasak, S.A. De C.V.</v>
          </cell>
          <cell r="B602" t="str">
            <v>JAS1307088DA</v>
          </cell>
        </row>
        <row r="603">
          <cell r="A603" t="str">
            <v>Jasev Computación, S.A. De C.V.</v>
          </cell>
          <cell r="B603" t="str">
            <v>JCO931215CI8</v>
          </cell>
        </row>
        <row r="604">
          <cell r="A604" t="str">
            <v>Javanes Solutions, S.A. De C.V.</v>
          </cell>
          <cell r="B604" t="str">
            <v>JSO051021BH2</v>
          </cell>
        </row>
        <row r="605">
          <cell r="A605" t="str">
            <v>Jca Motorbikes, S.A. De C.V.</v>
          </cell>
          <cell r="B605" t="str">
            <v>JMO131204716</v>
          </cell>
        </row>
        <row r="606">
          <cell r="A606" t="str">
            <v>Jng &amp; Company SA de CV</v>
          </cell>
          <cell r="B606" t="str">
            <v>JNG1311112R0</v>
          </cell>
        </row>
        <row r="607">
          <cell r="A607" t="str">
            <v>Johnson Controls Be Operations México, S. De R.L. De C.V.</v>
          </cell>
          <cell r="B607" t="str">
            <v>JCB100702TQ1</v>
          </cell>
        </row>
        <row r="608">
          <cell r="A608" t="str">
            <v>Johnson Controls México Be, S.A. De C.V.</v>
          </cell>
          <cell r="B608" t="str">
            <v>JCM910903G94</v>
          </cell>
        </row>
        <row r="609">
          <cell r="A609" t="str">
            <v>Jorsal Construcciones y Promociones SA de CV</v>
          </cell>
          <cell r="B609" t="str">
            <v>JCP130429TM4</v>
          </cell>
        </row>
        <row r="610">
          <cell r="A610" t="str">
            <v>Jr Equipos De Termofusión Y Electrofusión, S.A. De C.V.</v>
          </cell>
          <cell r="B610" t="str">
            <v>JET060717JN8</v>
          </cell>
        </row>
        <row r="611">
          <cell r="A611" t="str">
            <v>Kalan Consultores, S.A. De C.V.</v>
          </cell>
          <cell r="B611" t="str">
            <v>KCO05101281A</v>
          </cell>
        </row>
        <row r="612">
          <cell r="A612" t="str">
            <v>Keep Value SA de CV</v>
          </cell>
          <cell r="B612" t="str">
            <v>KVA1206218G5</v>
          </cell>
        </row>
        <row r="613">
          <cell r="A613" t="str">
            <v>Kieken Group, S.A. De C.V.</v>
          </cell>
          <cell r="B613" t="str">
            <v>KGR090831TH1</v>
          </cell>
        </row>
        <row r="614">
          <cell r="A614" t="str">
            <v>Kodo Consulting Services, S.A. De C.V.</v>
          </cell>
          <cell r="B614" t="str">
            <v>KCS101129867</v>
          </cell>
        </row>
        <row r="615">
          <cell r="A615" t="str">
            <v>Krolls Telcomm De México SA de CV</v>
          </cell>
          <cell r="B615" t="str">
            <v>KTM090212KD9</v>
          </cell>
        </row>
        <row r="616">
          <cell r="A616" t="str">
            <v>Kronaline, S.A. de C.V.</v>
          </cell>
          <cell r="B616" t="str">
            <v>KRO920518AL3</v>
          </cell>
        </row>
        <row r="617">
          <cell r="A617" t="str">
            <v>La Marquesita S.A.</v>
          </cell>
          <cell r="B617" t="str">
            <v>MAR541112CT8</v>
          </cell>
        </row>
        <row r="618">
          <cell r="A618" t="str">
            <v>La Red De Radiodifusoras y Televisoras Educativas y Culturales De México AC</v>
          </cell>
          <cell r="B618" t="str">
            <v>RRT0511075U1</v>
          </cell>
        </row>
        <row r="619">
          <cell r="A619" t="str">
            <v>La Rueda Roja Publicidad Y Asociados, S.A De C.V.</v>
          </cell>
          <cell r="B619" t="str">
            <v>RRP041110839</v>
          </cell>
        </row>
        <row r="620">
          <cell r="A620" t="str">
            <v>Larson Technology, S.A. De C.V.</v>
          </cell>
          <cell r="B620" t="str">
            <v>LTE081024AW1</v>
          </cell>
        </row>
        <row r="621">
          <cell r="A621" t="str">
            <v>Late Construcciones, S.A. De C.V.</v>
          </cell>
          <cell r="B621" t="str">
            <v>LCO850607RX9</v>
          </cell>
        </row>
        <row r="622">
          <cell r="A622" t="str">
            <v>Latin Id, S.A. De C.V.</v>
          </cell>
          <cell r="B622" t="str">
            <v>LID020301KV9</v>
          </cell>
        </row>
        <row r="623">
          <cell r="A623" t="str">
            <v>Laurentius, S.A. De C.V.</v>
          </cell>
          <cell r="B623" t="str">
            <v>LAU7808166Z5</v>
          </cell>
        </row>
        <row r="624">
          <cell r="A624" t="str">
            <v>Lavisat Limpieza SA de CV</v>
          </cell>
          <cell r="B624" t="str">
            <v>LLI090220SUA</v>
          </cell>
        </row>
        <row r="625">
          <cell r="A625" t="str">
            <v>Lb Sistemas, S.A. De C.V.</v>
          </cell>
          <cell r="B625" t="str">
            <v>LSI090130BR5</v>
          </cell>
        </row>
        <row r="626">
          <cell r="A626" t="str">
            <v>Ld I Associats, S.A. De C.V.</v>
          </cell>
          <cell r="B626" t="str">
            <v>LIA9708133A3</v>
          </cell>
        </row>
        <row r="627">
          <cell r="A627" t="str">
            <v>Ldb Fomento Comercial De México SA de CV</v>
          </cell>
          <cell r="B627" t="str">
            <v>LFC140408GN1</v>
          </cell>
        </row>
        <row r="628">
          <cell r="A628" t="str">
            <v>Leading The Customer Experience S de RL de CV</v>
          </cell>
          <cell r="B628" t="str">
            <v>LCE1112086H8</v>
          </cell>
        </row>
        <row r="629">
          <cell r="A629" t="str">
            <v>Lemonroy Business Solutions, S.A. De C.V.</v>
          </cell>
          <cell r="B629" t="str">
            <v>LBS050426184</v>
          </cell>
        </row>
        <row r="630">
          <cell r="A630" t="str">
            <v>Libros Grano De Sal, S.A. De C.V.</v>
          </cell>
          <cell r="B630" t="str">
            <v>LGS170227LGA</v>
          </cell>
        </row>
        <row r="631">
          <cell r="A631" t="str">
            <v>Líder En Administración De Riesgos Agente De Seguros SA de CV</v>
          </cell>
          <cell r="B631" t="str">
            <v>LAR0207252G5</v>
          </cell>
        </row>
        <row r="632">
          <cell r="A632" t="str">
            <v>Lightech De México S.A. De C.V.</v>
          </cell>
          <cell r="B632" t="str">
            <v>LME020918D39</v>
          </cell>
        </row>
        <row r="633">
          <cell r="A633" t="str">
            <v>Lingo Systems SA de CV</v>
          </cell>
          <cell r="B633" t="str">
            <v>LSy010601355</v>
          </cell>
        </row>
        <row r="634">
          <cell r="A634" t="str">
            <v>Lingos y Educación SAPI De CV</v>
          </cell>
          <cell r="B634" t="str">
            <v>LED1405121X5</v>
          </cell>
        </row>
        <row r="635">
          <cell r="A635" t="str">
            <v>Lirun Rs SA de CV</v>
          </cell>
          <cell r="B635" t="str">
            <v>LRS140212U14</v>
          </cell>
        </row>
        <row r="636">
          <cell r="A636" t="str">
            <v>Lito Grapo, S.A. De C.V.</v>
          </cell>
          <cell r="B636" t="str">
            <v>LGR960201IT4</v>
          </cell>
        </row>
        <row r="637">
          <cell r="A637" t="str">
            <v>Litual Distribuciones, S.A. De C.V.</v>
          </cell>
          <cell r="B637" t="str">
            <v>LDI080310TN8</v>
          </cell>
        </row>
        <row r="638">
          <cell r="A638" t="str">
            <v>Live 13.5, S. De R.L. De C.V.</v>
          </cell>
          <cell r="B638" t="str">
            <v>LCT140403S7A</v>
          </cell>
        </row>
        <row r="639">
          <cell r="A639" t="str">
            <v>Llantas San Rafael, S.A. De C.V.</v>
          </cell>
          <cell r="B639" t="str">
            <v>LSR930909EA6</v>
          </cell>
        </row>
        <row r="640">
          <cell r="A640" t="str">
            <v>Lobbying y Desarrollo Institucional SC</v>
          </cell>
          <cell r="B640" t="str">
            <v>LYD110519IK0</v>
          </cell>
        </row>
        <row r="641">
          <cell r="A641" t="str">
            <v>Logcom México SA de CV</v>
          </cell>
          <cell r="B641" t="str">
            <v>LME0903058C3</v>
          </cell>
        </row>
        <row r="642">
          <cell r="A642" t="str">
            <v>Lógica Aplicaciones Soporte Y Servicio, S.A. De C.V.</v>
          </cell>
          <cell r="B642" t="str">
            <v>LAS880427DP8</v>
          </cell>
        </row>
        <row r="643">
          <cell r="A643" t="str">
            <v>Lógica En Medios, S.A. De C.V.</v>
          </cell>
          <cell r="B643" t="str">
            <v>LME020417SU5</v>
          </cell>
        </row>
        <row r="644">
          <cell r="A644" t="str">
            <v>Ludicorp, S.A. De C.V.</v>
          </cell>
          <cell r="B644" t="str">
            <v>LUD060210AC8</v>
          </cell>
        </row>
        <row r="645">
          <cell r="A645" t="str">
            <v>Luz y Mundo Visual, S.A. de C.V.</v>
          </cell>
          <cell r="B645" t="str">
            <v>LMV850410LZ2</v>
          </cell>
        </row>
        <row r="646">
          <cell r="A646" t="str">
            <v>M&amp;C Desarrollo Laboral Y Personal, S.C.</v>
          </cell>
          <cell r="B646" t="str">
            <v>MDL1501164H4</v>
          </cell>
        </row>
        <row r="647">
          <cell r="A647" t="str">
            <v>Maak &amp; Paak, S.A. De C.V.</v>
          </cell>
          <cell r="B647" t="str">
            <v>MAA080520JH5</v>
          </cell>
        </row>
        <row r="648">
          <cell r="A648" t="str">
            <v>Mac Toner Audio y Video SA de CV</v>
          </cell>
          <cell r="B648" t="str">
            <v>TAV051216TN1</v>
          </cell>
        </row>
        <row r="649">
          <cell r="A649" t="str">
            <v xml:space="preserve">Mactell de México, S.A. de C.V. </v>
          </cell>
          <cell r="B649" t="str">
            <v>MME010322PM5</v>
          </cell>
        </row>
        <row r="650">
          <cell r="A650" t="str">
            <v>Madasi SA de CV</v>
          </cell>
          <cell r="B650" t="str">
            <v>MAD100430HN3</v>
          </cell>
        </row>
        <row r="651">
          <cell r="A651" t="str">
            <v>Mami Pasteles Y Pan Fino, S.A. De C.V.</v>
          </cell>
          <cell r="B651" t="str">
            <v>MPP910909RG9</v>
          </cell>
        </row>
        <row r="652">
          <cell r="A652" t="str">
            <v>Manantiales La Asunción, S.A.P.I. De C.V.</v>
          </cell>
          <cell r="B652" t="str">
            <v>MAS880707J27</v>
          </cell>
        </row>
        <row r="653">
          <cell r="A653" t="str">
            <v>Mantenimiento Y Asesoría En Equipos De Cómputo, S.A. De C.V.</v>
          </cell>
          <cell r="B653" t="str">
            <v>MAE890613MH6</v>
          </cell>
        </row>
        <row r="654">
          <cell r="A654" t="str">
            <v>Mantenimiento Y Construcciones Calego SA de CV</v>
          </cell>
          <cell r="B654" t="str">
            <v>MCC110519EZ0</v>
          </cell>
        </row>
        <row r="655">
          <cell r="A655" t="str">
            <v>Manufactura y Equipamiento Inoxidable, S.A. de C.V.</v>
          </cell>
          <cell r="B655" t="str">
            <v>MEI0209236G0</v>
          </cell>
        </row>
        <row r="656">
          <cell r="A656" t="str">
            <v>Mapfre Tepeyac, S.A.</v>
          </cell>
          <cell r="B656" t="str">
            <v>MTE440316E54</v>
          </cell>
        </row>
        <row r="657">
          <cell r="A657" t="str">
            <v>Maquinas Diesel, S.A. De C.V.</v>
          </cell>
          <cell r="B657" t="str">
            <v>MDI931014D37</v>
          </cell>
        </row>
        <row r="658">
          <cell r="A658" t="str">
            <v>Marca De Agua Ediciones, S. De R.L. De C.V.</v>
          </cell>
          <cell r="B658" t="str">
            <v>MAE0002218A2</v>
          </cell>
        </row>
        <row r="659">
          <cell r="A659" t="str">
            <v>Martez 13, S.A. De C.V.</v>
          </cell>
          <cell r="B659" t="str">
            <v>MTR0209062VA</v>
          </cell>
        </row>
        <row r="660">
          <cell r="A660" t="str">
            <v>Martínez Barranco, S.A. De C.V.</v>
          </cell>
          <cell r="B660" t="str">
            <v>MBA960229SJ9</v>
          </cell>
        </row>
        <row r="661">
          <cell r="A661" t="str">
            <v>Mavape, S.A.P.I. De C.V.</v>
          </cell>
          <cell r="B661" t="str">
            <v>MAV130416P62</v>
          </cell>
        </row>
        <row r="662">
          <cell r="A662" t="str">
            <v>Maxcontrol Private Security, S.A. De C.V.</v>
          </cell>
          <cell r="B662" t="str">
            <v>MPS050207821</v>
          </cell>
        </row>
        <row r="663">
          <cell r="A663" t="str">
            <v>MCS Network Solution, S.A. De C.V.</v>
          </cell>
          <cell r="B663" t="str">
            <v>MNS990319C39</v>
          </cell>
        </row>
        <row r="664">
          <cell r="A664" t="str">
            <v>Mdreieck, S.A. De C.V.</v>
          </cell>
          <cell r="B664" t="str">
            <v>MDR0704049NS</v>
          </cell>
        </row>
        <row r="665">
          <cell r="A665" t="str">
            <v>Medam S de RL de CV</v>
          </cell>
          <cell r="B665" t="str">
            <v>MED9705163K2</v>
          </cell>
        </row>
        <row r="666">
          <cell r="A666" t="str">
            <v>Media Products De México, S.A. De C.V.</v>
          </cell>
          <cell r="B666" t="str">
            <v>MPM980601CG3</v>
          </cell>
        </row>
        <row r="667">
          <cell r="A667" t="str">
            <v>Medical Dimegar, S.A. De C.V.</v>
          </cell>
          <cell r="B667" t="str">
            <v>MDI891030IH9</v>
          </cell>
        </row>
        <row r="668">
          <cell r="A668" t="str">
            <v>Medingenium, S.A. De C.V.</v>
          </cell>
          <cell r="B668" t="str">
            <v>MED090630739</v>
          </cell>
        </row>
        <row r="669">
          <cell r="A669" t="str">
            <v>Medios Alternativos Battaglia, S.A. De C.V.</v>
          </cell>
          <cell r="B669" t="str">
            <v>MAB0308048H0</v>
          </cell>
        </row>
        <row r="670">
          <cell r="A670" t="str">
            <v>Mefintax México, S.C.</v>
          </cell>
          <cell r="B670" t="str">
            <v>MME070216MF0</v>
          </cell>
        </row>
        <row r="671">
          <cell r="A671" t="str">
            <v>Mercado Negro Producciones, S.A. De C.V.</v>
          </cell>
          <cell r="B671" t="str">
            <v>MNP040303DQ6</v>
          </cell>
        </row>
        <row r="672">
          <cell r="A672" t="str">
            <v>Meta 4 México, S.A. De C.V.</v>
          </cell>
          <cell r="B672" t="str">
            <v>MCM960712BB6</v>
          </cell>
        </row>
        <row r="673">
          <cell r="A673" t="str">
            <v>Metlife México, S.A.</v>
          </cell>
          <cell r="B673" t="str">
            <v>MME920427EM3</v>
          </cell>
        </row>
        <row r="674">
          <cell r="A674" t="str">
            <v>Mextypsa, S.A. De C.V.</v>
          </cell>
          <cell r="B674" t="str">
            <v>MEX0907141P1</v>
          </cell>
        </row>
        <row r="675">
          <cell r="A675" t="str">
            <v>Miani Tecnologías SA de CV</v>
          </cell>
          <cell r="B675" t="str">
            <v>MTE091112I16</v>
          </cell>
        </row>
        <row r="676">
          <cell r="A676" t="str">
            <v>Microsoft Corporation</v>
          </cell>
          <cell r="B676">
            <v>911144442</v>
          </cell>
        </row>
        <row r="677">
          <cell r="A677" t="str">
            <v>Milenio Automotriz, S.A. de C.V.</v>
          </cell>
          <cell r="B677" t="str">
            <v>MAU980413K91</v>
          </cell>
        </row>
        <row r="678">
          <cell r="A678" t="str">
            <v>Millenium Technologies, S.A. De C.V.</v>
          </cell>
          <cell r="B678" t="str">
            <v>MTE000615LF6</v>
          </cell>
        </row>
        <row r="679">
          <cell r="A679" t="str">
            <v>Mitsubishi Electric De México, S.A. De C.V.</v>
          </cell>
          <cell r="B679" t="str">
            <v>MEM760401DJ7</v>
          </cell>
        </row>
        <row r="680">
          <cell r="A680" t="str">
            <v>Mobiliarios Ergonómicos De México SA de CV</v>
          </cell>
          <cell r="B680" t="str">
            <v>MEM08080175A</v>
          </cell>
        </row>
        <row r="681">
          <cell r="A681" t="str">
            <v>Modernización y Desarrollo Empresarial SC</v>
          </cell>
          <cell r="B681" t="str">
            <v>MDE030220K42</v>
          </cell>
        </row>
        <row r="682">
          <cell r="A682" t="str">
            <v>Momentos.Com, S. De R.L. De C.V.</v>
          </cell>
          <cell r="B682" t="str">
            <v>MOM070709516</v>
          </cell>
        </row>
        <row r="683">
          <cell r="A683" t="str">
            <v>Momentum Media Design SA de CV</v>
          </cell>
          <cell r="B683" t="str">
            <v>MMD020722RQ0</v>
          </cell>
        </row>
        <row r="684">
          <cell r="A684" t="str">
            <v>Moro Electronic Systems, S.A. De C.V.</v>
          </cell>
          <cell r="B684" t="str">
            <v>MES080514CSA</v>
          </cell>
        </row>
        <row r="685">
          <cell r="A685" t="str">
            <v>Mr Computer Solutions, S.A. De C.V.</v>
          </cell>
          <cell r="B685" t="str">
            <v>MCS010116P69</v>
          </cell>
        </row>
        <row r="686">
          <cell r="A686" t="str">
            <v>Mr. Limpieza, S.A. De C.V.</v>
          </cell>
          <cell r="B686" t="str">
            <v>MLI0610289M7</v>
          </cell>
        </row>
        <row r="687">
          <cell r="A687" t="str">
            <v>Muebles Displan, S.A. De C.V.</v>
          </cell>
          <cell r="B687" t="str">
            <v>MDI970520QP8</v>
          </cell>
        </row>
        <row r="688">
          <cell r="A688" t="str">
            <v>Muebles Roal, S.A. De C.V.</v>
          </cell>
          <cell r="B688" t="str">
            <v>MRO940415BL0</v>
          </cell>
        </row>
        <row r="689">
          <cell r="A689" t="str">
            <v>Multiservicios Damu, S.A. De C.V.</v>
          </cell>
          <cell r="B689" t="str">
            <v>MDA150522Q27</v>
          </cell>
        </row>
        <row r="690">
          <cell r="A690" t="str">
            <v>Mundo Escolar Y De Oficina, S.A. De C.V.</v>
          </cell>
          <cell r="B690" t="str">
            <v>MEO131015NB4</v>
          </cell>
        </row>
        <row r="691">
          <cell r="A691" t="str">
            <v>Music And Images SA de CV</v>
          </cell>
          <cell r="B691" t="str">
            <v>MIM931206MV0</v>
          </cell>
        </row>
        <row r="692">
          <cell r="A692" t="str">
            <v>N Y N Construcciones Y Diseño, S.A.</v>
          </cell>
          <cell r="B692" t="str">
            <v>NNC970820QN0</v>
          </cell>
        </row>
        <row r="693">
          <cell r="A693" t="str">
            <v>Navegantes De La Comunicación Grafica, S.A. De C.V.</v>
          </cell>
          <cell r="B693" t="str">
            <v>NCG010320MD0</v>
          </cell>
        </row>
        <row r="694">
          <cell r="A694" t="str">
            <v>Ncubo Capital SAPI De CV</v>
          </cell>
          <cell r="B694" t="str">
            <v>NCA130123NM3</v>
          </cell>
        </row>
        <row r="695">
          <cell r="A695" t="str">
            <v>Nefesh, S.A. de C.V.</v>
          </cell>
          <cell r="B695" t="str">
            <v>NEF010306G90</v>
          </cell>
        </row>
        <row r="696">
          <cell r="A696" t="str">
            <v>Neta Systems, S.A. De C.V.</v>
          </cell>
          <cell r="B696" t="str">
            <v>NSY121012UV0</v>
          </cell>
        </row>
        <row r="697">
          <cell r="A697" t="str">
            <v>Netrix, S.A. De C.V.</v>
          </cell>
          <cell r="B697" t="str">
            <v>NET9807027S0</v>
          </cell>
        </row>
        <row r="698">
          <cell r="A698" t="str">
            <v>Network Storage Solutions SA de CV</v>
          </cell>
          <cell r="B698" t="str">
            <v>NSS030109F59</v>
          </cell>
        </row>
        <row r="699">
          <cell r="A699" t="str">
            <v>Ng Asesores SA de CV</v>
          </cell>
          <cell r="B699" t="str">
            <v>NAS080121LT0</v>
          </cell>
        </row>
        <row r="700">
          <cell r="A700" t="str">
            <v>Notimex, Agencia de noticias del Estado de México</v>
          </cell>
          <cell r="B700" t="str">
            <v>NAN060602PW9</v>
          </cell>
        </row>
        <row r="701">
          <cell r="A701" t="str">
            <v>Nubaj y Nubaj Consulting, S.A. De C.V.</v>
          </cell>
          <cell r="B701" t="str">
            <v>NNC121031D79</v>
          </cell>
        </row>
        <row r="702">
          <cell r="A702" t="str">
            <v>Nueva Imagen Comunicación Y Diseño Integral, S.A. De C.V.</v>
          </cell>
          <cell r="B702" t="str">
            <v>NID0701316S1</v>
          </cell>
        </row>
        <row r="703">
          <cell r="A703" t="str">
            <v>Nuevo Horizonte Editores, S.A. De C.V.</v>
          </cell>
          <cell r="B703" t="str">
            <v>NHE9211136J9</v>
          </cell>
        </row>
        <row r="704">
          <cell r="A704" t="str">
            <v>Nyr Tecnología, S.A. De C.V.</v>
          </cell>
          <cell r="B704" t="str">
            <v>NTE0602229T5</v>
          </cell>
        </row>
        <row r="705">
          <cell r="A705" t="str">
            <v>Observatorio Mexicano De Bioética AC</v>
          </cell>
          <cell r="B705" t="str">
            <v>OMB120726KA6</v>
          </cell>
        </row>
        <row r="706">
          <cell r="A706" t="str">
            <v>Office Coffee Service SA de CV</v>
          </cell>
          <cell r="B706" t="str">
            <v>OCS991207Q1A</v>
          </cell>
        </row>
        <row r="707">
          <cell r="A707" t="str">
            <v>Ogun Bi, S.A. De C.V.</v>
          </cell>
          <cell r="B707" t="str">
            <v>OBI1511304KA</v>
          </cell>
        </row>
        <row r="708">
          <cell r="A708" t="str">
            <v>Ollin Iluminación, S.A. De C.V.</v>
          </cell>
          <cell r="B708" t="str">
            <v>OIL0911098P0</v>
          </cell>
        </row>
        <row r="709">
          <cell r="A709" t="str">
            <v>On Site Destruction México, S.A. De C.V.</v>
          </cell>
          <cell r="B709" t="str">
            <v>OSD060317BA4</v>
          </cell>
        </row>
        <row r="710">
          <cell r="A710" t="str">
            <v>Operación Móvil SA de CV</v>
          </cell>
          <cell r="B710" t="str">
            <v>OMO090519453</v>
          </cell>
        </row>
        <row r="711">
          <cell r="A711" t="str">
            <v>Operadora De Tiendas Voluntarias SA de CV</v>
          </cell>
          <cell r="B711" t="str">
            <v>OTV801119HU2</v>
          </cell>
        </row>
        <row r="712">
          <cell r="A712" t="str">
            <v>Operadora Onis, S.A. De C.V.</v>
          </cell>
          <cell r="B712" t="str">
            <v>OON170610R5A</v>
          </cell>
        </row>
        <row r="713">
          <cell r="A713" t="str">
            <v>Operadora Turística Emporio Reforma, S.A. De C.V.</v>
          </cell>
          <cell r="B713" t="str">
            <v>OTE0902104Q2</v>
          </cell>
        </row>
        <row r="714">
          <cell r="A714" t="str">
            <v>Oracle De México, S.A. De C.V.</v>
          </cell>
          <cell r="B714" t="str">
            <v>OME910101TA3</v>
          </cell>
        </row>
        <row r="715">
          <cell r="A715" t="str">
            <v>Ordicasa Constructora, S.A. De C.V.</v>
          </cell>
          <cell r="B715" t="str">
            <v>OCO080702QL8</v>
          </cell>
        </row>
        <row r="716">
          <cell r="A716" t="str">
            <v>Orgánica Construcciones, S.A. De C.V.</v>
          </cell>
          <cell r="B716" t="str">
            <v>OCO060315SJ7</v>
          </cell>
        </row>
        <row r="717">
          <cell r="A717" t="str">
            <v>Organización Contable Mexicana, S.A. de C.V.</v>
          </cell>
          <cell r="B717" t="str">
            <v>OCM840719LG4</v>
          </cell>
        </row>
        <row r="718">
          <cell r="A718" t="str">
            <v>Organización De Sistemas Constructivos SA de CV</v>
          </cell>
          <cell r="B718" t="str">
            <v>OSC900702RL8</v>
          </cell>
        </row>
        <row r="719">
          <cell r="A719" t="str">
            <v>Organización Mitamex, S.A. de C.V.</v>
          </cell>
          <cell r="B719" t="str">
            <v>OMI880218NC4</v>
          </cell>
        </row>
        <row r="720">
          <cell r="A720" t="str">
            <v>Organización Papelera Del Centro, S.A. De C.V.</v>
          </cell>
          <cell r="B720" t="str">
            <v>OPC020131CP4</v>
          </cell>
        </row>
        <row r="721">
          <cell r="A721" t="str">
            <v>Origen Sap, S.A. De C.V.</v>
          </cell>
          <cell r="B721" t="str">
            <v>OSA141010LW4</v>
          </cell>
        </row>
        <row r="722">
          <cell r="A722" t="str">
            <v>Ormen World Wide, S.A. De C.V.</v>
          </cell>
          <cell r="B722" t="str">
            <v>OWW0709124J3</v>
          </cell>
        </row>
        <row r="723">
          <cell r="A723" t="str">
            <v>Pacal Armoring SA de CV</v>
          </cell>
          <cell r="B723" t="str">
            <v>PAR071005CV9</v>
          </cell>
        </row>
        <row r="724">
          <cell r="A724" t="str">
            <v>Papelera Anzures, S.A. De C.V.</v>
          </cell>
          <cell r="B724" t="str">
            <v>PAN910613PB0</v>
          </cell>
        </row>
        <row r="725">
          <cell r="A725" t="str">
            <v>Papelería Lozano Hermanos S.A. De C.V.</v>
          </cell>
          <cell r="B725" t="str">
            <v>PLH86093081A</v>
          </cell>
        </row>
        <row r="726">
          <cell r="A726" t="str">
            <v>Papelmetal SC</v>
          </cell>
          <cell r="B726" t="str">
            <v>PAP140613F15</v>
          </cell>
        </row>
        <row r="727">
          <cell r="A727" t="str">
            <v>Paper Less, S.A. de C.V.</v>
          </cell>
          <cell r="B727" t="str">
            <v>PLE9608124QA</v>
          </cell>
        </row>
        <row r="728">
          <cell r="A728" t="str">
            <v>Paradigma Publicidad, S.A. De C.V.</v>
          </cell>
          <cell r="B728" t="str">
            <v>PPU950516HI5</v>
          </cell>
        </row>
        <row r="729">
          <cell r="A729" t="str">
            <v>Pargroup Consultoría SC</v>
          </cell>
          <cell r="B729" t="str">
            <v>PCO050105FT7</v>
          </cell>
        </row>
        <row r="730">
          <cell r="A730" t="str">
            <v>Park Auto, S.A. De C.V.</v>
          </cell>
          <cell r="B730" t="str">
            <v>PAU070322DGA</v>
          </cell>
        </row>
        <row r="731">
          <cell r="A731" t="str">
            <v>Pas Gbs, S.A. De C.V.</v>
          </cell>
          <cell r="B731" t="str">
            <v>PGB101111MD8</v>
          </cell>
        </row>
        <row r="732">
          <cell r="A732" t="str">
            <v>Paupack, S.A. De C.V.</v>
          </cell>
          <cell r="B732" t="str">
            <v>PAU101224UC2</v>
          </cell>
        </row>
        <row r="733">
          <cell r="A733" t="str">
            <v>Pauta Comunicaciones SA de CV</v>
          </cell>
          <cell r="B733" t="str">
            <v>PCO1603288L6</v>
          </cell>
        </row>
        <row r="734">
          <cell r="A734" t="str">
            <v>Pavilion Diseño Y Arquitectura, S.A. De C.V.</v>
          </cell>
          <cell r="B734" t="str">
            <v>PDA020118FQ5</v>
          </cell>
        </row>
        <row r="735">
          <cell r="A735" t="str">
            <v>Pb &amp; Id By Paola Y Federica, S.C.</v>
          </cell>
          <cell r="B735" t="str">
            <v>PAI140703GM6</v>
          </cell>
        </row>
        <row r="736">
          <cell r="A736" t="str">
            <v>Pearl &amp; Pearl SA de CV</v>
          </cell>
          <cell r="B736" t="str">
            <v>PPE960925EV2</v>
          </cell>
        </row>
        <row r="737">
          <cell r="A737" t="str">
            <v>Pegaso Servicio Integral De Turismo SA de CV</v>
          </cell>
          <cell r="B737" t="str">
            <v>PSI021114QE1</v>
          </cell>
        </row>
        <row r="738">
          <cell r="A738" t="str">
            <v>Penguin Random House Grupo Editorial, S.A. De C.V.</v>
          </cell>
          <cell r="B738" t="str">
            <v>RHM540924EFA</v>
          </cell>
        </row>
        <row r="739">
          <cell r="A739" t="str">
            <v>Periódico La Extra SA de CV</v>
          </cell>
          <cell r="B739" t="str">
            <v>PEX860211TE5</v>
          </cell>
        </row>
        <row r="740">
          <cell r="A740" t="str">
            <v>Phonect, S.A. De C.V.</v>
          </cell>
          <cell r="B740" t="str">
            <v>PHO130128CI3</v>
          </cell>
        </row>
        <row r="741">
          <cell r="A741" t="str">
            <v>Pinacoteca 2000, S.A. De C.V.</v>
          </cell>
          <cell r="B741" t="str">
            <v>PDM9005286U8</v>
          </cell>
        </row>
        <row r="742">
          <cell r="A742" t="str">
            <v>Pineda Covalin, S.A. De C.V.</v>
          </cell>
          <cell r="B742" t="str">
            <v>PCO960904ST8</v>
          </cell>
        </row>
        <row r="743">
          <cell r="A743" t="str">
            <v>Pinturas Josfel, S.A. De C.V.</v>
          </cell>
          <cell r="B743" t="str">
            <v>PJO0211088R4</v>
          </cell>
        </row>
        <row r="744">
          <cell r="A744" t="str">
            <v>Pitney Bowes De México, S.A. De C.V.</v>
          </cell>
          <cell r="B744" t="str">
            <v>PBM940819HT5</v>
          </cell>
        </row>
        <row r="745">
          <cell r="A745" t="str">
            <v>Plásticos y Fertilizantes De Morelos SA De C.V.</v>
          </cell>
          <cell r="B745" t="str">
            <v>PFM891014836</v>
          </cell>
        </row>
        <row r="746">
          <cell r="A746" t="str">
            <v>Plata Villa De Polanco, S.A. De C.V.</v>
          </cell>
          <cell r="B746" t="str">
            <v>PVP920723D79</v>
          </cell>
        </row>
        <row r="747">
          <cell r="A747" t="str">
            <v>Plattform Construcciones, S.A. De C.V.</v>
          </cell>
          <cell r="B747" t="str">
            <v>PCO100309P55</v>
          </cell>
        </row>
        <row r="748">
          <cell r="A748" t="str">
            <v>Playmixes, S.A. De C.V.</v>
          </cell>
          <cell r="B748" t="str">
            <v>PLA08080861A</v>
          </cell>
        </row>
        <row r="749">
          <cell r="A749" t="str">
            <v>Plaza Y Valdés, S.A. De C.V.</v>
          </cell>
          <cell r="B749" t="str">
            <v>PVA890818IY8</v>
          </cell>
        </row>
        <row r="750">
          <cell r="A750" t="str">
            <v>Plm México, S.A. De C.V.</v>
          </cell>
          <cell r="B750" t="str">
            <v>PME850716PN5</v>
          </cell>
        </row>
        <row r="751">
          <cell r="A751" t="str">
            <v>Polanco Hermanos, S.A. De C.V.</v>
          </cell>
          <cell r="B751" t="str">
            <v>PHE990728DXA</v>
          </cell>
        </row>
        <row r="752">
          <cell r="A752" t="str">
            <v>Poliservicios, Tecnología E Ingeniería, S.A. De C.V.</v>
          </cell>
          <cell r="B752" t="str">
            <v>PTE1210296Y1</v>
          </cell>
        </row>
        <row r="753">
          <cell r="A753" t="str">
            <v>Politeia Consultores En Evaluación, S.A. De C.V.</v>
          </cell>
          <cell r="B753" t="str">
            <v>PCE140407UQ4</v>
          </cell>
        </row>
        <row r="754">
          <cell r="A754" t="str">
            <v>Polmherd De México SA de CV</v>
          </cell>
          <cell r="B754" t="str">
            <v>PME990726LB7</v>
          </cell>
        </row>
        <row r="755">
          <cell r="A755" t="str">
            <v>Populus Fintec SAPI De CV</v>
          </cell>
          <cell r="B755" t="str">
            <v>PFI151110QJ7</v>
          </cell>
        </row>
        <row r="756">
          <cell r="A756" t="str">
            <v>Por Ti Sea, A.C.</v>
          </cell>
          <cell r="B756" t="str">
            <v>TSE151217DCA</v>
          </cell>
        </row>
        <row r="757">
          <cell r="A757" t="str">
            <v>Power Systems Service, S.A. De C.V.</v>
          </cell>
          <cell r="B757" t="str">
            <v>PSS990127RE5</v>
          </cell>
        </row>
        <row r="758">
          <cell r="A758" t="str">
            <v>Prake Consultores Y Asesores, S.A. De C.V.</v>
          </cell>
          <cell r="B758" t="str">
            <v>PCA161013R16</v>
          </cell>
        </row>
        <row r="759">
          <cell r="A759" t="str">
            <v>Presentation Services, S.A. De C.V.</v>
          </cell>
          <cell r="B759" t="str">
            <v>PSE931116PLA</v>
          </cell>
        </row>
        <row r="760">
          <cell r="A760" t="str">
            <v>Prestigio En Moda SA de CV</v>
          </cell>
          <cell r="B760" t="str">
            <v>PMO841026HC2</v>
          </cell>
        </row>
        <row r="761">
          <cell r="A761" t="str">
            <v>Producción De Eventos Y Display México, S.A. De C.V.</v>
          </cell>
          <cell r="B761" t="str">
            <v>PED140325SU5</v>
          </cell>
        </row>
        <row r="762">
          <cell r="A762" t="str">
            <v>Producciones Balas, S.A. De C.V.</v>
          </cell>
          <cell r="B762" t="str">
            <v>PBA160309SM9</v>
          </cell>
        </row>
        <row r="763">
          <cell r="A763" t="str">
            <v>Producciones De Proyecto Y Construcción Maya, S.A. De C.V.</v>
          </cell>
          <cell r="B763" t="str">
            <v>PCC020527TZ7</v>
          </cell>
        </row>
        <row r="764">
          <cell r="A764" t="str">
            <v>Producciones Kinessis, S.A. De C.V.</v>
          </cell>
          <cell r="B764" t="str">
            <v>PKI910806NL9</v>
          </cell>
        </row>
        <row r="765">
          <cell r="A765" t="str">
            <v>Producciones Video Hills, S.A. De C.V.</v>
          </cell>
          <cell r="B765" t="str">
            <v>PVH9005223A1</v>
          </cell>
        </row>
        <row r="766">
          <cell r="A766" t="str">
            <v>Productos Lyt, S.A. De C.V.</v>
          </cell>
          <cell r="B766" t="str">
            <v>PLY911206FC9</v>
          </cell>
        </row>
        <row r="767">
          <cell r="A767" t="str">
            <v>Productos Metálicos Steele, S.A. De C.V.</v>
          </cell>
          <cell r="B767" t="str">
            <v>PMS811203QE6</v>
          </cell>
        </row>
        <row r="768">
          <cell r="A768" t="str">
            <v>Productos y Sistemas En Informática SA de CV</v>
          </cell>
          <cell r="B768" t="str">
            <v>PSI911216KA9</v>
          </cell>
        </row>
        <row r="769">
          <cell r="A769" t="str">
            <v>Profesionales En Manejo De Datos, S.A. De C.V.</v>
          </cell>
          <cell r="B769" t="str">
            <v>PMD030717KGA</v>
          </cell>
        </row>
        <row r="770">
          <cell r="A770" t="str">
            <v>Profhemsa SA de CV</v>
          </cell>
          <cell r="B770" t="str">
            <v>PRO960426EX2</v>
          </cell>
        </row>
        <row r="771">
          <cell r="A771" t="str">
            <v>Programma Comunicación, S.A. de C.V.</v>
          </cell>
          <cell r="B771" t="str">
            <v>PCO891122NB0</v>
          </cell>
        </row>
        <row r="772">
          <cell r="A772" t="str">
            <v>Promex Extintores, S.A. De C.V.</v>
          </cell>
          <cell r="B772" t="str">
            <v>PEX961112RA5</v>
          </cell>
        </row>
        <row r="773">
          <cell r="A773" t="str">
            <v>Promexar, S.A. De C.V.</v>
          </cell>
          <cell r="B773" t="str">
            <v>PRO0804072R0</v>
          </cell>
        </row>
        <row r="774">
          <cell r="A774" t="str">
            <v>Promotora Audiovisual MZ, S.A. De C.V.</v>
          </cell>
          <cell r="B774" t="str">
            <v>PAM1105133L5</v>
          </cell>
        </row>
        <row r="775">
          <cell r="A775" t="str">
            <v>Promotora Byg S.A. De C.V.</v>
          </cell>
          <cell r="B775" t="str">
            <v>PBY091217V60</v>
          </cell>
        </row>
        <row r="776">
          <cell r="A776" t="str">
            <v>Pronto Repartos Rápidos SA de CV</v>
          </cell>
          <cell r="B776" t="str">
            <v>PRR050906KG4</v>
          </cell>
        </row>
        <row r="777">
          <cell r="A777" t="str">
            <v>Proper Services, S.A. De C.V.</v>
          </cell>
          <cell r="B777" t="str">
            <v>PSE9908261P9</v>
          </cell>
        </row>
        <row r="778">
          <cell r="A778" t="str">
            <v>Propimex, S De R.L. De C.V.</v>
          </cell>
          <cell r="B778" t="str">
            <v>PRO840423SG8</v>
          </cell>
        </row>
        <row r="779">
          <cell r="A779" t="str">
            <v>Prospectiva Informática y Administrativa, S.A. De C.V.</v>
          </cell>
          <cell r="B779" t="str">
            <v>PIA900509D77</v>
          </cell>
        </row>
        <row r="780">
          <cell r="A780" t="str">
            <v>Protecto Glass de México SA de CV</v>
          </cell>
          <cell r="B780" t="str">
            <v>PGM940404E10</v>
          </cell>
        </row>
        <row r="781">
          <cell r="A781" t="str">
            <v>Proveedora Din, S.A. De C.V.</v>
          </cell>
          <cell r="B781" t="str">
            <v>PDI120118UF2</v>
          </cell>
        </row>
        <row r="782">
          <cell r="A782" t="str">
            <v>Proveedora Internacional De Servicios Intitucionales SA de CV</v>
          </cell>
          <cell r="B782" t="str">
            <v>PIS130508AA4</v>
          </cell>
        </row>
        <row r="783">
          <cell r="A783" t="str">
            <v>Proveedora Nacional Médica, S.A. de C.V.</v>
          </cell>
          <cell r="B783" t="str">
            <v>PNM060331RQ7</v>
          </cell>
        </row>
        <row r="784">
          <cell r="A784" t="str">
            <v>Proyecta Y Edifica, S.A. De C.V.</v>
          </cell>
          <cell r="B784" t="str">
            <v>PED990929PS8</v>
          </cell>
        </row>
        <row r="785">
          <cell r="A785" t="str">
            <v>Proyecto Día, S.A. De C.V.</v>
          </cell>
          <cell r="B785" t="str">
            <v>PDI9512142Q5</v>
          </cell>
        </row>
        <row r="786">
          <cell r="A786" t="str">
            <v>Proyecto E Instalaciones Integrales En Ingeniería, S.A. De C.V.</v>
          </cell>
          <cell r="B786" t="str">
            <v>PII991111CL6</v>
          </cell>
        </row>
        <row r="787">
          <cell r="A787" t="str">
            <v>Proyectos Alternativos De Comunicación, S.A. De C.V.</v>
          </cell>
          <cell r="B787" t="str">
            <v>PAC000704N72</v>
          </cell>
        </row>
        <row r="788">
          <cell r="A788" t="str">
            <v>Proyectos Edificaciones y Montajes SA de CV</v>
          </cell>
          <cell r="B788" t="str">
            <v>PEM050301KS6</v>
          </cell>
        </row>
        <row r="789">
          <cell r="A789" t="str">
            <v>Proyectos Especiales Tic SA de CV</v>
          </cell>
          <cell r="B789" t="str">
            <v>PET1302229B5</v>
          </cell>
        </row>
        <row r="790">
          <cell r="A790" t="str">
            <v>Proyectos Lumínicos SA</v>
          </cell>
          <cell r="B790" t="str">
            <v>PLU8303109G6</v>
          </cell>
        </row>
        <row r="791">
          <cell r="A791" t="str">
            <v>Proyectos Recuperaciones E Inspecciones De México SA de CV</v>
          </cell>
          <cell r="B791" t="str">
            <v>PRI150721256</v>
          </cell>
        </row>
        <row r="792">
          <cell r="A792" t="str">
            <v>Publicidad A Todo Color, S.A. De C.V.</v>
          </cell>
          <cell r="B792" t="str">
            <v>PTC1511179A1</v>
          </cell>
        </row>
        <row r="793">
          <cell r="A793" t="str">
            <v>Puertas Automáticas De Veracruz, S.A. De C.V.</v>
          </cell>
          <cell r="B793" t="str">
            <v>PAV940921S3A</v>
          </cell>
        </row>
        <row r="794">
          <cell r="A794" t="str">
            <v>Q Plus, S.A. de C.V.</v>
          </cell>
          <cell r="B794" t="str">
            <v>QPL980424K9A</v>
          </cell>
        </row>
        <row r="795">
          <cell r="A795" t="str">
            <v>Qarta Sistemas, S.A. De C.V.</v>
          </cell>
          <cell r="B795" t="str">
            <v>QSI990312R52</v>
          </cell>
        </row>
        <row r="796">
          <cell r="A796" t="str">
            <v>Qrea-t Solutions SA de CV</v>
          </cell>
          <cell r="B796" t="str">
            <v>QSO100827UB0</v>
          </cell>
        </row>
        <row r="797">
          <cell r="A797" t="str">
            <v>Quadrax SA de CV</v>
          </cell>
          <cell r="B797" t="str">
            <v>QUA901030322</v>
          </cell>
        </row>
        <row r="798">
          <cell r="A798" t="str">
            <v>Qualli Servicios Ti, S.A. De C.V.</v>
          </cell>
          <cell r="B798" t="str">
            <v>QST120409GU9</v>
          </cell>
        </row>
        <row r="799">
          <cell r="A799" t="str">
            <v>R3m Soluciones, S.A. De C.V.</v>
          </cell>
          <cell r="B799" t="str">
            <v>RSO110727BG3</v>
          </cell>
        </row>
        <row r="800">
          <cell r="A800" t="str">
            <v>Radamanthis, S.A. De C.V.</v>
          </cell>
          <cell r="B800" t="str">
            <v>RAD130715QK9</v>
          </cell>
        </row>
        <row r="801">
          <cell r="A801" t="str">
            <v>Radefra Comunicación, S.A. De C.V.</v>
          </cell>
          <cell r="B801" t="str">
            <v>RCO111214BZ3</v>
          </cell>
        </row>
        <row r="802">
          <cell r="A802" t="str">
            <v>Radiocomunicaciones Sakda, S.A. De C.V.</v>
          </cell>
          <cell r="B802" t="str">
            <v>RSA030408F38</v>
          </cell>
        </row>
        <row r="803">
          <cell r="A803" t="str">
            <v>Radiomóvil Dipsa, S.A. De C.V.</v>
          </cell>
          <cell r="B803" t="str">
            <v>RDI841003QJ4</v>
          </cell>
        </row>
        <row r="804">
          <cell r="A804" t="str">
            <v>Rasbo Soluciones De Negocios, S.A. De C.V.</v>
          </cell>
          <cell r="B804" t="str">
            <v>RSN120327DMA</v>
          </cell>
        </row>
        <row r="805">
          <cell r="A805" t="str">
            <v>Rayuela Digital, S.A. de C.V.</v>
          </cell>
          <cell r="B805" t="str">
            <v>RDO080307KF2</v>
          </cell>
        </row>
        <row r="806">
          <cell r="A806" t="str">
            <v>Rechtikal, S.A. De C.V.</v>
          </cell>
          <cell r="B806" t="str">
            <v>REC121107IMA</v>
          </cell>
        </row>
        <row r="807">
          <cell r="A807" t="str">
            <v>Recycle Tech SA de CV</v>
          </cell>
          <cell r="B807" t="str">
            <v>RTE990419</v>
          </cell>
        </row>
        <row r="808">
          <cell r="A808" t="str">
            <v>Redes Y Micros Del Oriente, S.A. De C.V.</v>
          </cell>
          <cell r="B808" t="str">
            <v>RMO9411122L0</v>
          </cell>
        </row>
        <row r="809">
          <cell r="A809" t="str">
            <v>Redpack, S.A. De C.V.</v>
          </cell>
          <cell r="B809" t="str">
            <v>RED940114JX9</v>
          </cell>
        </row>
        <row r="810">
          <cell r="A810" t="str">
            <v>Redsyscom, S.A. De C.V.</v>
          </cell>
          <cell r="B810" t="str">
            <v>RED020402FZA</v>
          </cell>
        </row>
        <row r="811">
          <cell r="A811" t="str">
            <v>Refacciones Mexicanas, S.A. de C.V.</v>
          </cell>
          <cell r="B811" t="str">
            <v>RME620921HE3</v>
          </cell>
        </row>
        <row r="812">
          <cell r="A812" t="str">
            <v>Registral Management, S.A. De C.V.</v>
          </cell>
          <cell r="B812" t="str">
            <v>RMA031205SQ1</v>
          </cell>
        </row>
        <row r="813">
          <cell r="A813" t="str">
            <v>Reino Educativo, S.A. De C.V.</v>
          </cell>
          <cell r="B813" t="str">
            <v>RED150319QW8</v>
          </cell>
        </row>
        <row r="814">
          <cell r="A814" t="str">
            <v>Renovacomex, S.A. De C.V.</v>
          </cell>
          <cell r="B814" t="str">
            <v>REN171023BW3</v>
          </cell>
        </row>
        <row r="815">
          <cell r="A815" t="str">
            <v>Representaciones Y Control Administrativo SA de CV</v>
          </cell>
          <cell r="B815" t="str">
            <v>RCA940318R83</v>
          </cell>
        </row>
        <row r="816">
          <cell r="A816" t="str">
            <v>Respuestas Optimas En Mayoreo S.A. De C.V.</v>
          </cell>
          <cell r="B816" t="str">
            <v>ROM900628QV1</v>
          </cell>
        </row>
        <row r="817">
          <cell r="A817" t="str">
            <v>Rilke Management, S.A. De C.V.</v>
          </cell>
          <cell r="B817" t="str">
            <v>RMA161031DJ1</v>
          </cell>
        </row>
        <row r="818">
          <cell r="A818" t="str">
            <v>Rincón Méndez Construcciones, S.A. De C.V.</v>
          </cell>
          <cell r="B818" t="str">
            <v>RMC160914FT3</v>
          </cell>
        </row>
        <row r="819">
          <cell r="A819" t="str">
            <v>Rm Systems, S.A. De C.V.</v>
          </cell>
          <cell r="B819" t="str">
            <v>RSY130429NW3</v>
          </cell>
        </row>
        <row r="820">
          <cell r="A820" t="str">
            <v>Robotec Alta Tecnología En Seguridad Privada, S.A. De C.V.</v>
          </cell>
          <cell r="B820" t="str">
            <v>RAT970109BU6</v>
          </cell>
        </row>
        <row r="821">
          <cell r="A821" t="str">
            <v>Rodriguez y Navarro Consultoría Legal SC</v>
          </cell>
          <cell r="B821" t="str">
            <v>RNC1508115GA</v>
          </cell>
        </row>
        <row r="822">
          <cell r="A822" t="str">
            <v>Roost Control De Plagas Y Servicios, S.A. De C.V.</v>
          </cell>
          <cell r="B822" t="str">
            <v>RCP040119SP3</v>
          </cell>
        </row>
        <row r="823">
          <cell r="A823" t="str">
            <v>Root Technologies, S.C.</v>
          </cell>
          <cell r="B823" t="str">
            <v>RTE040625HF8</v>
          </cell>
        </row>
        <row r="824">
          <cell r="A824" t="str">
            <v>Sabercomo, S.A. De C.V.</v>
          </cell>
          <cell r="B824" t="str">
            <v>SAB051015141</v>
          </cell>
        </row>
        <row r="825">
          <cell r="A825" t="str">
            <v>Sabormex, S.A. De C.V.</v>
          </cell>
          <cell r="B825" t="str">
            <v>SAB9407014V3</v>
          </cell>
        </row>
        <row r="826">
          <cell r="A826" t="str">
            <v>Sacmag De México SA de CV</v>
          </cell>
          <cell r="B826" t="str">
            <v>SME850212FD0</v>
          </cell>
        </row>
        <row r="827">
          <cell r="A827" t="str">
            <v>Sai Consultores SC</v>
          </cell>
          <cell r="B827" t="str">
            <v>SAI950920KS8</v>
          </cell>
        </row>
        <row r="828">
          <cell r="A828" t="str">
            <v>Sales Del Istmo, S.A. De C.V.</v>
          </cell>
          <cell r="B828" t="str">
            <v>SIS811210H53</v>
          </cell>
        </row>
        <row r="829">
          <cell r="A829" t="str">
            <v>Samurai Motors Ciudad De México, S. De R.L. De C.V.</v>
          </cell>
          <cell r="B829" t="str">
            <v>SMC171030UG5</v>
          </cell>
        </row>
        <row r="830">
          <cell r="A830" t="str">
            <v>Sandoval Sacal Cohen Y Compañía SC</v>
          </cell>
          <cell r="B830" t="str">
            <v>SSC091020MQ8</v>
          </cell>
        </row>
        <row r="831">
          <cell r="A831" t="str">
            <v>Sanipap De México, S.A. De C.V.</v>
          </cell>
          <cell r="B831" t="str">
            <v>SME0608184Z2</v>
          </cell>
        </row>
        <row r="832">
          <cell r="A832" t="str">
            <v>Santamaría Reyes Y Asociados, S.A. De C.V.</v>
          </cell>
          <cell r="B832" t="str">
            <v>SRA970404QH0</v>
          </cell>
        </row>
        <row r="833">
          <cell r="A833" t="str">
            <v>Savener Eventos Y Servicios, S.A. De C.V.</v>
          </cell>
          <cell r="B833" t="str">
            <v>SES130419489</v>
          </cell>
        </row>
        <row r="834">
          <cell r="A834" t="str">
            <v>Segtec SA de CV</v>
          </cell>
          <cell r="B834" t="str">
            <v>SEG030317E48</v>
          </cell>
        </row>
        <row r="835">
          <cell r="A835" t="str">
            <v>Segudirecto Agente De Seguros y De Fianzas SA de CV</v>
          </cell>
          <cell r="B835" t="str">
            <v>GCM940630U99</v>
          </cell>
        </row>
        <row r="836">
          <cell r="A836" t="str">
            <v>Seguimiento Técnico Ambiental, S.A. De C.V.</v>
          </cell>
          <cell r="B836" t="str">
            <v>STA020703444</v>
          </cell>
        </row>
        <row r="837">
          <cell r="A837" t="str">
            <v>Segurisk, Agente de Seguros y de Fianzas, S.A. de C.V.</v>
          </cell>
          <cell r="B837" t="str">
            <v>SAS050314PA2</v>
          </cell>
        </row>
        <row r="838">
          <cell r="A838" t="str">
            <v>Seguros Inbursa, S.A. Grupo Financiero Inbursa</v>
          </cell>
          <cell r="B838" t="str">
            <v>SIN9408027L7</v>
          </cell>
        </row>
        <row r="839">
          <cell r="A839" t="str">
            <v>Selipro SA de CV</v>
          </cell>
          <cell r="B839" t="str">
            <v>SEL140507KH0</v>
          </cell>
        </row>
        <row r="840">
          <cell r="A840" t="str">
            <v>Serbitecsa, S.A. De C.V.</v>
          </cell>
          <cell r="B840" t="str">
            <v>SER080612IY7</v>
          </cell>
        </row>
        <row r="841">
          <cell r="A841" t="str">
            <v>Serret Derbez Hydraulic Power, S.A. De C.V.</v>
          </cell>
          <cell r="B841" t="str">
            <v>SDH050517II7</v>
          </cell>
        </row>
        <row r="842">
          <cell r="A842" t="str">
            <v>Serretecno SA de CV</v>
          </cell>
          <cell r="B842" t="str">
            <v>SER911203JU5</v>
          </cell>
        </row>
        <row r="843">
          <cell r="A843" t="str">
            <v>Servi Estructuras Alfa SA de CV</v>
          </cell>
          <cell r="B843" t="str">
            <v>SEA760803S60</v>
          </cell>
        </row>
        <row r="844">
          <cell r="A844" t="str">
            <v>Servicio Instalación Mantenimiento Y Asesoría De Equipos De Accesibilidad SA</v>
          </cell>
          <cell r="B844" t="str">
            <v>SIM080805SK1</v>
          </cell>
        </row>
        <row r="845">
          <cell r="A845" t="str">
            <v>Servicio Integral En Computación, S.A. De C.V.</v>
          </cell>
          <cell r="B845" t="str">
            <v>SIC940816J2A</v>
          </cell>
        </row>
        <row r="846">
          <cell r="A846" t="str">
            <v>Servicio Postal Mexicano</v>
          </cell>
          <cell r="B846" t="str">
            <v>SPM860820CF5</v>
          </cell>
        </row>
        <row r="847">
          <cell r="A847" t="str">
            <v>Servicios Akj, S.A. De C.V.</v>
          </cell>
          <cell r="B847" t="str">
            <v>SAK11061699A</v>
          </cell>
        </row>
        <row r="848">
          <cell r="A848" t="str">
            <v>Servicios De Capacitación, Asesoría Y Productividad, S.C.</v>
          </cell>
          <cell r="B848" t="str">
            <v>SCA891107NM5</v>
          </cell>
        </row>
        <row r="849">
          <cell r="A849" t="str">
            <v>Servicios De Energía Ininterrumpible, S.A. De C.V.</v>
          </cell>
          <cell r="B849" t="str">
            <v>SEI001019RW3</v>
          </cell>
        </row>
        <row r="850">
          <cell r="A850" t="str">
            <v>Servicios De Interiorismo Master Key SA de CV</v>
          </cell>
          <cell r="B850" t="str">
            <v>SIM150526V66</v>
          </cell>
        </row>
        <row r="851">
          <cell r="A851" t="str">
            <v>Servicios Especializados En Sistemas De Gestión, S.C.</v>
          </cell>
          <cell r="B851" t="str">
            <v>SES0504083N6</v>
          </cell>
        </row>
        <row r="852">
          <cell r="A852" t="str">
            <v>Servicios Especializados En Teleinformática, S.A. De C.V.</v>
          </cell>
          <cell r="B852" t="str">
            <v>SET061122NX8</v>
          </cell>
        </row>
        <row r="853">
          <cell r="A853" t="str">
            <v>Servicios Integrales De Valoración S de RL de CV</v>
          </cell>
          <cell r="B853" t="str">
            <v>SIV141017541</v>
          </cell>
        </row>
        <row r="854">
          <cell r="A854" t="str">
            <v>Servicios Integrales En Promoción Y Comunicación, S.A. De C.V.</v>
          </cell>
          <cell r="B854" t="str">
            <v>SIP121211665</v>
          </cell>
        </row>
        <row r="855">
          <cell r="A855" t="str">
            <v>Servicios Integrales Vencher SA de CV</v>
          </cell>
          <cell r="B855" t="str">
            <v>SIV030412VB3</v>
          </cell>
        </row>
        <row r="856">
          <cell r="A856" t="str">
            <v>Servicios Jurídicos Sistematizados Serjusis, S.C.</v>
          </cell>
          <cell r="B856" t="str">
            <v>SJS0905252R7</v>
          </cell>
        </row>
        <row r="857">
          <cell r="A857" t="str">
            <v>Servicios Profesionales Ra, S.A. De C.V.</v>
          </cell>
          <cell r="B857" t="str">
            <v>SPR050628PX2</v>
          </cell>
        </row>
        <row r="858">
          <cell r="A858" t="str">
            <v>Servicios Tecnología y Organización SA de CV</v>
          </cell>
          <cell r="B858" t="str">
            <v>STO020301G28</v>
          </cell>
        </row>
        <row r="859">
          <cell r="A859" t="str">
            <v>Servicios Troncalizados SA de CV</v>
          </cell>
          <cell r="B859" t="str">
            <v>STR900622ES9</v>
          </cell>
        </row>
        <row r="860">
          <cell r="A860" t="str">
            <v>Servipro de México, S.A. de C.V.</v>
          </cell>
          <cell r="B860" t="str">
            <v>SME910904AE2</v>
          </cell>
        </row>
        <row r="861">
          <cell r="A861" t="str">
            <v>Sesiti, S.A. de C.V.</v>
          </cell>
          <cell r="B861" t="str">
            <v>SES0305069R7</v>
          </cell>
        </row>
        <row r="862">
          <cell r="A862" t="str">
            <v>Sffeera Producciones, S.A. De C.V.</v>
          </cell>
          <cell r="B862" t="str">
            <v>SPR070207L75</v>
          </cell>
        </row>
        <row r="863">
          <cell r="A863" t="str">
            <v>Sharp Corporation México, S.A. De C.V.</v>
          </cell>
          <cell r="B863" t="str">
            <v>SCM091023TW3</v>
          </cell>
        </row>
        <row r="864">
          <cell r="A864" t="str">
            <v>Sictel Arrendamiento, S.A. De C.V.</v>
          </cell>
          <cell r="B864" t="str">
            <v>SAR000225UE4</v>
          </cell>
        </row>
        <row r="865">
          <cell r="A865" t="str">
            <v>Sictel Soluciones TI, S.A. de C.V.</v>
          </cell>
          <cell r="B865" t="str">
            <v>SST940111LG1</v>
          </cell>
        </row>
        <row r="866">
          <cell r="A866" t="str">
            <v>Siglo XXI Editores, S.A. De C.V.</v>
          </cell>
          <cell r="B866" t="str">
            <v>SVE8210018I5</v>
          </cell>
        </row>
        <row r="867">
          <cell r="A867" t="str">
            <v>Sinergia Consultoría y Capacitación En Calidad SC</v>
          </cell>
          <cell r="B867" t="str">
            <v>SCC0605025Q7</v>
          </cell>
        </row>
        <row r="868">
          <cell r="A868" t="str">
            <v>Sinergia Participativa, S.A. De C.V.</v>
          </cell>
          <cell r="B868" t="str">
            <v>SPA090908CU3</v>
          </cell>
        </row>
        <row r="869">
          <cell r="A869" t="str">
            <v>Sinteg En México, S.A. De C.V.</v>
          </cell>
          <cell r="B869" t="str">
            <v>SME9002277T7</v>
          </cell>
        </row>
        <row r="870">
          <cell r="A870" t="str">
            <v>Siroel Proyectos SAPI De CV</v>
          </cell>
          <cell r="B870" t="str">
            <v>SPR130319LT7</v>
          </cell>
        </row>
        <row r="871">
          <cell r="A871" t="str">
            <v>Sistema De Energía Ininterrumpida, S.A. de C.V.</v>
          </cell>
          <cell r="B871" t="str">
            <v>SEI930315MW9</v>
          </cell>
        </row>
        <row r="872">
          <cell r="A872" t="str">
            <v>Sistemas De Acondicionamiento Ambiental, S.A. De C.V.</v>
          </cell>
          <cell r="B872" t="str">
            <v>SAA7609095Q0</v>
          </cell>
        </row>
        <row r="873">
          <cell r="A873" t="str">
            <v>Sistemas De Energía Sise, S.A. De C.V.</v>
          </cell>
          <cell r="B873" t="str">
            <v>SES101101ENA</v>
          </cell>
        </row>
        <row r="874">
          <cell r="A874" t="str">
            <v>Sistemas Digitales En Audio Y Video, S.A. De C.V.</v>
          </cell>
          <cell r="B874" t="str">
            <v>SDA881122NT7</v>
          </cell>
        </row>
        <row r="875">
          <cell r="A875" t="str">
            <v>Sistemas Neumáticos De Envíos, S.A. De C.V.</v>
          </cell>
          <cell r="B875" t="str">
            <v>SNE8902146C0</v>
          </cell>
        </row>
        <row r="876">
          <cell r="A876" t="str">
            <v>Sistemas Sintel, S.A. De C.V.</v>
          </cell>
          <cell r="B876" t="str">
            <v>SSI841005TN0</v>
          </cell>
        </row>
        <row r="877">
          <cell r="A877" t="str">
            <v>Sistemas y Servicios De Alta Tecnología SA de CV</v>
          </cell>
          <cell r="B877" t="str">
            <v>SSA010402FA0</v>
          </cell>
        </row>
        <row r="878">
          <cell r="A878" t="str">
            <v>Siva Consultoría En Seguridad, S.A. De C.V.</v>
          </cell>
          <cell r="B878" t="str">
            <v>SCS161122SS1</v>
          </cell>
        </row>
        <row r="879">
          <cell r="A879" t="str">
            <v>Siva Security Intelligence Vision &amp; Advising, S.A. De C.V.</v>
          </cell>
          <cell r="B879" t="str">
            <v>SSI050621GVA</v>
          </cell>
        </row>
        <row r="880">
          <cell r="A880" t="str">
            <v>Six Flags México, S.A. De C.V.</v>
          </cell>
          <cell r="B880" t="str">
            <v>RAV790322QY4</v>
          </cell>
        </row>
        <row r="881">
          <cell r="A881" t="str">
            <v>Skandatecnology Advisors, S.A. De C.V.</v>
          </cell>
          <cell r="B881" t="str">
            <v>SAD090420959</v>
          </cell>
        </row>
        <row r="882">
          <cell r="A882" t="str">
            <v>Sm Global Fast SA de CV</v>
          </cell>
          <cell r="B882" t="str">
            <v>SGF150608D92</v>
          </cell>
        </row>
        <row r="883">
          <cell r="A883" t="str">
            <v>Soestra SA de CV</v>
          </cell>
          <cell r="B883" t="str">
            <v>SOE1505187P8</v>
          </cell>
        </row>
        <row r="884">
          <cell r="A884" t="str">
            <v>Sofam Motos, S.A. De C.V.</v>
          </cell>
          <cell r="B884" t="str">
            <v>SMO120213MA2</v>
          </cell>
        </row>
        <row r="885">
          <cell r="A885" t="str">
            <v>Soft Computing México SA de CV</v>
          </cell>
          <cell r="B885" t="str">
            <v>SCM151211UA4</v>
          </cell>
        </row>
        <row r="886">
          <cell r="A886" t="str">
            <v>Software Blancco, S.A. De C.V.</v>
          </cell>
          <cell r="B886" t="str">
            <v>SBL1008258T0</v>
          </cell>
        </row>
        <row r="887">
          <cell r="A887" t="str">
            <v>Solecsus SA de CV</v>
          </cell>
          <cell r="B887" t="str">
            <v>SOL1303057K6</v>
          </cell>
        </row>
        <row r="888">
          <cell r="A888" t="str">
            <v>Sollertis Consultores, S.C.</v>
          </cell>
          <cell r="B888" t="str">
            <v>SCO110208942</v>
          </cell>
        </row>
        <row r="889">
          <cell r="A889" t="str">
            <v>Solución Publicitaria y Eventos SA de CV</v>
          </cell>
          <cell r="B889" t="str">
            <v>SPE130207LW6</v>
          </cell>
        </row>
        <row r="890">
          <cell r="A890" t="str">
            <v>Soluciones Alfaeficiencia, S.A. De C.V.</v>
          </cell>
          <cell r="B890" t="str">
            <v>SAL090511PV6</v>
          </cell>
        </row>
        <row r="891">
          <cell r="A891" t="str">
            <v>Soluciones Capitales SA de CV</v>
          </cell>
          <cell r="B891" t="str">
            <v>SCA1302219U1</v>
          </cell>
        </row>
        <row r="892">
          <cell r="A892" t="str">
            <v>Soluciones Integrales A Equipos De Oficina, S.A. De C.V.</v>
          </cell>
          <cell r="B892" t="str">
            <v>SIA0909017R8</v>
          </cell>
        </row>
        <row r="893">
          <cell r="A893" t="str">
            <v>Soluciones Integrales Amr, S.A. De C.V.</v>
          </cell>
          <cell r="B893" t="str">
            <v>SIA940408THA</v>
          </cell>
        </row>
        <row r="894">
          <cell r="A894" t="str">
            <v>Soluciones Integrales En Conscptos SC</v>
          </cell>
          <cell r="B894" t="str">
            <v>SIC150610170</v>
          </cell>
        </row>
        <row r="895">
          <cell r="A895" t="str">
            <v>Soluciones Integrales Para Bibliotecas y Archivos SA de CV</v>
          </cell>
          <cell r="B895" t="str">
            <v>SIB050603RK4</v>
          </cell>
        </row>
        <row r="896">
          <cell r="A896" t="str">
            <v>Soluciones Integrales Para Redes Y Sistemas De Cómputo, S.A. De C.V.</v>
          </cell>
          <cell r="B896" t="str">
            <v>SIR99022694A</v>
          </cell>
        </row>
        <row r="897">
          <cell r="A897" t="str">
            <v>Soluciones Inteligentes Solin SA de CV</v>
          </cell>
          <cell r="B897" t="str">
            <v>SIS1211079J4</v>
          </cell>
        </row>
        <row r="898">
          <cell r="A898" t="str">
            <v>Soluciones para Ti, S.A. de C.V.</v>
          </cell>
          <cell r="B898" t="str">
            <v>STI070725SAA</v>
          </cell>
        </row>
        <row r="899">
          <cell r="A899" t="str">
            <v>Soluciones Samsara Services, S.A. De C.V.</v>
          </cell>
          <cell r="B899" t="str">
            <v>SSS111110DKA</v>
          </cell>
        </row>
        <row r="900">
          <cell r="A900" t="str">
            <v>Soluciones Tecnológicas Especializadas, S.A. De C.V.</v>
          </cell>
          <cell r="B900" t="str">
            <v>STE040914LI2</v>
          </cell>
        </row>
        <row r="901">
          <cell r="A901" t="str">
            <v>Somboruco Films, S.A. De C.V.</v>
          </cell>
          <cell r="B901" t="str">
            <v>SFI140905PC6</v>
          </cell>
        </row>
        <row r="902">
          <cell r="A902" t="str">
            <v>Sonda México SA de CV</v>
          </cell>
          <cell r="B902" t="str">
            <v>SME040223T23</v>
          </cell>
        </row>
        <row r="903">
          <cell r="A903" t="str">
            <v>Soundspace, S.A. De C.V.</v>
          </cell>
          <cell r="B903" t="str">
            <v>SOU031210613</v>
          </cell>
        </row>
        <row r="904">
          <cell r="A904" t="str">
            <v>Sperto Digital SA de CV</v>
          </cell>
          <cell r="B904" t="str">
            <v>SDI120926K49</v>
          </cell>
        </row>
        <row r="905">
          <cell r="A905" t="str">
            <v>Stallum Construcciones Globales, S.A. de C.V.</v>
          </cell>
          <cell r="B905" t="str">
            <v>SCG161201TUO</v>
          </cell>
        </row>
        <row r="906">
          <cell r="A906" t="str">
            <v>Sublicompany SA de CV</v>
          </cell>
          <cell r="B906" t="str">
            <v>SUB1304186R4</v>
          </cell>
        </row>
        <row r="907">
          <cell r="A907" t="str">
            <v>Surman Anzures, S.A. De C.V.</v>
          </cell>
          <cell r="B907" t="str">
            <v>SAN070511T77</v>
          </cell>
        </row>
        <row r="908">
          <cell r="A908" t="str">
            <v>Suven, S.A. De C.V.</v>
          </cell>
          <cell r="B908" t="str">
            <v>SUV130405TK8</v>
          </cell>
        </row>
        <row r="909">
          <cell r="A909" t="str">
            <v>Suzuka Motos, S. De R.L. De C.V.</v>
          </cell>
          <cell r="B909" t="str">
            <v>SMO070514DS4</v>
          </cell>
        </row>
        <row r="910">
          <cell r="A910" t="str">
            <v>Tabacos De Santa Fe, S.A. De C.V.</v>
          </cell>
          <cell r="B910" t="str">
            <v>TSF9905049L6</v>
          </cell>
        </row>
        <row r="911">
          <cell r="A911" t="str">
            <v>Talento SA de CV</v>
          </cell>
          <cell r="B911" t="str">
            <v>TAL810120K38</v>
          </cell>
        </row>
        <row r="912">
          <cell r="A912" t="str">
            <v>Taller Espiral, S.C.</v>
          </cell>
          <cell r="B912" t="str">
            <v>TES1006178P2</v>
          </cell>
        </row>
        <row r="913">
          <cell r="A913" t="str">
            <v>Tares Taller De Arquitectura Y Restauración, S.A. De C.V.</v>
          </cell>
          <cell r="B913" t="str">
            <v>TTA091015833</v>
          </cell>
        </row>
        <row r="914">
          <cell r="A914" t="str">
            <v>TDMA Celular, S.A. De C.V.</v>
          </cell>
          <cell r="B914" t="str">
            <v>TDM000815SK4</v>
          </cell>
        </row>
        <row r="915">
          <cell r="A915" t="str">
            <v>Teaasi Video, S.A. De C.V.</v>
          </cell>
          <cell r="B915" t="str">
            <v>TVI130211GD6</v>
          </cell>
        </row>
        <row r="916">
          <cell r="A916" t="str">
            <v>TEC Electrónica, S.A. De C.V.</v>
          </cell>
          <cell r="B916" t="str">
            <v>TEL920701QXA</v>
          </cell>
        </row>
        <row r="917">
          <cell r="A917" t="str">
            <v>Tech Storm, S.A. De C.V.</v>
          </cell>
          <cell r="B917" t="str">
            <v>TST0603206T3</v>
          </cell>
        </row>
        <row r="918">
          <cell r="A918" t="str">
            <v>Técnicas En Iluminación Urman, S.A. De C.V.</v>
          </cell>
          <cell r="B918" t="str">
            <v>TIU140528GLA</v>
          </cell>
        </row>
        <row r="919">
          <cell r="A919" t="str">
            <v>Tecnología &amp; Contacto SA de CV</v>
          </cell>
          <cell r="B919" t="str">
            <v>T&amp;C991118HH5</v>
          </cell>
        </row>
        <row r="920">
          <cell r="A920" t="str">
            <v>Tecnología En Comunicaciones E Informática, S.A. De C.V.</v>
          </cell>
          <cell r="B920" t="str">
            <v>TCI980226AY8</v>
          </cell>
        </row>
        <row r="921">
          <cell r="A921" t="str">
            <v>Tecnología Especializada Bitcom, S.A. De C.V.</v>
          </cell>
          <cell r="B921" t="str">
            <v>TEB1406231E8</v>
          </cell>
        </row>
        <row r="922">
          <cell r="A922" t="str">
            <v>Tecnología Integral Ronu, S.A. De C.V.</v>
          </cell>
          <cell r="B922" t="str">
            <v>TIR140207ED6</v>
          </cell>
        </row>
        <row r="923">
          <cell r="A923" t="str">
            <v>Tecnología Y Soluciones En Luz, S.A. De C.V.</v>
          </cell>
          <cell r="B923" t="str">
            <v>TSL0810061I3</v>
          </cell>
        </row>
        <row r="924">
          <cell r="A924" t="str">
            <v>Tecnologías Digitales Alternas De México, S. De R.L. De C.V.</v>
          </cell>
          <cell r="B924" t="str">
            <v>TDA100816147</v>
          </cell>
        </row>
        <row r="925">
          <cell r="A925" t="str">
            <v>Tecnoprogramación Humana Especializada en Sistemas Operativos, S.A. de C.V.</v>
          </cell>
          <cell r="B925" t="str">
            <v>THE8701087R8</v>
          </cell>
        </row>
        <row r="926">
          <cell r="A926" t="str">
            <v>Telecomunicaciones De México</v>
          </cell>
          <cell r="B926" t="str">
            <v>TME891117F56</v>
          </cell>
        </row>
        <row r="927">
          <cell r="A927" t="str">
            <v>Telecomunicaciones Multidestino, S.A. De C.V.</v>
          </cell>
          <cell r="B927" t="str">
            <v>TMU9308161H5</v>
          </cell>
        </row>
        <row r="928">
          <cell r="A928" t="str">
            <v>Teléfonos De México, S. A. B. De C. V.</v>
          </cell>
          <cell r="B928" t="str">
            <v>TME840315KT6</v>
          </cell>
        </row>
        <row r="929">
          <cell r="A929" t="str">
            <v>Telemática Lefic, S.A. De C.V.</v>
          </cell>
          <cell r="B929" t="str">
            <v>TLE931001GT5</v>
          </cell>
        </row>
        <row r="930">
          <cell r="A930" t="str">
            <v>Teletec De México, S.A.P.I. De C.V.</v>
          </cell>
          <cell r="B930" t="str">
            <v>TME910924TL5</v>
          </cell>
        </row>
        <row r="931">
          <cell r="A931" t="str">
            <v>Thales México, S.A. de C.V.</v>
          </cell>
          <cell r="B931" t="str">
            <v>TSS000724HT5</v>
          </cell>
        </row>
        <row r="932">
          <cell r="A932" t="str">
            <v>The Anglo Mexican Foundation, A.C.</v>
          </cell>
          <cell r="B932" t="str">
            <v>AMF430610EK1</v>
          </cell>
        </row>
        <row r="933">
          <cell r="A933" t="str">
            <v>The Os Del Sureste SA de CV</v>
          </cell>
          <cell r="B933" t="str">
            <v>OSU990909393</v>
          </cell>
        </row>
        <row r="934">
          <cell r="A934" t="str">
            <v>Thorsmex SA de CV</v>
          </cell>
          <cell r="B934" t="str">
            <v>THO961212IK7</v>
          </cell>
        </row>
        <row r="935">
          <cell r="A935" t="str">
            <v>Thyssenkrupp Elevadores, S.A. De C.V.</v>
          </cell>
          <cell r="B935" t="str">
            <v>TEL940531FV9</v>
          </cell>
        </row>
        <row r="936">
          <cell r="A936" t="str">
            <v>Tirant Lo Blanch México S de RL de CV</v>
          </cell>
          <cell r="B936" t="str">
            <v>TLB110322C48</v>
          </cell>
        </row>
        <row r="937">
          <cell r="A937" t="str">
            <v>Tlaseca Construcciones, S.A. De C.V.</v>
          </cell>
          <cell r="B937" t="str">
            <v>TCO031121517</v>
          </cell>
        </row>
        <row r="938">
          <cell r="A938" t="str">
            <v>Todalaprensa SA de CV</v>
          </cell>
          <cell r="B938" t="str">
            <v>TOD001012FH8</v>
          </cell>
        </row>
        <row r="939">
          <cell r="A939" t="str">
            <v>Toldos y Cubiertas A Tensión SA de CV</v>
          </cell>
          <cell r="B939" t="str">
            <v>TCT0207232I2</v>
          </cell>
        </row>
        <row r="940">
          <cell r="A940" t="str">
            <v>Toma De Protesta SA de CV</v>
          </cell>
          <cell r="B940" t="str">
            <v>TPR0306184U6</v>
          </cell>
        </row>
        <row r="941">
          <cell r="A941" t="str">
            <v>Toptel, S. De R.L. De C.V.</v>
          </cell>
          <cell r="B941" t="str">
            <v>TOP000419QFA</v>
          </cell>
        </row>
        <row r="942">
          <cell r="A942" t="str">
            <v>Tqv Mx SA de CV</v>
          </cell>
          <cell r="B942" t="str">
            <v>CCA120828H27</v>
          </cell>
        </row>
        <row r="943">
          <cell r="A943" t="str">
            <v>Tradeleco México, S. De R. L. De C. V.</v>
          </cell>
          <cell r="B943" t="str">
            <v>TME140204GP5</v>
          </cell>
        </row>
        <row r="944">
          <cell r="A944" t="str">
            <v>Trans-Comunicación, S.A. De C.V.</v>
          </cell>
          <cell r="B944" t="str">
            <v>TRA1201314F1</v>
          </cell>
        </row>
        <row r="945">
          <cell r="A945" t="str">
            <v>Transportadora De Protección Y Seguridad, S.A. De C.V.</v>
          </cell>
          <cell r="B945" t="str">
            <v>TPS941223UG9</v>
          </cell>
        </row>
        <row r="946">
          <cell r="A946" t="str">
            <v>Tres News Producciones SA de CV</v>
          </cell>
          <cell r="B946" t="str">
            <v>TNP040917SP5</v>
          </cell>
        </row>
        <row r="947">
          <cell r="A947" t="str">
            <v>Treshwa Blue Solutions, S. De R.L. De C.V.</v>
          </cell>
          <cell r="B947" t="str">
            <v>TBS121122U58</v>
          </cell>
        </row>
        <row r="948">
          <cell r="A948" t="str">
            <v>Treta Iluminación, S.A. De C.V.</v>
          </cell>
          <cell r="B948" t="str">
            <v>TIL890220N87</v>
          </cell>
        </row>
        <row r="949">
          <cell r="A949" t="str">
            <v>Trilce Ediciones SA de CV</v>
          </cell>
          <cell r="B949" t="str">
            <v>TED910618C83</v>
          </cell>
        </row>
        <row r="950">
          <cell r="A950" t="str">
            <v>Trustnet De México, S.A. De C.V.</v>
          </cell>
          <cell r="B950" t="str">
            <v>TME001110NR9</v>
          </cell>
        </row>
        <row r="951">
          <cell r="A951" t="str">
            <v>Turavisión, S.A. De C.V.</v>
          </cell>
          <cell r="B951" t="str">
            <v>TUR920807TQ3</v>
          </cell>
        </row>
        <row r="952">
          <cell r="A952" t="str">
            <v>Turismo Y Convenciones SA de CV</v>
          </cell>
          <cell r="B952" t="str">
            <v>TCO920113174</v>
          </cell>
        </row>
        <row r="953">
          <cell r="A953" t="str">
            <v>Tv Por Internet De Oaxaca, S.A. De C.V.</v>
          </cell>
          <cell r="B953" t="str">
            <v>TIO090407278</v>
          </cell>
        </row>
        <row r="954">
          <cell r="A954" t="str">
            <v>Tvm Técnicos Verticales De México, S.A. De C.V.</v>
          </cell>
          <cell r="B954" t="str">
            <v>TTV0711095D2</v>
          </cell>
        </row>
        <row r="955">
          <cell r="A955" t="str">
            <v>Ubando Ingeniería SA de CV</v>
          </cell>
          <cell r="B955" t="str">
            <v>UIN060511EX7</v>
          </cell>
        </row>
        <row r="956">
          <cell r="A956" t="str">
            <v>Un Logro Mas, S.A. De C.V.</v>
          </cell>
          <cell r="B956" t="str">
            <v>ULM011128DC0</v>
          </cell>
        </row>
        <row r="957">
          <cell r="A957" t="str">
            <v>Único Vidrios, Domos Y Aluminio, S.A. De C.V.</v>
          </cell>
          <cell r="B957" t="str">
            <v>UVD0610166TA</v>
          </cell>
        </row>
        <row r="958">
          <cell r="A958" t="str">
            <v>Uniformes Carsan SA de CV</v>
          </cell>
          <cell r="B958" t="str">
            <v>UCA140325TL3</v>
          </cell>
        </row>
        <row r="959">
          <cell r="A959" t="str">
            <v>Uniformes Médicos y Desechables, S.A. de C.V.</v>
          </cell>
          <cell r="B959" t="str">
            <v>UMD100309Q9A</v>
          </cell>
        </row>
        <row r="960">
          <cell r="A960" t="str">
            <v>Universidad Autónoma Metropolitana</v>
          </cell>
          <cell r="B960" t="str">
            <v>UAM740101AR1</v>
          </cell>
        </row>
        <row r="961">
          <cell r="A961" t="str">
            <v>Universidad Iberoamericana, A.C.</v>
          </cell>
          <cell r="B961" t="str">
            <v>UIB540920IT3</v>
          </cell>
        </row>
        <row r="962">
          <cell r="A962" t="str">
            <v>Universidad La Salle, A.C.</v>
          </cell>
          <cell r="B962" t="str">
            <v>USA620620N49</v>
          </cell>
        </row>
        <row r="963">
          <cell r="A963" t="str">
            <v>Universidad Nacional Autónoma De México</v>
          </cell>
          <cell r="B963" t="str">
            <v>UNA2907227Y5</v>
          </cell>
        </row>
        <row r="964">
          <cell r="A964" t="str">
            <v>Uribe Ingenieros Asociados, S.A. De C.V.</v>
          </cell>
          <cell r="B964" t="str">
            <v>UIA840406731</v>
          </cell>
        </row>
        <row r="965">
          <cell r="A965" t="str">
            <v>Vaday De México SA de CV</v>
          </cell>
          <cell r="B965" t="str">
            <v>VME090323463</v>
          </cell>
        </row>
        <row r="966">
          <cell r="A966" t="str">
            <v>Valet Parking Bps, S. De R.L. De C.V.</v>
          </cell>
          <cell r="B966" t="str">
            <v>VPB090903LP4</v>
          </cell>
        </row>
        <row r="967">
          <cell r="A967" t="str">
            <v>Vanume, S. De R.L. De C.V.</v>
          </cell>
          <cell r="B967" t="str">
            <v>VAN120217V12</v>
          </cell>
        </row>
        <row r="968">
          <cell r="A968" t="str">
            <v>Vari Internacional, S.A. De C.V.</v>
          </cell>
          <cell r="B968" t="str">
            <v>VIN970715UB5</v>
          </cell>
        </row>
        <row r="969">
          <cell r="A969" t="str">
            <v>Vector Impulsor De Proyectos, S.A. De C.V.</v>
          </cell>
          <cell r="B969" t="str">
            <v>VIP111024LR4</v>
          </cell>
        </row>
        <row r="970">
          <cell r="A970" t="str">
            <v>Vehículos Santa Fe, S.A. De C.V.</v>
          </cell>
          <cell r="B970" t="str">
            <v>VSF100322GR2</v>
          </cell>
        </row>
        <row r="971">
          <cell r="A971" t="str">
            <v>Velázquez Focos, S.A. De C.V.</v>
          </cell>
          <cell r="B971" t="str">
            <v>VFO841003RS6</v>
          </cell>
        </row>
        <row r="972">
          <cell r="A972" t="str">
            <v>Ventas Y Servicios Al Consumidor, S.A De C.V</v>
          </cell>
          <cell r="B972" t="str">
            <v>VSC8609016J2</v>
          </cell>
        </row>
        <row r="973">
          <cell r="A973" t="str">
            <v>Ventor Internacional SA de CV</v>
          </cell>
          <cell r="B973" t="str">
            <v>VIN000811HT2</v>
          </cell>
        </row>
        <row r="974">
          <cell r="A974" t="str">
            <v>Versus Focum, S.A. De C.V.</v>
          </cell>
          <cell r="B974" t="str">
            <v>VFO071219A39</v>
          </cell>
        </row>
        <row r="975">
          <cell r="A975" t="str">
            <v>Verticalmex, S.A. De C.V.</v>
          </cell>
          <cell r="B975" t="str">
            <v>VER1307057B4</v>
          </cell>
        </row>
        <row r="976">
          <cell r="A976" t="str">
            <v>Viajes Alpandeire, S.A. De C.V.</v>
          </cell>
          <cell r="B976" t="str">
            <v>VAL8601103X4</v>
          </cell>
        </row>
        <row r="977">
          <cell r="A977" t="str">
            <v>Viajes Escalona, S.A.</v>
          </cell>
          <cell r="B977" t="str">
            <v>VES760311V75</v>
          </cell>
        </row>
        <row r="978">
          <cell r="A978" t="str">
            <v>Viajes Gengis Khan SA de CV</v>
          </cell>
          <cell r="B978" t="str">
            <v>VGK820210KR1</v>
          </cell>
        </row>
        <row r="979">
          <cell r="A979" t="str">
            <v>Viajes Helvetia, S.A. De C.V.</v>
          </cell>
          <cell r="B979" t="str">
            <v>VHE860804S78</v>
          </cell>
        </row>
        <row r="980">
          <cell r="A980" t="str">
            <v>Viajes Premier, S.A.</v>
          </cell>
          <cell r="B980" t="str">
            <v>VPR680820KU9</v>
          </cell>
        </row>
        <row r="981">
          <cell r="A981" t="str">
            <v>Viajes Saeta SA de CV</v>
          </cell>
          <cell r="B981" t="str">
            <v>VSA840915TT0</v>
          </cell>
        </row>
        <row r="982">
          <cell r="A982" t="str">
            <v>Víctor Enrique Gutiérrez Hernández</v>
          </cell>
          <cell r="B982" t="str">
            <v>GUHV581108KB8</v>
          </cell>
        </row>
        <row r="983">
          <cell r="A983" t="str">
            <v>Vidac, S.A. De C.V.</v>
          </cell>
          <cell r="B983" t="str">
            <v>VID9902188A2</v>
          </cell>
        </row>
        <row r="984">
          <cell r="A984" t="str">
            <v>Videoservicios, S.A. De C.V.</v>
          </cell>
          <cell r="B984" t="str">
            <v>VID850330QL2</v>
          </cell>
        </row>
        <row r="985">
          <cell r="A985" t="str">
            <v>Viejo Ferretería Y Materiales, S.A. De C.V.</v>
          </cell>
          <cell r="B985" t="str">
            <v>VFM810514595</v>
          </cell>
        </row>
        <row r="986">
          <cell r="A986" t="str">
            <v>Vip Vallarta Transportaciones Y Servicios, S. De R.L. De C.V.</v>
          </cell>
          <cell r="B986" t="str">
            <v>VVT120821RX4</v>
          </cell>
        </row>
        <row r="987">
          <cell r="A987" t="str">
            <v>Vitruvio. Ingeniería Cultural SA de CV</v>
          </cell>
          <cell r="B987" t="str">
            <v>VIC120831TH9</v>
          </cell>
        </row>
        <row r="988">
          <cell r="A988" t="str">
            <v xml:space="preserve">Vivaza Asesoría de Negocios, S.C. </v>
          </cell>
          <cell r="B988" t="str">
            <v>VAN120928ID2</v>
          </cell>
        </row>
        <row r="989">
          <cell r="A989" t="str">
            <v>Vocación Central, S.C.</v>
          </cell>
          <cell r="B989" t="str">
            <v>VCE120816I3A</v>
          </cell>
        </row>
        <row r="990">
          <cell r="A990" t="str">
            <v>White &amp; Case, S.C.</v>
          </cell>
          <cell r="B990" t="str">
            <v>W&amp;C950609I42</v>
          </cell>
        </row>
        <row r="991">
          <cell r="A991" t="str">
            <v>Wikiempresa SA de CV</v>
          </cell>
          <cell r="B991" t="str">
            <v>WIK130301B36</v>
          </cell>
        </row>
        <row r="992">
          <cell r="A992" t="str">
            <v>World Wide Tech Ventures SAPI De CV</v>
          </cell>
          <cell r="B992" t="str">
            <v>WWT1305076R0</v>
          </cell>
        </row>
        <row r="993">
          <cell r="A993" t="str">
            <v>Zaira Lizbeth Martínez Laurel</v>
          </cell>
          <cell r="B993" t="str">
            <v>MALZ880926KW6</v>
          </cell>
        </row>
        <row r="994">
          <cell r="A994" t="str">
            <v>Zuma, Tecnologías de Información, S.C.</v>
          </cell>
          <cell r="B994" t="str">
            <v>ZTI071120DX8</v>
          </cell>
        </row>
        <row r="995">
          <cell r="A995" t="str">
            <v>Zuri 1 Comunicación, S.A. De C.V.</v>
          </cell>
          <cell r="B995" t="str">
            <v>ZUC0310205U4</v>
          </cell>
        </row>
        <row r="996">
          <cell r="A996" t="str">
            <v>GRUPO IDSEC, S.A.P.I. DE C.V.</v>
          </cell>
          <cell r="B996" t="str">
            <v>GID170104788</v>
          </cell>
        </row>
        <row r="997">
          <cell r="A997" t="str">
            <v xml:space="preserve">Chilicloud, S.A. de C.V.  </v>
          </cell>
          <cell r="B997" t="str">
            <v>CIL200217QC9</v>
          </cell>
        </row>
        <row r="998">
          <cell r="A998" t="str">
            <v xml:space="preserve">Proceso de Ingeniería Aplicada, S.A. de C.V.  </v>
          </cell>
          <cell r="B998" t="str">
            <v>PIA970404KE8</v>
          </cell>
        </row>
        <row r="999">
          <cell r="A999" t="str">
            <v>Elevadores Schindler, S.A. de C.V.</v>
          </cell>
          <cell r="B999" t="str">
            <v>ESC8911081Q8</v>
          </cell>
        </row>
      </sheetData>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JOSELIM JOANNI VELAZQUEZ ARCHUNDIA" id="{F32A19F6-C769-46BB-B456-ACF5A1088C30}" userId="S::joselim.velazquez@senado.gob.mx::49e30fee-9865-4a0c-82df-cb7eac44982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3E223F-1101-4EB6-B507-2F759A101CA4}" name="Tabla1" displayName="Tabla1" ref="A1:BF280" totalsRowShown="0" headerRowDxfId="63" dataDxfId="62">
  <autoFilter ref="A1:BF280" xr:uid="{8FE4DB0D-68D7-455A-82C5-65391487465D}"/>
  <tableColumns count="58">
    <tableColumn id="1" xr3:uid="{D8663107-BFAE-4A12-ADDD-302D18263AF2}" name="CONTRATO" dataDxfId="61"/>
    <tableColumn id="2" xr3:uid="{4E83E424-B6F3-4780-8730-EAD9FCDBDB75}" name="CONSE 2024" dataDxfId="60"/>
    <tableColumn id="3" xr3:uid="{E2EC632B-2283-43FF-B6CC-D7473C649FBD}" name="ADQ, SERV, OP ó EDI" dataDxfId="59"/>
    <tableColumn id="4" xr3:uid="{2480E2D2-57AC-41D6-BA9A-F810466FEA0B}" name="PROCEDIMIENTO" dataDxfId="58"/>
    <tableColumn id="5" xr3:uid="{3824A59C-B99A-4A99-8F05-FF1ACF4B3237}" name="DOCUMENTO DE SOLICITUD" dataDxfId="57"/>
    <tableColumn id="6" xr3:uid="{2FC3BC11-B7A7-4A6D-8C63-BB801CC3952B}" name="TIPO" dataDxfId="56">
      <calculatedColumnFormula>D2</calculatedColumnFormula>
    </tableColumn>
    <tableColumn id="7" xr3:uid="{CDBB4561-EB4F-4D77-90EA-8861CEF92898}" name="ADJ EXCEPCIÓN" dataDxfId="55"/>
    <tableColumn id="8" xr3:uid="{FD298E8E-E650-4769-B342-C538F8F47494}" name="FUNDAMENTO" dataDxfId="54"/>
    <tableColumn id="9" xr3:uid="{DD808109-82DD-4E75-821B-8E317B74C1BE}" name="PERSONA MORAL" dataDxfId="53"/>
    <tableColumn id="10" xr3:uid="{6E33956E-4E5A-4391-8B89-39CCAC81846F}" name="NOMBRE (S)" dataDxfId="52"/>
    <tableColumn id="11" xr3:uid="{F2E02798-3CE9-4EAD-B0C9-DFAF0476696B}" name="PRIMER APELLIDO" dataDxfId="51"/>
    <tableColumn id="12" xr3:uid="{6FBCEE9B-88C7-437C-8A72-332719350F00}" name="SEGUNDO APELLIDO" dataDxfId="50"/>
    <tableColumn id="13" xr3:uid="{95AF9F14-D910-433C-AABC-CA428B3362C7}" name="PROVEEDOR" dataDxfId="49">
      <calculatedColumnFormula>I2&amp;J2&amp;" "&amp;K2&amp;" "&amp;L2</calculatedColumnFormula>
    </tableColumn>
    <tableColumn id="14" xr3:uid="{C8982119-FEF9-47D8-AF5F-04D843A755FC}" name="ÁREA SOLICITANTE" dataDxfId="48"/>
    <tableColumn id="15" xr3:uid="{BD9F611E-2436-4FD8-B37A-2FC5839A70B0}" name="ÁREA GENERAL SOLICITANTE" dataDxfId="47"/>
    <tableColumn id="16" xr3:uid="{352D00DD-70E1-4226-B917-9324C46370FD}" name="ADMINISTRADOR DEL CONTRATO " dataDxfId="46"/>
    <tableColumn id="17" xr3:uid="{FEDF6D4B-C199-4C3E-91CD-F1540BBC8578}" name="SUPERVISOR DEL CONTRATO" dataDxfId="45"/>
    <tableColumn id="18" xr3:uid="{10A550FF-1213-4504-B766-C2FB4D846F9A}" name="DESCRIPCIÓN" dataDxfId="44"/>
    <tableColumn id="19" xr3:uid="{22415330-9A32-4ABD-BF8A-519D63109069}" name="IMPORTE MAXIMO (SIN IVA)" dataDxfId="43" dataCellStyle="Moneda"/>
    <tableColumn id="20" xr3:uid="{2E23B63C-A0DE-43F3-8260-657B8C8E1506}" name="IVA" dataDxfId="42" dataCellStyle="Moneda">
      <calculatedColumnFormula>+S2*0.16</calculatedColumnFormula>
    </tableColumn>
    <tableColumn id="21" xr3:uid="{3207E7AB-F76B-4AB5-86FD-7A77EFAFF5D9}" name="TOTAL MAXIMO" dataDxfId="41">
      <calculatedColumnFormula>+S2+T2</calculatedColumnFormula>
    </tableColumn>
    <tableColumn id="22" xr3:uid="{79701E24-31EC-4CF7-B697-0E1EDCEE3286}" name="IMPORTE MÍNIMO (SIN IVA)" dataDxfId="40"/>
    <tableColumn id="23" xr3:uid="{D099695E-7CDA-4283-9DC1-49B07E342F81}" name="IVA2" dataDxfId="39" dataCellStyle="Moneda">
      <calculatedColumnFormula>+V2*0.16</calculatedColumnFormula>
    </tableColumn>
    <tableColumn id="24" xr3:uid="{0C712A7A-F05F-4A51-873C-22843BDF1582}" name="TOTAL MINIMO" dataDxfId="38">
      <calculatedColumnFormula>+V2+W2</calculatedColumnFormula>
    </tableColumn>
    <tableColumn id="25" xr3:uid="{9BD9C616-16D6-4311-A848-D524C5258C19}" name="COMPROMETIDO" dataDxfId="37">
      <calculatedColumnFormula>+S2+AL2</calculatedColumnFormula>
    </tableColumn>
    <tableColumn id="26" xr3:uid="{6AC53178-65B8-4BED-8269-7A63EE0ABBE5}" name="PLURI" dataDxfId="36"/>
    <tableColumn id="27" xr3:uid="{DF2C8400-F286-4200-B2DC-B4776E4CB07D}" name="FECHA DE CONTRATO" dataDxfId="35"/>
    <tableColumn id="28" xr3:uid="{486FC1F6-2E6A-4696-B636-063A14FE9F84}" name="MES" dataDxfId="34"/>
    <tableColumn id="29" xr3:uid="{0A21B9EF-5EB7-41DA-999F-2E7810F09909}" name="INICIO DE VIGENCIA" dataDxfId="33">
      <calculatedColumnFormula>+AA2</calculatedColumnFormula>
    </tableColumn>
    <tableColumn id="30" xr3:uid="{FDDA93E9-9AEC-4D38-9FE2-6E3625D9DF00}" name="FIN DE VIGENCIA" dataDxfId="32"/>
    <tableColumn id="31" xr3:uid="{B67BDFE2-F57C-406E-A1CA-A4BBDD0CE5A4}" name="FIANZA DE CUMPLIMIENTO" dataDxfId="31" dataCellStyle="Porcentaje"/>
    <tableColumn id="32" xr3:uid="{435B856D-4A5A-4C12-A671-FA6E4DE827FF}" name="POLIZA DE RESPONSABILIDAD CIVIL" dataDxfId="30" dataCellStyle="Porcentaje"/>
    <tableColumn id="33" xr3:uid="{34DE613A-AF70-44E2-A97C-EB4C8CCDEC2D}" name="VICIOS OCULTOS " dataDxfId="29" dataCellStyle="Porcentaje"/>
    <tableColumn id="34" xr3:uid="{DAB0DEEE-3F2B-4E19-907A-BA7842F4948B}" name="FIANZA DE ANTICIPO" dataDxfId="28" dataCellStyle="Porcentaje"/>
    <tableColumn id="35" xr3:uid="{F9B0BD6E-9A4A-4CB7-AE6E-0B5B5065CF90}" name="REPSE" dataDxfId="27" dataCellStyle="Porcentaje"/>
    <tableColumn id="36" xr3:uid="{095FB6B1-A3E5-442B-9F5A-680AF56EDFD4}" name="OBSERVACIONES DE LA MODIFICACIÓN" dataDxfId="26"/>
    <tableColumn id="37" xr3:uid="{A082B6B5-0CE8-4DB4-B467-D5B2B55A3D94}" name="FECHA DE SOLICITUD DE OFICIO" dataDxfId="25"/>
    <tableColumn id="38" xr3:uid="{18F0F88C-EF09-46A1-A8AD-E83C2C356999}" name="MONTO INCREMENTO DE MODIFICACIÓN (SIN IVA)" dataDxfId="24" dataCellStyle="Millares"/>
    <tableColumn id="39" xr3:uid="{9E85E595-0376-43B2-BA45-C233428D68A3}" name="MONTO TOTAL DE MODIFICACIÓN (SIN IVA)" dataDxfId="23">
      <calculatedColumnFormula>+S2+AL2</calculatedColumnFormula>
    </tableColumn>
    <tableColumn id="40" xr3:uid="{79B0FD59-E18E-4159-A393-D7EB5714D8F4}" name="¿VIGENTE?" dataDxfId="22">
      <calculatedColumnFormula>IF(ISBLANK(AD2),"",IF(AD2&gt;=TODAY(),"VIGENTE","MUERTO"))</calculatedColumnFormula>
    </tableColumn>
    <tableColumn id="41" xr3:uid="{220B2264-0769-4B89-A7E4-597727492A35}" name="PARTIDAS" dataDxfId="21"/>
    <tableColumn id="42" xr3:uid="{629CE848-73AB-4D45-BDE1-7949FE9374A8}" name="PAAOSA" dataDxfId="20"/>
    <tableColumn id="43" xr3:uid="{E35EC67D-CAFA-44A0-B387-315B07A1B4A1}" name="CAOS" dataDxfId="19"/>
    <tableColumn id="44" xr3:uid="{5331E310-38CD-4216-98D5-0033E645CC1A}" name="NO. SESIÓN CAOS" dataDxfId="18"/>
    <tableColumn id="45" xr3:uid="{FCBCAB7D-3849-422F-B943-B27668B9F8A0}" name="INF MESA" dataDxfId="17"/>
    <tableColumn id="46" xr3:uid="{03C4ADAD-986E-4388-AA77-0D7F36BD1608}" name="FOLIO SOLICITUD DEL ÁREA" dataDxfId="16"/>
    <tableColumn id="47" xr3:uid="{382D42E3-7C62-4DBB-8E41-F7BF3E2D4F69}" name="FECHA SOLICITUD DEL ÁREA" dataDxfId="15"/>
    <tableColumn id="48" xr3:uid="{1BA99949-4D50-495C-B36C-341900E5F87D}" name="FECHA SOLICITUD DE CONTRATO A JURIDICO" dataDxfId="14"/>
    <tableColumn id="49" xr3:uid="{A3225C30-735F-4447-9ED7-60AD0D19F376}" name="ENVÍAN DE JURÍDICO EL CONTRATO" dataDxfId="13"/>
    <tableColumn id="50" xr3:uid="{A54DACDC-F98D-47EF-9724-4F06CF281970}" name="FOLIO ENTREGA DEL CONTRATO" dataDxfId="12"/>
    <tableColumn id="51" xr3:uid="{F60F7287-9280-4412-A9BF-59B71A46DE68}" name="FIRMA PROVEEDOR" dataDxfId="11"/>
    <tableColumn id="52" xr3:uid="{BC7C091F-8241-4159-93A8-5E8974CD659D}" name="SE ENVIA A FIRMA DEL ADMINISTRADOR" dataDxfId="10"/>
    <tableColumn id="53" xr3:uid="{388621CE-AF5A-49E5-A5E5-DA5361FB6A1B}" name="ENVÍAN DEL ADMINISTRADOR EL CONTRATO" dataDxfId="9"/>
    <tableColumn id="54" xr3:uid="{2820765A-7C64-4E69-B853-60C797B404ED}" name="SE ENVIA A FIRMA DEL DIRECTOR GENERAL" dataDxfId="8"/>
    <tableColumn id="55" xr3:uid="{7D7A2B1F-C2CB-4946-8FE8-54E5915EA8A0}" name="ENVÍAN DE D.G. EL CONTRATO" dataDxfId="7"/>
    <tableColumn id="56" xr3:uid="{A1B799F1-2A43-4AE9-BDA9-EBECB5C464AD}" name="INF AL PROV. DE FIANZA" dataDxfId="6">
      <calculatedColumnFormula>+AA2</calculatedColumnFormula>
    </tableColumn>
    <tableColumn id="57" xr3:uid="{7E932938-983F-4879-B883-A6A56384D78B}" name="FECHA DE FORMALIZACIÓN DE FIANZA EN TESORERÍA y/o CONTRATO" dataDxfId="5"/>
    <tableColumn id="58" xr3:uid="{AB4781EB-1E83-4E02-AF6D-F2DEC84F95FE}" name="FIRMADO POR TODOS" dataDxfId="4">
      <calculatedColumnFormula>+AA2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331C22-F3E0-4FFD-A2AA-6B4309B24320}" name="Tabla3" displayName="Tabla3" ref="A1:B1000" totalsRowShown="0">
  <autoFilter ref="A1:B1000" xr:uid="{5B331C22-F3E0-4FFD-A2AA-6B4309B24320}"/>
  <sortState xmlns:xlrd2="http://schemas.microsoft.com/office/spreadsheetml/2017/richdata2" ref="A2:B1000">
    <sortCondition ref="A14:A1000"/>
  </sortState>
  <tableColumns count="2">
    <tableColumn id="1" xr3:uid="{E17B5487-5937-463C-9864-33481C9F99B4}" name="PROVEEDOR"/>
    <tableColumn id="2" xr3:uid="{444F50A6-EDF3-4F3C-B830-3B33833B77DE}" name="RFC"/>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8078D3-667D-4726-B8E8-97FB2B8618EE}" name="Tabla2" displayName="Tabla2" ref="A1:B13" totalsRowShown="0" headerRowDxfId="3" dataDxfId="2">
  <autoFilter ref="A1:B13" xr:uid="{1C8078D3-667D-4726-B8E8-97FB2B8618EE}"/>
  <tableColumns count="2">
    <tableColumn id="1" xr3:uid="{FE2C6D1E-A0EE-4A11-BCC2-06DB1E1178F8}" name="NOMBRE" dataDxfId="1"/>
    <tableColumn id="2" xr3:uid="{F16EA622-4F60-4681-B5F1-396BB4B62F3A}" name="CARGO" dataDxfId="0"/>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21" dT="2024-02-09T00:42:53.77" personId="{F32A19F6-C769-46BB-B456-ACF5A1088C30}" id="{57CDC845-226B-4019-9339-33D659BE3107}">
    <text>FUERON DECLARADOS DESIERTOS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AD384"/>
  <sheetViews>
    <sheetView workbookViewId="0">
      <selection activeCell="A22" sqref="A22"/>
    </sheetView>
  </sheetViews>
  <sheetFormatPr baseColWidth="10" defaultColWidth="11.42578125" defaultRowHeight="12.75" x14ac:dyDescent="0.2"/>
  <cols>
    <col min="1" max="1" width="65" style="847" bestFit="1" customWidth="1"/>
    <col min="2" max="2" width="19.140625" style="847" customWidth="1"/>
    <col min="3" max="3" width="25.42578125" style="847" customWidth="1"/>
    <col min="4" max="4" width="37.85546875" style="847" bestFit="1" customWidth="1"/>
    <col min="5" max="16384" width="11.42578125" style="847"/>
  </cols>
  <sheetData>
    <row r="1" spans="1:4" s="858" customFormat="1" ht="15.75" x14ac:dyDescent="0.25">
      <c r="A1" s="857" t="s">
        <v>0</v>
      </c>
      <c r="B1" s="857" t="s">
        <v>1</v>
      </c>
      <c r="C1" s="857" t="s">
        <v>2</v>
      </c>
    </row>
    <row r="2" spans="1:4" x14ac:dyDescent="0.2">
      <c r="A2" s="848" t="s">
        <v>3</v>
      </c>
      <c r="B2" s="849" t="s">
        <v>4</v>
      </c>
      <c r="C2" s="850" t="s">
        <v>5</v>
      </c>
      <c r="D2" s="851" t="s">
        <v>6</v>
      </c>
    </row>
    <row r="3" spans="1:4" x14ac:dyDescent="0.2">
      <c r="A3" s="848" t="s">
        <v>7</v>
      </c>
      <c r="B3" s="849" t="s">
        <v>8</v>
      </c>
      <c r="C3" s="850" t="s">
        <v>9</v>
      </c>
      <c r="D3" s="851" t="s">
        <v>10</v>
      </c>
    </row>
    <row r="4" spans="1:4" x14ac:dyDescent="0.2">
      <c r="A4" s="848" t="s">
        <v>11</v>
      </c>
      <c r="B4" s="849" t="s">
        <v>12</v>
      </c>
      <c r="C4" s="850" t="s">
        <v>9</v>
      </c>
      <c r="D4" s="851" t="s">
        <v>13</v>
      </c>
    </row>
    <row r="5" spans="1:4" x14ac:dyDescent="0.2">
      <c r="A5" s="848" t="s">
        <v>14</v>
      </c>
      <c r="B5" s="849" t="s">
        <v>15</v>
      </c>
      <c r="C5" s="850" t="s">
        <v>9</v>
      </c>
      <c r="D5" s="851" t="s">
        <v>16</v>
      </c>
    </row>
    <row r="6" spans="1:4" x14ac:dyDescent="0.2">
      <c r="A6" s="848" t="s">
        <v>17</v>
      </c>
      <c r="B6" s="849" t="s">
        <v>18</v>
      </c>
      <c r="C6" s="850" t="s">
        <v>9</v>
      </c>
      <c r="D6" s="851" t="s">
        <v>19</v>
      </c>
    </row>
    <row r="7" spans="1:4" x14ac:dyDescent="0.2">
      <c r="A7" s="848" t="s">
        <v>20</v>
      </c>
      <c r="B7" s="849" t="s">
        <v>21</v>
      </c>
      <c r="C7" s="850" t="s">
        <v>9</v>
      </c>
      <c r="D7" s="851" t="s">
        <v>22</v>
      </c>
    </row>
    <row r="8" spans="1:4" x14ac:dyDescent="0.2">
      <c r="A8" s="848" t="s">
        <v>23</v>
      </c>
      <c r="B8" s="849" t="s">
        <v>24</v>
      </c>
      <c r="C8" s="850" t="s">
        <v>9</v>
      </c>
      <c r="D8" s="851" t="s">
        <v>25</v>
      </c>
    </row>
    <row r="9" spans="1:4" x14ac:dyDescent="0.2">
      <c r="A9" s="848" t="s">
        <v>26</v>
      </c>
      <c r="B9" s="849" t="s">
        <v>27</v>
      </c>
      <c r="C9" s="850" t="s">
        <v>9</v>
      </c>
      <c r="D9" s="851" t="s">
        <v>28</v>
      </c>
    </row>
    <row r="10" spans="1:4" x14ac:dyDescent="0.2">
      <c r="A10" s="848" t="s">
        <v>29</v>
      </c>
      <c r="B10" s="849" t="s">
        <v>30</v>
      </c>
      <c r="C10" s="850" t="s">
        <v>9</v>
      </c>
      <c r="D10" s="851" t="s">
        <v>31</v>
      </c>
    </row>
    <row r="11" spans="1:4" x14ac:dyDescent="0.2">
      <c r="A11" s="848" t="s">
        <v>32</v>
      </c>
      <c r="B11" s="849" t="s">
        <v>33</v>
      </c>
      <c r="C11" s="850" t="s">
        <v>9</v>
      </c>
      <c r="D11" s="851" t="s">
        <v>34</v>
      </c>
    </row>
    <row r="12" spans="1:4" x14ac:dyDescent="0.2">
      <c r="A12" s="848" t="s">
        <v>35</v>
      </c>
      <c r="B12" s="849" t="s">
        <v>36</v>
      </c>
      <c r="C12" s="850" t="s">
        <v>9</v>
      </c>
      <c r="D12" s="851" t="s">
        <v>37</v>
      </c>
    </row>
    <row r="13" spans="1:4" x14ac:dyDescent="0.2">
      <c r="A13" s="852" t="s">
        <v>38</v>
      </c>
      <c r="B13" s="849" t="s">
        <v>39</v>
      </c>
      <c r="C13" s="850" t="s">
        <v>9</v>
      </c>
      <c r="D13" s="851" t="s">
        <v>40</v>
      </c>
    </row>
    <row r="14" spans="1:4" x14ac:dyDescent="0.2">
      <c r="A14" s="848" t="s">
        <v>41</v>
      </c>
      <c r="B14" s="849" t="s">
        <v>42</v>
      </c>
      <c r="C14" s="850" t="s">
        <v>9</v>
      </c>
      <c r="D14" s="851" t="s">
        <v>43</v>
      </c>
    </row>
    <row r="15" spans="1:4" x14ac:dyDescent="0.2">
      <c r="A15" s="848" t="s">
        <v>44</v>
      </c>
      <c r="B15" s="849" t="s">
        <v>45</v>
      </c>
      <c r="C15" s="850" t="s">
        <v>9</v>
      </c>
      <c r="D15" s="851" t="s">
        <v>46</v>
      </c>
    </row>
    <row r="16" spans="1:4" x14ac:dyDescent="0.2">
      <c r="A16" s="848" t="s">
        <v>47</v>
      </c>
      <c r="B16" s="849" t="s">
        <v>48</v>
      </c>
      <c r="C16" s="850" t="s">
        <v>9</v>
      </c>
      <c r="D16" s="851" t="s">
        <v>49</v>
      </c>
    </row>
    <row r="17" spans="1:4" x14ac:dyDescent="0.2">
      <c r="A17" s="848" t="s">
        <v>50</v>
      </c>
      <c r="B17" s="849" t="s">
        <v>51</v>
      </c>
      <c r="C17" s="850" t="s">
        <v>9</v>
      </c>
      <c r="D17" s="851" t="s">
        <v>52</v>
      </c>
    </row>
    <row r="18" spans="1:4" x14ac:dyDescent="0.2">
      <c r="A18" s="853" t="s">
        <v>53</v>
      </c>
      <c r="B18" s="854" t="s">
        <v>54</v>
      </c>
      <c r="C18" s="850" t="s">
        <v>9</v>
      </c>
      <c r="D18" s="851" t="s">
        <v>55</v>
      </c>
    </row>
    <row r="19" spans="1:4" x14ac:dyDescent="0.2">
      <c r="A19" s="848" t="s">
        <v>56</v>
      </c>
      <c r="B19" s="849" t="s">
        <v>57</v>
      </c>
      <c r="C19" s="850" t="s">
        <v>9</v>
      </c>
      <c r="D19" s="851" t="s">
        <v>58</v>
      </c>
    </row>
    <row r="20" spans="1:4" x14ac:dyDescent="0.2">
      <c r="A20" s="848" t="s">
        <v>59</v>
      </c>
      <c r="B20" s="849" t="s">
        <v>60</v>
      </c>
      <c r="C20" s="850" t="s">
        <v>9</v>
      </c>
      <c r="D20" s="851" t="s">
        <v>61</v>
      </c>
    </row>
    <row r="21" spans="1:4" x14ac:dyDescent="0.2">
      <c r="A21" s="853" t="s">
        <v>62</v>
      </c>
      <c r="B21" s="854" t="s">
        <v>63</v>
      </c>
      <c r="C21" s="850" t="s">
        <v>9</v>
      </c>
      <c r="D21" s="851" t="s">
        <v>64</v>
      </c>
    </row>
    <row r="22" spans="1:4" x14ac:dyDescent="0.2">
      <c r="A22" s="848" t="s">
        <v>65</v>
      </c>
      <c r="B22" s="849" t="s">
        <v>66</v>
      </c>
      <c r="C22" s="850" t="s">
        <v>9</v>
      </c>
      <c r="D22" s="851" t="s">
        <v>67</v>
      </c>
    </row>
    <row r="23" spans="1:4" x14ac:dyDescent="0.2">
      <c r="A23" s="853" t="s">
        <v>68</v>
      </c>
      <c r="B23" s="854" t="s">
        <v>69</v>
      </c>
      <c r="C23" s="850" t="s">
        <v>9</v>
      </c>
      <c r="D23" s="851" t="s">
        <v>70</v>
      </c>
    </row>
    <row r="24" spans="1:4" x14ac:dyDescent="0.2">
      <c r="A24" s="848" t="s">
        <v>71</v>
      </c>
      <c r="B24" s="849" t="s">
        <v>72</v>
      </c>
      <c r="C24" s="850" t="s">
        <v>9</v>
      </c>
      <c r="D24" s="851" t="s">
        <v>73</v>
      </c>
    </row>
    <row r="25" spans="1:4" x14ac:dyDescent="0.2">
      <c r="A25" s="848" t="s">
        <v>74</v>
      </c>
      <c r="B25" s="849" t="s">
        <v>75</v>
      </c>
      <c r="C25" s="850" t="s">
        <v>76</v>
      </c>
      <c r="D25" s="851" t="s">
        <v>77</v>
      </c>
    </row>
    <row r="26" spans="1:4" x14ac:dyDescent="0.2">
      <c r="A26" s="848" t="s">
        <v>78</v>
      </c>
      <c r="B26" s="849" t="s">
        <v>79</v>
      </c>
      <c r="C26" s="850" t="s">
        <v>80</v>
      </c>
      <c r="D26" s="851"/>
    </row>
    <row r="27" spans="1:4" x14ac:dyDescent="0.2">
      <c r="A27" s="848" t="s">
        <v>81</v>
      </c>
      <c r="B27" s="849" t="s">
        <v>82</v>
      </c>
      <c r="C27" s="850" t="s">
        <v>9</v>
      </c>
      <c r="D27" s="855"/>
    </row>
    <row r="374" spans="30:30" x14ac:dyDescent="0.2">
      <c r="AD374" s="856">
        <v>42174</v>
      </c>
    </row>
    <row r="375" spans="30:30" x14ac:dyDescent="0.2">
      <c r="AD375" s="856">
        <v>42174</v>
      </c>
    </row>
    <row r="376" spans="30:30" x14ac:dyDescent="0.2">
      <c r="AD376" s="856">
        <v>42174</v>
      </c>
    </row>
    <row r="377" spans="30:30" x14ac:dyDescent="0.2">
      <c r="AD377" s="856">
        <v>42174</v>
      </c>
    </row>
    <row r="378" spans="30:30" x14ac:dyDescent="0.2">
      <c r="AD378" s="856">
        <v>42174</v>
      </c>
    </row>
    <row r="379" spans="30:30" x14ac:dyDescent="0.2">
      <c r="AD379" s="856">
        <v>42174</v>
      </c>
    </row>
    <row r="380" spans="30:30" x14ac:dyDescent="0.2">
      <c r="AD380" s="856">
        <v>42174</v>
      </c>
    </row>
    <row r="381" spans="30:30" x14ac:dyDescent="0.2">
      <c r="AD381" s="856">
        <v>42174</v>
      </c>
    </row>
    <row r="382" spans="30:30" x14ac:dyDescent="0.2">
      <c r="AD382" s="856">
        <v>42174</v>
      </c>
    </row>
    <row r="383" spans="30:30" x14ac:dyDescent="0.2">
      <c r="AD383" s="856">
        <v>42174</v>
      </c>
    </row>
    <row r="384" spans="30:30" x14ac:dyDescent="0.2">
      <c r="AD384" s="856">
        <v>42174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5"/>
  <dimension ref="A1:R41"/>
  <sheetViews>
    <sheetView zoomScale="70" zoomScaleNormal="70" workbookViewId="0">
      <selection activeCell="J9" sqref="J9"/>
    </sheetView>
  </sheetViews>
  <sheetFormatPr baseColWidth="10" defaultColWidth="9.140625" defaultRowHeight="15" x14ac:dyDescent="0.25"/>
  <cols>
    <col min="1" max="1" width="42.28515625" style="202" customWidth="1"/>
    <col min="2" max="2" width="20.42578125" style="202" customWidth="1"/>
    <col min="3" max="4" width="25.85546875" style="202" customWidth="1"/>
    <col min="5" max="10" width="21.85546875" style="202" customWidth="1"/>
    <col min="11" max="11" width="28.42578125" style="202" customWidth="1"/>
    <col min="12" max="12" width="32.140625" style="202" customWidth="1"/>
    <col min="13" max="13" width="59" style="202" customWidth="1"/>
    <col min="14" max="14" width="32.42578125" style="202" customWidth="1"/>
    <col min="15" max="15" width="32" style="202" customWidth="1"/>
    <col min="16" max="16" width="18" style="202" customWidth="1"/>
    <col min="17" max="17" width="28" style="202" customWidth="1"/>
    <col min="18" max="18" width="43.28515625" style="202" customWidth="1"/>
    <col min="19" max="19" width="19.140625" bestFit="1" customWidth="1"/>
    <col min="20" max="20" width="14.140625" bestFit="1" customWidth="1"/>
    <col min="21" max="21" width="15.140625" bestFit="1" customWidth="1"/>
    <col min="22" max="22" width="14.140625" bestFit="1" customWidth="1"/>
    <col min="23" max="23" width="9.28515625" bestFit="1" customWidth="1"/>
  </cols>
  <sheetData>
    <row r="1" spans="1:18" ht="18.75" customHeight="1" x14ac:dyDescent="0.25">
      <c r="A1" s="1095" t="s">
        <v>7519</v>
      </c>
      <c r="B1" s="1095"/>
      <c r="C1" s="1095"/>
      <c r="D1" s="1095"/>
      <c r="E1" s="1095"/>
      <c r="F1" s="1095"/>
      <c r="G1" s="1095"/>
      <c r="H1" s="1095"/>
      <c r="I1" s="1095"/>
      <c r="J1" s="1095"/>
      <c r="K1" s="1095"/>
      <c r="L1" s="1095"/>
      <c r="M1" s="1095"/>
      <c r="N1" s="1095"/>
      <c r="O1" s="1095"/>
      <c r="P1" s="1095"/>
      <c r="Q1" s="1095"/>
      <c r="R1" s="1095"/>
    </row>
    <row r="2" spans="1:18" ht="18.75" customHeight="1" x14ac:dyDescent="0.25">
      <c r="A2" s="1095" t="s">
        <v>7520</v>
      </c>
      <c r="B2" s="1095"/>
      <c r="C2" s="1095"/>
      <c r="D2" s="1095"/>
      <c r="E2" s="1095"/>
      <c r="F2" s="1095"/>
      <c r="G2" s="1095"/>
      <c r="H2" s="1095"/>
      <c r="I2" s="1095"/>
      <c r="J2" s="1095"/>
      <c r="K2" s="1095"/>
      <c r="L2" s="1095"/>
      <c r="M2" s="1095"/>
      <c r="N2" s="1095"/>
      <c r="O2" s="1095"/>
      <c r="P2" s="1095"/>
      <c r="Q2" s="1095"/>
      <c r="R2" s="1095"/>
    </row>
    <row r="3" spans="1:18" ht="18.75" customHeight="1" x14ac:dyDescent="0.25">
      <c r="A3" s="1095" t="s">
        <v>7521</v>
      </c>
      <c r="B3" s="1095"/>
      <c r="C3" s="1095"/>
      <c r="D3" s="1095"/>
      <c r="E3" s="1095"/>
      <c r="F3" s="1095"/>
      <c r="G3" s="1095"/>
      <c r="H3" s="1095"/>
      <c r="I3" s="1095"/>
      <c r="J3" s="1095"/>
      <c r="K3" s="1095"/>
      <c r="L3" s="1095"/>
      <c r="M3" s="1095"/>
      <c r="N3" s="1095"/>
      <c r="O3" s="1095"/>
      <c r="P3" s="1095"/>
      <c r="Q3" s="1095"/>
      <c r="R3" s="1095"/>
    </row>
    <row r="4" spans="1:18" ht="18.75" customHeight="1" x14ac:dyDescent="0.25">
      <c r="A4" s="1095" t="s">
        <v>7522</v>
      </c>
      <c r="B4" s="1095"/>
      <c r="C4" s="1095"/>
      <c r="D4" s="1095"/>
      <c r="E4" s="1095"/>
      <c r="F4" s="1095"/>
      <c r="G4" s="1095"/>
      <c r="H4" s="1095"/>
      <c r="I4" s="1095"/>
      <c r="J4" s="1095"/>
      <c r="K4" s="1095"/>
      <c r="L4" s="1095"/>
      <c r="M4" s="1095"/>
      <c r="N4" s="1095"/>
      <c r="O4" s="1095"/>
      <c r="P4" s="1095"/>
      <c r="Q4" s="1095"/>
      <c r="R4" s="1095"/>
    </row>
    <row r="5" spans="1:18" ht="18.75" customHeight="1" x14ac:dyDescent="0.25">
      <c r="A5" s="1095" t="s">
        <v>7523</v>
      </c>
      <c r="B5" s="1095"/>
      <c r="C5" s="1095"/>
      <c r="D5" s="1095"/>
      <c r="E5" s="1095"/>
      <c r="F5" s="1095"/>
      <c r="G5" s="1095"/>
      <c r="H5" s="1095"/>
      <c r="I5" s="1095"/>
      <c r="J5" s="1095"/>
      <c r="K5" s="1095"/>
      <c r="L5" s="1095"/>
      <c r="M5" s="1095"/>
      <c r="N5" s="1095"/>
      <c r="O5" s="1095"/>
      <c r="P5" s="1095"/>
      <c r="Q5" s="1095"/>
      <c r="R5" s="1095"/>
    </row>
    <row r="6" spans="1:18" ht="18.75" customHeight="1" x14ac:dyDescent="0.25">
      <c r="A6" s="1094" t="s">
        <v>7524</v>
      </c>
      <c r="B6" s="1094"/>
      <c r="C6" s="1094"/>
      <c r="D6" s="1094"/>
      <c r="E6" s="1094"/>
      <c r="F6" s="1094"/>
      <c r="G6" s="1094"/>
      <c r="H6" s="1094"/>
      <c r="I6" s="1094"/>
      <c r="J6" s="1094"/>
      <c r="K6" s="1094"/>
      <c r="L6" s="1094"/>
      <c r="M6" s="1094"/>
      <c r="N6" s="1094"/>
      <c r="O6" s="1094"/>
      <c r="P6" s="1094"/>
      <c r="Q6" s="1094"/>
      <c r="R6" s="1094"/>
    </row>
    <row r="7" spans="1:18" ht="16.5" customHeight="1" x14ac:dyDescent="0.25">
      <c r="C7" s="377"/>
      <c r="D7" s="377"/>
      <c r="E7" s="377"/>
      <c r="F7" s="377"/>
      <c r="G7" s="377"/>
      <c r="H7" s="377"/>
      <c r="I7" s="377"/>
      <c r="J7" s="377"/>
    </row>
    <row r="8" spans="1:18" x14ac:dyDescent="0.25">
      <c r="C8" s="377"/>
      <c r="D8" s="377"/>
      <c r="E8" s="377"/>
      <c r="F8" s="377"/>
      <c r="G8" s="377"/>
      <c r="H8" s="377"/>
      <c r="I8" s="377"/>
      <c r="J8" s="377"/>
    </row>
    <row r="9" spans="1:18" s="325" customFormat="1" ht="133.5" customHeight="1" x14ac:dyDescent="0.25">
      <c r="A9" s="393" t="s">
        <v>7525</v>
      </c>
      <c r="B9" s="393" t="s">
        <v>7526</v>
      </c>
      <c r="C9" s="393" t="s">
        <v>7527</v>
      </c>
      <c r="D9" s="393" t="s">
        <v>7528</v>
      </c>
      <c r="E9" s="393" t="s">
        <v>7529</v>
      </c>
      <c r="F9" s="393" t="s">
        <v>7530</v>
      </c>
      <c r="G9" s="393" t="s">
        <v>7531</v>
      </c>
      <c r="H9" s="393" t="s">
        <v>7532</v>
      </c>
      <c r="I9" s="393" t="s">
        <v>7533</v>
      </c>
      <c r="J9" s="393" t="s">
        <v>7534</v>
      </c>
      <c r="K9" s="393" t="s">
        <v>93</v>
      </c>
      <c r="L9" s="393" t="s">
        <v>7535</v>
      </c>
      <c r="M9" s="393" t="s">
        <v>7536</v>
      </c>
      <c r="N9" s="393" t="s">
        <v>7537</v>
      </c>
      <c r="O9" s="393" t="s">
        <v>1</v>
      </c>
      <c r="P9" s="393" t="s">
        <v>7538</v>
      </c>
      <c r="Q9" s="393" t="s">
        <v>7539</v>
      </c>
      <c r="R9" s="393" t="s">
        <v>7540</v>
      </c>
    </row>
    <row r="10" spans="1:18" ht="89.25" customHeight="1" x14ac:dyDescent="0.25">
      <c r="A10" s="362" t="s">
        <v>1724</v>
      </c>
      <c r="B10" s="379">
        <v>133284000</v>
      </c>
      <c r="C10" s="379">
        <f>+D10+E10+F10+G10+H10+I10</f>
        <v>133284000</v>
      </c>
      <c r="D10" s="379">
        <v>50870060</v>
      </c>
      <c r="E10" s="379">
        <v>18659760</v>
      </c>
      <c r="F10" s="379">
        <v>18659760</v>
      </c>
      <c r="G10" s="379">
        <v>18659760</v>
      </c>
      <c r="H10" s="379">
        <v>18659760</v>
      </c>
      <c r="I10" s="379">
        <v>7774900</v>
      </c>
      <c r="J10" s="379" t="s">
        <v>159</v>
      </c>
      <c r="K10" s="379" t="s">
        <v>6300</v>
      </c>
      <c r="L10" s="379" t="s">
        <v>166</v>
      </c>
      <c r="M10" s="379" t="s">
        <v>1726</v>
      </c>
      <c r="N10" s="379" t="s">
        <v>163</v>
      </c>
      <c r="O10" s="379" t="s">
        <v>7541</v>
      </c>
      <c r="P10" s="710">
        <v>52301</v>
      </c>
      <c r="Q10" s="379" t="s">
        <v>7542</v>
      </c>
      <c r="R10" s="712"/>
    </row>
    <row r="11" spans="1:18" ht="63" customHeight="1" x14ac:dyDescent="0.25">
      <c r="A11" t="s">
        <v>5359</v>
      </c>
      <c r="B11" s="202" t="s">
        <v>159</v>
      </c>
      <c r="C11" s="202" t="s">
        <v>159</v>
      </c>
      <c r="D11" s="202" t="s">
        <v>159</v>
      </c>
      <c r="E11" s="202" t="s">
        <v>159</v>
      </c>
      <c r="F11" s="202" t="s">
        <v>159</v>
      </c>
      <c r="G11" s="202" t="s">
        <v>159</v>
      </c>
      <c r="H11" s="202" t="s">
        <v>159</v>
      </c>
      <c r="I11" s="202" t="s">
        <v>159</v>
      </c>
      <c r="J11" s="202" t="s">
        <v>159</v>
      </c>
      <c r="K11" s="202" t="s">
        <v>159</v>
      </c>
      <c r="L11" s="202" t="s">
        <v>159</v>
      </c>
      <c r="M11" s="202" t="s">
        <v>159</v>
      </c>
      <c r="N11" s="202" t="s">
        <v>159</v>
      </c>
      <c r="O11" s="202" t="s">
        <v>159</v>
      </c>
      <c r="P11" s="202" t="s">
        <v>159</v>
      </c>
      <c r="Q11" s="202" t="s">
        <v>159</v>
      </c>
      <c r="R11" s="330" t="s">
        <v>5360</v>
      </c>
    </row>
    <row r="12" spans="1:18" ht="97.5" customHeight="1" x14ac:dyDescent="0.25">
      <c r="A12" s="368" t="s">
        <v>7543</v>
      </c>
      <c r="B12" s="326">
        <v>74577675.480000004</v>
      </c>
      <c r="C12" s="326">
        <f>+D12+E12+F12</f>
        <v>74577675.478000015</v>
      </c>
      <c r="D12" s="326">
        <v>41541784.059600003</v>
      </c>
      <c r="E12" s="326">
        <v>31930155.418000001</v>
      </c>
      <c r="F12" s="326">
        <v>1105736.0004</v>
      </c>
      <c r="G12" s="326"/>
      <c r="H12" s="326"/>
      <c r="I12" s="326">
        <v>0</v>
      </c>
      <c r="J12" s="326">
        <v>0</v>
      </c>
      <c r="K12" s="326" t="s">
        <v>2011</v>
      </c>
      <c r="L12" s="326" t="s">
        <v>198</v>
      </c>
      <c r="M12" s="326" t="s">
        <v>7544</v>
      </c>
      <c r="N12" s="326" t="s">
        <v>163</v>
      </c>
      <c r="O12" s="326" t="s">
        <v>7545</v>
      </c>
      <c r="P12" s="328">
        <v>62202</v>
      </c>
      <c r="Q12" s="326" t="s">
        <v>7546</v>
      </c>
    </row>
    <row r="13" spans="1:18" ht="37.5" x14ac:dyDescent="0.25">
      <c r="A13" t="s">
        <v>7547</v>
      </c>
      <c r="B13" s="326">
        <v>74577675.480000004</v>
      </c>
      <c r="C13" s="326" t="s">
        <v>159</v>
      </c>
      <c r="D13" s="326" t="s">
        <v>159</v>
      </c>
      <c r="E13" s="326" t="s">
        <v>159</v>
      </c>
      <c r="F13" s="326" t="s">
        <v>159</v>
      </c>
      <c r="G13" s="328" t="s">
        <v>159</v>
      </c>
      <c r="H13" s="328" t="s">
        <v>159</v>
      </c>
      <c r="I13" s="328" t="s">
        <v>159</v>
      </c>
      <c r="J13" s="328" t="s">
        <v>159</v>
      </c>
      <c r="K13" s="328" t="s">
        <v>159</v>
      </c>
      <c r="L13" s="328" t="s">
        <v>159</v>
      </c>
      <c r="M13" s="328" t="s">
        <v>159</v>
      </c>
      <c r="N13" s="328" t="s">
        <v>159</v>
      </c>
      <c r="O13" s="328" t="s">
        <v>159</v>
      </c>
      <c r="P13" s="328" t="s">
        <v>159</v>
      </c>
      <c r="Q13" s="326" t="s">
        <v>7548</v>
      </c>
      <c r="R13" s="330" t="s">
        <v>2236</v>
      </c>
    </row>
    <row r="14" spans="1:18" ht="74.25" customHeight="1" x14ac:dyDescent="0.25">
      <c r="A14" s="369" t="s">
        <v>7549</v>
      </c>
      <c r="B14" s="326">
        <v>74577675.480000004</v>
      </c>
      <c r="C14" s="326">
        <f>+D14+E14+F14+G14</f>
        <v>74577675.470799997</v>
      </c>
      <c r="D14" s="326">
        <v>24801027.260000002</v>
      </c>
      <c r="E14" s="326">
        <v>1697.2424000000001</v>
      </c>
      <c r="F14" s="326">
        <v>22785175.729200002</v>
      </c>
      <c r="G14" s="326">
        <v>26989775.2392</v>
      </c>
      <c r="H14" s="328" t="s">
        <v>159</v>
      </c>
      <c r="I14" s="328" t="s">
        <v>159</v>
      </c>
      <c r="J14" s="328" t="s">
        <v>159</v>
      </c>
      <c r="K14" s="328" t="s">
        <v>159</v>
      </c>
      <c r="L14" s="328" t="s">
        <v>159</v>
      </c>
      <c r="M14" s="328" t="s">
        <v>159</v>
      </c>
      <c r="N14" s="328" t="s">
        <v>159</v>
      </c>
      <c r="O14" s="328" t="s">
        <v>159</v>
      </c>
      <c r="P14" s="328" t="s">
        <v>159</v>
      </c>
      <c r="Q14" s="326" t="s">
        <v>7550</v>
      </c>
      <c r="R14" s="330" t="s">
        <v>3107</v>
      </c>
    </row>
    <row r="15" spans="1:18" ht="58.5" customHeight="1" x14ac:dyDescent="0.25">
      <c r="A15" s="369" t="s">
        <v>7551</v>
      </c>
      <c r="B15" s="326">
        <v>74577675.480000004</v>
      </c>
      <c r="C15" s="326">
        <f>+D15+E15+F15+G15+H15</f>
        <v>89239568.792799994</v>
      </c>
      <c r="D15" s="326">
        <v>24801027.260000002</v>
      </c>
      <c r="E15" s="326">
        <v>1697.24</v>
      </c>
      <c r="F15" s="326">
        <v>22785175.73</v>
      </c>
      <c r="G15" s="326">
        <v>30489775.240000002</v>
      </c>
      <c r="H15" s="326">
        <v>11161893.322799999</v>
      </c>
      <c r="I15" s="328" t="s">
        <v>159</v>
      </c>
      <c r="J15" s="328" t="s">
        <v>159</v>
      </c>
      <c r="K15" s="328" t="s">
        <v>159</v>
      </c>
      <c r="L15" s="328" t="s">
        <v>159</v>
      </c>
      <c r="M15" s="328" t="s">
        <v>159</v>
      </c>
      <c r="N15" s="328" t="s">
        <v>159</v>
      </c>
      <c r="O15" s="328" t="s">
        <v>159</v>
      </c>
      <c r="P15" s="328" t="s">
        <v>159</v>
      </c>
      <c r="Q15" s="326" t="s">
        <v>7552</v>
      </c>
      <c r="R15" s="330" t="s">
        <v>4299</v>
      </c>
    </row>
    <row r="16" spans="1:18" ht="59.25" customHeight="1" x14ac:dyDescent="0.25">
      <c r="A16" s="369" t="s">
        <v>7553</v>
      </c>
      <c r="B16" s="326">
        <v>74577675.480000004</v>
      </c>
      <c r="C16" s="326">
        <f>+D16+E16+F16+G16+H16</f>
        <v>89239568.792799994</v>
      </c>
      <c r="D16" s="326">
        <v>24801027.260000002</v>
      </c>
      <c r="E16" s="326">
        <v>1697.24</v>
      </c>
      <c r="F16" s="326">
        <v>22785175.73</v>
      </c>
      <c r="G16" s="326">
        <v>30489775.240000002</v>
      </c>
      <c r="H16" s="326">
        <v>11161893.322799999</v>
      </c>
      <c r="I16" s="328" t="s">
        <v>159</v>
      </c>
      <c r="J16" s="328" t="s">
        <v>159</v>
      </c>
      <c r="K16" s="328" t="s">
        <v>159</v>
      </c>
      <c r="L16" s="328" t="s">
        <v>159</v>
      </c>
      <c r="M16" s="328" t="s">
        <v>159</v>
      </c>
      <c r="N16" s="328" t="s">
        <v>159</v>
      </c>
      <c r="O16" s="328" t="s">
        <v>159</v>
      </c>
      <c r="P16" s="328" t="s">
        <v>159</v>
      </c>
      <c r="Q16" s="326" t="s">
        <v>7552</v>
      </c>
      <c r="R16" s="330" t="s">
        <v>7554</v>
      </c>
    </row>
    <row r="17" spans="1:18" ht="56.25" x14ac:dyDescent="0.25">
      <c r="A17" s="369" t="s">
        <v>6302</v>
      </c>
      <c r="B17" s="326">
        <v>74577675.480000004</v>
      </c>
      <c r="C17" s="326">
        <f>+D17+E17+F17+G17+H17+I17</f>
        <v>99649407.849999994</v>
      </c>
      <c r="D17" s="326">
        <v>24801027.260000002</v>
      </c>
      <c r="E17" s="326">
        <v>1697.24</v>
      </c>
      <c r="F17" s="326">
        <v>22785175.73</v>
      </c>
      <c r="G17" s="326">
        <v>30489775.239999998</v>
      </c>
      <c r="H17" s="326">
        <v>14570208.1</v>
      </c>
      <c r="I17" s="326">
        <v>7001524.2800000003</v>
      </c>
      <c r="J17" s="328" t="s">
        <v>159</v>
      </c>
      <c r="K17" s="328" t="s">
        <v>159</v>
      </c>
      <c r="L17" s="328" t="s">
        <v>159</v>
      </c>
      <c r="M17" s="328" t="s">
        <v>159</v>
      </c>
      <c r="N17" s="328" t="s">
        <v>159</v>
      </c>
      <c r="O17" s="328" t="s">
        <v>159</v>
      </c>
      <c r="P17" s="328" t="s">
        <v>159</v>
      </c>
      <c r="Q17" s="326" t="s">
        <v>7555</v>
      </c>
      <c r="R17" s="330" t="s">
        <v>5363</v>
      </c>
    </row>
    <row r="18" spans="1:18" ht="37.5" x14ac:dyDescent="0.25">
      <c r="A18" s="369" t="s">
        <v>7556</v>
      </c>
      <c r="B18" s="326">
        <v>74577675.480000004</v>
      </c>
      <c r="C18" s="326">
        <f>+D18+E18+F18+G18+H18+I18</f>
        <v>99649407.849999994</v>
      </c>
      <c r="D18" s="326">
        <v>24801027.260000002</v>
      </c>
      <c r="E18" s="326">
        <v>1697.24</v>
      </c>
      <c r="F18" s="326">
        <v>22785175.73</v>
      </c>
      <c r="G18" s="326">
        <v>30489775.239999998</v>
      </c>
      <c r="H18" s="326">
        <v>14570208.1</v>
      </c>
      <c r="I18" s="326">
        <v>7001524.2800000003</v>
      </c>
      <c r="J18" s="328" t="s">
        <v>159</v>
      </c>
      <c r="K18" s="328" t="s">
        <v>159</v>
      </c>
      <c r="L18" s="328" t="s">
        <v>159</v>
      </c>
      <c r="M18" s="328" t="s">
        <v>159</v>
      </c>
      <c r="N18" s="328" t="s">
        <v>159</v>
      </c>
      <c r="O18" s="328" t="s">
        <v>159</v>
      </c>
      <c r="P18" s="328" t="s">
        <v>159</v>
      </c>
      <c r="Q18" s="326" t="s">
        <v>7557</v>
      </c>
      <c r="R18" s="330" t="s">
        <v>6310</v>
      </c>
    </row>
    <row r="19" spans="1:18" ht="37.5" x14ac:dyDescent="0.25">
      <c r="A19" s="369" t="s">
        <v>7558</v>
      </c>
      <c r="B19" s="326">
        <v>74577675.480000004</v>
      </c>
      <c r="C19" s="326">
        <f>+D19+E19+F19+G19+H19+I19</f>
        <v>99649407.849999994</v>
      </c>
      <c r="D19" s="326">
        <v>24801027.260000002</v>
      </c>
      <c r="E19" s="326">
        <v>1697.24</v>
      </c>
      <c r="F19" s="326">
        <v>22785175.73</v>
      </c>
      <c r="G19" s="326">
        <v>30489775.239999998</v>
      </c>
      <c r="H19" s="326">
        <v>14570208.1</v>
      </c>
      <c r="I19" s="326">
        <v>7001524.2800000003</v>
      </c>
      <c r="J19" s="328" t="s">
        <v>159</v>
      </c>
      <c r="K19" s="328" t="s">
        <v>159</v>
      </c>
      <c r="L19" s="328" t="s">
        <v>159</v>
      </c>
      <c r="M19" s="328" t="s">
        <v>159</v>
      </c>
      <c r="N19" s="328" t="s">
        <v>159</v>
      </c>
      <c r="O19" s="328" t="s">
        <v>159</v>
      </c>
      <c r="P19" s="328" t="s">
        <v>159</v>
      </c>
      <c r="Q19" s="326" t="s">
        <v>7559</v>
      </c>
      <c r="R19" s="330" t="s">
        <v>6314</v>
      </c>
    </row>
    <row r="20" spans="1:18" ht="37.5" x14ac:dyDescent="0.25">
      <c r="A20" s="369" t="s">
        <v>6315</v>
      </c>
      <c r="B20" s="379">
        <v>74577675.480000004</v>
      </c>
      <c r="C20" s="379">
        <f>+D20+E20+F20+G20+H20+I20</f>
        <v>99649407.849999994</v>
      </c>
      <c r="D20" s="379">
        <v>24801027.260000002</v>
      </c>
      <c r="E20" s="379">
        <v>1697.24</v>
      </c>
      <c r="F20" s="379">
        <v>22785175.73</v>
      </c>
      <c r="G20" s="379">
        <v>30489775.239999998</v>
      </c>
      <c r="H20" s="379">
        <v>14570208.1</v>
      </c>
      <c r="I20" s="379">
        <v>7001524.2800000003</v>
      </c>
      <c r="J20" s="710" t="s">
        <v>159</v>
      </c>
      <c r="K20" s="710" t="s">
        <v>159</v>
      </c>
      <c r="L20" s="710" t="s">
        <v>159</v>
      </c>
      <c r="M20" s="710" t="s">
        <v>159</v>
      </c>
      <c r="N20" s="710" t="s">
        <v>159</v>
      </c>
      <c r="O20" s="710" t="s">
        <v>159</v>
      </c>
      <c r="P20" s="710" t="s">
        <v>159</v>
      </c>
      <c r="Q20" s="379" t="s">
        <v>7559</v>
      </c>
      <c r="R20" s="712" t="s">
        <v>7560</v>
      </c>
    </row>
    <row r="21" spans="1:18" ht="75" x14ac:dyDescent="0.25">
      <c r="A21" t="s">
        <v>7561</v>
      </c>
      <c r="B21" s="326">
        <v>16817559.0592</v>
      </c>
      <c r="C21" s="326">
        <f>+D21+E21+F21</f>
        <v>16817559.0592</v>
      </c>
      <c r="D21" s="326">
        <v>8408779.5291999988</v>
      </c>
      <c r="E21" s="326">
        <v>5886145.6699999999</v>
      </c>
      <c r="F21" s="326">
        <v>2522633.86</v>
      </c>
      <c r="G21" s="326" t="s">
        <v>159</v>
      </c>
      <c r="H21" s="326" t="s">
        <v>159</v>
      </c>
      <c r="I21" s="326" t="s">
        <v>159</v>
      </c>
      <c r="J21" s="326" t="s">
        <v>159</v>
      </c>
      <c r="K21" s="326" t="s">
        <v>1065</v>
      </c>
      <c r="L21" s="326" t="s">
        <v>198</v>
      </c>
      <c r="M21" s="991" t="s">
        <v>2142</v>
      </c>
      <c r="N21" s="326" t="s">
        <v>159</v>
      </c>
      <c r="O21" s="326" t="s">
        <v>159</v>
      </c>
      <c r="P21" s="326" t="s">
        <v>159</v>
      </c>
      <c r="Q21" s="326" t="s">
        <v>7562</v>
      </c>
      <c r="R21" s="330" t="s">
        <v>7563</v>
      </c>
    </row>
    <row r="22" spans="1:18" ht="37.5" x14ac:dyDescent="0.25">
      <c r="A22" t="s">
        <v>7564</v>
      </c>
      <c r="B22" s="326">
        <v>16817559.0592</v>
      </c>
      <c r="C22" s="326">
        <f>+D22+E22+F22+G22+H22</f>
        <v>16817559.119999997</v>
      </c>
      <c r="D22" s="326">
        <v>8408779.5299999993</v>
      </c>
      <c r="E22" s="326">
        <v>0</v>
      </c>
      <c r="F22" s="326">
        <v>2901461.05</v>
      </c>
      <c r="G22" s="326">
        <v>1164574.6599999999</v>
      </c>
      <c r="H22" s="326">
        <v>4342743.88</v>
      </c>
      <c r="I22" s="326" t="s">
        <v>159</v>
      </c>
      <c r="J22" s="326" t="s">
        <v>159</v>
      </c>
      <c r="K22" s="326" t="s">
        <v>159</v>
      </c>
      <c r="L22" s="326" t="s">
        <v>159</v>
      </c>
      <c r="M22" s="326" t="s">
        <v>159</v>
      </c>
      <c r="N22" s="326" t="s">
        <v>159</v>
      </c>
      <c r="O22" s="326" t="s">
        <v>159</v>
      </c>
      <c r="P22" s="326" t="s">
        <v>159</v>
      </c>
      <c r="Q22" s="326" t="s">
        <v>7565</v>
      </c>
      <c r="R22" s="330" t="s">
        <v>4302</v>
      </c>
    </row>
    <row r="23" spans="1:18" ht="37.5" x14ac:dyDescent="0.25">
      <c r="A23" t="s">
        <v>7566</v>
      </c>
      <c r="B23" s="326">
        <v>16817559.0592</v>
      </c>
      <c r="C23" s="326">
        <f>+D23+E23+F23+G23+H23+I23</f>
        <v>16817559.059999999</v>
      </c>
      <c r="D23" s="326">
        <v>8408779.5299999993</v>
      </c>
      <c r="E23" s="326">
        <v>0</v>
      </c>
      <c r="F23" s="326">
        <v>2901461.05</v>
      </c>
      <c r="G23" s="326">
        <v>548685.77</v>
      </c>
      <c r="H23" s="326">
        <v>2331652.56</v>
      </c>
      <c r="I23" s="326">
        <v>2626980.15</v>
      </c>
      <c r="J23" s="326" t="s">
        <v>159</v>
      </c>
      <c r="K23" s="326" t="s">
        <v>159</v>
      </c>
      <c r="L23" s="326" t="s">
        <v>159</v>
      </c>
      <c r="M23" s="326" t="s">
        <v>159</v>
      </c>
      <c r="N23" s="326" t="s">
        <v>159</v>
      </c>
      <c r="O23" s="326" t="s">
        <v>159</v>
      </c>
      <c r="P23" s="326" t="s">
        <v>159</v>
      </c>
      <c r="Q23" s="326" t="s">
        <v>7567</v>
      </c>
      <c r="R23" s="330" t="s">
        <v>5366</v>
      </c>
    </row>
    <row r="24" spans="1:18" ht="37.5" x14ac:dyDescent="0.25">
      <c r="A24" t="s">
        <v>7568</v>
      </c>
      <c r="B24" s="326">
        <v>16817559.0592</v>
      </c>
      <c r="C24" s="326">
        <f>+D24+E24+F24+G24+H24+I24</f>
        <v>16817559.059999999</v>
      </c>
      <c r="D24" s="326">
        <v>8408779.5299999993</v>
      </c>
      <c r="E24" s="326">
        <v>0</v>
      </c>
      <c r="F24" s="326">
        <v>2901461.05</v>
      </c>
      <c r="G24" s="326">
        <v>548685.77</v>
      </c>
      <c r="H24" s="326">
        <v>2331652.56</v>
      </c>
      <c r="I24" s="326">
        <v>2626980.15</v>
      </c>
      <c r="J24" s="326" t="s">
        <v>159</v>
      </c>
      <c r="K24" s="326" t="s">
        <v>159</v>
      </c>
      <c r="L24" s="326" t="s">
        <v>159</v>
      </c>
      <c r="M24" s="326" t="s">
        <v>159</v>
      </c>
      <c r="N24" s="326" t="s">
        <v>159</v>
      </c>
      <c r="O24" s="326" t="s">
        <v>159</v>
      </c>
      <c r="P24" s="326" t="s">
        <v>159</v>
      </c>
      <c r="Q24" s="326" t="s">
        <v>7569</v>
      </c>
      <c r="R24" s="709" t="s">
        <v>7570</v>
      </c>
    </row>
    <row r="25" spans="1:18" ht="37.5" x14ac:dyDescent="0.25">
      <c r="A25" t="s">
        <v>7568</v>
      </c>
      <c r="B25" s="379">
        <v>16817559.0592</v>
      </c>
      <c r="C25" s="379">
        <f>+D25+E25+F25+G25+H25+I25</f>
        <v>16817559.059999999</v>
      </c>
      <c r="D25" s="379">
        <v>8408779.5299999993</v>
      </c>
      <c r="E25" s="379">
        <v>0</v>
      </c>
      <c r="F25" s="379">
        <v>2901461.05</v>
      </c>
      <c r="G25" s="379">
        <v>548685.77</v>
      </c>
      <c r="H25" s="379">
        <v>2331652.56</v>
      </c>
      <c r="I25" s="379">
        <v>2626980.15</v>
      </c>
      <c r="J25" s="379" t="s">
        <v>159</v>
      </c>
      <c r="K25" s="379" t="s">
        <v>159</v>
      </c>
      <c r="L25" s="379" t="s">
        <v>159</v>
      </c>
      <c r="M25" s="379" t="s">
        <v>159</v>
      </c>
      <c r="N25" s="379" t="s">
        <v>159</v>
      </c>
      <c r="O25" s="379" t="s">
        <v>159</v>
      </c>
      <c r="P25" s="379" t="s">
        <v>159</v>
      </c>
      <c r="Q25" s="379" t="s">
        <v>7571</v>
      </c>
      <c r="R25" s="711" t="s">
        <v>7572</v>
      </c>
    </row>
    <row r="26" spans="1:18" ht="71.25" customHeight="1" x14ac:dyDescent="0.25">
      <c r="A26" s="372" t="s">
        <v>7573</v>
      </c>
      <c r="B26" s="326">
        <v>70500000</v>
      </c>
      <c r="C26" s="326">
        <f>+G26+H26+I26</f>
        <v>70500000</v>
      </c>
      <c r="D26" s="326">
        <v>0</v>
      </c>
      <c r="E26" s="326">
        <v>0</v>
      </c>
      <c r="F26" s="326">
        <v>0</v>
      </c>
      <c r="G26" s="326">
        <v>23500000</v>
      </c>
      <c r="H26" s="326">
        <v>23500000</v>
      </c>
      <c r="I26" s="326">
        <v>23500000</v>
      </c>
      <c r="J26" s="326">
        <v>0</v>
      </c>
      <c r="K26" s="326" t="s">
        <v>4113</v>
      </c>
      <c r="L26" s="326" t="s">
        <v>7574</v>
      </c>
      <c r="M26" s="327" t="s">
        <v>7575</v>
      </c>
      <c r="N26" s="334" t="s">
        <v>163</v>
      </c>
      <c r="O26" s="333" t="s">
        <v>7576</v>
      </c>
      <c r="P26" s="335">
        <v>32701</v>
      </c>
      <c r="Q26" s="326" t="s">
        <v>7577</v>
      </c>
    </row>
    <row r="27" spans="1:18" ht="71.25" customHeight="1" x14ac:dyDescent="0.25">
      <c r="A27" s="14" t="s">
        <v>7578</v>
      </c>
      <c r="B27" s="373"/>
      <c r="C27" s="326"/>
      <c r="D27" s="326"/>
      <c r="E27" s="326"/>
      <c r="F27" s="326"/>
      <c r="G27" s="326">
        <v>964696.21</v>
      </c>
      <c r="H27" s="326">
        <v>964696.21</v>
      </c>
      <c r="I27" s="326">
        <v>964696.21</v>
      </c>
      <c r="J27" s="326" t="s">
        <v>159</v>
      </c>
      <c r="K27" s="326" t="s">
        <v>159</v>
      </c>
      <c r="L27" s="326" t="s">
        <v>159</v>
      </c>
      <c r="M27" s="326" t="s">
        <v>159</v>
      </c>
      <c r="N27" s="326" t="s">
        <v>159</v>
      </c>
      <c r="O27" s="326" t="s">
        <v>159</v>
      </c>
      <c r="P27" s="326" t="s">
        <v>159</v>
      </c>
      <c r="Q27" s="326" t="s">
        <v>159</v>
      </c>
      <c r="R27" s="329" t="s">
        <v>7579</v>
      </c>
    </row>
    <row r="28" spans="1:18" ht="49.5" customHeight="1" x14ac:dyDescent="0.25">
      <c r="A28" s="372" t="s">
        <v>7580</v>
      </c>
      <c r="B28" s="380">
        <v>33599979</v>
      </c>
      <c r="C28" s="379">
        <f>+H28+I28</f>
        <v>33599978.996399999</v>
      </c>
      <c r="D28" s="379">
        <v>0</v>
      </c>
      <c r="E28" s="379">
        <v>0</v>
      </c>
      <c r="F28" s="379">
        <v>0</v>
      </c>
      <c r="G28" s="379">
        <v>0</v>
      </c>
      <c r="H28" s="379">
        <v>14399991</v>
      </c>
      <c r="I28" s="379">
        <v>19199987.996399999</v>
      </c>
      <c r="J28" s="326">
        <v>0</v>
      </c>
      <c r="K28" s="326" t="s">
        <v>2254</v>
      </c>
      <c r="L28" s="331" t="s">
        <v>7581</v>
      </c>
      <c r="M28" s="332" t="s">
        <v>6034</v>
      </c>
      <c r="N28" s="327" t="s">
        <v>163</v>
      </c>
      <c r="O28" s="326" t="s">
        <v>7582</v>
      </c>
      <c r="P28" s="335" t="s">
        <v>7469</v>
      </c>
      <c r="Q28" s="326" t="s">
        <v>7583</v>
      </c>
      <c r="R28" s="329"/>
    </row>
    <row r="29" spans="1:18" ht="49.5" customHeight="1" x14ac:dyDescent="0.25">
      <c r="A29" s="14" t="s">
        <v>7584</v>
      </c>
      <c r="B29" s="373">
        <v>33599979</v>
      </c>
      <c r="C29" s="326" t="s">
        <v>159</v>
      </c>
      <c r="D29" s="326" t="s">
        <v>159</v>
      </c>
      <c r="E29" s="326" t="s">
        <v>159</v>
      </c>
      <c r="F29" s="326" t="s">
        <v>159</v>
      </c>
      <c r="G29" s="326" t="s">
        <v>159</v>
      </c>
      <c r="H29" s="326" t="s">
        <v>159</v>
      </c>
      <c r="I29" s="326" t="s">
        <v>159</v>
      </c>
      <c r="J29" s="326" t="s">
        <v>159</v>
      </c>
      <c r="K29" s="326" t="s">
        <v>159</v>
      </c>
      <c r="L29" s="326" t="s">
        <v>159</v>
      </c>
      <c r="M29" s="326" t="s">
        <v>159</v>
      </c>
      <c r="N29" s="326" t="s">
        <v>159</v>
      </c>
      <c r="O29" s="326" t="s">
        <v>159</v>
      </c>
      <c r="P29" s="326" t="s">
        <v>159</v>
      </c>
      <c r="Q29" s="326" t="s">
        <v>159</v>
      </c>
      <c r="R29" s="329" t="s">
        <v>7585</v>
      </c>
    </row>
    <row r="30" spans="1:18" ht="49.5" customHeight="1" x14ac:dyDescent="0.25">
      <c r="A30" s="372" t="s">
        <v>7586</v>
      </c>
      <c r="B30" s="326">
        <v>3333</v>
      </c>
      <c r="C30" s="326">
        <f>+H30+I30+J30</f>
        <v>40363360</v>
      </c>
      <c r="D30" s="326">
        <v>0</v>
      </c>
      <c r="E30" s="326">
        <v>0</v>
      </c>
      <c r="F30" s="326">
        <v>0</v>
      </c>
      <c r="G30" s="326">
        <v>0</v>
      </c>
      <c r="H30" s="326">
        <v>13454453.337200001</v>
      </c>
      <c r="I30" s="326">
        <v>20181680</v>
      </c>
      <c r="J30" s="326">
        <v>6727226.6628</v>
      </c>
      <c r="K30" s="326" t="s">
        <v>6333</v>
      </c>
      <c r="L30" s="331" t="s">
        <v>301</v>
      </c>
      <c r="M30" s="332" t="s">
        <v>6068</v>
      </c>
      <c r="N30" s="327" t="s">
        <v>163</v>
      </c>
      <c r="O30" s="326" t="s">
        <v>7582</v>
      </c>
      <c r="P30" s="335">
        <v>32301</v>
      </c>
      <c r="Q30" s="326" t="s">
        <v>7587</v>
      </c>
      <c r="R30" s="329"/>
    </row>
    <row r="31" spans="1:18" ht="49.5" customHeight="1" x14ac:dyDescent="0.25">
      <c r="A31" s="14" t="s">
        <v>7588</v>
      </c>
      <c r="B31" s="379">
        <v>40363360</v>
      </c>
      <c r="C31" s="379">
        <f>+H31+I31+J31</f>
        <v>40863359.996799998</v>
      </c>
      <c r="D31" s="379">
        <v>0</v>
      </c>
      <c r="E31" s="379">
        <v>0</v>
      </c>
      <c r="F31" s="379">
        <v>0</v>
      </c>
      <c r="G31" s="379">
        <v>0</v>
      </c>
      <c r="H31" s="379">
        <v>13954453.334000001</v>
      </c>
      <c r="I31" s="379">
        <v>20181680</v>
      </c>
      <c r="J31" s="379">
        <v>6727226.6628</v>
      </c>
      <c r="K31" s="326" t="s">
        <v>159</v>
      </c>
      <c r="L31" s="326" t="s">
        <v>159</v>
      </c>
      <c r="M31" s="326" t="s">
        <v>159</v>
      </c>
      <c r="N31" s="326" t="s">
        <v>159</v>
      </c>
      <c r="O31" s="326" t="s">
        <v>159</v>
      </c>
      <c r="P31" s="326" t="s">
        <v>159</v>
      </c>
      <c r="Q31" s="326" t="s">
        <v>159</v>
      </c>
      <c r="R31" s="329" t="s">
        <v>6334</v>
      </c>
    </row>
    <row r="32" spans="1:18" ht="49.5" customHeight="1" x14ac:dyDescent="0.25">
      <c r="A32" s="372" t="s">
        <v>7589</v>
      </c>
      <c r="B32" s="379">
        <v>54088866.163999997</v>
      </c>
      <c r="C32" s="379">
        <v>54088866.163999997</v>
      </c>
      <c r="D32" s="379">
        <v>0</v>
      </c>
      <c r="E32" s="379">
        <v>0</v>
      </c>
      <c r="F32" s="379">
        <v>0</v>
      </c>
      <c r="G32" s="379">
        <v>0</v>
      </c>
      <c r="H32" s="379">
        <v>9612610.1600000001</v>
      </c>
      <c r="I32" s="379">
        <v>26685753.599999998</v>
      </c>
      <c r="J32" s="379">
        <v>17790502.399999999</v>
      </c>
      <c r="K32" s="326" t="s">
        <v>6347</v>
      </c>
      <c r="L32" s="326" t="s">
        <v>7574</v>
      </c>
      <c r="M32" s="327" t="s">
        <v>7590</v>
      </c>
      <c r="N32" s="327" t="s">
        <v>163</v>
      </c>
      <c r="O32" s="326" t="s">
        <v>7591</v>
      </c>
      <c r="P32" s="335">
        <v>32301</v>
      </c>
      <c r="Q32" s="326" t="s">
        <v>7592</v>
      </c>
      <c r="R32" s="329" t="s">
        <v>7593</v>
      </c>
    </row>
    <row r="33" spans="1:18" ht="49.5" customHeight="1" x14ac:dyDescent="0.25">
      <c r="A33" s="14" t="s">
        <v>7594</v>
      </c>
      <c r="B33" s="326">
        <v>54088866.163999997</v>
      </c>
      <c r="C33" s="326">
        <v>0</v>
      </c>
      <c r="D33" s="326">
        <v>0</v>
      </c>
      <c r="E33" s="326">
        <v>0</v>
      </c>
      <c r="F33" s="326">
        <v>0</v>
      </c>
      <c r="G33" s="326">
        <v>0</v>
      </c>
      <c r="H33" s="326" t="s">
        <v>159</v>
      </c>
      <c r="I33" s="326" t="s">
        <v>159</v>
      </c>
      <c r="J33" s="326" t="s">
        <v>159</v>
      </c>
      <c r="K33" s="326" t="s">
        <v>159</v>
      </c>
      <c r="L33" s="326" t="s">
        <v>159</v>
      </c>
      <c r="M33" s="327" t="s">
        <v>159</v>
      </c>
      <c r="N33" s="327" t="s">
        <v>1853</v>
      </c>
      <c r="O33" s="326" t="s">
        <v>159</v>
      </c>
      <c r="P33" s="335" t="s">
        <v>159</v>
      </c>
      <c r="Q33" s="326" t="s">
        <v>159</v>
      </c>
      <c r="R33" s="329" t="s">
        <v>7593</v>
      </c>
    </row>
    <row r="34" spans="1:18" ht="49.5" customHeight="1" x14ac:dyDescent="0.25">
      <c r="A34" s="372" t="s">
        <v>7595</v>
      </c>
      <c r="B34"/>
      <c r="C34" s="326">
        <v>12305954.424000001</v>
      </c>
      <c r="D34" s="326">
        <v>0</v>
      </c>
      <c r="E34" s="326">
        <v>0</v>
      </c>
      <c r="F34" s="326">
        <v>0</v>
      </c>
      <c r="G34" s="326">
        <v>0</v>
      </c>
      <c r="H34" s="326">
        <f>6417011.34*1.16</f>
        <v>7443733.1543999994</v>
      </c>
      <c r="I34" s="326">
        <f>4191570.05*1.16</f>
        <v>4862221.2579999994</v>
      </c>
      <c r="J34" s="326">
        <v>0</v>
      </c>
      <c r="K34" s="326" t="s">
        <v>6355</v>
      </c>
      <c r="L34" s="326" t="s">
        <v>7574</v>
      </c>
      <c r="M34" s="327" t="s">
        <v>6240</v>
      </c>
      <c r="N34" s="327" t="s">
        <v>163</v>
      </c>
      <c r="O34" s="326" t="s">
        <v>7545</v>
      </c>
      <c r="P34" s="335" t="s">
        <v>7596</v>
      </c>
      <c r="Q34" s="326" t="s">
        <v>7597</v>
      </c>
      <c r="R34" s="329"/>
    </row>
    <row r="35" spans="1:18" ht="18.75" x14ac:dyDescent="0.25">
      <c r="A35" s="332"/>
      <c r="B35" s="332"/>
      <c r="C35" s="326"/>
      <c r="D35" s="326"/>
      <c r="E35" s="326"/>
      <c r="F35" s="326"/>
      <c r="G35" s="326"/>
      <c r="H35" s="326"/>
      <c r="I35" s="326"/>
      <c r="J35" s="326"/>
      <c r="K35" s="326"/>
      <c r="L35" s="326"/>
      <c r="M35" s="326"/>
      <c r="N35" s="326"/>
      <c r="O35" s="326"/>
      <c r="P35" s="328"/>
      <c r="Q35" s="326"/>
      <c r="R35" s="326"/>
    </row>
    <row r="36" spans="1:18" ht="18.75" x14ac:dyDescent="0.25">
      <c r="A36" s="336"/>
      <c r="B36" s="336"/>
      <c r="C36" s="337"/>
      <c r="D36" s="337"/>
      <c r="E36" s="337"/>
      <c r="F36" s="337"/>
      <c r="G36" s="337"/>
      <c r="H36" s="337"/>
      <c r="I36" s="337"/>
      <c r="J36" s="337"/>
      <c r="K36" s="337"/>
      <c r="L36" s="337"/>
      <c r="M36" s="337"/>
      <c r="N36" s="337"/>
      <c r="O36" s="337"/>
      <c r="P36" s="337"/>
      <c r="Q36" s="337"/>
      <c r="R36" s="337"/>
    </row>
    <row r="37" spans="1:18" ht="18.75" x14ac:dyDescent="0.25">
      <c r="A37" s="336"/>
      <c r="B37" s="336"/>
      <c r="C37" s="336"/>
      <c r="D37" s="336"/>
      <c r="E37" s="336"/>
      <c r="F37" s="336"/>
      <c r="G37" s="336"/>
      <c r="H37" s="336"/>
      <c r="I37" s="336"/>
      <c r="J37" s="336"/>
      <c r="K37" s="336"/>
      <c r="L37" s="336"/>
      <c r="M37" s="336"/>
      <c r="N37" s="336"/>
      <c r="O37" s="336"/>
      <c r="P37" s="336"/>
      <c r="Q37" s="336"/>
      <c r="R37" s="336"/>
    </row>
    <row r="38" spans="1:18" ht="18.75" x14ac:dyDescent="0.25">
      <c r="A38" s="336"/>
      <c r="B38" s="336"/>
      <c r="C38" s="378"/>
      <c r="D38" s="378"/>
      <c r="E38" s="378"/>
      <c r="F38" s="378"/>
      <c r="G38" s="378"/>
      <c r="H38" s="378"/>
      <c r="I38" s="378"/>
      <c r="J38" s="378"/>
      <c r="K38" s="336"/>
      <c r="L38" s="336"/>
      <c r="M38" s="336"/>
      <c r="N38" s="336"/>
      <c r="O38" s="336"/>
      <c r="P38" s="336"/>
      <c r="Q38" s="336"/>
      <c r="R38" s="336"/>
    </row>
    <row r="39" spans="1:18" ht="18.75" x14ac:dyDescent="0.25">
      <c r="A39" s="336"/>
      <c r="B39" s="336"/>
      <c r="C39" s="336"/>
      <c r="D39" s="336"/>
      <c r="E39" s="336"/>
      <c r="F39" s="336"/>
      <c r="G39" s="336"/>
      <c r="H39" s="336"/>
      <c r="I39" s="336"/>
      <c r="J39" s="336"/>
      <c r="K39" s="336"/>
      <c r="L39" s="336"/>
      <c r="M39" s="336"/>
      <c r="N39" s="336"/>
      <c r="O39" s="336"/>
      <c r="P39" s="336"/>
      <c r="Q39" s="336"/>
      <c r="R39" s="336"/>
    </row>
    <row r="40" spans="1:18" ht="18.75" x14ac:dyDescent="0.25">
      <c r="A40" s="336"/>
      <c r="B40" s="336"/>
      <c r="C40" s="336"/>
      <c r="D40" s="336"/>
      <c r="E40" s="336"/>
      <c r="F40" s="336"/>
      <c r="G40" s="336"/>
      <c r="H40" s="336"/>
      <c r="I40" s="336"/>
      <c r="J40" s="336"/>
      <c r="K40" s="336"/>
      <c r="L40" s="336"/>
      <c r="M40" s="336"/>
      <c r="N40" s="336"/>
      <c r="O40" s="336"/>
      <c r="P40" s="336"/>
      <c r="Q40" s="336"/>
      <c r="R40" s="336"/>
    </row>
    <row r="41" spans="1:18" ht="18.75" x14ac:dyDescent="0.25">
      <c r="A41" s="336"/>
      <c r="B41" s="336"/>
      <c r="C41" s="336"/>
      <c r="D41" s="336" t="s">
        <v>5010</v>
      </c>
      <c r="E41" s="336"/>
      <c r="F41" s="336"/>
      <c r="G41" s="336"/>
      <c r="H41" s="336"/>
      <c r="I41" s="336"/>
      <c r="J41" s="336"/>
      <c r="K41" s="336"/>
      <c r="L41" s="336"/>
      <c r="M41" s="336"/>
      <c r="N41" s="336"/>
      <c r="O41" s="336"/>
      <c r="P41" s="336"/>
      <c r="Q41" s="336"/>
      <c r="R41" s="336"/>
    </row>
  </sheetData>
  <autoFilter ref="A9:R34" xr:uid="{00000000-0001-0000-0900-000000000000}"/>
  <mergeCells count="6">
    <mergeCell ref="A6:R6"/>
    <mergeCell ref="A1:R1"/>
    <mergeCell ref="A2:R2"/>
    <mergeCell ref="A3:R3"/>
    <mergeCell ref="A4:R4"/>
    <mergeCell ref="A5:R5"/>
  </mergeCells>
  <phoneticPr fontId="70" type="noConversion"/>
  <pageMargins left="0.70866141732283472" right="0.70866141732283472" top="0.74803149606299213" bottom="0.74803149606299213" header="0.31496062992125984" footer="0.31496062992125984"/>
  <pageSetup scale="44" orientation="landscape"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B6B3-8833-497C-935C-FF591849FD14}">
  <dimension ref="A1:R17"/>
  <sheetViews>
    <sheetView view="pageBreakPreview" topLeftCell="A9" zoomScale="60" zoomScaleNormal="70" workbookViewId="0">
      <selection activeCell="I18" sqref="I18"/>
    </sheetView>
  </sheetViews>
  <sheetFormatPr baseColWidth="10" defaultColWidth="9.140625" defaultRowHeight="15" x14ac:dyDescent="0.25"/>
  <cols>
    <col min="1" max="1" width="42.28515625" style="202" customWidth="1"/>
    <col min="2" max="2" width="20.42578125" style="202" customWidth="1"/>
    <col min="3" max="4" width="25.85546875" style="202" customWidth="1"/>
    <col min="5" max="10" width="21.85546875" style="202" customWidth="1"/>
    <col min="11" max="11" width="28.42578125" style="202" customWidth="1"/>
    <col min="12" max="12" width="32.140625" style="202" hidden="1" customWidth="1"/>
    <col min="13" max="13" width="59" style="202" customWidth="1"/>
    <col min="14" max="14" width="32.42578125" style="202" hidden="1" customWidth="1"/>
    <col min="15" max="15" width="32" style="202" hidden="1" customWidth="1"/>
    <col min="16" max="16" width="18" style="202" hidden="1" customWidth="1"/>
    <col min="17" max="17" width="28" style="202" customWidth="1"/>
    <col min="18" max="18" width="43.28515625" style="202" customWidth="1"/>
    <col min="19" max="19" width="19.140625" bestFit="1" customWidth="1"/>
    <col min="20" max="20" width="14.140625" bestFit="1" customWidth="1"/>
    <col min="21" max="21" width="15.140625" bestFit="1" customWidth="1"/>
    <col min="22" max="22" width="14.140625" bestFit="1" customWidth="1"/>
    <col min="23" max="23" width="9.28515625" bestFit="1" customWidth="1"/>
  </cols>
  <sheetData>
    <row r="1" spans="1:18" ht="18.75" customHeight="1" x14ac:dyDescent="0.25">
      <c r="A1" s="1095" t="s">
        <v>7519</v>
      </c>
      <c r="B1" s="1095"/>
      <c r="C1" s="1095"/>
      <c r="D1" s="1095"/>
      <c r="E1" s="1095"/>
      <c r="F1" s="1095"/>
      <c r="G1" s="1095"/>
      <c r="H1" s="1095"/>
      <c r="I1" s="1095"/>
      <c r="J1" s="1095"/>
      <c r="K1" s="1095"/>
      <c r="L1" s="1095"/>
      <c r="M1" s="1095"/>
      <c r="N1" s="1095"/>
      <c r="O1" s="1095"/>
      <c r="P1" s="1095"/>
      <c r="Q1" s="1095"/>
      <c r="R1" s="1095"/>
    </row>
    <row r="2" spans="1:18" ht="18.75" customHeight="1" x14ac:dyDescent="0.25">
      <c r="A2" s="1095" t="s">
        <v>7520</v>
      </c>
      <c r="B2" s="1095"/>
      <c r="C2" s="1095"/>
      <c r="D2" s="1095"/>
      <c r="E2" s="1095"/>
      <c r="F2" s="1095"/>
      <c r="G2" s="1095"/>
      <c r="H2" s="1095"/>
      <c r="I2" s="1095"/>
      <c r="J2" s="1095"/>
      <c r="K2" s="1095"/>
      <c r="L2" s="1095"/>
      <c r="M2" s="1095"/>
      <c r="N2" s="1095"/>
      <c r="O2" s="1095"/>
      <c r="P2" s="1095"/>
      <c r="Q2" s="1095"/>
      <c r="R2" s="1095"/>
    </row>
    <row r="3" spans="1:18" ht="18.75" customHeight="1" x14ac:dyDescent="0.25">
      <c r="A3" s="1095" t="s">
        <v>7521</v>
      </c>
      <c r="B3" s="1095"/>
      <c r="C3" s="1095"/>
      <c r="D3" s="1095"/>
      <c r="E3" s="1095"/>
      <c r="F3" s="1095"/>
      <c r="G3" s="1095"/>
      <c r="H3" s="1095"/>
      <c r="I3" s="1095"/>
      <c r="J3" s="1095"/>
      <c r="K3" s="1095"/>
      <c r="L3" s="1095"/>
      <c r="M3" s="1095"/>
      <c r="N3" s="1095"/>
      <c r="O3" s="1095"/>
      <c r="P3" s="1095"/>
      <c r="Q3" s="1095"/>
      <c r="R3" s="1095"/>
    </row>
    <row r="4" spans="1:18" ht="18.75" customHeight="1" x14ac:dyDescent="0.25">
      <c r="A4" s="1095" t="s">
        <v>7522</v>
      </c>
      <c r="B4" s="1095"/>
      <c r="C4" s="1095"/>
      <c r="D4" s="1095"/>
      <c r="E4" s="1095"/>
      <c r="F4" s="1095"/>
      <c r="G4" s="1095"/>
      <c r="H4" s="1095"/>
      <c r="I4" s="1095"/>
      <c r="J4" s="1095"/>
      <c r="K4" s="1095"/>
      <c r="L4" s="1095"/>
      <c r="M4" s="1095"/>
      <c r="N4" s="1095"/>
      <c r="O4" s="1095"/>
      <c r="P4" s="1095"/>
      <c r="Q4" s="1095"/>
      <c r="R4" s="1095"/>
    </row>
    <row r="5" spans="1:18" ht="18.75" customHeight="1" x14ac:dyDescent="0.25">
      <c r="A5" s="1095" t="s">
        <v>7523</v>
      </c>
      <c r="B5" s="1095"/>
      <c r="C5" s="1095"/>
      <c r="D5" s="1095"/>
      <c r="E5" s="1095"/>
      <c r="F5" s="1095"/>
      <c r="G5" s="1095"/>
      <c r="H5" s="1095"/>
      <c r="I5" s="1095"/>
      <c r="J5" s="1095"/>
      <c r="K5" s="1095"/>
      <c r="L5" s="1095"/>
      <c r="M5" s="1095"/>
      <c r="N5" s="1095"/>
      <c r="O5" s="1095"/>
      <c r="P5" s="1095"/>
      <c r="Q5" s="1095"/>
      <c r="R5" s="1095"/>
    </row>
    <row r="6" spans="1:18" ht="18.75" customHeight="1" x14ac:dyDescent="0.25">
      <c r="A6" s="1094" t="s">
        <v>7524</v>
      </c>
      <c r="B6" s="1094"/>
      <c r="C6" s="1094"/>
      <c r="D6" s="1094"/>
      <c r="E6" s="1094"/>
      <c r="F6" s="1094"/>
      <c r="G6" s="1094"/>
      <c r="H6" s="1094"/>
      <c r="I6" s="1094"/>
      <c r="J6" s="1094"/>
      <c r="K6" s="1094"/>
      <c r="L6" s="1094"/>
      <c r="M6" s="1094"/>
      <c r="N6" s="1094"/>
      <c r="O6" s="1094"/>
      <c r="P6" s="1094"/>
      <c r="Q6" s="1094"/>
      <c r="R6" s="1094"/>
    </row>
    <row r="7" spans="1:18" ht="16.5" customHeight="1" x14ac:dyDescent="0.25">
      <c r="C7" s="377"/>
      <c r="D7" s="377"/>
      <c r="E7" s="377"/>
      <c r="F7" s="377"/>
      <c r="G7" s="377"/>
      <c r="H7" s="377"/>
      <c r="I7" s="377"/>
      <c r="J7" s="377"/>
    </row>
    <row r="8" spans="1:18" x14ac:dyDescent="0.25">
      <c r="C8" s="377"/>
      <c r="D8" s="377"/>
      <c r="E8" s="377"/>
      <c r="F8" s="377"/>
      <c r="G8" s="377"/>
      <c r="H8" s="377"/>
      <c r="I8" s="377"/>
      <c r="J8" s="377"/>
    </row>
    <row r="9" spans="1:18" s="325" customFormat="1" ht="133.5" customHeight="1" x14ac:dyDescent="0.25">
      <c r="A9" s="393" t="s">
        <v>7525</v>
      </c>
      <c r="B9" s="393" t="s">
        <v>7526</v>
      </c>
      <c r="C9" s="393" t="s">
        <v>7527</v>
      </c>
      <c r="D9" s="393" t="s">
        <v>7528</v>
      </c>
      <c r="E9" s="393" t="s">
        <v>7529</v>
      </c>
      <c r="F9" s="393" t="s">
        <v>7530</v>
      </c>
      <c r="G9" s="393" t="s">
        <v>7531</v>
      </c>
      <c r="H9" s="393" t="s">
        <v>7532</v>
      </c>
      <c r="I9" s="393" t="s">
        <v>7533</v>
      </c>
      <c r="J9" s="393" t="s">
        <v>7534</v>
      </c>
      <c r="K9" s="393" t="s">
        <v>93</v>
      </c>
      <c r="L9" s="393" t="s">
        <v>7535</v>
      </c>
      <c r="M9" s="393" t="s">
        <v>7536</v>
      </c>
      <c r="N9" s="393" t="s">
        <v>7537</v>
      </c>
      <c r="O9" s="393" t="s">
        <v>1</v>
      </c>
      <c r="P9" s="393" t="s">
        <v>7538</v>
      </c>
      <c r="Q9" s="393" t="s">
        <v>7539</v>
      </c>
      <c r="R9" s="393" t="s">
        <v>7540</v>
      </c>
    </row>
    <row r="10" spans="1:18" ht="89.25" customHeight="1" x14ac:dyDescent="0.25">
      <c r="A10" s="362" t="s">
        <v>1724</v>
      </c>
      <c r="B10" s="379">
        <v>133284000</v>
      </c>
      <c r="C10" s="379">
        <f>+D10+E10+F10+G10+H10+I10</f>
        <v>133284000</v>
      </c>
      <c r="D10" s="379">
        <v>50870060</v>
      </c>
      <c r="E10" s="379">
        <v>18659760</v>
      </c>
      <c r="F10" s="379">
        <v>18659760</v>
      </c>
      <c r="G10" s="379">
        <v>18659760</v>
      </c>
      <c r="H10" s="379">
        <v>18659760</v>
      </c>
      <c r="I10" s="379">
        <v>7774900</v>
      </c>
      <c r="J10" s="379" t="s">
        <v>159</v>
      </c>
      <c r="K10" s="379" t="s">
        <v>6300</v>
      </c>
      <c r="L10" s="379" t="s">
        <v>166</v>
      </c>
      <c r="M10" s="379" t="s">
        <v>1726</v>
      </c>
      <c r="N10" s="379" t="s">
        <v>163</v>
      </c>
      <c r="O10" s="379" t="s">
        <v>7541</v>
      </c>
      <c r="P10" s="710">
        <v>52301</v>
      </c>
      <c r="Q10" s="379" t="s">
        <v>7542</v>
      </c>
      <c r="R10" s="712"/>
    </row>
    <row r="11" spans="1:18" ht="63" customHeight="1" x14ac:dyDescent="0.25">
      <c r="A11" t="s">
        <v>5359</v>
      </c>
      <c r="B11" s="202" t="s">
        <v>159</v>
      </c>
      <c r="C11" s="202" t="s">
        <v>159</v>
      </c>
      <c r="D11" s="202" t="s">
        <v>159</v>
      </c>
      <c r="E11" s="202" t="s">
        <v>159</v>
      </c>
      <c r="F11" s="202" t="s">
        <v>159</v>
      </c>
      <c r="G11" s="202" t="s">
        <v>159</v>
      </c>
      <c r="H11" s="202" t="s">
        <v>159</v>
      </c>
      <c r="I11" s="202" t="s">
        <v>159</v>
      </c>
      <c r="J11" s="202" t="s">
        <v>159</v>
      </c>
      <c r="K11" s="202" t="s">
        <v>159</v>
      </c>
      <c r="L11" s="202" t="s">
        <v>159</v>
      </c>
      <c r="M11" s="202" t="s">
        <v>159</v>
      </c>
      <c r="N11" s="202" t="s">
        <v>159</v>
      </c>
      <c r="O11" s="202" t="s">
        <v>159</v>
      </c>
      <c r="P11" s="202" t="s">
        <v>159</v>
      </c>
      <c r="Q11" s="202" t="s">
        <v>159</v>
      </c>
      <c r="R11" s="330" t="s">
        <v>5360</v>
      </c>
    </row>
    <row r="12" spans="1:18" ht="18.75" x14ac:dyDescent="0.25">
      <c r="A12" s="336"/>
      <c r="B12" s="336"/>
      <c r="C12" s="337"/>
      <c r="D12" s="337"/>
      <c r="E12" s="337"/>
      <c r="F12" s="337"/>
      <c r="G12" s="337"/>
      <c r="H12" s="337"/>
      <c r="I12" s="337"/>
      <c r="J12" s="337"/>
      <c r="K12" s="337"/>
      <c r="L12" s="337"/>
      <c r="M12" s="337"/>
      <c r="N12" s="337"/>
      <c r="O12" s="337"/>
      <c r="P12" s="337"/>
      <c r="Q12" s="337"/>
      <c r="R12" s="337"/>
    </row>
    <row r="13" spans="1:18" ht="18.75" x14ac:dyDescent="0.25">
      <c r="A13" s="336"/>
      <c r="B13" s="336"/>
      <c r="C13" s="336"/>
      <c r="D13" s="336"/>
      <c r="E13" s="336"/>
      <c r="F13" s="336"/>
      <c r="G13" s="336"/>
      <c r="H13" s="336"/>
      <c r="I13" s="336"/>
      <c r="J13" s="336"/>
      <c r="K13" s="336"/>
      <c r="L13" s="336"/>
      <c r="M13" s="336"/>
      <c r="N13" s="336"/>
      <c r="O13" s="336"/>
      <c r="P13" s="336"/>
      <c r="Q13" s="336"/>
      <c r="R13" s="336"/>
    </row>
    <row r="14" spans="1:18" ht="18.75" x14ac:dyDescent="0.25">
      <c r="A14" s="336"/>
      <c r="B14" s="336"/>
      <c r="C14" s="378"/>
      <c r="D14" s="378"/>
      <c r="E14" s="378"/>
      <c r="F14" s="378"/>
      <c r="G14" s="378"/>
      <c r="H14" s="378"/>
      <c r="I14" s="378"/>
      <c r="J14" s="378"/>
      <c r="K14" s="336"/>
      <c r="L14" s="336"/>
      <c r="M14" s="336"/>
      <c r="N14" s="336"/>
      <c r="O14" s="336"/>
      <c r="P14" s="336"/>
      <c r="Q14" s="336"/>
      <c r="R14" s="336"/>
    </row>
    <row r="15" spans="1:18" ht="18.75" x14ac:dyDescent="0.25">
      <c r="A15" s="336"/>
      <c r="B15" s="336"/>
      <c r="C15" s="336"/>
      <c r="D15" s="336"/>
      <c r="E15" s="336"/>
      <c r="F15" s="336"/>
      <c r="G15" s="336"/>
      <c r="H15" s="336"/>
      <c r="I15" s="336"/>
      <c r="J15" s="336"/>
      <c r="K15" s="336"/>
      <c r="L15" s="336"/>
      <c r="M15" s="336"/>
      <c r="N15" s="336"/>
      <c r="O15" s="336"/>
      <c r="P15" s="336"/>
      <c r="Q15" s="336"/>
      <c r="R15" s="336"/>
    </row>
    <row r="16" spans="1:18" ht="18.75" x14ac:dyDescent="0.25">
      <c r="A16" s="336"/>
      <c r="B16" s="336"/>
      <c r="C16" s="336"/>
      <c r="D16" s="336"/>
      <c r="E16" s="336"/>
      <c r="F16" s="336"/>
      <c r="G16" s="336"/>
      <c r="H16" s="336"/>
      <c r="I16" s="336"/>
      <c r="J16" s="336"/>
      <c r="K16" s="336"/>
      <c r="L16" s="336"/>
      <c r="M16" s="336"/>
      <c r="N16" s="336"/>
      <c r="O16" s="336"/>
      <c r="P16" s="336"/>
      <c r="Q16" s="336"/>
      <c r="R16" s="336"/>
    </row>
    <row r="17" spans="1:18" ht="18.75" x14ac:dyDescent="0.25">
      <c r="A17" s="336"/>
      <c r="B17" s="336"/>
      <c r="C17" s="336"/>
      <c r="D17" s="336" t="s">
        <v>5010</v>
      </c>
      <c r="E17" s="336"/>
      <c r="F17" s="336"/>
      <c r="G17" s="336"/>
      <c r="H17" s="336"/>
      <c r="I17" s="336"/>
      <c r="J17" s="336"/>
      <c r="K17" s="336"/>
      <c r="L17" s="336"/>
      <c r="M17" s="336"/>
      <c r="N17" s="336"/>
      <c r="O17" s="336"/>
      <c r="P17" s="336"/>
      <c r="Q17" s="336"/>
      <c r="R17" s="336"/>
    </row>
  </sheetData>
  <autoFilter ref="A9:R11" xr:uid="{00000000-0001-0000-0900-000000000000}"/>
  <mergeCells count="6">
    <mergeCell ref="A6:R6"/>
    <mergeCell ref="A1:R1"/>
    <mergeCell ref="A2:R2"/>
    <mergeCell ref="A3:R3"/>
    <mergeCell ref="A4:R4"/>
    <mergeCell ref="A5:R5"/>
  </mergeCells>
  <pageMargins left="0.70866141732283472" right="0.70866141732283472" top="0.74803149606299213" bottom="0.74803149606299213" header="0.31496062992125984" footer="0.31496062992125984"/>
  <pageSetup scale="3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5"/>
  <dimension ref="A1:B602"/>
  <sheetViews>
    <sheetView topLeftCell="A298" workbookViewId="0">
      <selection activeCell="F8" sqref="F8"/>
    </sheetView>
  </sheetViews>
  <sheetFormatPr baseColWidth="10" defaultColWidth="11.42578125" defaultRowHeight="15" x14ac:dyDescent="0.25"/>
  <cols>
    <col min="1" max="16384" width="11.42578125" style="842"/>
  </cols>
  <sheetData>
    <row r="1" spans="1:2" x14ac:dyDescent="0.25">
      <c r="A1" s="843">
        <v>11101</v>
      </c>
      <c r="B1" s="844" t="s">
        <v>7598</v>
      </c>
    </row>
    <row r="2" spans="1:2" x14ac:dyDescent="0.25">
      <c r="A2" s="843">
        <v>11201</v>
      </c>
      <c r="B2" s="844" t="s">
        <v>7599</v>
      </c>
    </row>
    <row r="3" spans="1:2" x14ac:dyDescent="0.25">
      <c r="A3" s="843">
        <v>11301</v>
      </c>
      <c r="B3" s="844" t="s">
        <v>7600</v>
      </c>
    </row>
    <row r="4" spans="1:2" x14ac:dyDescent="0.25">
      <c r="A4" s="843">
        <v>11401</v>
      </c>
      <c r="B4" s="844" t="s">
        <v>7601</v>
      </c>
    </row>
    <row r="5" spans="1:2" x14ac:dyDescent="0.25">
      <c r="A5" s="843">
        <v>12101</v>
      </c>
      <c r="B5" s="844" t="s">
        <v>7602</v>
      </c>
    </row>
    <row r="6" spans="1:2" x14ac:dyDescent="0.25">
      <c r="A6" s="843">
        <v>12201</v>
      </c>
      <c r="B6" s="844" t="s">
        <v>7603</v>
      </c>
    </row>
    <row r="7" spans="1:2" x14ac:dyDescent="0.25">
      <c r="A7" s="843">
        <v>12202</v>
      </c>
      <c r="B7" s="844" t="s">
        <v>7604</v>
      </c>
    </row>
    <row r="8" spans="1:2" x14ac:dyDescent="0.25">
      <c r="A8" s="843">
        <v>12301</v>
      </c>
      <c r="B8" s="844" t="s">
        <v>7605</v>
      </c>
    </row>
    <row r="9" spans="1:2" x14ac:dyDescent="0.25">
      <c r="A9" s="843">
        <v>12401</v>
      </c>
      <c r="B9" s="844" t="s">
        <v>7606</v>
      </c>
    </row>
    <row r="10" spans="1:2" x14ac:dyDescent="0.25">
      <c r="A10" s="843">
        <v>13101</v>
      </c>
      <c r="B10" s="844" t="s">
        <v>7607</v>
      </c>
    </row>
    <row r="11" spans="1:2" x14ac:dyDescent="0.25">
      <c r="A11" s="843">
        <v>13102</v>
      </c>
      <c r="B11" s="844" t="s">
        <v>7608</v>
      </c>
    </row>
    <row r="12" spans="1:2" x14ac:dyDescent="0.25">
      <c r="A12" s="843">
        <v>13103</v>
      </c>
      <c r="B12" s="844" t="s">
        <v>7609</v>
      </c>
    </row>
    <row r="13" spans="1:2" x14ac:dyDescent="0.25">
      <c r="A13" s="843">
        <v>13104</v>
      </c>
      <c r="B13" s="844" t="s">
        <v>7610</v>
      </c>
    </row>
    <row r="14" spans="1:2" x14ac:dyDescent="0.25">
      <c r="A14" s="843">
        <v>13201</v>
      </c>
      <c r="B14" s="844" t="s">
        <v>7611</v>
      </c>
    </row>
    <row r="15" spans="1:2" x14ac:dyDescent="0.25">
      <c r="A15" s="843">
        <v>13202</v>
      </c>
      <c r="B15" s="844" t="s">
        <v>7612</v>
      </c>
    </row>
    <row r="16" spans="1:2" x14ac:dyDescent="0.25">
      <c r="A16" s="843">
        <v>13301</v>
      </c>
      <c r="B16" s="844" t="s">
        <v>7613</v>
      </c>
    </row>
    <row r="17" spans="1:2" x14ac:dyDescent="0.25">
      <c r="A17" s="843">
        <v>13401</v>
      </c>
      <c r="B17" s="844" t="s">
        <v>7614</v>
      </c>
    </row>
    <row r="18" spans="1:2" x14ac:dyDescent="0.25">
      <c r="A18" s="843">
        <v>13402</v>
      </c>
      <c r="B18" s="844" t="s">
        <v>7615</v>
      </c>
    </row>
    <row r="19" spans="1:2" x14ac:dyDescent="0.25">
      <c r="A19" s="843">
        <v>13403</v>
      </c>
      <c r="B19" s="844" t="s">
        <v>7616</v>
      </c>
    </row>
    <row r="20" spans="1:2" x14ac:dyDescent="0.25">
      <c r="A20" s="843">
        <v>13404</v>
      </c>
      <c r="B20" s="844" t="s">
        <v>7617</v>
      </c>
    </row>
    <row r="21" spans="1:2" x14ac:dyDescent="0.25">
      <c r="A21" s="843">
        <v>13405</v>
      </c>
      <c r="B21" s="844" t="s">
        <v>7618</v>
      </c>
    </row>
    <row r="22" spans="1:2" x14ac:dyDescent="0.25">
      <c r="A22" s="843">
        <v>13406</v>
      </c>
      <c r="B22" s="844" t="s">
        <v>7619</v>
      </c>
    </row>
    <row r="23" spans="1:2" x14ac:dyDescent="0.25">
      <c r="A23" s="843">
        <v>13407</v>
      </c>
      <c r="B23" s="844" t="s">
        <v>7620</v>
      </c>
    </row>
    <row r="24" spans="1:2" x14ac:dyDescent="0.25">
      <c r="A24" s="843">
        <v>13408</v>
      </c>
      <c r="B24" s="844" t="s">
        <v>7621</v>
      </c>
    </row>
    <row r="25" spans="1:2" x14ac:dyDescent="0.25">
      <c r="A25" s="843">
        <v>13409</v>
      </c>
      <c r="B25" s="844" t="s">
        <v>7622</v>
      </c>
    </row>
    <row r="26" spans="1:2" x14ac:dyDescent="0.25">
      <c r="A26" s="843">
        <v>13410</v>
      </c>
      <c r="B26" s="844" t="s">
        <v>7623</v>
      </c>
    </row>
    <row r="27" spans="1:2" x14ac:dyDescent="0.25">
      <c r="A27" s="843">
        <v>13411</v>
      </c>
      <c r="B27" s="844" t="s">
        <v>7624</v>
      </c>
    </row>
    <row r="28" spans="1:2" x14ac:dyDescent="0.25">
      <c r="A28" s="843">
        <v>13412</v>
      </c>
      <c r="B28" s="844" t="s">
        <v>7625</v>
      </c>
    </row>
    <row r="29" spans="1:2" x14ac:dyDescent="0.25">
      <c r="A29" s="843">
        <v>13413</v>
      </c>
      <c r="B29" s="844" t="s">
        <v>7626</v>
      </c>
    </row>
    <row r="30" spans="1:2" x14ac:dyDescent="0.25">
      <c r="A30" s="843">
        <v>13501</v>
      </c>
      <c r="B30" s="844" t="s">
        <v>7627</v>
      </c>
    </row>
    <row r="31" spans="1:2" x14ac:dyDescent="0.25">
      <c r="A31" s="843">
        <v>13601</v>
      </c>
      <c r="B31" s="844" t="s">
        <v>7628</v>
      </c>
    </row>
    <row r="32" spans="1:2" x14ac:dyDescent="0.25">
      <c r="A32" s="843">
        <v>13602</v>
      </c>
      <c r="B32" s="844" t="s">
        <v>7629</v>
      </c>
    </row>
    <row r="33" spans="1:2" x14ac:dyDescent="0.25">
      <c r="A33" s="843">
        <v>13603</v>
      </c>
      <c r="B33" s="844" t="s">
        <v>7630</v>
      </c>
    </row>
    <row r="34" spans="1:2" x14ac:dyDescent="0.25">
      <c r="A34" s="843">
        <v>13604</v>
      </c>
      <c r="B34" s="844" t="s">
        <v>7631</v>
      </c>
    </row>
    <row r="35" spans="1:2" x14ac:dyDescent="0.25">
      <c r="A35" s="843">
        <v>13605</v>
      </c>
      <c r="B35" s="844" t="s">
        <v>7632</v>
      </c>
    </row>
    <row r="36" spans="1:2" x14ac:dyDescent="0.25">
      <c r="A36" s="843">
        <v>13701</v>
      </c>
      <c r="B36" s="844" t="s">
        <v>7633</v>
      </c>
    </row>
    <row r="37" spans="1:2" x14ac:dyDescent="0.25">
      <c r="A37" s="843">
        <v>13801</v>
      </c>
      <c r="B37" s="844" t="s">
        <v>7634</v>
      </c>
    </row>
    <row r="38" spans="1:2" x14ac:dyDescent="0.25">
      <c r="A38" s="843">
        <v>14101</v>
      </c>
      <c r="B38" s="844" t="s">
        <v>7635</v>
      </c>
    </row>
    <row r="39" spans="1:2" x14ac:dyDescent="0.25">
      <c r="A39" s="843">
        <v>14102</v>
      </c>
      <c r="B39" s="844" t="s">
        <v>7636</v>
      </c>
    </row>
    <row r="40" spans="1:2" x14ac:dyDescent="0.25">
      <c r="A40" s="843">
        <v>14103</v>
      </c>
      <c r="B40" s="844" t="s">
        <v>7637</v>
      </c>
    </row>
    <row r="41" spans="1:2" x14ac:dyDescent="0.25">
      <c r="A41" s="843">
        <v>14104</v>
      </c>
      <c r="B41" s="844" t="s">
        <v>7638</v>
      </c>
    </row>
    <row r="42" spans="1:2" x14ac:dyDescent="0.25">
      <c r="A42" s="843">
        <v>14105</v>
      </c>
      <c r="B42" s="844" t="s">
        <v>7639</v>
      </c>
    </row>
    <row r="43" spans="1:2" x14ac:dyDescent="0.25">
      <c r="A43" s="843">
        <v>14201</v>
      </c>
      <c r="B43" s="844" t="s">
        <v>7640</v>
      </c>
    </row>
    <row r="44" spans="1:2" x14ac:dyDescent="0.25">
      <c r="A44" s="843">
        <v>14202</v>
      </c>
      <c r="B44" s="844" t="s">
        <v>7641</v>
      </c>
    </row>
    <row r="45" spans="1:2" x14ac:dyDescent="0.25">
      <c r="A45" s="843">
        <v>14301</v>
      </c>
      <c r="B45" s="844" t="s">
        <v>7642</v>
      </c>
    </row>
    <row r="46" spans="1:2" x14ac:dyDescent="0.25">
      <c r="A46" s="843">
        <v>14302</v>
      </c>
      <c r="B46" s="844" t="s">
        <v>7643</v>
      </c>
    </row>
    <row r="47" spans="1:2" x14ac:dyDescent="0.25">
      <c r="A47" s="843">
        <v>14401</v>
      </c>
      <c r="B47" s="844" t="s">
        <v>7644</v>
      </c>
    </row>
    <row r="48" spans="1:2" x14ac:dyDescent="0.25">
      <c r="A48" s="843">
        <v>14402</v>
      </c>
      <c r="B48" s="844" t="s">
        <v>7645</v>
      </c>
    </row>
    <row r="49" spans="1:2" x14ac:dyDescent="0.25">
      <c r="A49" s="843">
        <v>14403</v>
      </c>
      <c r="B49" s="844" t="s">
        <v>7646</v>
      </c>
    </row>
    <row r="50" spans="1:2" x14ac:dyDescent="0.25">
      <c r="A50" s="843">
        <v>14404</v>
      </c>
      <c r="B50" s="844" t="s">
        <v>7647</v>
      </c>
    </row>
    <row r="51" spans="1:2" x14ac:dyDescent="0.25">
      <c r="A51" s="843">
        <v>14405</v>
      </c>
      <c r="B51" s="844" t="s">
        <v>7648</v>
      </c>
    </row>
    <row r="52" spans="1:2" x14ac:dyDescent="0.25">
      <c r="A52" s="843">
        <v>14406</v>
      </c>
      <c r="B52" s="844" t="s">
        <v>7649</v>
      </c>
    </row>
    <row r="53" spans="1:2" x14ac:dyDescent="0.25">
      <c r="A53" s="843">
        <v>15101</v>
      </c>
      <c r="B53" s="844" t="s">
        <v>7650</v>
      </c>
    </row>
    <row r="54" spans="1:2" x14ac:dyDescent="0.25">
      <c r="A54" s="843">
        <v>15102</v>
      </c>
      <c r="B54" s="844" t="s">
        <v>7651</v>
      </c>
    </row>
    <row r="55" spans="1:2" x14ac:dyDescent="0.25">
      <c r="A55" s="843">
        <v>15103</v>
      </c>
      <c r="B55" s="844" t="s">
        <v>7652</v>
      </c>
    </row>
    <row r="56" spans="1:2" x14ac:dyDescent="0.25">
      <c r="A56" s="843">
        <v>15201</v>
      </c>
      <c r="B56" s="844" t="s">
        <v>7653</v>
      </c>
    </row>
    <row r="57" spans="1:2" x14ac:dyDescent="0.25">
      <c r="A57" s="843">
        <v>15202</v>
      </c>
      <c r="B57" s="844" t="s">
        <v>7654</v>
      </c>
    </row>
    <row r="58" spans="1:2" x14ac:dyDescent="0.25">
      <c r="A58" s="843">
        <v>15301</v>
      </c>
      <c r="B58" s="844" t="s">
        <v>7655</v>
      </c>
    </row>
    <row r="59" spans="1:2" x14ac:dyDescent="0.25">
      <c r="A59" s="843">
        <v>15401</v>
      </c>
      <c r="B59" s="844" t="s">
        <v>7656</v>
      </c>
    </row>
    <row r="60" spans="1:2" x14ac:dyDescent="0.25">
      <c r="A60" s="843">
        <v>15402</v>
      </c>
      <c r="B60" s="844" t="s">
        <v>7657</v>
      </c>
    </row>
    <row r="61" spans="1:2" x14ac:dyDescent="0.25">
      <c r="A61" s="843">
        <v>15403</v>
      </c>
      <c r="B61" s="844" t="s">
        <v>7658</v>
      </c>
    </row>
    <row r="62" spans="1:2" x14ac:dyDescent="0.25">
      <c r="A62" s="843">
        <v>15501</v>
      </c>
      <c r="B62" s="844" t="s">
        <v>7659</v>
      </c>
    </row>
    <row r="63" spans="1:2" x14ac:dyDescent="0.25">
      <c r="A63" s="843">
        <v>15901</v>
      </c>
      <c r="B63" s="844" t="s">
        <v>7660</v>
      </c>
    </row>
    <row r="64" spans="1:2" x14ac:dyDescent="0.25">
      <c r="A64" s="843">
        <v>15902</v>
      </c>
      <c r="B64" s="844" t="s">
        <v>7661</v>
      </c>
    </row>
    <row r="65" spans="1:2" x14ac:dyDescent="0.25">
      <c r="A65" s="843">
        <v>16101</v>
      </c>
      <c r="B65" s="844" t="s">
        <v>7662</v>
      </c>
    </row>
    <row r="66" spans="1:2" x14ac:dyDescent="0.25">
      <c r="A66" s="843">
        <v>16102</v>
      </c>
      <c r="B66" s="844" t="s">
        <v>7663</v>
      </c>
    </row>
    <row r="67" spans="1:2" x14ac:dyDescent="0.25">
      <c r="A67" s="843">
        <v>16103</v>
      </c>
      <c r="B67" s="844" t="s">
        <v>7664</v>
      </c>
    </row>
    <row r="68" spans="1:2" x14ac:dyDescent="0.25">
      <c r="A68" s="843">
        <v>16104</v>
      </c>
      <c r="B68" s="844" t="s">
        <v>7665</v>
      </c>
    </row>
    <row r="69" spans="1:2" x14ac:dyDescent="0.25">
      <c r="A69" s="843">
        <v>16105</v>
      </c>
      <c r="B69" s="844" t="s">
        <v>7666</v>
      </c>
    </row>
    <row r="70" spans="1:2" x14ac:dyDescent="0.25">
      <c r="A70" s="843">
        <v>16106</v>
      </c>
      <c r="B70" s="844" t="s">
        <v>7667</v>
      </c>
    </row>
    <row r="71" spans="1:2" x14ac:dyDescent="0.25">
      <c r="A71" s="843">
        <v>16107</v>
      </c>
      <c r="B71" s="844" t="s">
        <v>7668</v>
      </c>
    </row>
    <row r="72" spans="1:2" x14ac:dyDescent="0.25">
      <c r="A72" s="843">
        <v>16108</v>
      </c>
      <c r="B72" s="844" t="s">
        <v>7669</v>
      </c>
    </row>
    <row r="73" spans="1:2" x14ac:dyDescent="0.25">
      <c r="A73" s="843">
        <v>17101</v>
      </c>
      <c r="B73" s="844" t="s">
        <v>7670</v>
      </c>
    </row>
    <row r="74" spans="1:2" x14ac:dyDescent="0.25">
      <c r="A74" s="843">
        <v>17102</v>
      </c>
      <c r="B74" s="844" t="s">
        <v>7671</v>
      </c>
    </row>
    <row r="75" spans="1:2" x14ac:dyDescent="0.25">
      <c r="A75" s="843">
        <v>21101</v>
      </c>
      <c r="B75" s="844" t="s">
        <v>7672</v>
      </c>
    </row>
    <row r="76" spans="1:2" x14ac:dyDescent="0.25">
      <c r="A76" s="843">
        <v>21201</v>
      </c>
      <c r="B76" s="844" t="s">
        <v>7673</v>
      </c>
    </row>
    <row r="77" spans="1:2" x14ac:dyDescent="0.25">
      <c r="A77" s="843">
        <v>21301</v>
      </c>
      <c r="B77" s="844" t="s">
        <v>7674</v>
      </c>
    </row>
    <row r="78" spans="1:2" x14ac:dyDescent="0.25">
      <c r="A78" s="843">
        <v>21401</v>
      </c>
      <c r="B78" s="844" t="s">
        <v>1118</v>
      </c>
    </row>
    <row r="79" spans="1:2" x14ac:dyDescent="0.25">
      <c r="A79" s="843">
        <v>21501</v>
      </c>
      <c r="B79" s="844" t="s">
        <v>7675</v>
      </c>
    </row>
    <row r="80" spans="1:2" x14ac:dyDescent="0.25">
      <c r="A80" s="843">
        <v>21502</v>
      </c>
      <c r="B80" s="844" t="s">
        <v>7676</v>
      </c>
    </row>
    <row r="81" spans="1:2" x14ac:dyDescent="0.25">
      <c r="A81" s="843">
        <v>21601</v>
      </c>
      <c r="B81" s="844" t="s">
        <v>7677</v>
      </c>
    </row>
    <row r="82" spans="1:2" x14ac:dyDescent="0.25">
      <c r="A82" s="843">
        <v>21701</v>
      </c>
      <c r="B82" s="844" t="s">
        <v>7678</v>
      </c>
    </row>
    <row r="83" spans="1:2" x14ac:dyDescent="0.25">
      <c r="A83" s="843">
        <v>22101</v>
      </c>
      <c r="B83" s="844" t="s">
        <v>7679</v>
      </c>
    </row>
    <row r="84" spans="1:2" x14ac:dyDescent="0.25">
      <c r="A84" s="843">
        <v>22102</v>
      </c>
      <c r="B84" s="844" t="s">
        <v>7680</v>
      </c>
    </row>
    <row r="85" spans="1:2" x14ac:dyDescent="0.25">
      <c r="A85" s="843">
        <v>22103</v>
      </c>
      <c r="B85" s="844" t="s">
        <v>7681</v>
      </c>
    </row>
    <row r="86" spans="1:2" x14ac:dyDescent="0.25">
      <c r="A86" s="843">
        <v>22104</v>
      </c>
      <c r="B86" s="844" t="s">
        <v>7682</v>
      </c>
    </row>
    <row r="87" spans="1:2" x14ac:dyDescent="0.25">
      <c r="A87" s="843">
        <v>22105</v>
      </c>
      <c r="B87" s="844" t="s">
        <v>7683</v>
      </c>
    </row>
    <row r="88" spans="1:2" x14ac:dyDescent="0.25">
      <c r="A88" s="843">
        <v>22106</v>
      </c>
      <c r="B88" s="844" t="s">
        <v>7684</v>
      </c>
    </row>
    <row r="89" spans="1:2" x14ac:dyDescent="0.25">
      <c r="A89" s="843">
        <v>22201</v>
      </c>
      <c r="B89" s="844" t="s">
        <v>7685</v>
      </c>
    </row>
    <row r="90" spans="1:2" x14ac:dyDescent="0.25">
      <c r="A90" s="843">
        <v>22301</v>
      </c>
      <c r="B90" s="844" t="s">
        <v>7686</v>
      </c>
    </row>
    <row r="91" spans="1:2" x14ac:dyDescent="0.25">
      <c r="A91" s="843">
        <v>23101</v>
      </c>
      <c r="B91" s="844" t="s">
        <v>7687</v>
      </c>
    </row>
    <row r="92" spans="1:2" x14ac:dyDescent="0.25">
      <c r="A92" s="843">
        <v>23201</v>
      </c>
      <c r="B92" s="844" t="s">
        <v>7688</v>
      </c>
    </row>
    <row r="93" spans="1:2" x14ac:dyDescent="0.25">
      <c r="A93" s="843">
        <v>23301</v>
      </c>
      <c r="B93" s="844" t="s">
        <v>7689</v>
      </c>
    </row>
    <row r="94" spans="1:2" x14ac:dyDescent="0.25">
      <c r="A94" s="843">
        <v>23401</v>
      </c>
      <c r="B94" s="844" t="s">
        <v>7690</v>
      </c>
    </row>
    <row r="95" spans="1:2" x14ac:dyDescent="0.25">
      <c r="A95" s="843">
        <v>23501</v>
      </c>
      <c r="B95" s="844" t="s">
        <v>7691</v>
      </c>
    </row>
    <row r="96" spans="1:2" x14ac:dyDescent="0.25">
      <c r="A96" s="843">
        <v>23601</v>
      </c>
      <c r="B96" s="844" t="s">
        <v>7692</v>
      </c>
    </row>
    <row r="97" spans="1:2" x14ac:dyDescent="0.25">
      <c r="A97" s="843">
        <v>23701</v>
      </c>
      <c r="B97" s="844" t="s">
        <v>7693</v>
      </c>
    </row>
    <row r="98" spans="1:2" x14ac:dyDescent="0.25">
      <c r="A98" s="843">
        <v>23801</v>
      </c>
      <c r="B98" s="844" t="s">
        <v>7694</v>
      </c>
    </row>
    <row r="99" spans="1:2" x14ac:dyDescent="0.25">
      <c r="A99" s="843">
        <v>23901</v>
      </c>
      <c r="B99" s="844" t="s">
        <v>7695</v>
      </c>
    </row>
    <row r="100" spans="1:2" x14ac:dyDescent="0.25">
      <c r="A100" s="843">
        <v>23902</v>
      </c>
      <c r="B100" s="844" t="s">
        <v>7696</v>
      </c>
    </row>
    <row r="101" spans="1:2" x14ac:dyDescent="0.25">
      <c r="A101" s="843">
        <v>24101</v>
      </c>
      <c r="B101" s="844" t="s">
        <v>7697</v>
      </c>
    </row>
    <row r="102" spans="1:2" x14ac:dyDescent="0.25">
      <c r="A102" s="843">
        <v>24201</v>
      </c>
      <c r="B102" s="844" t="s">
        <v>7698</v>
      </c>
    </row>
    <row r="103" spans="1:2" x14ac:dyDescent="0.25">
      <c r="A103" s="843">
        <v>24301</v>
      </c>
      <c r="B103" s="844" t="s">
        <v>7699</v>
      </c>
    </row>
    <row r="104" spans="1:2" x14ac:dyDescent="0.25">
      <c r="A104" s="843">
        <v>24401</v>
      </c>
      <c r="B104" s="844" t="s">
        <v>7700</v>
      </c>
    </row>
    <row r="105" spans="1:2" x14ac:dyDescent="0.25">
      <c r="A105" s="843">
        <v>24501</v>
      </c>
      <c r="B105" s="844" t="s">
        <v>7701</v>
      </c>
    </row>
    <row r="106" spans="1:2" x14ac:dyDescent="0.25">
      <c r="A106" s="843">
        <v>24601</v>
      </c>
      <c r="B106" s="844" t="s">
        <v>7702</v>
      </c>
    </row>
    <row r="107" spans="1:2" x14ac:dyDescent="0.25">
      <c r="A107" s="843">
        <v>24701</v>
      </c>
      <c r="B107" s="844" t="s">
        <v>7703</v>
      </c>
    </row>
    <row r="108" spans="1:2" x14ac:dyDescent="0.25">
      <c r="A108" s="843">
        <v>24801</v>
      </c>
      <c r="B108" s="844" t="s">
        <v>7704</v>
      </c>
    </row>
    <row r="109" spans="1:2" x14ac:dyDescent="0.25">
      <c r="A109" s="843">
        <v>24901</v>
      </c>
      <c r="B109" s="844" t="s">
        <v>7705</v>
      </c>
    </row>
    <row r="110" spans="1:2" x14ac:dyDescent="0.25">
      <c r="A110" s="843">
        <v>25101</v>
      </c>
      <c r="B110" s="844" t="s">
        <v>7706</v>
      </c>
    </row>
    <row r="111" spans="1:2" x14ac:dyDescent="0.25">
      <c r="A111" s="843">
        <v>25201</v>
      </c>
      <c r="B111" s="844" t="s">
        <v>7707</v>
      </c>
    </row>
    <row r="112" spans="1:2" x14ac:dyDescent="0.25">
      <c r="A112" s="843">
        <v>25301</v>
      </c>
      <c r="B112" s="844" t="s">
        <v>7708</v>
      </c>
    </row>
    <row r="113" spans="1:2" x14ac:dyDescent="0.25">
      <c r="A113" s="843">
        <v>25401</v>
      </c>
      <c r="B113" s="844" t="s">
        <v>7709</v>
      </c>
    </row>
    <row r="114" spans="1:2" x14ac:dyDescent="0.25">
      <c r="A114" s="843">
        <v>25501</v>
      </c>
      <c r="B114" s="844" t="s">
        <v>7710</v>
      </c>
    </row>
    <row r="115" spans="1:2" x14ac:dyDescent="0.25">
      <c r="A115" s="843">
        <v>25901</v>
      </c>
      <c r="B115" s="844" t="s">
        <v>7711</v>
      </c>
    </row>
    <row r="116" spans="1:2" x14ac:dyDescent="0.25">
      <c r="A116" s="843">
        <v>26101</v>
      </c>
      <c r="B116" s="844" t="s">
        <v>7712</v>
      </c>
    </row>
    <row r="117" spans="1:2" x14ac:dyDescent="0.25">
      <c r="A117" s="843">
        <v>26102</v>
      </c>
      <c r="B117" s="844" t="s">
        <v>7713</v>
      </c>
    </row>
    <row r="118" spans="1:2" x14ac:dyDescent="0.25">
      <c r="A118" s="843">
        <v>26103</v>
      </c>
      <c r="B118" s="844" t="s">
        <v>7714</v>
      </c>
    </row>
    <row r="119" spans="1:2" x14ac:dyDescent="0.25">
      <c r="A119" s="843">
        <v>26104</v>
      </c>
      <c r="B119" s="844" t="s">
        <v>7715</v>
      </c>
    </row>
    <row r="120" spans="1:2" x14ac:dyDescent="0.25">
      <c r="A120" s="843">
        <v>26105</v>
      </c>
      <c r="B120" s="844" t="s">
        <v>7716</v>
      </c>
    </row>
    <row r="121" spans="1:2" x14ac:dyDescent="0.25">
      <c r="A121" s="843">
        <v>26106</v>
      </c>
      <c r="B121" s="844" t="s">
        <v>7717</v>
      </c>
    </row>
    <row r="122" spans="1:2" x14ac:dyDescent="0.25">
      <c r="A122" s="843">
        <v>26107</v>
      </c>
      <c r="B122" s="844" t="s">
        <v>7718</v>
      </c>
    </row>
    <row r="123" spans="1:2" x14ac:dyDescent="0.25">
      <c r="A123" s="843">
        <v>26108</v>
      </c>
      <c r="B123" s="844" t="s">
        <v>7719</v>
      </c>
    </row>
    <row r="124" spans="1:2" x14ac:dyDescent="0.25">
      <c r="A124" s="843">
        <v>27101</v>
      </c>
      <c r="B124" s="844" t="s">
        <v>7720</v>
      </c>
    </row>
    <row r="125" spans="1:2" x14ac:dyDescent="0.25">
      <c r="A125" s="843">
        <v>27201</v>
      </c>
      <c r="B125" s="844" t="s">
        <v>7721</v>
      </c>
    </row>
    <row r="126" spans="1:2" x14ac:dyDescent="0.25">
      <c r="A126" s="843">
        <v>27301</v>
      </c>
      <c r="B126" s="844" t="s">
        <v>7722</v>
      </c>
    </row>
    <row r="127" spans="1:2" x14ac:dyDescent="0.25">
      <c r="A127" s="843">
        <v>27401</v>
      </c>
      <c r="B127" s="844" t="s">
        <v>7723</v>
      </c>
    </row>
    <row r="128" spans="1:2" x14ac:dyDescent="0.25">
      <c r="A128" s="843">
        <v>27501</v>
      </c>
      <c r="B128" s="844" t="s">
        <v>7724</v>
      </c>
    </row>
    <row r="129" spans="1:2" x14ac:dyDescent="0.25">
      <c r="A129" s="843">
        <v>28101</v>
      </c>
      <c r="B129" s="844" t="s">
        <v>7725</v>
      </c>
    </row>
    <row r="130" spans="1:2" x14ac:dyDescent="0.25">
      <c r="A130" s="843">
        <v>28201</v>
      </c>
      <c r="B130" s="844" t="s">
        <v>7726</v>
      </c>
    </row>
    <row r="131" spans="1:2" x14ac:dyDescent="0.25">
      <c r="A131" s="843">
        <v>28301</v>
      </c>
      <c r="B131" s="844" t="s">
        <v>7727</v>
      </c>
    </row>
    <row r="132" spans="1:2" x14ac:dyDescent="0.25">
      <c r="A132" s="843">
        <v>29101</v>
      </c>
      <c r="B132" s="844" t="s">
        <v>7728</v>
      </c>
    </row>
    <row r="133" spans="1:2" x14ac:dyDescent="0.25">
      <c r="A133" s="843">
        <v>29201</v>
      </c>
      <c r="B133" s="844" t="s">
        <v>7729</v>
      </c>
    </row>
    <row r="134" spans="1:2" x14ac:dyDescent="0.25">
      <c r="A134" s="843">
        <v>29301</v>
      </c>
      <c r="B134" s="844" t="s">
        <v>7730</v>
      </c>
    </row>
    <row r="135" spans="1:2" x14ac:dyDescent="0.25">
      <c r="A135" s="843">
        <v>29401</v>
      </c>
      <c r="B135" s="844" t="s">
        <v>7731</v>
      </c>
    </row>
    <row r="136" spans="1:2" x14ac:dyDescent="0.25">
      <c r="A136" s="843">
        <v>29501</v>
      </c>
      <c r="B136" s="844" t="s">
        <v>7732</v>
      </c>
    </row>
    <row r="137" spans="1:2" x14ac:dyDescent="0.25">
      <c r="A137" s="843">
        <v>29601</v>
      </c>
      <c r="B137" s="844" t="s">
        <v>7733</v>
      </c>
    </row>
    <row r="138" spans="1:2" x14ac:dyDescent="0.25">
      <c r="A138" s="843">
        <v>29701</v>
      </c>
      <c r="B138" s="844" t="s">
        <v>7734</v>
      </c>
    </row>
    <row r="139" spans="1:2" x14ac:dyDescent="0.25">
      <c r="A139" s="843">
        <v>29801</v>
      </c>
      <c r="B139" s="844" t="s">
        <v>7735</v>
      </c>
    </row>
    <row r="140" spans="1:2" x14ac:dyDescent="0.25">
      <c r="A140" s="843">
        <v>29901</v>
      </c>
      <c r="B140" s="844" t="s">
        <v>7736</v>
      </c>
    </row>
    <row r="141" spans="1:2" x14ac:dyDescent="0.25">
      <c r="A141" s="843">
        <v>31101</v>
      </c>
      <c r="B141" s="844" t="s">
        <v>7737</v>
      </c>
    </row>
    <row r="142" spans="1:2" x14ac:dyDescent="0.25">
      <c r="A142" s="843">
        <v>31201</v>
      </c>
      <c r="B142" s="844" t="s">
        <v>7738</v>
      </c>
    </row>
    <row r="143" spans="1:2" x14ac:dyDescent="0.25">
      <c r="A143" s="843">
        <v>31301</v>
      </c>
      <c r="B143" s="844" t="s">
        <v>7739</v>
      </c>
    </row>
    <row r="144" spans="1:2" x14ac:dyDescent="0.25">
      <c r="A144" s="843">
        <v>31401</v>
      </c>
      <c r="B144" s="844" t="s">
        <v>7740</v>
      </c>
    </row>
    <row r="145" spans="1:2" x14ac:dyDescent="0.25">
      <c r="A145" s="843">
        <v>31501</v>
      </c>
      <c r="B145" s="844" t="s">
        <v>7741</v>
      </c>
    </row>
    <row r="146" spans="1:2" x14ac:dyDescent="0.25">
      <c r="A146" s="843">
        <v>31601</v>
      </c>
      <c r="B146" s="844" t="s">
        <v>7742</v>
      </c>
    </row>
    <row r="147" spans="1:2" x14ac:dyDescent="0.25">
      <c r="A147" s="843">
        <v>31602</v>
      </c>
      <c r="B147" s="844" t="s">
        <v>7743</v>
      </c>
    </row>
    <row r="148" spans="1:2" x14ac:dyDescent="0.25">
      <c r="A148" s="845">
        <v>31603</v>
      </c>
      <c r="B148" s="846" t="s">
        <v>7744</v>
      </c>
    </row>
    <row r="149" spans="1:2" x14ac:dyDescent="0.25">
      <c r="A149" s="845">
        <v>31701</v>
      </c>
      <c r="B149" s="846" t="s">
        <v>7745</v>
      </c>
    </row>
    <row r="150" spans="1:2" x14ac:dyDescent="0.25">
      <c r="A150" s="843">
        <v>31801</v>
      </c>
      <c r="B150" s="844" t="s">
        <v>7746</v>
      </c>
    </row>
    <row r="151" spans="1:2" x14ac:dyDescent="0.25">
      <c r="A151" s="843">
        <v>31802</v>
      </c>
      <c r="B151" s="844" t="s">
        <v>7747</v>
      </c>
    </row>
    <row r="152" spans="1:2" x14ac:dyDescent="0.25">
      <c r="A152" s="843">
        <v>31901</v>
      </c>
      <c r="B152" s="844" t="s">
        <v>7748</v>
      </c>
    </row>
    <row r="153" spans="1:2" x14ac:dyDescent="0.25">
      <c r="A153" s="843">
        <v>31902</v>
      </c>
      <c r="B153" s="844" t="s">
        <v>7749</v>
      </c>
    </row>
    <row r="154" spans="1:2" x14ac:dyDescent="0.25">
      <c r="A154" s="843">
        <v>31903</v>
      </c>
      <c r="B154" s="844" t="s">
        <v>7750</v>
      </c>
    </row>
    <row r="155" spans="1:2" x14ac:dyDescent="0.25">
      <c r="A155" s="843">
        <v>31904</v>
      </c>
      <c r="B155" s="844" t="s">
        <v>7751</v>
      </c>
    </row>
    <row r="156" spans="1:2" x14ac:dyDescent="0.25">
      <c r="A156" s="843">
        <v>32101</v>
      </c>
      <c r="B156" s="844" t="s">
        <v>7752</v>
      </c>
    </row>
    <row r="157" spans="1:2" x14ac:dyDescent="0.25">
      <c r="A157" s="843">
        <v>32201</v>
      </c>
      <c r="B157" s="844" t="s">
        <v>7753</v>
      </c>
    </row>
    <row r="158" spans="1:2" x14ac:dyDescent="0.25">
      <c r="A158" s="843">
        <v>32301</v>
      </c>
      <c r="B158" s="844" t="s">
        <v>7754</v>
      </c>
    </row>
    <row r="159" spans="1:2" x14ac:dyDescent="0.25">
      <c r="A159" s="843">
        <v>32302</v>
      </c>
      <c r="B159" s="844" t="s">
        <v>7755</v>
      </c>
    </row>
    <row r="160" spans="1:2" x14ac:dyDescent="0.25">
      <c r="A160" s="843">
        <v>32303</v>
      </c>
      <c r="B160" s="844" t="s">
        <v>7756</v>
      </c>
    </row>
    <row r="161" spans="1:2" x14ac:dyDescent="0.25">
      <c r="A161" s="843">
        <v>32501</v>
      </c>
      <c r="B161" s="844" t="s">
        <v>7757</v>
      </c>
    </row>
    <row r="162" spans="1:2" x14ac:dyDescent="0.25">
      <c r="A162" s="843">
        <v>32502</v>
      </c>
      <c r="B162" s="844" t="s">
        <v>7758</v>
      </c>
    </row>
    <row r="163" spans="1:2" x14ac:dyDescent="0.25">
      <c r="A163" s="843">
        <v>32503</v>
      </c>
      <c r="B163" s="844" t="s">
        <v>7759</v>
      </c>
    </row>
    <row r="164" spans="1:2" x14ac:dyDescent="0.25">
      <c r="A164" s="843">
        <v>32504</v>
      </c>
      <c r="B164" s="844" t="s">
        <v>7760</v>
      </c>
    </row>
    <row r="165" spans="1:2" x14ac:dyDescent="0.25">
      <c r="A165" s="843">
        <v>32505</v>
      </c>
      <c r="B165" s="844" t="s">
        <v>7761</v>
      </c>
    </row>
    <row r="166" spans="1:2" x14ac:dyDescent="0.25">
      <c r="A166" s="843">
        <v>32601</v>
      </c>
      <c r="B166" s="844" t="s">
        <v>7762</v>
      </c>
    </row>
    <row r="167" spans="1:2" x14ac:dyDescent="0.25">
      <c r="A167" s="843">
        <v>32701</v>
      </c>
      <c r="B167" s="844" t="s">
        <v>7763</v>
      </c>
    </row>
    <row r="168" spans="1:2" x14ac:dyDescent="0.25">
      <c r="A168" s="843">
        <v>32901</v>
      </c>
      <c r="B168" s="844" t="s">
        <v>7764</v>
      </c>
    </row>
    <row r="169" spans="1:2" x14ac:dyDescent="0.25">
      <c r="A169" s="843">
        <v>32902</v>
      </c>
      <c r="B169" s="844" t="s">
        <v>7765</v>
      </c>
    </row>
    <row r="170" spans="1:2" x14ac:dyDescent="0.25">
      <c r="A170" s="843">
        <v>32903</v>
      </c>
      <c r="B170" s="844" t="s">
        <v>7766</v>
      </c>
    </row>
    <row r="171" spans="1:2" x14ac:dyDescent="0.25">
      <c r="A171" s="843">
        <v>33101</v>
      </c>
      <c r="B171" s="844" t="s">
        <v>7767</v>
      </c>
    </row>
    <row r="172" spans="1:2" x14ac:dyDescent="0.25">
      <c r="A172" s="843">
        <v>33102</v>
      </c>
      <c r="B172" s="844" t="s">
        <v>7768</v>
      </c>
    </row>
    <row r="173" spans="1:2" x14ac:dyDescent="0.25">
      <c r="A173" s="843">
        <v>33103</v>
      </c>
      <c r="B173" s="844" t="s">
        <v>7769</v>
      </c>
    </row>
    <row r="174" spans="1:2" x14ac:dyDescent="0.25">
      <c r="A174" s="843">
        <v>33104</v>
      </c>
      <c r="B174" s="844" t="s">
        <v>7770</v>
      </c>
    </row>
    <row r="175" spans="1:2" x14ac:dyDescent="0.25">
      <c r="A175" s="843">
        <v>33105</v>
      </c>
      <c r="B175" s="844" t="s">
        <v>7771</v>
      </c>
    </row>
    <row r="176" spans="1:2" x14ac:dyDescent="0.25">
      <c r="A176" s="843">
        <v>33301</v>
      </c>
      <c r="B176" s="844" t="s">
        <v>7772</v>
      </c>
    </row>
    <row r="177" spans="1:2" x14ac:dyDescent="0.25">
      <c r="A177" s="843">
        <v>33302</v>
      </c>
      <c r="B177" s="844" t="s">
        <v>7773</v>
      </c>
    </row>
    <row r="178" spans="1:2" x14ac:dyDescent="0.25">
      <c r="A178" s="843">
        <v>33303</v>
      </c>
      <c r="B178" s="844" t="s">
        <v>7774</v>
      </c>
    </row>
    <row r="179" spans="1:2" x14ac:dyDescent="0.25">
      <c r="A179" s="843">
        <v>33304</v>
      </c>
      <c r="B179" s="844" t="s">
        <v>7775</v>
      </c>
    </row>
    <row r="180" spans="1:2" x14ac:dyDescent="0.25">
      <c r="A180" s="843">
        <v>33401</v>
      </c>
      <c r="B180" s="844" t="s">
        <v>7776</v>
      </c>
    </row>
    <row r="181" spans="1:2" x14ac:dyDescent="0.25">
      <c r="A181" s="843">
        <v>33501</v>
      </c>
      <c r="B181" s="844" t="s">
        <v>7777</v>
      </c>
    </row>
    <row r="182" spans="1:2" x14ac:dyDescent="0.25">
      <c r="A182" s="843">
        <v>33601</v>
      </c>
      <c r="B182" s="844" t="s">
        <v>7778</v>
      </c>
    </row>
    <row r="183" spans="1:2" x14ac:dyDescent="0.25">
      <c r="A183" s="843">
        <v>33602</v>
      </c>
      <c r="B183" s="844" t="s">
        <v>7779</v>
      </c>
    </row>
    <row r="184" spans="1:2" x14ac:dyDescent="0.25">
      <c r="A184" s="843">
        <v>33603</v>
      </c>
      <c r="B184" s="844" t="s">
        <v>7780</v>
      </c>
    </row>
    <row r="185" spans="1:2" x14ac:dyDescent="0.25">
      <c r="A185" s="843">
        <v>33604</v>
      </c>
      <c r="B185" s="844" t="s">
        <v>7781</v>
      </c>
    </row>
    <row r="186" spans="1:2" x14ac:dyDescent="0.25">
      <c r="A186" s="843">
        <v>33605</v>
      </c>
      <c r="B186" s="844" t="s">
        <v>7782</v>
      </c>
    </row>
    <row r="187" spans="1:2" x14ac:dyDescent="0.25">
      <c r="A187" s="843">
        <v>33606</v>
      </c>
      <c r="B187" s="844" t="s">
        <v>7783</v>
      </c>
    </row>
    <row r="188" spans="1:2" x14ac:dyDescent="0.25">
      <c r="A188" s="843">
        <v>33701</v>
      </c>
      <c r="B188" s="844" t="s">
        <v>7784</v>
      </c>
    </row>
    <row r="189" spans="1:2" x14ac:dyDescent="0.25">
      <c r="A189" s="843">
        <v>33702</v>
      </c>
      <c r="B189" s="844" t="s">
        <v>7785</v>
      </c>
    </row>
    <row r="190" spans="1:2" x14ac:dyDescent="0.25">
      <c r="A190" s="843">
        <v>33801</v>
      </c>
      <c r="B190" s="844" t="s">
        <v>7786</v>
      </c>
    </row>
    <row r="191" spans="1:2" x14ac:dyDescent="0.25">
      <c r="A191" s="843">
        <v>33901</v>
      </c>
      <c r="B191" s="844" t="s">
        <v>7787</v>
      </c>
    </row>
    <row r="192" spans="1:2" x14ac:dyDescent="0.25">
      <c r="A192" s="843">
        <v>33902</v>
      </c>
      <c r="B192" s="844" t="s">
        <v>7788</v>
      </c>
    </row>
    <row r="193" spans="1:2" x14ac:dyDescent="0.25">
      <c r="A193" s="843">
        <v>33903</v>
      </c>
      <c r="B193" s="844" t="s">
        <v>7789</v>
      </c>
    </row>
    <row r="194" spans="1:2" x14ac:dyDescent="0.25">
      <c r="A194" s="843">
        <v>34101</v>
      </c>
      <c r="B194" s="844" t="s">
        <v>7790</v>
      </c>
    </row>
    <row r="195" spans="1:2" x14ac:dyDescent="0.25">
      <c r="A195" s="843">
        <v>34301</v>
      </c>
      <c r="B195" s="844" t="s">
        <v>7791</v>
      </c>
    </row>
    <row r="196" spans="1:2" x14ac:dyDescent="0.25">
      <c r="A196" s="843">
        <v>34401</v>
      </c>
      <c r="B196" s="844" t="s">
        <v>7792</v>
      </c>
    </row>
    <row r="197" spans="1:2" x14ac:dyDescent="0.25">
      <c r="A197" s="843">
        <v>34501</v>
      </c>
      <c r="B197" s="844" t="s">
        <v>7793</v>
      </c>
    </row>
    <row r="198" spans="1:2" x14ac:dyDescent="0.25">
      <c r="A198" s="843">
        <v>34601</v>
      </c>
      <c r="B198" s="844" t="s">
        <v>7794</v>
      </c>
    </row>
    <row r="199" spans="1:2" x14ac:dyDescent="0.25">
      <c r="A199" s="843">
        <v>34701</v>
      </c>
      <c r="B199" s="844" t="s">
        <v>7795</v>
      </c>
    </row>
    <row r="200" spans="1:2" x14ac:dyDescent="0.25">
      <c r="A200" s="843">
        <v>34801</v>
      </c>
      <c r="B200" s="844" t="s">
        <v>7796</v>
      </c>
    </row>
    <row r="201" spans="1:2" x14ac:dyDescent="0.25">
      <c r="A201" s="843">
        <v>35101</v>
      </c>
      <c r="B201" s="844" t="s">
        <v>7797</v>
      </c>
    </row>
    <row r="202" spans="1:2" x14ac:dyDescent="0.25">
      <c r="A202" s="843">
        <v>35102</v>
      </c>
      <c r="B202" s="844" t="s">
        <v>7798</v>
      </c>
    </row>
    <row r="203" spans="1:2" x14ac:dyDescent="0.25">
      <c r="A203" s="843">
        <v>35201</v>
      </c>
      <c r="B203" s="844" t="s">
        <v>7799</v>
      </c>
    </row>
    <row r="204" spans="1:2" x14ac:dyDescent="0.25">
      <c r="A204" s="843">
        <v>35301</v>
      </c>
      <c r="B204" s="844" t="s">
        <v>7800</v>
      </c>
    </row>
    <row r="205" spans="1:2" x14ac:dyDescent="0.25">
      <c r="A205" s="843">
        <v>35401</v>
      </c>
      <c r="B205" s="844" t="s">
        <v>7801</v>
      </c>
    </row>
    <row r="206" spans="1:2" x14ac:dyDescent="0.25">
      <c r="A206" s="843">
        <v>35501</v>
      </c>
      <c r="B206" s="844" t="s">
        <v>7802</v>
      </c>
    </row>
    <row r="207" spans="1:2" x14ac:dyDescent="0.25">
      <c r="A207" s="843">
        <v>35601</v>
      </c>
      <c r="B207" s="844" t="s">
        <v>7803</v>
      </c>
    </row>
    <row r="208" spans="1:2" x14ac:dyDescent="0.25">
      <c r="A208" s="843">
        <v>35701</v>
      </c>
      <c r="B208" s="844" t="s">
        <v>7804</v>
      </c>
    </row>
    <row r="209" spans="1:2" x14ac:dyDescent="0.25">
      <c r="A209" s="843">
        <v>35702</v>
      </c>
      <c r="B209" s="844" t="s">
        <v>7805</v>
      </c>
    </row>
    <row r="210" spans="1:2" x14ac:dyDescent="0.25">
      <c r="A210" s="843">
        <v>35801</v>
      </c>
      <c r="B210" s="844" t="s">
        <v>7806</v>
      </c>
    </row>
    <row r="211" spans="1:2" x14ac:dyDescent="0.25">
      <c r="A211" s="843">
        <v>35901</v>
      </c>
      <c r="B211" s="844" t="s">
        <v>7807</v>
      </c>
    </row>
    <row r="212" spans="1:2" x14ac:dyDescent="0.25">
      <c r="A212" s="843">
        <v>36101</v>
      </c>
      <c r="B212" s="844" t="s">
        <v>7808</v>
      </c>
    </row>
    <row r="213" spans="1:2" x14ac:dyDescent="0.25">
      <c r="A213" s="843">
        <v>36201</v>
      </c>
      <c r="B213" s="844" t="s">
        <v>7809</v>
      </c>
    </row>
    <row r="214" spans="1:2" x14ac:dyDescent="0.25">
      <c r="A214" s="843">
        <v>36901</v>
      </c>
      <c r="B214" s="844" t="s">
        <v>7810</v>
      </c>
    </row>
    <row r="215" spans="1:2" x14ac:dyDescent="0.25">
      <c r="A215" s="843">
        <v>37101</v>
      </c>
      <c r="B215" s="844" t="s">
        <v>7811</v>
      </c>
    </row>
    <row r="216" spans="1:2" x14ac:dyDescent="0.25">
      <c r="A216" s="843">
        <v>37102</v>
      </c>
      <c r="B216" s="844" t="s">
        <v>7812</v>
      </c>
    </row>
    <row r="217" spans="1:2" x14ac:dyDescent="0.25">
      <c r="A217" s="843">
        <v>37103</v>
      </c>
      <c r="B217" s="844" t="s">
        <v>7813</v>
      </c>
    </row>
    <row r="218" spans="1:2" x14ac:dyDescent="0.25">
      <c r="A218" s="843">
        <v>37104</v>
      </c>
      <c r="B218" s="844" t="s">
        <v>7814</v>
      </c>
    </row>
    <row r="219" spans="1:2" x14ac:dyDescent="0.25">
      <c r="A219" s="843">
        <v>37105</v>
      </c>
      <c r="B219" s="844" t="s">
        <v>7815</v>
      </c>
    </row>
    <row r="220" spans="1:2" x14ac:dyDescent="0.25">
      <c r="A220" s="843">
        <v>37106</v>
      </c>
      <c r="B220" s="844" t="s">
        <v>7816</v>
      </c>
    </row>
    <row r="221" spans="1:2" x14ac:dyDescent="0.25">
      <c r="A221" s="843">
        <v>37201</v>
      </c>
      <c r="B221" s="844" t="s">
        <v>7817</v>
      </c>
    </row>
    <row r="222" spans="1:2" x14ac:dyDescent="0.25">
      <c r="A222" s="843">
        <v>37202</v>
      </c>
      <c r="B222" s="844" t="s">
        <v>7818</v>
      </c>
    </row>
    <row r="223" spans="1:2" x14ac:dyDescent="0.25">
      <c r="A223" s="843">
        <v>37203</v>
      </c>
      <c r="B223" s="844" t="s">
        <v>7819</v>
      </c>
    </row>
    <row r="224" spans="1:2" x14ac:dyDescent="0.25">
      <c r="A224" s="843">
        <v>37204</v>
      </c>
      <c r="B224" s="844" t="s">
        <v>7820</v>
      </c>
    </row>
    <row r="225" spans="1:2" x14ac:dyDescent="0.25">
      <c r="A225" s="843">
        <v>37205</v>
      </c>
      <c r="B225" s="844" t="s">
        <v>7821</v>
      </c>
    </row>
    <row r="226" spans="1:2" x14ac:dyDescent="0.25">
      <c r="A226" s="843">
        <v>37206</v>
      </c>
      <c r="B226" s="844" t="s">
        <v>7822</v>
      </c>
    </row>
    <row r="227" spans="1:2" x14ac:dyDescent="0.25">
      <c r="A227" s="843">
        <v>37207</v>
      </c>
      <c r="B227" s="844" t="s">
        <v>7823</v>
      </c>
    </row>
    <row r="228" spans="1:2" x14ac:dyDescent="0.25">
      <c r="A228" s="843">
        <v>37501</v>
      </c>
      <c r="B228" s="844" t="s">
        <v>7824</v>
      </c>
    </row>
    <row r="229" spans="1:2" x14ac:dyDescent="0.25">
      <c r="A229" s="843">
        <v>37502</v>
      </c>
      <c r="B229" s="844" t="s">
        <v>7825</v>
      </c>
    </row>
    <row r="230" spans="1:2" x14ac:dyDescent="0.25">
      <c r="A230" s="843">
        <v>37503</v>
      </c>
      <c r="B230" s="844" t="s">
        <v>7826</v>
      </c>
    </row>
    <row r="231" spans="1:2" x14ac:dyDescent="0.25">
      <c r="A231" s="843">
        <v>37504</v>
      </c>
      <c r="B231" s="844" t="s">
        <v>7827</v>
      </c>
    </row>
    <row r="232" spans="1:2" x14ac:dyDescent="0.25">
      <c r="A232" s="843">
        <v>37601</v>
      </c>
      <c r="B232" s="844" t="s">
        <v>7828</v>
      </c>
    </row>
    <row r="233" spans="1:2" x14ac:dyDescent="0.25">
      <c r="A233" s="843">
        <v>37602</v>
      </c>
      <c r="B233" s="844" t="s">
        <v>7829</v>
      </c>
    </row>
    <row r="234" spans="1:2" x14ac:dyDescent="0.25">
      <c r="A234" s="843">
        <v>37701</v>
      </c>
      <c r="B234" s="844" t="s">
        <v>7830</v>
      </c>
    </row>
    <row r="235" spans="1:2" x14ac:dyDescent="0.25">
      <c r="A235" s="843">
        <v>37801</v>
      </c>
      <c r="B235" s="844" t="s">
        <v>7831</v>
      </c>
    </row>
    <row r="236" spans="1:2" x14ac:dyDescent="0.25">
      <c r="A236" s="843">
        <v>37802</v>
      </c>
      <c r="B236" s="844" t="s">
        <v>7832</v>
      </c>
    </row>
    <row r="237" spans="1:2" x14ac:dyDescent="0.25">
      <c r="A237" s="843">
        <v>37901</v>
      </c>
      <c r="B237" s="844" t="s">
        <v>7833</v>
      </c>
    </row>
    <row r="238" spans="1:2" x14ac:dyDescent="0.25">
      <c r="A238" s="843">
        <v>38101</v>
      </c>
      <c r="B238" s="844" t="s">
        <v>7834</v>
      </c>
    </row>
    <row r="239" spans="1:2" x14ac:dyDescent="0.25">
      <c r="A239" s="843">
        <v>38102</v>
      </c>
      <c r="B239" s="844" t="s">
        <v>7835</v>
      </c>
    </row>
    <row r="240" spans="1:2" x14ac:dyDescent="0.25">
      <c r="A240" s="843">
        <v>38103</v>
      </c>
      <c r="B240" s="844" t="s">
        <v>7836</v>
      </c>
    </row>
    <row r="241" spans="1:2" x14ac:dyDescent="0.25">
      <c r="A241" s="843">
        <v>38201</v>
      </c>
      <c r="B241" s="844" t="s">
        <v>7837</v>
      </c>
    </row>
    <row r="242" spans="1:2" x14ac:dyDescent="0.25">
      <c r="A242" s="843">
        <v>38301</v>
      </c>
      <c r="B242" s="844" t="s">
        <v>7838</v>
      </c>
    </row>
    <row r="243" spans="1:2" x14ac:dyDescent="0.25">
      <c r="A243" s="843">
        <v>38401</v>
      </c>
      <c r="B243" s="844" t="s">
        <v>7839</v>
      </c>
    </row>
    <row r="244" spans="1:2" x14ac:dyDescent="0.25">
      <c r="A244" s="843">
        <v>38501</v>
      </c>
      <c r="B244" s="844" t="s">
        <v>7840</v>
      </c>
    </row>
    <row r="245" spans="1:2" x14ac:dyDescent="0.25">
      <c r="A245" s="843">
        <v>39101</v>
      </c>
      <c r="B245" s="844" t="s">
        <v>7841</v>
      </c>
    </row>
    <row r="246" spans="1:2" x14ac:dyDescent="0.25">
      <c r="A246" s="843">
        <v>39201</v>
      </c>
      <c r="B246" s="844" t="s">
        <v>7842</v>
      </c>
    </row>
    <row r="247" spans="1:2" x14ac:dyDescent="0.25">
      <c r="A247" s="843">
        <v>39202</v>
      </c>
      <c r="B247" s="844" t="s">
        <v>7843</v>
      </c>
    </row>
    <row r="248" spans="1:2" x14ac:dyDescent="0.25">
      <c r="A248" s="843">
        <v>39301</v>
      </c>
      <c r="B248" s="844" t="s">
        <v>7844</v>
      </c>
    </row>
    <row r="249" spans="1:2" x14ac:dyDescent="0.25">
      <c r="A249" s="843">
        <v>39401</v>
      </c>
      <c r="B249" s="844" t="s">
        <v>7845</v>
      </c>
    </row>
    <row r="250" spans="1:2" x14ac:dyDescent="0.25">
      <c r="A250" s="843">
        <v>39402</v>
      </c>
      <c r="B250" s="844" t="s">
        <v>7846</v>
      </c>
    </row>
    <row r="251" spans="1:2" x14ac:dyDescent="0.25">
      <c r="A251" s="843">
        <v>39403</v>
      </c>
      <c r="B251" s="844" t="s">
        <v>7847</v>
      </c>
    </row>
    <row r="252" spans="1:2" x14ac:dyDescent="0.25">
      <c r="A252" s="843">
        <v>39501</v>
      </c>
      <c r="B252" s="844" t="s">
        <v>7848</v>
      </c>
    </row>
    <row r="253" spans="1:2" x14ac:dyDescent="0.25">
      <c r="A253" s="843">
        <v>39601</v>
      </c>
      <c r="B253" s="844" t="s">
        <v>7849</v>
      </c>
    </row>
    <row r="254" spans="1:2" x14ac:dyDescent="0.25">
      <c r="A254" s="843">
        <v>39602</v>
      </c>
      <c r="B254" s="844" t="s">
        <v>7850</v>
      </c>
    </row>
    <row r="255" spans="1:2" x14ac:dyDescent="0.25">
      <c r="A255" s="843">
        <v>39701</v>
      </c>
      <c r="B255" s="844" t="s">
        <v>7851</v>
      </c>
    </row>
    <row r="256" spans="1:2" x14ac:dyDescent="0.25">
      <c r="A256" s="843">
        <v>39801</v>
      </c>
      <c r="B256" s="844" t="s">
        <v>7852</v>
      </c>
    </row>
    <row r="257" spans="1:2" x14ac:dyDescent="0.25">
      <c r="A257" s="843">
        <v>39901</v>
      </c>
      <c r="B257" s="844" t="s">
        <v>7853</v>
      </c>
    </row>
    <row r="258" spans="1:2" x14ac:dyDescent="0.25">
      <c r="A258" s="843">
        <v>39902</v>
      </c>
      <c r="B258" s="844" t="s">
        <v>7854</v>
      </c>
    </row>
    <row r="259" spans="1:2" x14ac:dyDescent="0.25">
      <c r="A259" s="843">
        <v>39903</v>
      </c>
      <c r="B259" s="844" t="s">
        <v>7855</v>
      </c>
    </row>
    <row r="260" spans="1:2" x14ac:dyDescent="0.25">
      <c r="A260" s="843">
        <v>39904</v>
      </c>
      <c r="B260" s="844" t="s">
        <v>7856</v>
      </c>
    </row>
    <row r="261" spans="1:2" x14ac:dyDescent="0.25">
      <c r="A261" s="843">
        <v>39905</v>
      </c>
      <c r="B261" s="844" t="s">
        <v>7857</v>
      </c>
    </row>
    <row r="262" spans="1:2" x14ac:dyDescent="0.25">
      <c r="A262" s="843">
        <v>39906</v>
      </c>
      <c r="B262" s="844" t="s">
        <v>7858</v>
      </c>
    </row>
    <row r="263" spans="1:2" x14ac:dyDescent="0.25">
      <c r="A263" s="843">
        <v>39907</v>
      </c>
      <c r="B263" s="844" t="s">
        <v>7859</v>
      </c>
    </row>
    <row r="264" spans="1:2" x14ac:dyDescent="0.25">
      <c r="A264" s="843">
        <v>39908</v>
      </c>
      <c r="B264" s="844" t="s">
        <v>7860</v>
      </c>
    </row>
    <row r="265" spans="1:2" x14ac:dyDescent="0.25">
      <c r="A265" s="843">
        <v>39909</v>
      </c>
      <c r="B265" s="844" t="s">
        <v>7861</v>
      </c>
    </row>
    <row r="266" spans="1:2" x14ac:dyDescent="0.25">
      <c r="A266" s="843">
        <v>39910</v>
      </c>
      <c r="B266" s="844" t="s">
        <v>7862</v>
      </c>
    </row>
    <row r="267" spans="1:2" x14ac:dyDescent="0.25">
      <c r="A267" s="843">
        <v>41501</v>
      </c>
      <c r="B267" s="844" t="s">
        <v>7863</v>
      </c>
    </row>
    <row r="268" spans="1:2" x14ac:dyDescent="0.25">
      <c r="A268" s="843">
        <v>43101</v>
      </c>
      <c r="B268" s="844" t="s">
        <v>7864</v>
      </c>
    </row>
    <row r="269" spans="1:2" x14ac:dyDescent="0.25">
      <c r="A269" s="843">
        <v>43201</v>
      </c>
      <c r="B269" s="844" t="s">
        <v>7865</v>
      </c>
    </row>
    <row r="270" spans="1:2" x14ac:dyDescent="0.25">
      <c r="A270" s="843">
        <v>43301</v>
      </c>
      <c r="B270" s="844" t="s">
        <v>7866</v>
      </c>
    </row>
    <row r="271" spans="1:2" x14ac:dyDescent="0.25">
      <c r="A271" s="843">
        <v>43401</v>
      </c>
      <c r="B271" s="844" t="s">
        <v>7867</v>
      </c>
    </row>
    <row r="272" spans="1:2" x14ac:dyDescent="0.25">
      <c r="A272" s="843">
        <v>43501</v>
      </c>
      <c r="B272" s="844" t="s">
        <v>7868</v>
      </c>
    </row>
    <row r="273" spans="1:2" x14ac:dyDescent="0.25">
      <c r="A273" s="843">
        <v>43601</v>
      </c>
      <c r="B273" s="844" t="s">
        <v>7869</v>
      </c>
    </row>
    <row r="274" spans="1:2" x14ac:dyDescent="0.25">
      <c r="A274" s="843">
        <v>43701</v>
      </c>
      <c r="B274" s="844" t="s">
        <v>7870</v>
      </c>
    </row>
    <row r="275" spans="1:2" x14ac:dyDescent="0.25">
      <c r="A275" s="843">
        <v>43801</v>
      </c>
      <c r="B275" s="844" t="s">
        <v>7871</v>
      </c>
    </row>
    <row r="276" spans="1:2" x14ac:dyDescent="0.25">
      <c r="A276" s="843">
        <v>43802</v>
      </c>
      <c r="B276" s="844" t="s">
        <v>7872</v>
      </c>
    </row>
    <row r="277" spans="1:2" x14ac:dyDescent="0.25">
      <c r="A277" s="843">
        <v>43803</v>
      </c>
      <c r="B277" s="844" t="s">
        <v>7873</v>
      </c>
    </row>
    <row r="278" spans="1:2" x14ac:dyDescent="0.25">
      <c r="A278" s="843">
        <v>43804</v>
      </c>
      <c r="B278" s="844" t="s">
        <v>7874</v>
      </c>
    </row>
    <row r="279" spans="1:2" x14ac:dyDescent="0.25">
      <c r="A279" s="843">
        <v>43805</v>
      </c>
      <c r="B279" s="844" t="s">
        <v>7875</v>
      </c>
    </row>
    <row r="280" spans="1:2" x14ac:dyDescent="0.25">
      <c r="A280" s="843">
        <v>43806</v>
      </c>
      <c r="B280" s="844" t="s">
        <v>7876</v>
      </c>
    </row>
    <row r="281" spans="1:2" x14ac:dyDescent="0.25">
      <c r="A281" s="843">
        <v>43807</v>
      </c>
      <c r="B281" s="844" t="s">
        <v>7877</v>
      </c>
    </row>
    <row r="282" spans="1:2" x14ac:dyDescent="0.25">
      <c r="A282" s="843">
        <v>43808</v>
      </c>
      <c r="B282" s="844" t="s">
        <v>7878</v>
      </c>
    </row>
    <row r="283" spans="1:2" x14ac:dyDescent="0.25">
      <c r="A283" s="843">
        <v>43809</v>
      </c>
      <c r="B283" s="844" t="s">
        <v>7879</v>
      </c>
    </row>
    <row r="284" spans="1:2" x14ac:dyDescent="0.25">
      <c r="A284" s="843">
        <v>43810</v>
      </c>
      <c r="B284" s="844" t="s">
        <v>7880</v>
      </c>
    </row>
    <row r="285" spans="1:2" x14ac:dyDescent="0.25">
      <c r="A285" s="843">
        <v>43811</v>
      </c>
      <c r="B285" s="844" t="s">
        <v>7881</v>
      </c>
    </row>
    <row r="286" spans="1:2" x14ac:dyDescent="0.25">
      <c r="A286" s="843">
        <v>43812</v>
      </c>
      <c r="B286" s="844" t="s">
        <v>7882</v>
      </c>
    </row>
    <row r="287" spans="1:2" x14ac:dyDescent="0.25">
      <c r="A287" s="843">
        <v>43813</v>
      </c>
      <c r="B287" s="844" t="s">
        <v>7883</v>
      </c>
    </row>
    <row r="288" spans="1:2" x14ac:dyDescent="0.25">
      <c r="A288" s="843">
        <v>43814</v>
      </c>
      <c r="B288" s="844" t="s">
        <v>7884</v>
      </c>
    </row>
    <row r="289" spans="1:2" x14ac:dyDescent="0.25">
      <c r="A289" s="843">
        <v>43815</v>
      </c>
      <c r="B289" s="844" t="s">
        <v>7885</v>
      </c>
    </row>
    <row r="290" spans="1:2" x14ac:dyDescent="0.25">
      <c r="A290" s="843">
        <v>43816</v>
      </c>
      <c r="B290" s="844" t="s">
        <v>7886</v>
      </c>
    </row>
    <row r="291" spans="1:2" x14ac:dyDescent="0.25">
      <c r="A291" s="843">
        <v>43817</v>
      </c>
      <c r="B291" s="844" t="s">
        <v>7887</v>
      </c>
    </row>
    <row r="292" spans="1:2" x14ac:dyDescent="0.25">
      <c r="A292" s="843">
        <v>43818</v>
      </c>
      <c r="B292" s="844" t="s">
        <v>7888</v>
      </c>
    </row>
    <row r="293" spans="1:2" x14ac:dyDescent="0.25">
      <c r="A293" s="843">
        <v>43819</v>
      </c>
      <c r="B293" s="844" t="s">
        <v>7889</v>
      </c>
    </row>
    <row r="294" spans="1:2" x14ac:dyDescent="0.25">
      <c r="A294" s="843">
        <v>43820</v>
      </c>
      <c r="B294" s="844" t="s">
        <v>7890</v>
      </c>
    </row>
    <row r="295" spans="1:2" x14ac:dyDescent="0.25">
      <c r="A295" s="843">
        <v>43821</v>
      </c>
      <c r="B295" s="844" t="s">
        <v>7891</v>
      </c>
    </row>
    <row r="296" spans="1:2" x14ac:dyDescent="0.25">
      <c r="A296" s="843">
        <v>43822</v>
      </c>
      <c r="B296" s="844" t="s">
        <v>7892</v>
      </c>
    </row>
    <row r="297" spans="1:2" x14ac:dyDescent="0.25">
      <c r="A297" s="843">
        <v>43823</v>
      </c>
      <c r="B297" s="844" t="s">
        <v>7893</v>
      </c>
    </row>
    <row r="298" spans="1:2" x14ac:dyDescent="0.25">
      <c r="A298" s="843">
        <v>43824</v>
      </c>
      <c r="B298" s="844" t="s">
        <v>7894</v>
      </c>
    </row>
    <row r="299" spans="1:2" x14ac:dyDescent="0.25">
      <c r="A299" s="843">
        <v>43825</v>
      </c>
      <c r="B299" s="844" t="s">
        <v>7895</v>
      </c>
    </row>
    <row r="300" spans="1:2" x14ac:dyDescent="0.25">
      <c r="A300" s="843">
        <v>43826</v>
      </c>
      <c r="B300" s="844" t="s">
        <v>7896</v>
      </c>
    </row>
    <row r="301" spans="1:2" x14ac:dyDescent="0.25">
      <c r="A301" s="843">
        <v>43827</v>
      </c>
      <c r="B301" s="844" t="s">
        <v>7897</v>
      </c>
    </row>
    <row r="302" spans="1:2" x14ac:dyDescent="0.25">
      <c r="A302" s="843">
        <v>43828</v>
      </c>
      <c r="B302" s="844" t="s">
        <v>7898</v>
      </c>
    </row>
    <row r="303" spans="1:2" x14ac:dyDescent="0.25">
      <c r="A303" s="843">
        <v>43829</v>
      </c>
      <c r="B303" s="844" t="s">
        <v>7899</v>
      </c>
    </row>
    <row r="304" spans="1:2" x14ac:dyDescent="0.25">
      <c r="A304" s="843">
        <v>43830</v>
      </c>
      <c r="B304" s="844" t="s">
        <v>7900</v>
      </c>
    </row>
    <row r="305" spans="1:2" x14ac:dyDescent="0.25">
      <c r="A305" s="843">
        <v>43831</v>
      </c>
      <c r="B305" s="844" t="s">
        <v>7901</v>
      </c>
    </row>
    <row r="306" spans="1:2" x14ac:dyDescent="0.25">
      <c r="A306" s="843">
        <v>43832</v>
      </c>
      <c r="B306" s="844" t="s">
        <v>7902</v>
      </c>
    </row>
    <row r="307" spans="1:2" x14ac:dyDescent="0.25">
      <c r="A307" s="843">
        <v>43833</v>
      </c>
      <c r="B307" s="844" t="s">
        <v>7903</v>
      </c>
    </row>
    <row r="308" spans="1:2" x14ac:dyDescent="0.25">
      <c r="A308" s="843">
        <v>43901</v>
      </c>
      <c r="B308" s="844" t="s">
        <v>7904</v>
      </c>
    </row>
    <row r="309" spans="1:2" x14ac:dyDescent="0.25">
      <c r="A309" s="843">
        <v>43902</v>
      </c>
      <c r="B309" s="844" t="s">
        <v>7905</v>
      </c>
    </row>
    <row r="310" spans="1:2" x14ac:dyDescent="0.25">
      <c r="A310" s="843">
        <v>44101</v>
      </c>
      <c r="B310" s="844" t="s">
        <v>7906</v>
      </c>
    </row>
    <row r="311" spans="1:2" x14ac:dyDescent="0.25">
      <c r="A311" s="843">
        <v>44102</v>
      </c>
      <c r="B311" s="844" t="s">
        <v>7907</v>
      </c>
    </row>
    <row r="312" spans="1:2" x14ac:dyDescent="0.25">
      <c r="A312" s="843">
        <v>44103</v>
      </c>
      <c r="B312" s="844" t="s">
        <v>7908</v>
      </c>
    </row>
    <row r="313" spans="1:2" x14ac:dyDescent="0.25">
      <c r="A313" s="843">
        <v>44104</v>
      </c>
      <c r="B313" s="844" t="s">
        <v>7909</v>
      </c>
    </row>
    <row r="314" spans="1:2" x14ac:dyDescent="0.25">
      <c r="A314" s="843">
        <v>44105</v>
      </c>
      <c r="B314" s="844" t="s">
        <v>7910</v>
      </c>
    </row>
    <row r="315" spans="1:2" x14ac:dyDescent="0.25">
      <c r="A315" s="843">
        <v>44106</v>
      </c>
      <c r="B315" s="844" t="s">
        <v>7911</v>
      </c>
    </row>
    <row r="316" spans="1:2" x14ac:dyDescent="0.25">
      <c r="A316" s="843">
        <v>44107</v>
      </c>
      <c r="B316" s="844" t="s">
        <v>7912</v>
      </c>
    </row>
    <row r="317" spans="1:2" x14ac:dyDescent="0.25">
      <c r="A317" s="843">
        <v>44108</v>
      </c>
      <c r="B317" s="844" t="s">
        <v>7913</v>
      </c>
    </row>
    <row r="318" spans="1:2" x14ac:dyDescent="0.25">
      <c r="A318" s="843">
        <v>44109</v>
      </c>
      <c r="B318" s="844" t="s">
        <v>7914</v>
      </c>
    </row>
    <row r="319" spans="1:2" x14ac:dyDescent="0.25">
      <c r="A319" s="843">
        <v>44110</v>
      </c>
      <c r="B319" s="844" t="s">
        <v>7915</v>
      </c>
    </row>
    <row r="320" spans="1:2" x14ac:dyDescent="0.25">
      <c r="A320" s="843">
        <v>44401</v>
      </c>
      <c r="B320" s="844" t="s">
        <v>7916</v>
      </c>
    </row>
    <row r="321" spans="1:2" x14ac:dyDescent="0.25">
      <c r="A321" s="843">
        <v>44402</v>
      </c>
      <c r="B321" s="844" t="s">
        <v>7917</v>
      </c>
    </row>
    <row r="322" spans="1:2" x14ac:dyDescent="0.25">
      <c r="A322" s="843">
        <v>44501</v>
      </c>
      <c r="B322" s="844" t="s">
        <v>7918</v>
      </c>
    </row>
    <row r="323" spans="1:2" x14ac:dyDescent="0.25">
      <c r="A323" s="843">
        <v>44502</v>
      </c>
      <c r="B323" s="844" t="s">
        <v>7919</v>
      </c>
    </row>
    <row r="324" spans="1:2" x14ac:dyDescent="0.25">
      <c r="A324" s="843">
        <v>44801</v>
      </c>
      <c r="B324" s="844" t="s">
        <v>7920</v>
      </c>
    </row>
    <row r="325" spans="1:2" x14ac:dyDescent="0.25">
      <c r="A325" s="843">
        <v>45201</v>
      </c>
      <c r="B325" s="844" t="s">
        <v>7921</v>
      </c>
    </row>
    <row r="326" spans="1:2" x14ac:dyDescent="0.25">
      <c r="A326" s="843">
        <v>45202</v>
      </c>
      <c r="B326" s="844" t="s">
        <v>7922</v>
      </c>
    </row>
    <row r="327" spans="1:2" x14ac:dyDescent="0.25">
      <c r="A327" s="843">
        <v>45203</v>
      </c>
      <c r="B327" s="844" t="s">
        <v>7923</v>
      </c>
    </row>
    <row r="328" spans="1:2" x14ac:dyDescent="0.25">
      <c r="A328" s="843">
        <v>45901</v>
      </c>
      <c r="B328" s="844" t="s">
        <v>7924</v>
      </c>
    </row>
    <row r="329" spans="1:2" x14ac:dyDescent="0.25">
      <c r="A329" s="843">
        <v>45902</v>
      </c>
      <c r="B329" s="844" t="s">
        <v>7925</v>
      </c>
    </row>
    <row r="330" spans="1:2" x14ac:dyDescent="0.25">
      <c r="A330" s="843">
        <v>46101</v>
      </c>
      <c r="B330" s="844" t="s">
        <v>7926</v>
      </c>
    </row>
    <row r="331" spans="1:2" x14ac:dyDescent="0.25">
      <c r="A331" s="843">
        <v>46102</v>
      </c>
      <c r="B331" s="844" t="s">
        <v>7927</v>
      </c>
    </row>
    <row r="332" spans="1:2" x14ac:dyDescent="0.25">
      <c r="A332" s="843">
        <v>46301</v>
      </c>
      <c r="B332" s="844" t="s">
        <v>7928</v>
      </c>
    </row>
    <row r="333" spans="1:2" x14ac:dyDescent="0.25">
      <c r="A333" s="843">
        <v>47101</v>
      </c>
      <c r="B333" s="844" t="s">
        <v>7929</v>
      </c>
    </row>
    <row r="334" spans="1:2" x14ac:dyDescent="0.25">
      <c r="A334" s="843">
        <v>47102</v>
      </c>
      <c r="B334" s="844" t="s">
        <v>7930</v>
      </c>
    </row>
    <row r="335" spans="1:2" x14ac:dyDescent="0.25">
      <c r="A335" s="843">
        <v>48101</v>
      </c>
      <c r="B335" s="844" t="s">
        <v>7931</v>
      </c>
    </row>
    <row r="336" spans="1:2" x14ac:dyDescent="0.25">
      <c r="A336" s="843">
        <v>48201</v>
      </c>
      <c r="B336" s="844" t="s">
        <v>7932</v>
      </c>
    </row>
    <row r="337" spans="1:2" x14ac:dyDescent="0.25">
      <c r="A337" s="843">
        <v>48301</v>
      </c>
      <c r="B337" s="844" t="s">
        <v>7933</v>
      </c>
    </row>
    <row r="338" spans="1:2" x14ac:dyDescent="0.25">
      <c r="A338" s="843">
        <v>48401</v>
      </c>
      <c r="B338" s="844" t="s">
        <v>7934</v>
      </c>
    </row>
    <row r="339" spans="1:2" x14ac:dyDescent="0.25">
      <c r="A339" s="843">
        <v>48501</v>
      </c>
      <c r="B339" s="844" t="s">
        <v>7935</v>
      </c>
    </row>
    <row r="340" spans="1:2" x14ac:dyDescent="0.25">
      <c r="A340" s="843">
        <v>49201</v>
      </c>
      <c r="B340" s="844" t="s">
        <v>7936</v>
      </c>
    </row>
    <row r="341" spans="1:2" x14ac:dyDescent="0.25">
      <c r="A341" s="843">
        <v>49202</v>
      </c>
      <c r="B341" s="844" t="s">
        <v>7937</v>
      </c>
    </row>
    <row r="342" spans="1:2" x14ac:dyDescent="0.25">
      <c r="A342" s="843">
        <v>51101</v>
      </c>
      <c r="B342" s="844" t="s">
        <v>7938</v>
      </c>
    </row>
    <row r="343" spans="1:2" x14ac:dyDescent="0.25">
      <c r="A343" s="843">
        <v>51301</v>
      </c>
      <c r="B343" s="844" t="s">
        <v>7939</v>
      </c>
    </row>
    <row r="344" spans="1:2" x14ac:dyDescent="0.25">
      <c r="A344" s="843">
        <v>51501</v>
      </c>
      <c r="B344" s="844" t="s">
        <v>7940</v>
      </c>
    </row>
    <row r="345" spans="1:2" x14ac:dyDescent="0.25">
      <c r="A345" s="843">
        <v>51901</v>
      </c>
      <c r="B345" s="844" t="s">
        <v>7941</v>
      </c>
    </row>
    <row r="346" spans="1:2" x14ac:dyDescent="0.25">
      <c r="A346" s="843">
        <v>51902</v>
      </c>
      <c r="B346" s="844" t="s">
        <v>7942</v>
      </c>
    </row>
    <row r="347" spans="1:2" x14ac:dyDescent="0.25">
      <c r="A347" s="843">
        <v>52101</v>
      </c>
      <c r="B347" s="844" t="s">
        <v>7943</v>
      </c>
    </row>
    <row r="348" spans="1:2" x14ac:dyDescent="0.25">
      <c r="A348" s="843">
        <v>52201</v>
      </c>
      <c r="B348" s="844" t="s">
        <v>7944</v>
      </c>
    </row>
    <row r="349" spans="1:2" x14ac:dyDescent="0.25">
      <c r="A349" s="843">
        <v>52301</v>
      </c>
      <c r="B349" s="844" t="s">
        <v>7945</v>
      </c>
    </row>
    <row r="350" spans="1:2" x14ac:dyDescent="0.25">
      <c r="A350" s="843">
        <v>52901</v>
      </c>
      <c r="B350" s="844" t="s">
        <v>7946</v>
      </c>
    </row>
    <row r="351" spans="1:2" x14ac:dyDescent="0.25">
      <c r="A351" s="843">
        <v>53101</v>
      </c>
      <c r="B351" s="844" t="s">
        <v>7947</v>
      </c>
    </row>
    <row r="352" spans="1:2" x14ac:dyDescent="0.25">
      <c r="A352" s="843">
        <v>53201</v>
      </c>
      <c r="B352" s="844" t="s">
        <v>7948</v>
      </c>
    </row>
    <row r="353" spans="1:2" x14ac:dyDescent="0.25">
      <c r="A353" s="843">
        <v>54101</v>
      </c>
      <c r="B353" s="844" t="s">
        <v>7949</v>
      </c>
    </row>
    <row r="354" spans="1:2" x14ac:dyDescent="0.25">
      <c r="A354" s="843">
        <v>54102</v>
      </c>
      <c r="B354" s="844" t="s">
        <v>7950</v>
      </c>
    </row>
    <row r="355" spans="1:2" x14ac:dyDescent="0.25">
      <c r="A355" s="843">
        <v>54103</v>
      </c>
      <c r="B355" s="844" t="s">
        <v>7951</v>
      </c>
    </row>
    <row r="356" spans="1:2" x14ac:dyDescent="0.25">
      <c r="A356" s="843">
        <v>54104</v>
      </c>
      <c r="B356" s="844" t="s">
        <v>7952</v>
      </c>
    </row>
    <row r="357" spans="1:2" x14ac:dyDescent="0.25">
      <c r="A357" s="843">
        <v>54105</v>
      </c>
      <c r="B357" s="844" t="s">
        <v>7953</v>
      </c>
    </row>
    <row r="358" spans="1:2" x14ac:dyDescent="0.25">
      <c r="A358" s="843">
        <v>54201</v>
      </c>
      <c r="B358" s="844" t="s">
        <v>7954</v>
      </c>
    </row>
    <row r="359" spans="1:2" x14ac:dyDescent="0.25">
      <c r="A359" s="843">
        <v>54301</v>
      </c>
      <c r="B359" s="844" t="s">
        <v>7955</v>
      </c>
    </row>
    <row r="360" spans="1:2" x14ac:dyDescent="0.25">
      <c r="A360" s="843">
        <v>54302</v>
      </c>
      <c r="B360" s="844" t="s">
        <v>7956</v>
      </c>
    </row>
    <row r="361" spans="1:2" x14ac:dyDescent="0.25">
      <c r="A361" s="843">
        <v>54303</v>
      </c>
      <c r="B361" s="844" t="s">
        <v>7957</v>
      </c>
    </row>
    <row r="362" spans="1:2" x14ac:dyDescent="0.25">
      <c r="A362" s="843">
        <v>54401</v>
      </c>
      <c r="B362" s="844" t="s">
        <v>7958</v>
      </c>
    </row>
    <row r="363" spans="1:2" x14ac:dyDescent="0.25">
      <c r="A363" s="843">
        <v>54501</v>
      </c>
      <c r="B363" s="844" t="s">
        <v>7959</v>
      </c>
    </row>
    <row r="364" spans="1:2" x14ac:dyDescent="0.25">
      <c r="A364" s="843">
        <v>54502</v>
      </c>
      <c r="B364" s="844" t="s">
        <v>7960</v>
      </c>
    </row>
    <row r="365" spans="1:2" x14ac:dyDescent="0.25">
      <c r="A365" s="843">
        <v>54503</v>
      </c>
      <c r="B365" s="844" t="s">
        <v>7961</v>
      </c>
    </row>
    <row r="366" spans="1:2" x14ac:dyDescent="0.25">
      <c r="A366" s="843">
        <v>54901</v>
      </c>
      <c r="B366" s="844" t="s">
        <v>7962</v>
      </c>
    </row>
    <row r="367" spans="1:2" x14ac:dyDescent="0.25">
      <c r="A367" s="843">
        <v>55101</v>
      </c>
      <c r="B367" s="844" t="s">
        <v>7963</v>
      </c>
    </row>
    <row r="368" spans="1:2" x14ac:dyDescent="0.25">
      <c r="A368" s="843">
        <v>55102</v>
      </c>
      <c r="B368" s="844" t="s">
        <v>7964</v>
      </c>
    </row>
    <row r="369" spans="1:2" x14ac:dyDescent="0.25">
      <c r="A369" s="843">
        <v>56101</v>
      </c>
      <c r="B369" s="844" t="s">
        <v>7965</v>
      </c>
    </row>
    <row r="370" spans="1:2" x14ac:dyDescent="0.25">
      <c r="A370" s="843">
        <v>56201</v>
      </c>
      <c r="B370" s="844" t="s">
        <v>7966</v>
      </c>
    </row>
    <row r="371" spans="1:2" x14ac:dyDescent="0.25">
      <c r="A371" s="843">
        <v>56301</v>
      </c>
      <c r="B371" s="844" t="s">
        <v>7967</v>
      </c>
    </row>
    <row r="372" spans="1:2" x14ac:dyDescent="0.25">
      <c r="A372" s="843">
        <v>56501</v>
      </c>
      <c r="B372" s="844" t="s">
        <v>7968</v>
      </c>
    </row>
    <row r="373" spans="1:2" x14ac:dyDescent="0.25">
      <c r="A373" s="843">
        <v>56601</v>
      </c>
      <c r="B373" s="844" t="s">
        <v>7969</v>
      </c>
    </row>
    <row r="374" spans="1:2" x14ac:dyDescent="0.25">
      <c r="A374" s="843">
        <v>56701</v>
      </c>
      <c r="B374" s="844" t="s">
        <v>7970</v>
      </c>
    </row>
    <row r="375" spans="1:2" x14ac:dyDescent="0.25">
      <c r="A375" s="843">
        <v>56901</v>
      </c>
      <c r="B375" s="844" t="s">
        <v>7971</v>
      </c>
    </row>
    <row r="376" spans="1:2" x14ac:dyDescent="0.25">
      <c r="A376" s="843">
        <v>56902</v>
      </c>
      <c r="B376" s="844" t="s">
        <v>7972</v>
      </c>
    </row>
    <row r="377" spans="1:2" x14ac:dyDescent="0.25">
      <c r="A377" s="843">
        <v>57101</v>
      </c>
      <c r="B377" s="844" t="s">
        <v>7973</v>
      </c>
    </row>
    <row r="378" spans="1:2" x14ac:dyDescent="0.25">
      <c r="A378" s="843">
        <v>57601</v>
      </c>
      <c r="B378" s="844" t="s">
        <v>7974</v>
      </c>
    </row>
    <row r="379" spans="1:2" x14ac:dyDescent="0.25">
      <c r="A379" s="843">
        <v>57701</v>
      </c>
      <c r="B379" s="844" t="s">
        <v>7975</v>
      </c>
    </row>
    <row r="380" spans="1:2" x14ac:dyDescent="0.25">
      <c r="A380" s="843">
        <v>58101</v>
      </c>
      <c r="B380" s="844" t="s">
        <v>7976</v>
      </c>
    </row>
    <row r="381" spans="1:2" x14ac:dyDescent="0.25">
      <c r="A381" s="843">
        <v>58301</v>
      </c>
      <c r="B381" s="844" t="s">
        <v>7977</v>
      </c>
    </row>
    <row r="382" spans="1:2" x14ac:dyDescent="0.25">
      <c r="A382" s="843">
        <v>58901</v>
      </c>
      <c r="B382" s="844" t="s">
        <v>7978</v>
      </c>
    </row>
    <row r="383" spans="1:2" x14ac:dyDescent="0.25">
      <c r="A383" s="843">
        <v>58902</v>
      </c>
      <c r="B383" s="844" t="s">
        <v>7979</v>
      </c>
    </row>
    <row r="384" spans="1:2" x14ac:dyDescent="0.25">
      <c r="A384" s="843">
        <v>58903</v>
      </c>
      <c r="B384" s="844" t="s">
        <v>7980</v>
      </c>
    </row>
    <row r="385" spans="1:2" x14ac:dyDescent="0.25">
      <c r="A385" s="843">
        <v>58904</v>
      </c>
      <c r="B385" s="844" t="s">
        <v>7981</v>
      </c>
    </row>
    <row r="386" spans="1:2" x14ac:dyDescent="0.25">
      <c r="A386" s="843">
        <v>59101</v>
      </c>
      <c r="B386" s="844" t="s">
        <v>7982</v>
      </c>
    </row>
    <row r="387" spans="1:2" x14ac:dyDescent="0.25">
      <c r="A387" s="843">
        <v>62101</v>
      </c>
      <c r="B387" s="844" t="s">
        <v>7983</v>
      </c>
    </row>
    <row r="388" spans="1:2" x14ac:dyDescent="0.25">
      <c r="A388" s="843">
        <v>62102</v>
      </c>
      <c r="B388" s="844" t="s">
        <v>7984</v>
      </c>
    </row>
    <row r="389" spans="1:2" x14ac:dyDescent="0.25">
      <c r="A389" s="843">
        <v>62201</v>
      </c>
      <c r="B389" s="844" t="s">
        <v>7985</v>
      </c>
    </row>
    <row r="390" spans="1:2" x14ac:dyDescent="0.25">
      <c r="A390" s="843">
        <v>62202</v>
      </c>
      <c r="B390" s="844" t="s">
        <v>7986</v>
      </c>
    </row>
    <row r="391" spans="1:2" x14ac:dyDescent="0.25">
      <c r="A391" s="843">
        <v>62301</v>
      </c>
      <c r="B391" s="844" t="s">
        <v>7987</v>
      </c>
    </row>
    <row r="392" spans="1:2" x14ac:dyDescent="0.25">
      <c r="A392" s="843">
        <v>62302</v>
      </c>
      <c r="B392" s="844" t="s">
        <v>7988</v>
      </c>
    </row>
    <row r="393" spans="1:2" x14ac:dyDescent="0.25">
      <c r="A393" s="843">
        <v>62401</v>
      </c>
      <c r="B393" s="844" t="s">
        <v>7989</v>
      </c>
    </row>
    <row r="394" spans="1:2" x14ac:dyDescent="0.25">
      <c r="A394" s="843">
        <v>62402</v>
      </c>
      <c r="B394" s="844" t="s">
        <v>7990</v>
      </c>
    </row>
    <row r="395" spans="1:2" x14ac:dyDescent="0.25">
      <c r="A395" s="843">
        <v>62403</v>
      </c>
      <c r="B395" s="844" t="s">
        <v>7991</v>
      </c>
    </row>
    <row r="396" spans="1:2" x14ac:dyDescent="0.25">
      <c r="A396" s="843">
        <v>62501</v>
      </c>
      <c r="B396" s="844" t="s">
        <v>7992</v>
      </c>
    </row>
    <row r="397" spans="1:2" x14ac:dyDescent="0.25">
      <c r="A397" s="843">
        <v>62502</v>
      </c>
      <c r="B397" s="844" t="s">
        <v>7993</v>
      </c>
    </row>
    <row r="398" spans="1:2" x14ac:dyDescent="0.25">
      <c r="A398" s="843">
        <v>62601</v>
      </c>
      <c r="B398" s="844" t="s">
        <v>7994</v>
      </c>
    </row>
    <row r="399" spans="1:2" x14ac:dyDescent="0.25">
      <c r="A399" s="843">
        <v>62602</v>
      </c>
      <c r="B399" s="844" t="s">
        <v>7995</v>
      </c>
    </row>
    <row r="400" spans="1:2" x14ac:dyDescent="0.25">
      <c r="A400" s="843">
        <v>62701</v>
      </c>
      <c r="B400" s="844" t="s">
        <v>7996</v>
      </c>
    </row>
    <row r="401" spans="1:2" x14ac:dyDescent="0.25">
      <c r="A401" s="843">
        <v>62901</v>
      </c>
      <c r="B401" s="844" t="s">
        <v>7997</v>
      </c>
    </row>
    <row r="402" spans="1:2" x14ac:dyDescent="0.25">
      <c r="A402" s="843">
        <v>62902</v>
      </c>
      <c r="B402" s="844" t="s">
        <v>7998</v>
      </c>
    </row>
    <row r="403" spans="1:2" x14ac:dyDescent="0.25">
      <c r="A403" s="843">
        <v>62903</v>
      </c>
      <c r="B403" s="844" t="s">
        <v>7999</v>
      </c>
    </row>
    <row r="404" spans="1:2" x14ac:dyDescent="0.25">
      <c r="A404" s="843">
        <v>62904</v>
      </c>
      <c r="B404" s="844" t="s">
        <v>8000</v>
      </c>
    </row>
    <row r="405" spans="1:2" x14ac:dyDescent="0.25">
      <c r="A405" s="843">
        <v>62905</v>
      </c>
      <c r="B405" s="844" t="s">
        <v>8001</v>
      </c>
    </row>
    <row r="406" spans="1:2" x14ac:dyDescent="0.25">
      <c r="A406" s="843">
        <v>73101</v>
      </c>
      <c r="B406" s="844" t="s">
        <v>8002</v>
      </c>
    </row>
    <row r="407" spans="1:2" x14ac:dyDescent="0.25">
      <c r="A407" s="843">
        <v>73501</v>
      </c>
      <c r="B407" s="844" t="s">
        <v>8003</v>
      </c>
    </row>
    <row r="408" spans="1:2" x14ac:dyDescent="0.25">
      <c r="A408" s="843">
        <v>73901</v>
      </c>
      <c r="B408" s="844" t="s">
        <v>8004</v>
      </c>
    </row>
    <row r="409" spans="1:2" x14ac:dyDescent="0.25">
      <c r="A409" s="843">
        <v>73902</v>
      </c>
      <c r="B409" s="844" t="s">
        <v>8005</v>
      </c>
    </row>
    <row r="410" spans="1:2" x14ac:dyDescent="0.25">
      <c r="A410" s="843">
        <v>73903</v>
      </c>
      <c r="B410" s="844" t="s">
        <v>8006</v>
      </c>
    </row>
    <row r="411" spans="1:2" x14ac:dyDescent="0.25">
      <c r="A411" s="843">
        <v>74201</v>
      </c>
      <c r="B411" s="844" t="s">
        <v>8007</v>
      </c>
    </row>
    <row r="412" spans="1:2" x14ac:dyDescent="0.25">
      <c r="A412" s="843">
        <v>74401</v>
      </c>
      <c r="B412" s="844" t="s">
        <v>8008</v>
      </c>
    </row>
    <row r="413" spans="1:2" x14ac:dyDescent="0.25">
      <c r="A413" s="843">
        <v>74501</v>
      </c>
      <c r="B413" s="844" t="s">
        <v>8009</v>
      </c>
    </row>
    <row r="414" spans="1:2" x14ac:dyDescent="0.25">
      <c r="A414" s="843">
        <v>74502</v>
      </c>
      <c r="B414" s="844" t="s">
        <v>8010</v>
      </c>
    </row>
    <row r="415" spans="1:2" x14ac:dyDescent="0.25">
      <c r="A415" s="843">
        <v>74503</v>
      </c>
      <c r="B415" s="844" t="s">
        <v>8011</v>
      </c>
    </row>
    <row r="416" spans="1:2" x14ac:dyDescent="0.25">
      <c r="A416" s="843">
        <v>74504</v>
      </c>
      <c r="B416" s="844" t="s">
        <v>8012</v>
      </c>
    </row>
    <row r="417" spans="1:2" x14ac:dyDescent="0.25">
      <c r="A417" s="843">
        <v>74505</v>
      </c>
      <c r="B417" s="844" t="s">
        <v>8013</v>
      </c>
    </row>
    <row r="418" spans="1:2" x14ac:dyDescent="0.25">
      <c r="A418" s="843">
        <v>74506</v>
      </c>
      <c r="B418" s="844" t="s">
        <v>8014</v>
      </c>
    </row>
    <row r="419" spans="1:2" x14ac:dyDescent="0.25">
      <c r="A419" s="843">
        <v>75501</v>
      </c>
      <c r="B419" s="844" t="s">
        <v>8015</v>
      </c>
    </row>
    <row r="420" spans="1:2" x14ac:dyDescent="0.25">
      <c r="A420" s="843">
        <v>75601</v>
      </c>
      <c r="B420" s="844" t="s">
        <v>8016</v>
      </c>
    </row>
    <row r="421" spans="1:2" x14ac:dyDescent="0.25">
      <c r="A421" s="843">
        <v>75602</v>
      </c>
      <c r="B421" s="844" t="s">
        <v>8017</v>
      </c>
    </row>
    <row r="422" spans="1:2" x14ac:dyDescent="0.25">
      <c r="A422" s="843">
        <v>79901</v>
      </c>
      <c r="B422" s="844" t="s">
        <v>8018</v>
      </c>
    </row>
    <row r="423" spans="1:2" x14ac:dyDescent="0.25">
      <c r="A423" s="843">
        <v>79902</v>
      </c>
      <c r="B423" s="844" t="s">
        <v>8019</v>
      </c>
    </row>
    <row r="424" spans="1:2" x14ac:dyDescent="0.25">
      <c r="A424" s="843">
        <v>81101</v>
      </c>
      <c r="B424" s="844" t="s">
        <v>7871</v>
      </c>
    </row>
    <row r="425" spans="1:2" x14ac:dyDescent="0.25">
      <c r="A425" s="843">
        <v>81102</v>
      </c>
      <c r="B425" s="844" t="s">
        <v>7872</v>
      </c>
    </row>
    <row r="426" spans="1:2" x14ac:dyDescent="0.25">
      <c r="A426" s="843">
        <v>81103</v>
      </c>
      <c r="B426" s="844" t="s">
        <v>7873</v>
      </c>
    </row>
    <row r="427" spans="1:2" x14ac:dyDescent="0.25">
      <c r="A427" s="843">
        <v>81104</v>
      </c>
      <c r="B427" s="844" t="s">
        <v>7874</v>
      </c>
    </row>
    <row r="428" spans="1:2" x14ac:dyDescent="0.25">
      <c r="A428" s="843">
        <v>81105</v>
      </c>
      <c r="B428" s="844" t="s">
        <v>7875</v>
      </c>
    </row>
    <row r="429" spans="1:2" x14ac:dyDescent="0.25">
      <c r="A429" s="843">
        <v>81106</v>
      </c>
      <c r="B429" s="844" t="s">
        <v>7876</v>
      </c>
    </row>
    <row r="430" spans="1:2" x14ac:dyDescent="0.25">
      <c r="A430" s="843">
        <v>81107</v>
      </c>
      <c r="B430" s="844" t="s">
        <v>7877</v>
      </c>
    </row>
    <row r="431" spans="1:2" x14ac:dyDescent="0.25">
      <c r="A431" s="843">
        <v>81108</v>
      </c>
      <c r="B431" s="844" t="s">
        <v>7878</v>
      </c>
    </row>
    <row r="432" spans="1:2" x14ac:dyDescent="0.25">
      <c r="A432" s="843">
        <v>81109</v>
      </c>
      <c r="B432" s="844" t="s">
        <v>7879</v>
      </c>
    </row>
    <row r="433" spans="1:2" x14ac:dyDescent="0.25">
      <c r="A433" s="843">
        <v>81110</v>
      </c>
      <c r="B433" s="844" t="s">
        <v>7880</v>
      </c>
    </row>
    <row r="434" spans="1:2" x14ac:dyDescent="0.25">
      <c r="A434" s="843">
        <v>81111</v>
      </c>
      <c r="B434" s="844" t="s">
        <v>7881</v>
      </c>
    </row>
    <row r="435" spans="1:2" x14ac:dyDescent="0.25">
      <c r="A435" s="843">
        <v>81112</v>
      </c>
      <c r="B435" s="844" t="s">
        <v>7882</v>
      </c>
    </row>
    <row r="436" spans="1:2" x14ac:dyDescent="0.25">
      <c r="A436" s="843">
        <v>81113</v>
      </c>
      <c r="B436" s="844" t="s">
        <v>7883</v>
      </c>
    </row>
    <row r="437" spans="1:2" x14ac:dyDescent="0.25">
      <c r="A437" s="843">
        <v>81114</v>
      </c>
      <c r="B437" s="844" t="s">
        <v>7884</v>
      </c>
    </row>
    <row r="438" spans="1:2" x14ac:dyDescent="0.25">
      <c r="A438" s="843">
        <v>81115</v>
      </c>
      <c r="B438" s="844" t="s">
        <v>7885</v>
      </c>
    </row>
    <row r="439" spans="1:2" x14ac:dyDescent="0.25">
      <c r="A439" s="843">
        <v>81116</v>
      </c>
      <c r="B439" s="844" t="s">
        <v>7886</v>
      </c>
    </row>
    <row r="440" spans="1:2" x14ac:dyDescent="0.25">
      <c r="A440" s="843">
        <v>81117</v>
      </c>
      <c r="B440" s="844" t="s">
        <v>7887</v>
      </c>
    </row>
    <row r="441" spans="1:2" x14ac:dyDescent="0.25">
      <c r="A441" s="843">
        <v>81118</v>
      </c>
      <c r="B441" s="844" t="s">
        <v>7888</v>
      </c>
    </row>
    <row r="442" spans="1:2" x14ac:dyDescent="0.25">
      <c r="A442" s="843">
        <v>81119</v>
      </c>
      <c r="B442" s="844" t="s">
        <v>7889</v>
      </c>
    </row>
    <row r="443" spans="1:2" x14ac:dyDescent="0.25">
      <c r="A443" s="843">
        <v>81120</v>
      </c>
      <c r="B443" s="844" t="s">
        <v>7890</v>
      </c>
    </row>
    <row r="444" spans="1:2" x14ac:dyDescent="0.25">
      <c r="A444" s="843">
        <v>81121</v>
      </c>
      <c r="B444" s="844" t="s">
        <v>7891</v>
      </c>
    </row>
    <row r="445" spans="1:2" x14ac:dyDescent="0.25">
      <c r="A445" s="843">
        <v>81122</v>
      </c>
      <c r="B445" s="844" t="s">
        <v>7892</v>
      </c>
    </row>
    <row r="446" spans="1:2" x14ac:dyDescent="0.25">
      <c r="A446" s="843">
        <v>81123</v>
      </c>
      <c r="B446" s="844" t="s">
        <v>7893</v>
      </c>
    </row>
    <row r="447" spans="1:2" x14ac:dyDescent="0.25">
      <c r="A447" s="843">
        <v>81124</v>
      </c>
      <c r="B447" s="844" t="s">
        <v>7894</v>
      </c>
    </row>
    <row r="448" spans="1:2" x14ac:dyDescent="0.25">
      <c r="A448" s="843">
        <v>81125</v>
      </c>
      <c r="B448" s="844" t="s">
        <v>7895</v>
      </c>
    </row>
    <row r="449" spans="1:2" x14ac:dyDescent="0.25">
      <c r="A449" s="843">
        <v>81126</v>
      </c>
      <c r="B449" s="844" t="s">
        <v>7896</v>
      </c>
    </row>
    <row r="450" spans="1:2" x14ac:dyDescent="0.25">
      <c r="A450" s="843">
        <v>81127</v>
      </c>
      <c r="B450" s="844" t="s">
        <v>7897</v>
      </c>
    </row>
    <row r="451" spans="1:2" x14ac:dyDescent="0.25">
      <c r="A451" s="843">
        <v>81128</v>
      </c>
      <c r="B451" s="844" t="s">
        <v>7898</v>
      </c>
    </row>
    <row r="452" spans="1:2" x14ac:dyDescent="0.25">
      <c r="A452" s="843">
        <v>81129</v>
      </c>
      <c r="B452" s="844" t="s">
        <v>7899</v>
      </c>
    </row>
    <row r="453" spans="1:2" x14ac:dyDescent="0.25">
      <c r="A453" s="843">
        <v>81130</v>
      </c>
      <c r="B453" s="844" t="s">
        <v>7900</v>
      </c>
    </row>
    <row r="454" spans="1:2" x14ac:dyDescent="0.25">
      <c r="A454" s="843">
        <v>81131</v>
      </c>
      <c r="B454" s="844" t="s">
        <v>7901</v>
      </c>
    </row>
    <row r="455" spans="1:2" x14ac:dyDescent="0.25">
      <c r="A455" s="843">
        <v>81132</v>
      </c>
      <c r="B455" s="844" t="s">
        <v>7902</v>
      </c>
    </row>
    <row r="456" spans="1:2" x14ac:dyDescent="0.25">
      <c r="A456" s="843">
        <v>81201</v>
      </c>
      <c r="B456" s="844" t="s">
        <v>7871</v>
      </c>
    </row>
    <row r="457" spans="1:2" x14ac:dyDescent="0.25">
      <c r="A457" s="843">
        <v>81202</v>
      </c>
      <c r="B457" s="844" t="s">
        <v>7872</v>
      </c>
    </row>
    <row r="458" spans="1:2" x14ac:dyDescent="0.25">
      <c r="A458" s="843">
        <v>81203</v>
      </c>
      <c r="B458" s="844" t="s">
        <v>7873</v>
      </c>
    </row>
    <row r="459" spans="1:2" x14ac:dyDescent="0.25">
      <c r="A459" s="843">
        <v>81204</v>
      </c>
      <c r="B459" s="844" t="s">
        <v>7874</v>
      </c>
    </row>
    <row r="460" spans="1:2" x14ac:dyDescent="0.25">
      <c r="A460" s="843">
        <v>81205</v>
      </c>
      <c r="B460" s="844" t="s">
        <v>7875</v>
      </c>
    </row>
    <row r="461" spans="1:2" x14ac:dyDescent="0.25">
      <c r="A461" s="843">
        <v>81206</v>
      </c>
      <c r="B461" s="844" t="s">
        <v>7876</v>
      </c>
    </row>
    <row r="462" spans="1:2" x14ac:dyDescent="0.25">
      <c r="A462" s="843">
        <v>81207</v>
      </c>
      <c r="B462" s="844" t="s">
        <v>7877</v>
      </c>
    </row>
    <row r="463" spans="1:2" x14ac:dyDescent="0.25">
      <c r="A463" s="843">
        <v>81208</v>
      </c>
      <c r="B463" s="844" t="s">
        <v>7878</v>
      </c>
    </row>
    <row r="464" spans="1:2" x14ac:dyDescent="0.25">
      <c r="A464" s="843">
        <v>81209</v>
      </c>
      <c r="B464" s="844" t="s">
        <v>7879</v>
      </c>
    </row>
    <row r="465" spans="1:2" x14ac:dyDescent="0.25">
      <c r="A465" s="843">
        <v>81210</v>
      </c>
      <c r="B465" s="844" t="s">
        <v>7880</v>
      </c>
    </row>
    <row r="466" spans="1:2" x14ac:dyDescent="0.25">
      <c r="A466" s="843">
        <v>81211</v>
      </c>
      <c r="B466" s="844" t="s">
        <v>7881</v>
      </c>
    </row>
    <row r="467" spans="1:2" x14ac:dyDescent="0.25">
      <c r="A467" s="843">
        <v>81212</v>
      </c>
      <c r="B467" s="844" t="s">
        <v>7882</v>
      </c>
    </row>
    <row r="468" spans="1:2" x14ac:dyDescent="0.25">
      <c r="A468" s="843">
        <v>81213</v>
      </c>
      <c r="B468" s="844" t="s">
        <v>7883</v>
      </c>
    </row>
    <row r="469" spans="1:2" x14ac:dyDescent="0.25">
      <c r="A469" s="843">
        <v>81214</v>
      </c>
      <c r="B469" s="844" t="s">
        <v>7884</v>
      </c>
    </row>
    <row r="470" spans="1:2" x14ac:dyDescent="0.25">
      <c r="A470" s="843">
        <v>81215</v>
      </c>
      <c r="B470" s="844" t="s">
        <v>7885</v>
      </c>
    </row>
    <row r="471" spans="1:2" x14ac:dyDescent="0.25">
      <c r="A471" s="843">
        <v>81216</v>
      </c>
      <c r="B471" s="844" t="s">
        <v>7886</v>
      </c>
    </row>
    <row r="472" spans="1:2" x14ac:dyDescent="0.25">
      <c r="A472" s="843">
        <v>81217</v>
      </c>
      <c r="B472" s="844" t="s">
        <v>7887</v>
      </c>
    </row>
    <row r="473" spans="1:2" x14ac:dyDescent="0.25">
      <c r="A473" s="843">
        <v>81218</v>
      </c>
      <c r="B473" s="844" t="s">
        <v>7888</v>
      </c>
    </row>
    <row r="474" spans="1:2" x14ac:dyDescent="0.25">
      <c r="A474" s="843">
        <v>81219</v>
      </c>
      <c r="B474" s="844" t="s">
        <v>7889</v>
      </c>
    </row>
    <row r="475" spans="1:2" x14ac:dyDescent="0.25">
      <c r="A475" s="843">
        <v>81220</v>
      </c>
      <c r="B475" s="844" t="s">
        <v>7890</v>
      </c>
    </row>
    <row r="476" spans="1:2" x14ac:dyDescent="0.25">
      <c r="A476" s="843">
        <v>81221</v>
      </c>
      <c r="B476" s="844" t="s">
        <v>7891</v>
      </c>
    </row>
    <row r="477" spans="1:2" x14ac:dyDescent="0.25">
      <c r="A477" s="843">
        <v>81222</v>
      </c>
      <c r="B477" s="844" t="s">
        <v>7892</v>
      </c>
    </row>
    <row r="478" spans="1:2" x14ac:dyDescent="0.25">
      <c r="A478" s="843">
        <v>81223</v>
      </c>
      <c r="B478" s="844" t="s">
        <v>7893</v>
      </c>
    </row>
    <row r="479" spans="1:2" x14ac:dyDescent="0.25">
      <c r="A479" s="843">
        <v>81224</v>
      </c>
      <c r="B479" s="844" t="s">
        <v>7894</v>
      </c>
    </row>
    <row r="480" spans="1:2" x14ac:dyDescent="0.25">
      <c r="A480" s="843">
        <v>81225</v>
      </c>
      <c r="B480" s="844" t="s">
        <v>7895</v>
      </c>
    </row>
    <row r="481" spans="1:2" x14ac:dyDescent="0.25">
      <c r="A481" s="843">
        <v>81226</v>
      </c>
      <c r="B481" s="844" t="s">
        <v>7896</v>
      </c>
    </row>
    <row r="482" spans="1:2" x14ac:dyDescent="0.25">
      <c r="A482" s="843">
        <v>81227</v>
      </c>
      <c r="B482" s="844" t="s">
        <v>7897</v>
      </c>
    </row>
    <row r="483" spans="1:2" x14ac:dyDescent="0.25">
      <c r="A483" s="843">
        <v>81228</v>
      </c>
      <c r="B483" s="844" t="s">
        <v>7898</v>
      </c>
    </row>
    <row r="484" spans="1:2" x14ac:dyDescent="0.25">
      <c r="A484" s="843">
        <v>81229</v>
      </c>
      <c r="B484" s="844" t="s">
        <v>7899</v>
      </c>
    </row>
    <row r="485" spans="1:2" x14ac:dyDescent="0.25">
      <c r="A485" s="843">
        <v>81230</v>
      </c>
      <c r="B485" s="844" t="s">
        <v>7900</v>
      </c>
    </row>
    <row r="486" spans="1:2" x14ac:dyDescent="0.25">
      <c r="A486" s="843">
        <v>81231</v>
      </c>
      <c r="B486" s="844" t="s">
        <v>7901</v>
      </c>
    </row>
    <row r="487" spans="1:2" x14ac:dyDescent="0.25">
      <c r="A487" s="843">
        <v>81232</v>
      </c>
      <c r="B487" s="844" t="s">
        <v>7902</v>
      </c>
    </row>
    <row r="488" spans="1:2" x14ac:dyDescent="0.25">
      <c r="A488" s="843">
        <v>81401</v>
      </c>
      <c r="B488" s="844" t="s">
        <v>7871</v>
      </c>
    </row>
    <row r="489" spans="1:2" x14ac:dyDescent="0.25">
      <c r="A489" s="843">
        <v>81402</v>
      </c>
      <c r="B489" s="844" t="s">
        <v>7872</v>
      </c>
    </row>
    <row r="490" spans="1:2" x14ac:dyDescent="0.25">
      <c r="A490" s="843">
        <v>81403</v>
      </c>
      <c r="B490" s="844" t="s">
        <v>7873</v>
      </c>
    </row>
    <row r="491" spans="1:2" x14ac:dyDescent="0.25">
      <c r="A491" s="843">
        <v>81404</v>
      </c>
      <c r="B491" s="844" t="s">
        <v>7874</v>
      </c>
    </row>
    <row r="492" spans="1:2" x14ac:dyDescent="0.25">
      <c r="A492" s="843">
        <v>81405</v>
      </c>
      <c r="B492" s="844" t="s">
        <v>7875</v>
      </c>
    </row>
    <row r="493" spans="1:2" x14ac:dyDescent="0.25">
      <c r="A493" s="843">
        <v>81406</v>
      </c>
      <c r="B493" s="844" t="s">
        <v>7876</v>
      </c>
    </row>
    <row r="494" spans="1:2" x14ac:dyDescent="0.25">
      <c r="A494" s="843">
        <v>81407</v>
      </c>
      <c r="B494" s="844" t="s">
        <v>7877</v>
      </c>
    </row>
    <row r="495" spans="1:2" x14ac:dyDescent="0.25">
      <c r="A495" s="843">
        <v>81408</v>
      </c>
      <c r="B495" s="844" t="s">
        <v>7878</v>
      </c>
    </row>
    <row r="496" spans="1:2" x14ac:dyDescent="0.25">
      <c r="A496" s="843">
        <v>81409</v>
      </c>
      <c r="B496" s="844" t="s">
        <v>7879</v>
      </c>
    </row>
    <row r="497" spans="1:2" x14ac:dyDescent="0.25">
      <c r="A497" s="843">
        <v>81410</v>
      </c>
      <c r="B497" s="844" t="s">
        <v>7880</v>
      </c>
    </row>
    <row r="498" spans="1:2" x14ac:dyDescent="0.25">
      <c r="A498" s="843">
        <v>81411</v>
      </c>
      <c r="B498" s="844" t="s">
        <v>7881</v>
      </c>
    </row>
    <row r="499" spans="1:2" x14ac:dyDescent="0.25">
      <c r="A499" s="843">
        <v>81412</v>
      </c>
      <c r="B499" s="844" t="s">
        <v>7882</v>
      </c>
    </row>
    <row r="500" spans="1:2" x14ac:dyDescent="0.25">
      <c r="A500" s="843">
        <v>81413</v>
      </c>
      <c r="B500" s="844" t="s">
        <v>7883</v>
      </c>
    </row>
    <row r="501" spans="1:2" x14ac:dyDescent="0.25">
      <c r="A501" s="843">
        <v>81414</v>
      </c>
      <c r="B501" s="844" t="s">
        <v>7884</v>
      </c>
    </row>
    <row r="502" spans="1:2" x14ac:dyDescent="0.25">
      <c r="A502" s="843">
        <v>81415</v>
      </c>
      <c r="B502" s="844" t="s">
        <v>7885</v>
      </c>
    </row>
    <row r="503" spans="1:2" x14ac:dyDescent="0.25">
      <c r="A503" s="843">
        <v>81416</v>
      </c>
      <c r="B503" s="844" t="s">
        <v>7886</v>
      </c>
    </row>
    <row r="504" spans="1:2" x14ac:dyDescent="0.25">
      <c r="A504" s="843">
        <v>81417</v>
      </c>
      <c r="B504" s="844" t="s">
        <v>7887</v>
      </c>
    </row>
    <row r="505" spans="1:2" x14ac:dyDescent="0.25">
      <c r="A505" s="843">
        <v>81418</v>
      </c>
      <c r="B505" s="844" t="s">
        <v>7888</v>
      </c>
    </row>
    <row r="506" spans="1:2" x14ac:dyDescent="0.25">
      <c r="A506" s="843">
        <v>81419</v>
      </c>
      <c r="B506" s="844" t="s">
        <v>7889</v>
      </c>
    </row>
    <row r="507" spans="1:2" x14ac:dyDescent="0.25">
      <c r="A507" s="843">
        <v>81420</v>
      </c>
      <c r="B507" s="844" t="s">
        <v>7890</v>
      </c>
    </row>
    <row r="508" spans="1:2" x14ac:dyDescent="0.25">
      <c r="A508" s="843">
        <v>81421</v>
      </c>
      <c r="B508" s="844" t="s">
        <v>7891</v>
      </c>
    </row>
    <row r="509" spans="1:2" x14ac:dyDescent="0.25">
      <c r="A509" s="843">
        <v>81422</v>
      </c>
      <c r="B509" s="844" t="s">
        <v>7892</v>
      </c>
    </row>
    <row r="510" spans="1:2" x14ac:dyDescent="0.25">
      <c r="A510" s="843">
        <v>81423</v>
      </c>
      <c r="B510" s="844" t="s">
        <v>7893</v>
      </c>
    </row>
    <row r="511" spans="1:2" x14ac:dyDescent="0.25">
      <c r="A511" s="843">
        <v>81424</v>
      </c>
      <c r="B511" s="844" t="s">
        <v>7894</v>
      </c>
    </row>
    <row r="512" spans="1:2" x14ac:dyDescent="0.25">
      <c r="A512" s="843">
        <v>81425</v>
      </c>
      <c r="B512" s="844" t="s">
        <v>7895</v>
      </c>
    </row>
    <row r="513" spans="1:2" x14ac:dyDescent="0.25">
      <c r="A513" s="843">
        <v>81426</v>
      </c>
      <c r="B513" s="844" t="s">
        <v>7896</v>
      </c>
    </row>
    <row r="514" spans="1:2" x14ac:dyDescent="0.25">
      <c r="A514" s="843">
        <v>81427</v>
      </c>
      <c r="B514" s="844" t="s">
        <v>7897</v>
      </c>
    </row>
    <row r="515" spans="1:2" x14ac:dyDescent="0.25">
      <c r="A515" s="843">
        <v>81428</v>
      </c>
      <c r="B515" s="844" t="s">
        <v>7898</v>
      </c>
    </row>
    <row r="516" spans="1:2" x14ac:dyDescent="0.25">
      <c r="A516" s="843">
        <v>81429</v>
      </c>
      <c r="B516" s="844" t="s">
        <v>7899</v>
      </c>
    </row>
    <row r="517" spans="1:2" x14ac:dyDescent="0.25">
      <c r="A517" s="843">
        <v>81430</v>
      </c>
      <c r="B517" s="844" t="s">
        <v>7900</v>
      </c>
    </row>
    <row r="518" spans="1:2" x14ac:dyDescent="0.25">
      <c r="A518" s="843">
        <v>81431</v>
      </c>
      <c r="B518" s="844" t="s">
        <v>7901</v>
      </c>
    </row>
    <row r="519" spans="1:2" x14ac:dyDescent="0.25">
      <c r="A519" s="843">
        <v>81432</v>
      </c>
      <c r="B519" s="844" t="s">
        <v>7902</v>
      </c>
    </row>
    <row r="520" spans="1:2" x14ac:dyDescent="0.25">
      <c r="A520" s="843">
        <v>83101</v>
      </c>
      <c r="B520" s="844" t="s">
        <v>8020</v>
      </c>
    </row>
    <row r="521" spans="1:2" x14ac:dyDescent="0.25">
      <c r="A521" s="843">
        <v>83102</v>
      </c>
      <c r="B521" s="844" t="s">
        <v>8021</v>
      </c>
    </row>
    <row r="522" spans="1:2" x14ac:dyDescent="0.25">
      <c r="A522" s="843">
        <v>83103</v>
      </c>
      <c r="B522" s="844" t="s">
        <v>8022</v>
      </c>
    </row>
    <row r="523" spans="1:2" x14ac:dyDescent="0.25">
      <c r="A523" s="843">
        <v>83104</v>
      </c>
      <c r="B523" s="844" t="s">
        <v>8023</v>
      </c>
    </row>
    <row r="524" spans="1:2" x14ac:dyDescent="0.25">
      <c r="A524" s="843">
        <v>83105</v>
      </c>
      <c r="B524" s="844" t="s">
        <v>8024</v>
      </c>
    </row>
    <row r="525" spans="1:2" x14ac:dyDescent="0.25">
      <c r="A525" s="843">
        <v>83106</v>
      </c>
      <c r="B525" s="844" t="s">
        <v>8025</v>
      </c>
    </row>
    <row r="526" spans="1:2" x14ac:dyDescent="0.25">
      <c r="A526" s="843">
        <v>83107</v>
      </c>
      <c r="B526" s="844" t="s">
        <v>8026</v>
      </c>
    </row>
    <row r="527" spans="1:2" x14ac:dyDescent="0.25">
      <c r="A527" s="843">
        <v>83108</v>
      </c>
      <c r="B527" s="844" t="s">
        <v>8027</v>
      </c>
    </row>
    <row r="528" spans="1:2" x14ac:dyDescent="0.25">
      <c r="A528" s="843">
        <v>83109</v>
      </c>
      <c r="B528" s="844" t="s">
        <v>8028</v>
      </c>
    </row>
    <row r="529" spans="1:2" x14ac:dyDescent="0.25">
      <c r="A529" s="843">
        <v>83110</v>
      </c>
      <c r="B529" s="844" t="s">
        <v>8029</v>
      </c>
    </row>
    <row r="530" spans="1:2" x14ac:dyDescent="0.25">
      <c r="A530" s="843">
        <v>83111</v>
      </c>
      <c r="B530" s="844" t="s">
        <v>8030</v>
      </c>
    </row>
    <row r="531" spans="1:2" x14ac:dyDescent="0.25">
      <c r="A531" s="843">
        <v>83112</v>
      </c>
      <c r="B531" s="844" t="s">
        <v>8031</v>
      </c>
    </row>
    <row r="532" spans="1:2" x14ac:dyDescent="0.25">
      <c r="A532" s="843">
        <v>83113</v>
      </c>
      <c r="B532" s="844" t="s">
        <v>8032</v>
      </c>
    </row>
    <row r="533" spans="1:2" x14ac:dyDescent="0.25">
      <c r="A533" s="843">
        <v>83114</v>
      </c>
      <c r="B533" s="844" t="s">
        <v>8033</v>
      </c>
    </row>
    <row r="534" spans="1:2" x14ac:dyDescent="0.25">
      <c r="A534" s="843">
        <v>83115</v>
      </c>
      <c r="B534" s="844" t="s">
        <v>8034</v>
      </c>
    </row>
    <row r="535" spans="1:2" x14ac:dyDescent="0.25">
      <c r="A535" s="843">
        <v>83116</v>
      </c>
      <c r="B535" s="844" t="s">
        <v>8035</v>
      </c>
    </row>
    <row r="536" spans="1:2" x14ac:dyDescent="0.25">
      <c r="A536" s="843">
        <v>83117</v>
      </c>
      <c r="B536" s="844" t="s">
        <v>8036</v>
      </c>
    </row>
    <row r="537" spans="1:2" x14ac:dyDescent="0.25">
      <c r="A537" s="843">
        <v>83118</v>
      </c>
      <c r="B537" s="844" t="s">
        <v>8037</v>
      </c>
    </row>
    <row r="538" spans="1:2" x14ac:dyDescent="0.25">
      <c r="A538" s="843">
        <v>83401</v>
      </c>
      <c r="B538" s="844" t="s">
        <v>8038</v>
      </c>
    </row>
    <row r="539" spans="1:2" x14ac:dyDescent="0.25">
      <c r="A539" s="843">
        <v>83501</v>
      </c>
      <c r="B539" s="844" t="s">
        <v>8039</v>
      </c>
    </row>
    <row r="540" spans="1:2" x14ac:dyDescent="0.25">
      <c r="A540" s="843">
        <v>85101</v>
      </c>
      <c r="B540" s="844" t="s">
        <v>7871</v>
      </c>
    </row>
    <row r="541" spans="1:2" x14ac:dyDescent="0.25">
      <c r="A541" s="843">
        <v>85102</v>
      </c>
      <c r="B541" s="844" t="s">
        <v>7872</v>
      </c>
    </row>
    <row r="542" spans="1:2" x14ac:dyDescent="0.25">
      <c r="A542" s="843">
        <v>85103</v>
      </c>
      <c r="B542" s="844" t="s">
        <v>7873</v>
      </c>
    </row>
    <row r="543" spans="1:2" x14ac:dyDescent="0.25">
      <c r="A543" s="843">
        <v>85104</v>
      </c>
      <c r="B543" s="844" t="s">
        <v>7874</v>
      </c>
    </row>
    <row r="544" spans="1:2" x14ac:dyDescent="0.25">
      <c r="A544" s="843">
        <v>85105</v>
      </c>
      <c r="B544" s="844" t="s">
        <v>7875</v>
      </c>
    </row>
    <row r="545" spans="1:2" x14ac:dyDescent="0.25">
      <c r="A545" s="843">
        <v>85106</v>
      </c>
      <c r="B545" s="844" t="s">
        <v>7876</v>
      </c>
    </row>
    <row r="546" spans="1:2" x14ac:dyDescent="0.25">
      <c r="A546" s="843">
        <v>85107</v>
      </c>
      <c r="B546" s="844" t="s">
        <v>7877</v>
      </c>
    </row>
    <row r="547" spans="1:2" x14ac:dyDescent="0.25">
      <c r="A547" s="843">
        <v>85108</v>
      </c>
      <c r="B547" s="844" t="s">
        <v>7878</v>
      </c>
    </row>
    <row r="548" spans="1:2" x14ac:dyDescent="0.25">
      <c r="A548" s="843">
        <v>85109</v>
      </c>
      <c r="B548" s="844" t="s">
        <v>7879</v>
      </c>
    </row>
    <row r="549" spans="1:2" x14ac:dyDescent="0.25">
      <c r="A549" s="843">
        <v>85110</v>
      </c>
      <c r="B549" s="844" t="s">
        <v>7880</v>
      </c>
    </row>
    <row r="550" spans="1:2" x14ac:dyDescent="0.25">
      <c r="A550" s="843">
        <v>85111</v>
      </c>
      <c r="B550" s="844" t="s">
        <v>7881</v>
      </c>
    </row>
    <row r="551" spans="1:2" x14ac:dyDescent="0.25">
      <c r="A551" s="843">
        <v>85112</v>
      </c>
      <c r="B551" s="844" t="s">
        <v>7882</v>
      </c>
    </row>
    <row r="552" spans="1:2" x14ac:dyDescent="0.25">
      <c r="A552" s="843">
        <v>85113</v>
      </c>
      <c r="B552" s="844" t="s">
        <v>7883</v>
      </c>
    </row>
    <row r="553" spans="1:2" x14ac:dyDescent="0.25">
      <c r="A553" s="843">
        <v>85114</v>
      </c>
      <c r="B553" s="844" t="s">
        <v>7884</v>
      </c>
    </row>
    <row r="554" spans="1:2" x14ac:dyDescent="0.25">
      <c r="A554" s="843">
        <v>85115</v>
      </c>
      <c r="B554" s="844" t="s">
        <v>7885</v>
      </c>
    </row>
    <row r="555" spans="1:2" x14ac:dyDescent="0.25">
      <c r="A555" s="843">
        <v>85116</v>
      </c>
      <c r="B555" s="844" t="s">
        <v>7886</v>
      </c>
    </row>
    <row r="556" spans="1:2" x14ac:dyDescent="0.25">
      <c r="A556" s="843">
        <v>85117</v>
      </c>
      <c r="B556" s="844" t="s">
        <v>7887</v>
      </c>
    </row>
    <row r="557" spans="1:2" x14ac:dyDescent="0.25">
      <c r="A557" s="843">
        <v>85118</v>
      </c>
      <c r="B557" s="844" t="s">
        <v>7888</v>
      </c>
    </row>
    <row r="558" spans="1:2" x14ac:dyDescent="0.25">
      <c r="A558" s="843">
        <v>85119</v>
      </c>
      <c r="B558" s="844" t="s">
        <v>7889</v>
      </c>
    </row>
    <row r="559" spans="1:2" x14ac:dyDescent="0.25">
      <c r="A559" s="843">
        <v>85120</v>
      </c>
      <c r="B559" s="844" t="s">
        <v>7890</v>
      </c>
    </row>
    <row r="560" spans="1:2" x14ac:dyDescent="0.25">
      <c r="A560" s="843">
        <v>85121</v>
      </c>
      <c r="B560" s="844" t="s">
        <v>7891</v>
      </c>
    </row>
    <row r="561" spans="1:2" x14ac:dyDescent="0.25">
      <c r="A561" s="843">
        <v>85122</v>
      </c>
      <c r="B561" s="844" t="s">
        <v>7892</v>
      </c>
    </row>
    <row r="562" spans="1:2" x14ac:dyDescent="0.25">
      <c r="A562" s="843">
        <v>85123</v>
      </c>
      <c r="B562" s="844" t="s">
        <v>7893</v>
      </c>
    </row>
    <row r="563" spans="1:2" x14ac:dyDescent="0.25">
      <c r="A563" s="843">
        <v>85124</v>
      </c>
      <c r="B563" s="844" t="s">
        <v>7894</v>
      </c>
    </row>
    <row r="564" spans="1:2" x14ac:dyDescent="0.25">
      <c r="A564" s="843">
        <v>85125</v>
      </c>
      <c r="B564" s="844" t="s">
        <v>7895</v>
      </c>
    </row>
    <row r="565" spans="1:2" x14ac:dyDescent="0.25">
      <c r="A565" s="843">
        <v>85126</v>
      </c>
      <c r="B565" s="844" t="s">
        <v>7896</v>
      </c>
    </row>
    <row r="566" spans="1:2" x14ac:dyDescent="0.25">
      <c r="A566" s="843">
        <v>85127</v>
      </c>
      <c r="B566" s="844" t="s">
        <v>7897</v>
      </c>
    </row>
    <row r="567" spans="1:2" x14ac:dyDescent="0.25">
      <c r="A567" s="843">
        <v>85128</v>
      </c>
      <c r="B567" s="844" t="s">
        <v>7898</v>
      </c>
    </row>
    <row r="568" spans="1:2" x14ac:dyDescent="0.25">
      <c r="A568" s="843">
        <v>85129</v>
      </c>
      <c r="B568" s="844" t="s">
        <v>7899</v>
      </c>
    </row>
    <row r="569" spans="1:2" x14ac:dyDescent="0.25">
      <c r="A569" s="843">
        <v>85130</v>
      </c>
      <c r="B569" s="844" t="s">
        <v>7900</v>
      </c>
    </row>
    <row r="570" spans="1:2" x14ac:dyDescent="0.25">
      <c r="A570" s="843">
        <v>85131</v>
      </c>
      <c r="B570" s="844" t="s">
        <v>7901</v>
      </c>
    </row>
    <row r="571" spans="1:2" x14ac:dyDescent="0.25">
      <c r="A571" s="843">
        <v>85132</v>
      </c>
      <c r="B571" s="844" t="s">
        <v>7902</v>
      </c>
    </row>
    <row r="572" spans="1:2" x14ac:dyDescent="0.25">
      <c r="A572" s="843">
        <v>85133</v>
      </c>
      <c r="B572" s="844" t="s">
        <v>8040</v>
      </c>
    </row>
    <row r="573" spans="1:2" x14ac:dyDescent="0.25">
      <c r="A573" s="843">
        <v>91101</v>
      </c>
      <c r="B573" s="844" t="s">
        <v>8041</v>
      </c>
    </row>
    <row r="574" spans="1:2" x14ac:dyDescent="0.25">
      <c r="A574" s="843">
        <v>91102</v>
      </c>
      <c r="B574" s="844" t="s">
        <v>8042</v>
      </c>
    </row>
    <row r="575" spans="1:2" x14ac:dyDescent="0.25">
      <c r="A575" s="843">
        <v>91201</v>
      </c>
      <c r="B575" s="844" t="s">
        <v>8043</v>
      </c>
    </row>
    <row r="576" spans="1:2" x14ac:dyDescent="0.25">
      <c r="A576" s="843">
        <v>91301</v>
      </c>
      <c r="B576" s="844" t="s">
        <v>8044</v>
      </c>
    </row>
    <row r="577" spans="1:2" x14ac:dyDescent="0.25">
      <c r="A577" s="843">
        <v>91302</v>
      </c>
      <c r="B577" s="844" t="s">
        <v>8045</v>
      </c>
    </row>
    <row r="578" spans="1:2" x14ac:dyDescent="0.25">
      <c r="A578" s="843">
        <v>91401</v>
      </c>
      <c r="B578" s="844" t="s">
        <v>8046</v>
      </c>
    </row>
    <row r="579" spans="1:2" x14ac:dyDescent="0.25">
      <c r="A579" s="843">
        <v>91402</v>
      </c>
      <c r="B579" s="844" t="s">
        <v>8047</v>
      </c>
    </row>
    <row r="580" spans="1:2" x14ac:dyDescent="0.25">
      <c r="A580" s="843">
        <v>91501</v>
      </c>
      <c r="B580" s="844" t="s">
        <v>8048</v>
      </c>
    </row>
    <row r="581" spans="1:2" x14ac:dyDescent="0.25">
      <c r="A581" s="843">
        <v>91601</v>
      </c>
      <c r="B581" s="844" t="s">
        <v>8049</v>
      </c>
    </row>
    <row r="582" spans="1:2" x14ac:dyDescent="0.25">
      <c r="A582" s="843">
        <v>91701</v>
      </c>
      <c r="B582" s="844" t="s">
        <v>8050</v>
      </c>
    </row>
    <row r="583" spans="1:2" x14ac:dyDescent="0.25">
      <c r="A583" s="843">
        <v>91801</v>
      </c>
      <c r="B583" s="844" t="s">
        <v>8051</v>
      </c>
    </row>
    <row r="584" spans="1:2" x14ac:dyDescent="0.25">
      <c r="A584" s="843">
        <v>92101</v>
      </c>
      <c r="B584" s="844" t="s">
        <v>8052</v>
      </c>
    </row>
    <row r="585" spans="1:2" x14ac:dyDescent="0.25">
      <c r="A585" s="843">
        <v>92102</v>
      </c>
      <c r="B585" s="844" t="s">
        <v>8053</v>
      </c>
    </row>
    <row r="586" spans="1:2" x14ac:dyDescent="0.25">
      <c r="A586" s="843">
        <v>92201</v>
      </c>
      <c r="B586" s="844" t="s">
        <v>8054</v>
      </c>
    </row>
    <row r="587" spans="1:2" x14ac:dyDescent="0.25">
      <c r="A587" s="843">
        <v>92301</v>
      </c>
      <c r="B587" s="844" t="s">
        <v>8055</v>
      </c>
    </row>
    <row r="588" spans="1:2" x14ac:dyDescent="0.25">
      <c r="A588" s="843">
        <v>92302</v>
      </c>
      <c r="B588" s="844" t="s">
        <v>8056</v>
      </c>
    </row>
    <row r="589" spans="1:2" x14ac:dyDescent="0.25">
      <c r="A589" s="843">
        <v>92401</v>
      </c>
      <c r="B589" s="844" t="s">
        <v>8057</v>
      </c>
    </row>
    <row r="590" spans="1:2" x14ac:dyDescent="0.25">
      <c r="A590" s="843">
        <v>92402</v>
      </c>
      <c r="B590" s="844" t="s">
        <v>8058</v>
      </c>
    </row>
    <row r="591" spans="1:2" x14ac:dyDescent="0.25">
      <c r="A591" s="843">
        <v>92501</v>
      </c>
      <c r="B591" s="844" t="s">
        <v>8059</v>
      </c>
    </row>
    <row r="592" spans="1:2" x14ac:dyDescent="0.25">
      <c r="A592" s="843">
        <v>92601</v>
      </c>
      <c r="B592" s="844" t="s">
        <v>8060</v>
      </c>
    </row>
    <row r="593" spans="1:2" x14ac:dyDescent="0.25">
      <c r="A593" s="843">
        <v>92701</v>
      </c>
      <c r="B593" s="844" t="s">
        <v>8061</v>
      </c>
    </row>
    <row r="594" spans="1:2" x14ac:dyDescent="0.25">
      <c r="A594" s="843">
        <v>92801</v>
      </c>
      <c r="B594" s="844" t="s">
        <v>8062</v>
      </c>
    </row>
    <row r="595" spans="1:2" x14ac:dyDescent="0.25">
      <c r="A595" s="843">
        <v>93101</v>
      </c>
      <c r="B595" s="844" t="s">
        <v>8063</v>
      </c>
    </row>
    <row r="596" spans="1:2" x14ac:dyDescent="0.25">
      <c r="A596" s="843">
        <v>93201</v>
      </c>
      <c r="B596" s="844" t="s">
        <v>8064</v>
      </c>
    </row>
    <row r="597" spans="1:2" x14ac:dyDescent="0.25">
      <c r="A597" s="843">
        <v>94101</v>
      </c>
      <c r="B597" s="844" t="s">
        <v>8065</v>
      </c>
    </row>
    <row r="598" spans="1:2" x14ac:dyDescent="0.25">
      <c r="A598" s="843">
        <v>94201</v>
      </c>
      <c r="B598" s="844" t="s">
        <v>8066</v>
      </c>
    </row>
    <row r="599" spans="1:2" x14ac:dyDescent="0.25">
      <c r="A599" s="843">
        <v>95101</v>
      </c>
      <c r="B599" s="844" t="s">
        <v>8067</v>
      </c>
    </row>
    <row r="600" spans="1:2" x14ac:dyDescent="0.25">
      <c r="A600" s="843">
        <v>96101</v>
      </c>
      <c r="B600" s="844" t="s">
        <v>8068</v>
      </c>
    </row>
    <row r="601" spans="1:2" x14ac:dyDescent="0.25">
      <c r="A601" s="843">
        <v>96201</v>
      </c>
      <c r="B601" s="844" t="s">
        <v>8069</v>
      </c>
    </row>
    <row r="602" spans="1:2" x14ac:dyDescent="0.25">
      <c r="A602" s="843">
        <v>99101</v>
      </c>
      <c r="B602" s="844" t="s">
        <v>8070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E5D3B-E26D-4DBF-91B1-A2714CF5B784}">
  <dimension ref="A1:B1000"/>
  <sheetViews>
    <sheetView topLeftCell="A973" workbookViewId="0">
      <selection activeCell="D983" sqref="D983"/>
    </sheetView>
  </sheetViews>
  <sheetFormatPr baseColWidth="10" defaultRowHeight="15" x14ac:dyDescent="0.25"/>
  <cols>
    <col min="1" max="1" width="104.42578125" bestFit="1" customWidth="1"/>
    <col min="2" max="2" width="15.7109375" bestFit="1" customWidth="1"/>
  </cols>
  <sheetData>
    <row r="1" spans="1:2" x14ac:dyDescent="0.25">
      <c r="A1" t="s">
        <v>93</v>
      </c>
      <c r="B1" t="s">
        <v>131</v>
      </c>
    </row>
    <row r="2" spans="1:2" x14ac:dyDescent="0.25">
      <c r="A2" t="s">
        <v>8073</v>
      </c>
      <c r="B2" t="s">
        <v>8074</v>
      </c>
    </row>
    <row r="3" spans="1:2" x14ac:dyDescent="0.25">
      <c r="A3" t="s">
        <v>8075</v>
      </c>
      <c r="B3" t="s">
        <v>8076</v>
      </c>
    </row>
    <row r="4" spans="1:2" x14ac:dyDescent="0.25">
      <c r="A4" t="s">
        <v>8077</v>
      </c>
      <c r="B4" t="s">
        <v>8078</v>
      </c>
    </row>
    <row r="5" spans="1:2" x14ac:dyDescent="0.25">
      <c r="A5" t="s">
        <v>8079</v>
      </c>
      <c r="B5" t="s">
        <v>8080</v>
      </c>
    </row>
    <row r="6" spans="1:2" x14ac:dyDescent="0.25">
      <c r="A6" t="s">
        <v>8081</v>
      </c>
      <c r="B6" t="s">
        <v>8082</v>
      </c>
    </row>
    <row r="7" spans="1:2" x14ac:dyDescent="0.25">
      <c r="A7" t="s">
        <v>8083</v>
      </c>
      <c r="B7" t="s">
        <v>8084</v>
      </c>
    </row>
    <row r="8" spans="1:2" x14ac:dyDescent="0.25">
      <c r="A8" t="s">
        <v>8085</v>
      </c>
      <c r="B8" t="s">
        <v>8086</v>
      </c>
    </row>
    <row r="9" spans="1:2" x14ac:dyDescent="0.25">
      <c r="A9" t="s">
        <v>8087</v>
      </c>
      <c r="B9" t="s">
        <v>8088</v>
      </c>
    </row>
    <row r="10" spans="1:2" x14ac:dyDescent="0.25">
      <c r="A10" t="s">
        <v>8089</v>
      </c>
      <c r="B10" t="s">
        <v>8090</v>
      </c>
    </row>
    <row r="11" spans="1:2" x14ac:dyDescent="0.25">
      <c r="A11" t="s">
        <v>8091</v>
      </c>
      <c r="B11" t="s">
        <v>8092</v>
      </c>
    </row>
    <row r="12" spans="1:2" x14ac:dyDescent="0.25">
      <c r="A12" t="s">
        <v>8093</v>
      </c>
      <c r="B12" t="s">
        <v>8094</v>
      </c>
    </row>
    <row r="13" spans="1:2" x14ac:dyDescent="0.25">
      <c r="A13" t="s">
        <v>8095</v>
      </c>
      <c r="B13" t="s">
        <v>8096</v>
      </c>
    </row>
    <row r="14" spans="1:2" x14ac:dyDescent="0.25">
      <c r="A14" t="s">
        <v>8097</v>
      </c>
      <c r="B14" t="s">
        <v>8098</v>
      </c>
    </row>
    <row r="15" spans="1:2" x14ac:dyDescent="0.25">
      <c r="A15" t="s">
        <v>8099</v>
      </c>
      <c r="B15" t="s">
        <v>8100</v>
      </c>
    </row>
    <row r="16" spans="1:2" x14ac:dyDescent="0.25">
      <c r="A16" t="s">
        <v>8101</v>
      </c>
      <c r="B16" t="s">
        <v>8102</v>
      </c>
    </row>
    <row r="17" spans="1:2" x14ac:dyDescent="0.25">
      <c r="A17" t="s">
        <v>8103</v>
      </c>
      <c r="B17" t="s">
        <v>8104</v>
      </c>
    </row>
    <row r="18" spans="1:2" x14ac:dyDescent="0.25">
      <c r="A18" t="s">
        <v>8105</v>
      </c>
      <c r="B18" t="s">
        <v>8106</v>
      </c>
    </row>
    <row r="19" spans="1:2" x14ac:dyDescent="0.25">
      <c r="A19" t="s">
        <v>8107</v>
      </c>
      <c r="B19" t="s">
        <v>8108</v>
      </c>
    </row>
    <row r="20" spans="1:2" x14ac:dyDescent="0.25">
      <c r="A20" t="s">
        <v>8109</v>
      </c>
      <c r="B20" t="s">
        <v>8110</v>
      </c>
    </row>
    <row r="21" spans="1:2" x14ac:dyDescent="0.25">
      <c r="A21" t="s">
        <v>8111</v>
      </c>
      <c r="B21" t="s">
        <v>8112</v>
      </c>
    </row>
    <row r="22" spans="1:2" x14ac:dyDescent="0.25">
      <c r="A22" t="s">
        <v>8113</v>
      </c>
      <c r="B22" t="s">
        <v>8114</v>
      </c>
    </row>
    <row r="23" spans="1:2" x14ac:dyDescent="0.25">
      <c r="A23" t="s">
        <v>8115</v>
      </c>
      <c r="B23" t="s">
        <v>8116</v>
      </c>
    </row>
    <row r="24" spans="1:2" x14ac:dyDescent="0.25">
      <c r="A24" t="s">
        <v>8117</v>
      </c>
      <c r="B24" t="s">
        <v>8118</v>
      </c>
    </row>
    <row r="25" spans="1:2" x14ac:dyDescent="0.25">
      <c r="A25" t="s">
        <v>8119</v>
      </c>
      <c r="B25" t="s">
        <v>8120</v>
      </c>
    </row>
    <row r="26" spans="1:2" x14ac:dyDescent="0.25">
      <c r="A26" t="s">
        <v>8121</v>
      </c>
      <c r="B26" t="s">
        <v>8122</v>
      </c>
    </row>
    <row r="27" spans="1:2" x14ac:dyDescent="0.25">
      <c r="A27" t="s">
        <v>8123</v>
      </c>
      <c r="B27" t="s">
        <v>8124</v>
      </c>
    </row>
    <row r="28" spans="1:2" x14ac:dyDescent="0.25">
      <c r="A28" t="s">
        <v>8125</v>
      </c>
      <c r="B28" t="s">
        <v>8126</v>
      </c>
    </row>
    <row r="29" spans="1:2" x14ac:dyDescent="0.25">
      <c r="A29" t="s">
        <v>8127</v>
      </c>
      <c r="B29" t="s">
        <v>8128</v>
      </c>
    </row>
    <row r="30" spans="1:2" x14ac:dyDescent="0.25">
      <c r="A30" t="s">
        <v>8129</v>
      </c>
      <c r="B30" t="s">
        <v>8130</v>
      </c>
    </row>
    <row r="31" spans="1:2" x14ac:dyDescent="0.25">
      <c r="A31" t="s">
        <v>8131</v>
      </c>
      <c r="B31" t="s">
        <v>8132</v>
      </c>
    </row>
    <row r="32" spans="1:2" x14ac:dyDescent="0.25">
      <c r="A32" t="s">
        <v>8133</v>
      </c>
      <c r="B32" t="s">
        <v>8134</v>
      </c>
    </row>
    <row r="33" spans="1:2" x14ac:dyDescent="0.25">
      <c r="A33" t="s">
        <v>8135</v>
      </c>
      <c r="B33" t="s">
        <v>8136</v>
      </c>
    </row>
    <row r="34" spans="1:2" x14ac:dyDescent="0.25">
      <c r="A34" t="s">
        <v>8137</v>
      </c>
      <c r="B34" t="s">
        <v>8138</v>
      </c>
    </row>
    <row r="35" spans="1:2" x14ac:dyDescent="0.25">
      <c r="A35" t="s">
        <v>8139</v>
      </c>
      <c r="B35" t="s">
        <v>8140</v>
      </c>
    </row>
    <row r="36" spans="1:2" x14ac:dyDescent="0.25">
      <c r="A36" t="s">
        <v>8141</v>
      </c>
      <c r="B36" t="s">
        <v>8142</v>
      </c>
    </row>
    <row r="37" spans="1:2" x14ac:dyDescent="0.25">
      <c r="A37" t="s">
        <v>8143</v>
      </c>
      <c r="B37" t="s">
        <v>8144</v>
      </c>
    </row>
    <row r="38" spans="1:2" x14ac:dyDescent="0.25">
      <c r="A38" t="s">
        <v>8145</v>
      </c>
      <c r="B38" t="s">
        <v>8146</v>
      </c>
    </row>
    <row r="39" spans="1:2" x14ac:dyDescent="0.25">
      <c r="A39" t="s">
        <v>8147</v>
      </c>
      <c r="B39" t="s">
        <v>8148</v>
      </c>
    </row>
    <row r="40" spans="1:2" x14ac:dyDescent="0.25">
      <c r="A40" t="s">
        <v>8149</v>
      </c>
      <c r="B40" t="s">
        <v>8150</v>
      </c>
    </row>
    <row r="41" spans="1:2" x14ac:dyDescent="0.25">
      <c r="A41" t="s">
        <v>8151</v>
      </c>
      <c r="B41" t="s">
        <v>8152</v>
      </c>
    </row>
    <row r="42" spans="1:2" x14ac:dyDescent="0.25">
      <c r="A42" t="s">
        <v>8153</v>
      </c>
      <c r="B42" t="s">
        <v>8154</v>
      </c>
    </row>
    <row r="43" spans="1:2" x14ac:dyDescent="0.25">
      <c r="A43" t="s">
        <v>8155</v>
      </c>
      <c r="B43" t="s">
        <v>8156</v>
      </c>
    </row>
    <row r="44" spans="1:2" x14ac:dyDescent="0.25">
      <c r="A44" t="s">
        <v>8157</v>
      </c>
      <c r="B44" t="s">
        <v>8158</v>
      </c>
    </row>
    <row r="45" spans="1:2" x14ac:dyDescent="0.25">
      <c r="A45" t="s">
        <v>8159</v>
      </c>
      <c r="B45" t="s">
        <v>8160</v>
      </c>
    </row>
    <row r="46" spans="1:2" x14ac:dyDescent="0.25">
      <c r="A46" t="s">
        <v>8161</v>
      </c>
      <c r="B46" t="s">
        <v>8162</v>
      </c>
    </row>
    <row r="47" spans="1:2" x14ac:dyDescent="0.25">
      <c r="A47" t="s">
        <v>8163</v>
      </c>
      <c r="B47" t="s">
        <v>8164</v>
      </c>
    </row>
    <row r="48" spans="1:2" x14ac:dyDescent="0.25">
      <c r="A48" t="s">
        <v>8165</v>
      </c>
      <c r="B48" t="s">
        <v>8166</v>
      </c>
    </row>
    <row r="49" spans="1:2" x14ac:dyDescent="0.25">
      <c r="A49" t="s">
        <v>8167</v>
      </c>
      <c r="B49" t="s">
        <v>8168</v>
      </c>
    </row>
    <row r="50" spans="1:2" x14ac:dyDescent="0.25">
      <c r="A50" t="s">
        <v>8169</v>
      </c>
      <c r="B50" t="s">
        <v>8170</v>
      </c>
    </row>
    <row r="51" spans="1:2" x14ac:dyDescent="0.25">
      <c r="A51" t="s">
        <v>8171</v>
      </c>
      <c r="B51" t="s">
        <v>8172</v>
      </c>
    </row>
    <row r="52" spans="1:2" x14ac:dyDescent="0.25">
      <c r="A52" t="s">
        <v>8173</v>
      </c>
      <c r="B52" t="s">
        <v>8174</v>
      </c>
    </row>
    <row r="53" spans="1:2" x14ac:dyDescent="0.25">
      <c r="A53" t="s">
        <v>8175</v>
      </c>
      <c r="B53" t="s">
        <v>3822</v>
      </c>
    </row>
    <row r="54" spans="1:2" x14ac:dyDescent="0.25">
      <c r="A54" t="s">
        <v>8176</v>
      </c>
      <c r="B54" t="s">
        <v>8177</v>
      </c>
    </row>
    <row r="55" spans="1:2" x14ac:dyDescent="0.25">
      <c r="A55" t="s">
        <v>8178</v>
      </c>
      <c r="B55" t="s">
        <v>8179</v>
      </c>
    </row>
    <row r="56" spans="1:2" x14ac:dyDescent="0.25">
      <c r="A56" t="s">
        <v>8180</v>
      </c>
      <c r="B56" t="s">
        <v>8181</v>
      </c>
    </row>
    <row r="57" spans="1:2" x14ac:dyDescent="0.25">
      <c r="A57" t="s">
        <v>8182</v>
      </c>
      <c r="B57" t="s">
        <v>8183</v>
      </c>
    </row>
    <row r="58" spans="1:2" x14ac:dyDescent="0.25">
      <c r="A58" t="s">
        <v>8184</v>
      </c>
      <c r="B58" t="s">
        <v>8185</v>
      </c>
    </row>
    <row r="59" spans="1:2" x14ac:dyDescent="0.25">
      <c r="A59" t="s">
        <v>8186</v>
      </c>
      <c r="B59" t="s">
        <v>8187</v>
      </c>
    </row>
    <row r="60" spans="1:2" x14ac:dyDescent="0.25">
      <c r="A60" t="s">
        <v>8188</v>
      </c>
      <c r="B60" t="s">
        <v>8189</v>
      </c>
    </row>
    <row r="61" spans="1:2" x14ac:dyDescent="0.25">
      <c r="A61" t="s">
        <v>8190</v>
      </c>
      <c r="B61" t="s">
        <v>8191</v>
      </c>
    </row>
    <row r="62" spans="1:2" x14ac:dyDescent="0.25">
      <c r="A62" t="s">
        <v>8192</v>
      </c>
      <c r="B62" t="s">
        <v>8193</v>
      </c>
    </row>
    <row r="63" spans="1:2" x14ac:dyDescent="0.25">
      <c r="A63" t="s">
        <v>8194</v>
      </c>
      <c r="B63" t="s">
        <v>8195</v>
      </c>
    </row>
    <row r="64" spans="1:2" x14ac:dyDescent="0.25">
      <c r="A64" t="s">
        <v>8196</v>
      </c>
      <c r="B64" t="s">
        <v>8197</v>
      </c>
    </row>
    <row r="65" spans="1:2" x14ac:dyDescent="0.25">
      <c r="A65" t="s">
        <v>8198</v>
      </c>
      <c r="B65" t="s">
        <v>8199</v>
      </c>
    </row>
    <row r="66" spans="1:2" x14ac:dyDescent="0.25">
      <c r="A66" t="s">
        <v>8200</v>
      </c>
      <c r="B66" t="s">
        <v>8201</v>
      </c>
    </row>
    <row r="67" spans="1:2" x14ac:dyDescent="0.25">
      <c r="A67" t="s">
        <v>8202</v>
      </c>
      <c r="B67" t="s">
        <v>8203</v>
      </c>
    </row>
    <row r="68" spans="1:2" x14ac:dyDescent="0.25">
      <c r="A68" t="s">
        <v>8204</v>
      </c>
      <c r="B68" t="s">
        <v>8205</v>
      </c>
    </row>
    <row r="69" spans="1:2" x14ac:dyDescent="0.25">
      <c r="A69" t="s">
        <v>8206</v>
      </c>
      <c r="B69" t="s">
        <v>8207</v>
      </c>
    </row>
    <row r="70" spans="1:2" x14ac:dyDescent="0.25">
      <c r="A70" t="s">
        <v>8208</v>
      </c>
      <c r="B70" t="s">
        <v>8209</v>
      </c>
    </row>
    <row r="71" spans="1:2" x14ac:dyDescent="0.25">
      <c r="A71" t="s">
        <v>8210</v>
      </c>
      <c r="B71" t="s">
        <v>8211</v>
      </c>
    </row>
    <row r="72" spans="1:2" x14ac:dyDescent="0.25">
      <c r="A72" t="s">
        <v>8212</v>
      </c>
      <c r="B72" t="s">
        <v>8213</v>
      </c>
    </row>
    <row r="73" spans="1:2" x14ac:dyDescent="0.25">
      <c r="A73" t="s">
        <v>8214</v>
      </c>
      <c r="B73" t="s">
        <v>8215</v>
      </c>
    </row>
    <row r="74" spans="1:2" x14ac:dyDescent="0.25">
      <c r="A74" t="s">
        <v>8216</v>
      </c>
      <c r="B74" t="s">
        <v>8217</v>
      </c>
    </row>
    <row r="75" spans="1:2" x14ac:dyDescent="0.25">
      <c r="A75" t="s">
        <v>8218</v>
      </c>
      <c r="B75" t="s">
        <v>8219</v>
      </c>
    </row>
    <row r="76" spans="1:2" x14ac:dyDescent="0.25">
      <c r="A76" t="s">
        <v>8220</v>
      </c>
      <c r="B76" t="s">
        <v>8221</v>
      </c>
    </row>
    <row r="77" spans="1:2" x14ac:dyDescent="0.25">
      <c r="A77" t="s">
        <v>8222</v>
      </c>
      <c r="B77" t="s">
        <v>8223</v>
      </c>
    </row>
    <row r="78" spans="1:2" x14ac:dyDescent="0.25">
      <c r="A78" t="s">
        <v>8224</v>
      </c>
      <c r="B78" t="s">
        <v>8225</v>
      </c>
    </row>
    <row r="79" spans="1:2" x14ac:dyDescent="0.25">
      <c r="A79" t="s">
        <v>8226</v>
      </c>
      <c r="B79" t="s">
        <v>8227</v>
      </c>
    </row>
    <row r="80" spans="1:2" x14ac:dyDescent="0.25">
      <c r="A80" t="s">
        <v>8228</v>
      </c>
      <c r="B80" t="s">
        <v>8229</v>
      </c>
    </row>
    <row r="81" spans="1:2" x14ac:dyDescent="0.25">
      <c r="A81" t="s">
        <v>8230</v>
      </c>
      <c r="B81" t="s">
        <v>8231</v>
      </c>
    </row>
    <row r="82" spans="1:2" x14ac:dyDescent="0.25">
      <c r="A82" t="s">
        <v>8232</v>
      </c>
      <c r="B82" t="s">
        <v>8233</v>
      </c>
    </row>
    <row r="83" spans="1:2" x14ac:dyDescent="0.25">
      <c r="A83" t="s">
        <v>8234</v>
      </c>
      <c r="B83" t="s">
        <v>8235</v>
      </c>
    </row>
    <row r="84" spans="1:2" x14ac:dyDescent="0.25">
      <c r="A84" t="s">
        <v>8236</v>
      </c>
      <c r="B84" t="s">
        <v>8237</v>
      </c>
    </row>
    <row r="85" spans="1:2" x14ac:dyDescent="0.25">
      <c r="A85" t="s">
        <v>1748</v>
      </c>
      <c r="B85" t="s">
        <v>8238</v>
      </c>
    </row>
    <row r="86" spans="1:2" x14ac:dyDescent="0.25">
      <c r="A86" t="s">
        <v>8239</v>
      </c>
      <c r="B86" t="s">
        <v>8240</v>
      </c>
    </row>
    <row r="87" spans="1:2" x14ac:dyDescent="0.25">
      <c r="A87" t="s">
        <v>569</v>
      </c>
      <c r="B87" t="s">
        <v>3341</v>
      </c>
    </row>
    <row r="88" spans="1:2" x14ac:dyDescent="0.25">
      <c r="A88" t="s">
        <v>8241</v>
      </c>
      <c r="B88" t="s">
        <v>8242</v>
      </c>
    </row>
    <row r="89" spans="1:2" x14ac:dyDescent="0.25">
      <c r="A89" t="s">
        <v>8243</v>
      </c>
      <c r="B89" t="s">
        <v>8244</v>
      </c>
    </row>
    <row r="90" spans="1:2" x14ac:dyDescent="0.25">
      <c r="A90" t="s">
        <v>8245</v>
      </c>
      <c r="B90" t="s">
        <v>8246</v>
      </c>
    </row>
    <row r="91" spans="1:2" x14ac:dyDescent="0.25">
      <c r="A91" t="s">
        <v>8247</v>
      </c>
      <c r="B91" t="s">
        <v>8248</v>
      </c>
    </row>
    <row r="92" spans="1:2" x14ac:dyDescent="0.25">
      <c r="A92" t="s">
        <v>8249</v>
      </c>
      <c r="B92" t="s">
        <v>8250</v>
      </c>
    </row>
    <row r="93" spans="1:2" x14ac:dyDescent="0.25">
      <c r="A93" t="s">
        <v>8251</v>
      </c>
      <c r="B93" t="s">
        <v>8252</v>
      </c>
    </row>
    <row r="94" spans="1:2" x14ac:dyDescent="0.25">
      <c r="A94" t="s">
        <v>8253</v>
      </c>
      <c r="B94" t="s">
        <v>8254</v>
      </c>
    </row>
    <row r="95" spans="1:2" x14ac:dyDescent="0.25">
      <c r="A95" t="s">
        <v>8255</v>
      </c>
      <c r="B95" t="s">
        <v>8256</v>
      </c>
    </row>
    <row r="96" spans="1:2" x14ac:dyDescent="0.25">
      <c r="A96" t="s">
        <v>8257</v>
      </c>
      <c r="B96" t="s">
        <v>8258</v>
      </c>
    </row>
    <row r="97" spans="1:2" x14ac:dyDescent="0.25">
      <c r="A97" t="s">
        <v>8259</v>
      </c>
      <c r="B97" t="s">
        <v>8260</v>
      </c>
    </row>
    <row r="98" spans="1:2" x14ac:dyDescent="0.25">
      <c r="A98" t="s">
        <v>8261</v>
      </c>
      <c r="B98" t="s">
        <v>8262</v>
      </c>
    </row>
    <row r="99" spans="1:2" x14ac:dyDescent="0.25">
      <c r="A99" t="s">
        <v>8263</v>
      </c>
      <c r="B99" t="s">
        <v>8264</v>
      </c>
    </row>
    <row r="100" spans="1:2" x14ac:dyDescent="0.25">
      <c r="A100" t="s">
        <v>8265</v>
      </c>
      <c r="B100" t="s">
        <v>8266</v>
      </c>
    </row>
    <row r="101" spans="1:2" x14ac:dyDescent="0.25">
      <c r="A101" t="s">
        <v>8267</v>
      </c>
      <c r="B101" t="s">
        <v>8268</v>
      </c>
    </row>
    <row r="102" spans="1:2" x14ac:dyDescent="0.25">
      <c r="A102" t="s">
        <v>8269</v>
      </c>
      <c r="B102" t="s">
        <v>8270</v>
      </c>
    </row>
    <row r="103" spans="1:2" x14ac:dyDescent="0.25">
      <c r="A103" t="s">
        <v>8271</v>
      </c>
      <c r="B103" t="s">
        <v>8272</v>
      </c>
    </row>
    <row r="104" spans="1:2" x14ac:dyDescent="0.25">
      <c r="A104" t="s">
        <v>8273</v>
      </c>
      <c r="B104" t="s">
        <v>8274</v>
      </c>
    </row>
    <row r="105" spans="1:2" x14ac:dyDescent="0.25">
      <c r="A105" t="s">
        <v>8275</v>
      </c>
      <c r="B105" t="s">
        <v>8276</v>
      </c>
    </row>
    <row r="106" spans="1:2" x14ac:dyDescent="0.25">
      <c r="A106" t="s">
        <v>8277</v>
      </c>
      <c r="B106" t="s">
        <v>8278</v>
      </c>
    </row>
    <row r="107" spans="1:2" x14ac:dyDescent="0.25">
      <c r="A107" t="s">
        <v>8279</v>
      </c>
      <c r="B107" t="s">
        <v>8280</v>
      </c>
    </row>
    <row r="108" spans="1:2" x14ac:dyDescent="0.25">
      <c r="A108" t="s">
        <v>8281</v>
      </c>
      <c r="B108" t="s">
        <v>8282</v>
      </c>
    </row>
    <row r="109" spans="1:2" x14ac:dyDescent="0.25">
      <c r="A109" t="s">
        <v>8283</v>
      </c>
      <c r="B109" t="s">
        <v>8284</v>
      </c>
    </row>
    <row r="110" spans="1:2" x14ac:dyDescent="0.25">
      <c r="A110" t="s">
        <v>8285</v>
      </c>
      <c r="B110" t="s">
        <v>8286</v>
      </c>
    </row>
    <row r="111" spans="1:2" x14ac:dyDescent="0.25">
      <c r="A111" t="s">
        <v>8287</v>
      </c>
      <c r="B111" t="s">
        <v>8288</v>
      </c>
    </row>
    <row r="112" spans="1:2" x14ac:dyDescent="0.25">
      <c r="A112" t="s">
        <v>8289</v>
      </c>
      <c r="B112" t="s">
        <v>8290</v>
      </c>
    </row>
    <row r="113" spans="1:2" x14ac:dyDescent="0.25">
      <c r="A113" t="s">
        <v>8291</v>
      </c>
      <c r="B113" t="s">
        <v>8292</v>
      </c>
    </row>
    <row r="114" spans="1:2" x14ac:dyDescent="0.25">
      <c r="A114" t="s">
        <v>8293</v>
      </c>
      <c r="B114" t="s">
        <v>8294</v>
      </c>
    </row>
    <row r="115" spans="1:2" x14ac:dyDescent="0.25">
      <c r="A115" t="s">
        <v>8295</v>
      </c>
      <c r="B115" t="s">
        <v>8296</v>
      </c>
    </row>
    <row r="116" spans="1:2" x14ac:dyDescent="0.25">
      <c r="A116" t="s">
        <v>8297</v>
      </c>
      <c r="B116" t="s">
        <v>8298</v>
      </c>
    </row>
    <row r="117" spans="1:2" x14ac:dyDescent="0.25">
      <c r="A117" t="s">
        <v>8299</v>
      </c>
      <c r="B117" t="s">
        <v>8300</v>
      </c>
    </row>
    <row r="118" spans="1:2" x14ac:dyDescent="0.25">
      <c r="A118" t="s">
        <v>8301</v>
      </c>
      <c r="B118" t="s">
        <v>4209</v>
      </c>
    </row>
    <row r="119" spans="1:2" x14ac:dyDescent="0.25">
      <c r="A119" t="s">
        <v>8302</v>
      </c>
      <c r="B119" t="s">
        <v>8303</v>
      </c>
    </row>
    <row r="120" spans="1:2" x14ac:dyDescent="0.25">
      <c r="A120" t="s">
        <v>8304</v>
      </c>
      <c r="B120" t="s">
        <v>8305</v>
      </c>
    </row>
    <row r="121" spans="1:2" x14ac:dyDescent="0.25">
      <c r="A121" t="s">
        <v>8306</v>
      </c>
      <c r="B121" t="s">
        <v>8307</v>
      </c>
    </row>
    <row r="122" spans="1:2" x14ac:dyDescent="0.25">
      <c r="A122" t="s">
        <v>8308</v>
      </c>
      <c r="B122" t="s">
        <v>8309</v>
      </c>
    </row>
    <row r="123" spans="1:2" x14ac:dyDescent="0.25">
      <c r="A123" t="s">
        <v>8310</v>
      </c>
      <c r="B123" t="s">
        <v>8311</v>
      </c>
    </row>
    <row r="124" spans="1:2" x14ac:dyDescent="0.25">
      <c r="A124" t="s">
        <v>8312</v>
      </c>
      <c r="B124" t="s">
        <v>8313</v>
      </c>
    </row>
    <row r="125" spans="1:2" x14ac:dyDescent="0.25">
      <c r="A125" t="s">
        <v>8314</v>
      </c>
      <c r="B125" t="s">
        <v>8315</v>
      </c>
    </row>
    <row r="126" spans="1:2" x14ac:dyDescent="0.25">
      <c r="A126" t="s">
        <v>8316</v>
      </c>
      <c r="B126" t="s">
        <v>8317</v>
      </c>
    </row>
    <row r="127" spans="1:2" x14ac:dyDescent="0.25">
      <c r="A127" t="s">
        <v>8318</v>
      </c>
      <c r="B127" t="s">
        <v>8319</v>
      </c>
    </row>
    <row r="128" spans="1:2" x14ac:dyDescent="0.25">
      <c r="A128" t="s">
        <v>8320</v>
      </c>
      <c r="B128" t="s">
        <v>8321</v>
      </c>
    </row>
    <row r="129" spans="1:2" x14ac:dyDescent="0.25">
      <c r="A129" t="s">
        <v>8322</v>
      </c>
      <c r="B129" t="s">
        <v>8323</v>
      </c>
    </row>
    <row r="130" spans="1:2" x14ac:dyDescent="0.25">
      <c r="A130" t="s">
        <v>2314</v>
      </c>
      <c r="B130" t="s">
        <v>8324</v>
      </c>
    </row>
    <row r="131" spans="1:2" x14ac:dyDescent="0.25">
      <c r="A131" t="s">
        <v>8325</v>
      </c>
      <c r="B131" t="s">
        <v>8326</v>
      </c>
    </row>
    <row r="132" spans="1:2" x14ac:dyDescent="0.25">
      <c r="A132" t="s">
        <v>8327</v>
      </c>
      <c r="B132" t="s">
        <v>8328</v>
      </c>
    </row>
    <row r="133" spans="1:2" x14ac:dyDescent="0.25">
      <c r="A133" t="s">
        <v>8329</v>
      </c>
      <c r="B133" t="s">
        <v>4683</v>
      </c>
    </row>
    <row r="134" spans="1:2" x14ac:dyDescent="0.25">
      <c r="A134" t="s">
        <v>1636</v>
      </c>
      <c r="B134" t="s">
        <v>8330</v>
      </c>
    </row>
    <row r="135" spans="1:2" x14ac:dyDescent="0.25">
      <c r="A135" t="s">
        <v>8331</v>
      </c>
      <c r="B135" t="s">
        <v>8332</v>
      </c>
    </row>
    <row r="136" spans="1:2" x14ac:dyDescent="0.25">
      <c r="A136" t="s">
        <v>8333</v>
      </c>
      <c r="B136" t="s">
        <v>8334</v>
      </c>
    </row>
    <row r="137" spans="1:2" x14ac:dyDescent="0.25">
      <c r="A137" t="s">
        <v>8335</v>
      </c>
      <c r="B137" t="s">
        <v>8336</v>
      </c>
    </row>
    <row r="138" spans="1:2" x14ac:dyDescent="0.25">
      <c r="A138" t="s">
        <v>8337</v>
      </c>
      <c r="B138" t="s">
        <v>8338</v>
      </c>
    </row>
    <row r="139" spans="1:2" x14ac:dyDescent="0.25">
      <c r="A139" t="s">
        <v>8339</v>
      </c>
      <c r="B139" t="s">
        <v>8340</v>
      </c>
    </row>
    <row r="140" spans="1:2" x14ac:dyDescent="0.25">
      <c r="A140" t="s">
        <v>8341</v>
      </c>
      <c r="B140" t="s">
        <v>8342</v>
      </c>
    </row>
    <row r="141" spans="1:2" x14ac:dyDescent="0.25">
      <c r="A141" t="s">
        <v>8343</v>
      </c>
      <c r="B141" t="s">
        <v>8344</v>
      </c>
    </row>
    <row r="142" spans="1:2" x14ac:dyDescent="0.25">
      <c r="A142" t="s">
        <v>8345</v>
      </c>
      <c r="B142" t="s">
        <v>8346</v>
      </c>
    </row>
    <row r="143" spans="1:2" x14ac:dyDescent="0.25">
      <c r="A143" t="s">
        <v>8347</v>
      </c>
      <c r="B143" t="s">
        <v>8348</v>
      </c>
    </row>
    <row r="144" spans="1:2" x14ac:dyDescent="0.25">
      <c r="A144" t="s">
        <v>5158</v>
      </c>
      <c r="B144" t="s">
        <v>4080</v>
      </c>
    </row>
    <row r="145" spans="1:2" x14ac:dyDescent="0.25">
      <c r="A145" t="s">
        <v>8349</v>
      </c>
      <c r="B145" t="s">
        <v>8350</v>
      </c>
    </row>
    <row r="146" spans="1:2" x14ac:dyDescent="0.25">
      <c r="A146" t="s">
        <v>8351</v>
      </c>
      <c r="B146" t="s">
        <v>8352</v>
      </c>
    </row>
    <row r="147" spans="1:2" x14ac:dyDescent="0.25">
      <c r="A147" t="s">
        <v>8353</v>
      </c>
      <c r="B147" t="s">
        <v>8354</v>
      </c>
    </row>
    <row r="148" spans="1:2" x14ac:dyDescent="0.25">
      <c r="A148" t="s">
        <v>8355</v>
      </c>
      <c r="B148" t="s">
        <v>8356</v>
      </c>
    </row>
    <row r="149" spans="1:2" x14ac:dyDescent="0.25">
      <c r="A149" t="s">
        <v>8357</v>
      </c>
      <c r="B149" t="s">
        <v>8358</v>
      </c>
    </row>
    <row r="150" spans="1:2" x14ac:dyDescent="0.25">
      <c r="A150" t="s">
        <v>8359</v>
      </c>
      <c r="B150" t="s">
        <v>8360</v>
      </c>
    </row>
    <row r="151" spans="1:2" x14ac:dyDescent="0.25">
      <c r="A151" t="s">
        <v>8361</v>
      </c>
      <c r="B151" t="s">
        <v>8362</v>
      </c>
    </row>
    <row r="152" spans="1:2" x14ac:dyDescent="0.25">
      <c r="A152" t="s">
        <v>8363</v>
      </c>
      <c r="B152" t="s">
        <v>8364</v>
      </c>
    </row>
    <row r="153" spans="1:2" x14ac:dyDescent="0.25">
      <c r="A153" t="s">
        <v>8365</v>
      </c>
      <c r="B153" t="s">
        <v>8366</v>
      </c>
    </row>
    <row r="154" spans="1:2" x14ac:dyDescent="0.25">
      <c r="A154" t="s">
        <v>8367</v>
      </c>
      <c r="B154" t="s">
        <v>8368</v>
      </c>
    </row>
    <row r="155" spans="1:2" x14ac:dyDescent="0.25">
      <c r="A155" t="s">
        <v>8369</v>
      </c>
      <c r="B155" t="s">
        <v>8370</v>
      </c>
    </row>
    <row r="156" spans="1:2" x14ac:dyDescent="0.25">
      <c r="A156" t="s">
        <v>8371</v>
      </c>
      <c r="B156" t="s">
        <v>8372</v>
      </c>
    </row>
    <row r="157" spans="1:2" x14ac:dyDescent="0.25">
      <c r="A157" s="486" t="s">
        <v>6420</v>
      </c>
      <c r="B157" t="s">
        <v>6203</v>
      </c>
    </row>
    <row r="158" spans="1:2" x14ac:dyDescent="0.25">
      <c r="A158" t="s">
        <v>8373</v>
      </c>
      <c r="B158" t="s">
        <v>8374</v>
      </c>
    </row>
    <row r="159" spans="1:2" x14ac:dyDescent="0.25">
      <c r="A159" t="s">
        <v>8375</v>
      </c>
      <c r="B159" t="s">
        <v>8376</v>
      </c>
    </row>
    <row r="160" spans="1:2" x14ac:dyDescent="0.25">
      <c r="A160" t="s">
        <v>8377</v>
      </c>
      <c r="B160" t="s">
        <v>8378</v>
      </c>
    </row>
    <row r="161" spans="1:2" x14ac:dyDescent="0.25">
      <c r="A161" t="s">
        <v>8379</v>
      </c>
      <c r="B161" t="s">
        <v>8380</v>
      </c>
    </row>
    <row r="162" spans="1:2" x14ac:dyDescent="0.25">
      <c r="A162" t="s">
        <v>8381</v>
      </c>
      <c r="B162" t="s">
        <v>8382</v>
      </c>
    </row>
    <row r="163" spans="1:2" x14ac:dyDescent="0.25">
      <c r="A163" t="s">
        <v>8383</v>
      </c>
      <c r="B163" t="s">
        <v>8384</v>
      </c>
    </row>
    <row r="164" spans="1:2" x14ac:dyDescent="0.25">
      <c r="A164" t="s">
        <v>8385</v>
      </c>
      <c r="B164" t="s">
        <v>8386</v>
      </c>
    </row>
    <row r="165" spans="1:2" x14ac:dyDescent="0.25">
      <c r="A165" t="s">
        <v>8387</v>
      </c>
      <c r="B165" t="s">
        <v>8388</v>
      </c>
    </row>
    <row r="166" spans="1:2" x14ac:dyDescent="0.25">
      <c r="A166" t="s">
        <v>8389</v>
      </c>
      <c r="B166" t="s">
        <v>8390</v>
      </c>
    </row>
    <row r="167" spans="1:2" x14ac:dyDescent="0.25">
      <c r="A167" t="s">
        <v>8391</v>
      </c>
      <c r="B167" t="s">
        <v>8392</v>
      </c>
    </row>
    <row r="168" spans="1:2" x14ac:dyDescent="0.25">
      <c r="A168" t="s">
        <v>8393</v>
      </c>
      <c r="B168" t="s">
        <v>8394</v>
      </c>
    </row>
    <row r="169" spans="1:2" x14ac:dyDescent="0.25">
      <c r="A169" t="s">
        <v>8395</v>
      </c>
      <c r="B169" t="s">
        <v>8396</v>
      </c>
    </row>
    <row r="170" spans="1:2" x14ac:dyDescent="0.25">
      <c r="A170" t="s">
        <v>8397</v>
      </c>
      <c r="B170" t="s">
        <v>8398</v>
      </c>
    </row>
    <row r="171" spans="1:2" x14ac:dyDescent="0.25">
      <c r="A171" t="s">
        <v>8399</v>
      </c>
      <c r="B171" t="s">
        <v>8400</v>
      </c>
    </row>
    <row r="172" spans="1:2" x14ac:dyDescent="0.25">
      <c r="A172" t="s">
        <v>8401</v>
      </c>
      <c r="B172" t="s">
        <v>8402</v>
      </c>
    </row>
    <row r="173" spans="1:2" x14ac:dyDescent="0.25">
      <c r="A173" t="s">
        <v>8403</v>
      </c>
      <c r="B173" t="s">
        <v>8404</v>
      </c>
    </row>
    <row r="174" spans="1:2" x14ac:dyDescent="0.25">
      <c r="A174" t="s">
        <v>8405</v>
      </c>
      <c r="B174" t="s">
        <v>8406</v>
      </c>
    </row>
    <row r="175" spans="1:2" x14ac:dyDescent="0.25">
      <c r="A175" t="s">
        <v>8407</v>
      </c>
      <c r="B175" t="s">
        <v>8408</v>
      </c>
    </row>
    <row r="176" spans="1:2" x14ac:dyDescent="0.25">
      <c r="A176" t="s">
        <v>8409</v>
      </c>
      <c r="B176" t="s">
        <v>8410</v>
      </c>
    </row>
    <row r="177" spans="1:2" x14ac:dyDescent="0.25">
      <c r="A177" t="s">
        <v>8411</v>
      </c>
      <c r="B177" t="s">
        <v>8412</v>
      </c>
    </row>
    <row r="178" spans="1:2" x14ac:dyDescent="0.25">
      <c r="A178" t="s">
        <v>8413</v>
      </c>
      <c r="B178" t="s">
        <v>8414</v>
      </c>
    </row>
    <row r="179" spans="1:2" x14ac:dyDescent="0.25">
      <c r="A179" t="s">
        <v>8415</v>
      </c>
      <c r="B179" t="s">
        <v>8416</v>
      </c>
    </row>
    <row r="180" spans="1:2" x14ac:dyDescent="0.25">
      <c r="A180" t="s">
        <v>8417</v>
      </c>
      <c r="B180" t="s">
        <v>8418</v>
      </c>
    </row>
    <row r="181" spans="1:2" x14ac:dyDescent="0.25">
      <c r="A181" t="s">
        <v>8419</v>
      </c>
      <c r="B181" t="s">
        <v>8420</v>
      </c>
    </row>
    <row r="182" spans="1:2" x14ac:dyDescent="0.25">
      <c r="A182" t="s">
        <v>8421</v>
      </c>
      <c r="B182" t="s">
        <v>8422</v>
      </c>
    </row>
    <row r="183" spans="1:2" x14ac:dyDescent="0.25">
      <c r="A183" t="s">
        <v>8423</v>
      </c>
      <c r="B183" t="s">
        <v>8424</v>
      </c>
    </row>
    <row r="184" spans="1:2" x14ac:dyDescent="0.25">
      <c r="A184" t="s">
        <v>8425</v>
      </c>
      <c r="B184" t="s">
        <v>8426</v>
      </c>
    </row>
    <row r="185" spans="1:2" x14ac:dyDescent="0.25">
      <c r="A185" t="s">
        <v>8427</v>
      </c>
      <c r="B185" t="s">
        <v>8428</v>
      </c>
    </row>
    <row r="186" spans="1:2" x14ac:dyDescent="0.25">
      <c r="A186" t="s">
        <v>8429</v>
      </c>
      <c r="B186" t="s">
        <v>8430</v>
      </c>
    </row>
    <row r="187" spans="1:2" x14ac:dyDescent="0.25">
      <c r="A187" t="s">
        <v>8431</v>
      </c>
      <c r="B187" t="s">
        <v>8432</v>
      </c>
    </row>
    <row r="188" spans="1:2" x14ac:dyDescent="0.25">
      <c r="A188" t="s">
        <v>8433</v>
      </c>
      <c r="B188" t="s">
        <v>8434</v>
      </c>
    </row>
    <row r="189" spans="1:2" x14ac:dyDescent="0.25">
      <c r="A189" t="s">
        <v>8435</v>
      </c>
      <c r="B189" t="s">
        <v>3272</v>
      </c>
    </row>
    <row r="190" spans="1:2" x14ac:dyDescent="0.25">
      <c r="A190" t="s">
        <v>8436</v>
      </c>
      <c r="B190" t="s">
        <v>8437</v>
      </c>
    </row>
    <row r="191" spans="1:2" x14ac:dyDescent="0.25">
      <c r="A191" t="s">
        <v>8438</v>
      </c>
      <c r="B191" t="s">
        <v>8439</v>
      </c>
    </row>
    <row r="192" spans="1:2" x14ac:dyDescent="0.25">
      <c r="A192" t="s">
        <v>8440</v>
      </c>
      <c r="B192" t="s">
        <v>8441</v>
      </c>
    </row>
    <row r="193" spans="1:2" x14ac:dyDescent="0.25">
      <c r="A193" t="s">
        <v>8442</v>
      </c>
      <c r="B193" t="s">
        <v>8443</v>
      </c>
    </row>
    <row r="194" spans="1:2" x14ac:dyDescent="0.25">
      <c r="A194" t="s">
        <v>8444</v>
      </c>
      <c r="B194" t="s">
        <v>8445</v>
      </c>
    </row>
    <row r="195" spans="1:2" x14ac:dyDescent="0.25">
      <c r="A195" t="s">
        <v>8446</v>
      </c>
      <c r="B195" t="s">
        <v>8447</v>
      </c>
    </row>
    <row r="196" spans="1:2" x14ac:dyDescent="0.25">
      <c r="A196" t="s">
        <v>8448</v>
      </c>
      <c r="B196" t="s">
        <v>8449</v>
      </c>
    </row>
    <row r="197" spans="1:2" x14ac:dyDescent="0.25">
      <c r="A197" t="s">
        <v>8450</v>
      </c>
      <c r="B197" t="s">
        <v>8451</v>
      </c>
    </row>
    <row r="198" spans="1:2" x14ac:dyDescent="0.25">
      <c r="A198" t="s">
        <v>8452</v>
      </c>
      <c r="B198" t="s">
        <v>8453</v>
      </c>
    </row>
    <row r="199" spans="1:2" x14ac:dyDescent="0.25">
      <c r="A199" t="s">
        <v>8454</v>
      </c>
      <c r="B199" t="s">
        <v>8455</v>
      </c>
    </row>
    <row r="200" spans="1:2" x14ac:dyDescent="0.25">
      <c r="A200" t="s">
        <v>8456</v>
      </c>
      <c r="B200" t="s">
        <v>8457</v>
      </c>
    </row>
    <row r="201" spans="1:2" x14ac:dyDescent="0.25">
      <c r="A201" t="s">
        <v>8458</v>
      </c>
      <c r="B201" t="s">
        <v>8459</v>
      </c>
    </row>
    <row r="202" spans="1:2" x14ac:dyDescent="0.25">
      <c r="A202" t="s">
        <v>8460</v>
      </c>
      <c r="B202" t="s">
        <v>8461</v>
      </c>
    </row>
    <row r="203" spans="1:2" x14ac:dyDescent="0.25">
      <c r="A203" t="s">
        <v>8462</v>
      </c>
      <c r="B203" t="s">
        <v>8463</v>
      </c>
    </row>
    <row r="204" spans="1:2" x14ac:dyDescent="0.25">
      <c r="A204" t="s">
        <v>8464</v>
      </c>
      <c r="B204" t="s">
        <v>8465</v>
      </c>
    </row>
    <row r="205" spans="1:2" x14ac:dyDescent="0.25">
      <c r="A205" t="s">
        <v>8466</v>
      </c>
      <c r="B205" t="s">
        <v>8467</v>
      </c>
    </row>
    <row r="206" spans="1:2" x14ac:dyDescent="0.25">
      <c r="A206" t="s">
        <v>8468</v>
      </c>
      <c r="B206" t="s">
        <v>8469</v>
      </c>
    </row>
    <row r="207" spans="1:2" x14ac:dyDescent="0.25">
      <c r="A207" t="s">
        <v>8470</v>
      </c>
      <c r="B207" t="s">
        <v>8471</v>
      </c>
    </row>
    <row r="208" spans="1:2" x14ac:dyDescent="0.25">
      <c r="A208" t="s">
        <v>8472</v>
      </c>
      <c r="B208" t="s">
        <v>8473</v>
      </c>
    </row>
    <row r="209" spans="1:2" x14ac:dyDescent="0.25">
      <c r="A209" t="s">
        <v>8474</v>
      </c>
      <c r="B209" t="s">
        <v>8475</v>
      </c>
    </row>
    <row r="210" spans="1:2" x14ac:dyDescent="0.25">
      <c r="A210" t="s">
        <v>8476</v>
      </c>
      <c r="B210" t="s">
        <v>8477</v>
      </c>
    </row>
    <row r="211" spans="1:2" x14ac:dyDescent="0.25">
      <c r="A211" t="s">
        <v>8478</v>
      </c>
      <c r="B211" t="s">
        <v>8479</v>
      </c>
    </row>
    <row r="212" spans="1:2" x14ac:dyDescent="0.25">
      <c r="A212" t="s">
        <v>8480</v>
      </c>
      <c r="B212" t="s">
        <v>8481</v>
      </c>
    </row>
    <row r="213" spans="1:2" x14ac:dyDescent="0.25">
      <c r="A213" t="s">
        <v>8482</v>
      </c>
      <c r="B213" t="s">
        <v>8483</v>
      </c>
    </row>
    <row r="214" spans="1:2" x14ac:dyDescent="0.25">
      <c r="A214" t="s">
        <v>8484</v>
      </c>
      <c r="B214" t="s">
        <v>8485</v>
      </c>
    </row>
    <row r="215" spans="1:2" x14ac:dyDescent="0.25">
      <c r="A215" t="s">
        <v>8486</v>
      </c>
      <c r="B215" t="s">
        <v>8487</v>
      </c>
    </row>
    <row r="216" spans="1:2" x14ac:dyDescent="0.25">
      <c r="A216" t="s">
        <v>8488</v>
      </c>
      <c r="B216" t="s">
        <v>8489</v>
      </c>
    </row>
    <row r="217" spans="1:2" x14ac:dyDescent="0.25">
      <c r="A217" t="s">
        <v>8490</v>
      </c>
      <c r="B217" t="s">
        <v>8491</v>
      </c>
    </row>
    <row r="218" spans="1:2" x14ac:dyDescent="0.25">
      <c r="A218" t="s">
        <v>8492</v>
      </c>
      <c r="B218" t="s">
        <v>8493</v>
      </c>
    </row>
    <row r="219" spans="1:2" x14ac:dyDescent="0.25">
      <c r="A219" t="s">
        <v>8494</v>
      </c>
      <c r="B219" t="s">
        <v>8495</v>
      </c>
    </row>
    <row r="220" spans="1:2" x14ac:dyDescent="0.25">
      <c r="A220" t="s">
        <v>8496</v>
      </c>
      <c r="B220" t="s">
        <v>8497</v>
      </c>
    </row>
    <row r="221" spans="1:2" x14ac:dyDescent="0.25">
      <c r="A221" t="s">
        <v>8498</v>
      </c>
      <c r="B221" t="s">
        <v>8499</v>
      </c>
    </row>
    <row r="222" spans="1:2" x14ac:dyDescent="0.25">
      <c r="A222" t="s">
        <v>8500</v>
      </c>
      <c r="B222" t="s">
        <v>8501</v>
      </c>
    </row>
    <row r="223" spans="1:2" x14ac:dyDescent="0.25">
      <c r="A223" t="s">
        <v>8502</v>
      </c>
      <c r="B223" t="s">
        <v>8503</v>
      </c>
    </row>
    <row r="224" spans="1:2" x14ac:dyDescent="0.25">
      <c r="A224" t="s">
        <v>8504</v>
      </c>
      <c r="B224" t="s">
        <v>8505</v>
      </c>
    </row>
    <row r="225" spans="1:2" x14ac:dyDescent="0.25">
      <c r="A225" t="s">
        <v>8506</v>
      </c>
      <c r="B225" t="s">
        <v>8507</v>
      </c>
    </row>
    <row r="226" spans="1:2" x14ac:dyDescent="0.25">
      <c r="A226" t="s">
        <v>8508</v>
      </c>
      <c r="B226" t="s">
        <v>8509</v>
      </c>
    </row>
    <row r="227" spans="1:2" x14ac:dyDescent="0.25">
      <c r="A227" t="s">
        <v>8510</v>
      </c>
      <c r="B227" t="s">
        <v>8511</v>
      </c>
    </row>
    <row r="228" spans="1:2" x14ac:dyDescent="0.25">
      <c r="A228" t="s">
        <v>8512</v>
      </c>
      <c r="B228" t="s">
        <v>8513</v>
      </c>
    </row>
    <row r="229" spans="1:2" x14ac:dyDescent="0.25">
      <c r="A229" t="s">
        <v>8514</v>
      </c>
      <c r="B229" t="s">
        <v>8515</v>
      </c>
    </row>
    <row r="230" spans="1:2" x14ac:dyDescent="0.25">
      <c r="A230" t="s">
        <v>8516</v>
      </c>
      <c r="B230" t="s">
        <v>8517</v>
      </c>
    </row>
    <row r="231" spans="1:2" x14ac:dyDescent="0.25">
      <c r="A231" t="s">
        <v>8518</v>
      </c>
      <c r="B231" t="s">
        <v>8519</v>
      </c>
    </row>
    <row r="232" spans="1:2" x14ac:dyDescent="0.25">
      <c r="A232" t="s">
        <v>8520</v>
      </c>
      <c r="B232" t="s">
        <v>8521</v>
      </c>
    </row>
    <row r="233" spans="1:2" x14ac:dyDescent="0.25">
      <c r="A233" t="s">
        <v>8522</v>
      </c>
      <c r="B233" t="s">
        <v>8523</v>
      </c>
    </row>
    <row r="234" spans="1:2" x14ac:dyDescent="0.25">
      <c r="A234" t="s">
        <v>8524</v>
      </c>
      <c r="B234" t="s">
        <v>8525</v>
      </c>
    </row>
    <row r="235" spans="1:2" x14ac:dyDescent="0.25">
      <c r="A235" t="s">
        <v>8526</v>
      </c>
      <c r="B235" t="s">
        <v>8527</v>
      </c>
    </row>
    <row r="236" spans="1:2" x14ac:dyDescent="0.25">
      <c r="A236" t="s">
        <v>8528</v>
      </c>
      <c r="B236" t="s">
        <v>8529</v>
      </c>
    </row>
    <row r="237" spans="1:2" x14ac:dyDescent="0.25">
      <c r="A237" t="s">
        <v>8530</v>
      </c>
      <c r="B237" t="s">
        <v>8531</v>
      </c>
    </row>
    <row r="238" spans="1:2" x14ac:dyDescent="0.25">
      <c r="A238" t="s">
        <v>8532</v>
      </c>
      <c r="B238" t="s">
        <v>8533</v>
      </c>
    </row>
    <row r="239" spans="1:2" x14ac:dyDescent="0.25">
      <c r="A239" t="s">
        <v>1338</v>
      </c>
      <c r="B239" t="s">
        <v>8534</v>
      </c>
    </row>
    <row r="240" spans="1:2" x14ac:dyDescent="0.25">
      <c r="A240" t="s">
        <v>8535</v>
      </c>
      <c r="B240" t="s">
        <v>8536</v>
      </c>
    </row>
    <row r="241" spans="1:2" x14ac:dyDescent="0.25">
      <c r="A241" t="s">
        <v>8537</v>
      </c>
      <c r="B241" t="s">
        <v>8538</v>
      </c>
    </row>
    <row r="242" spans="1:2" x14ac:dyDescent="0.25">
      <c r="A242" t="s">
        <v>8539</v>
      </c>
      <c r="B242" t="s">
        <v>8540</v>
      </c>
    </row>
    <row r="243" spans="1:2" x14ac:dyDescent="0.25">
      <c r="A243" t="s">
        <v>8541</v>
      </c>
      <c r="B243" t="s">
        <v>8542</v>
      </c>
    </row>
    <row r="244" spans="1:2" x14ac:dyDescent="0.25">
      <c r="A244" t="s">
        <v>8543</v>
      </c>
      <c r="B244" t="s">
        <v>8544</v>
      </c>
    </row>
    <row r="245" spans="1:2" x14ac:dyDescent="0.25">
      <c r="A245" t="s">
        <v>8545</v>
      </c>
      <c r="B245" t="s">
        <v>8546</v>
      </c>
    </row>
    <row r="246" spans="1:2" x14ac:dyDescent="0.25">
      <c r="A246" t="s">
        <v>8547</v>
      </c>
      <c r="B246" t="s">
        <v>8548</v>
      </c>
    </row>
    <row r="247" spans="1:2" x14ac:dyDescent="0.25">
      <c r="A247" t="s">
        <v>8549</v>
      </c>
      <c r="B247" t="s">
        <v>8550</v>
      </c>
    </row>
    <row r="248" spans="1:2" x14ac:dyDescent="0.25">
      <c r="A248" t="s">
        <v>8551</v>
      </c>
      <c r="B248" t="s">
        <v>8552</v>
      </c>
    </row>
    <row r="249" spans="1:2" x14ac:dyDescent="0.25">
      <c r="A249" t="s">
        <v>8553</v>
      </c>
      <c r="B249" t="s">
        <v>8554</v>
      </c>
    </row>
    <row r="250" spans="1:2" x14ac:dyDescent="0.25">
      <c r="A250" t="s">
        <v>8555</v>
      </c>
      <c r="B250" t="s">
        <v>8556</v>
      </c>
    </row>
    <row r="251" spans="1:2" x14ac:dyDescent="0.25">
      <c r="A251" t="s">
        <v>8557</v>
      </c>
      <c r="B251" t="s">
        <v>8558</v>
      </c>
    </row>
    <row r="252" spans="1:2" x14ac:dyDescent="0.25">
      <c r="A252" t="s">
        <v>8559</v>
      </c>
      <c r="B252" t="s">
        <v>8560</v>
      </c>
    </row>
    <row r="253" spans="1:2" x14ac:dyDescent="0.25">
      <c r="A253" t="s">
        <v>8561</v>
      </c>
      <c r="B253" t="s">
        <v>8562</v>
      </c>
    </row>
    <row r="254" spans="1:2" x14ac:dyDescent="0.25">
      <c r="A254" t="s">
        <v>519</v>
      </c>
      <c r="B254" t="s">
        <v>8563</v>
      </c>
    </row>
    <row r="255" spans="1:2" x14ac:dyDescent="0.25">
      <c r="A255" t="s">
        <v>8564</v>
      </c>
      <c r="B255" t="s">
        <v>8565</v>
      </c>
    </row>
    <row r="256" spans="1:2" x14ac:dyDescent="0.25">
      <c r="A256" t="s">
        <v>8566</v>
      </c>
      <c r="B256" t="s">
        <v>8567</v>
      </c>
    </row>
    <row r="257" spans="1:2" x14ac:dyDescent="0.25">
      <c r="A257" t="s">
        <v>8568</v>
      </c>
      <c r="B257" t="s">
        <v>8569</v>
      </c>
    </row>
    <row r="258" spans="1:2" x14ac:dyDescent="0.25">
      <c r="A258" t="s">
        <v>8570</v>
      </c>
      <c r="B258" t="s">
        <v>8571</v>
      </c>
    </row>
    <row r="259" spans="1:2" x14ac:dyDescent="0.25">
      <c r="A259" t="s">
        <v>8572</v>
      </c>
      <c r="B259" t="s">
        <v>8573</v>
      </c>
    </row>
    <row r="260" spans="1:2" x14ac:dyDescent="0.25">
      <c r="A260" t="s">
        <v>8574</v>
      </c>
      <c r="B260" t="s">
        <v>8575</v>
      </c>
    </row>
    <row r="261" spans="1:2" x14ac:dyDescent="0.25">
      <c r="A261" t="s">
        <v>8576</v>
      </c>
      <c r="B261" t="s">
        <v>8577</v>
      </c>
    </row>
    <row r="262" spans="1:2" x14ac:dyDescent="0.25">
      <c r="A262" t="s">
        <v>8578</v>
      </c>
      <c r="B262" t="s">
        <v>8579</v>
      </c>
    </row>
    <row r="263" spans="1:2" x14ac:dyDescent="0.25">
      <c r="A263" t="s">
        <v>8580</v>
      </c>
      <c r="B263" t="s">
        <v>8581</v>
      </c>
    </row>
    <row r="264" spans="1:2" x14ac:dyDescent="0.25">
      <c r="A264" t="s">
        <v>8582</v>
      </c>
      <c r="B264" t="s">
        <v>8583</v>
      </c>
    </row>
    <row r="265" spans="1:2" x14ac:dyDescent="0.25">
      <c r="A265" t="s">
        <v>8584</v>
      </c>
      <c r="B265" t="s">
        <v>8585</v>
      </c>
    </row>
    <row r="266" spans="1:2" x14ac:dyDescent="0.25">
      <c r="A266" t="s">
        <v>8586</v>
      </c>
      <c r="B266" t="s">
        <v>8587</v>
      </c>
    </row>
    <row r="267" spans="1:2" x14ac:dyDescent="0.25">
      <c r="A267" t="s">
        <v>8588</v>
      </c>
      <c r="B267" t="s">
        <v>8589</v>
      </c>
    </row>
    <row r="268" spans="1:2" x14ac:dyDescent="0.25">
      <c r="A268" t="s">
        <v>8590</v>
      </c>
      <c r="B268" t="s">
        <v>8591</v>
      </c>
    </row>
    <row r="269" spans="1:2" x14ac:dyDescent="0.25">
      <c r="A269" t="s">
        <v>650</v>
      </c>
      <c r="B269" t="s">
        <v>8592</v>
      </c>
    </row>
    <row r="270" spans="1:2" x14ac:dyDescent="0.25">
      <c r="A270" t="s">
        <v>8593</v>
      </c>
      <c r="B270" t="s">
        <v>8594</v>
      </c>
    </row>
    <row r="271" spans="1:2" x14ac:dyDescent="0.25">
      <c r="A271" t="s">
        <v>8595</v>
      </c>
      <c r="B271" t="s">
        <v>8596</v>
      </c>
    </row>
    <row r="272" spans="1:2" x14ac:dyDescent="0.25">
      <c r="A272" t="s">
        <v>8597</v>
      </c>
      <c r="B272" t="s">
        <v>8598</v>
      </c>
    </row>
    <row r="273" spans="1:2" x14ac:dyDescent="0.25">
      <c r="A273" t="s">
        <v>8599</v>
      </c>
      <c r="B273" t="s">
        <v>8600</v>
      </c>
    </row>
    <row r="274" spans="1:2" x14ac:dyDescent="0.25">
      <c r="A274" t="s">
        <v>8601</v>
      </c>
      <c r="B274" t="s">
        <v>8602</v>
      </c>
    </row>
    <row r="275" spans="1:2" x14ac:dyDescent="0.25">
      <c r="A275" t="s">
        <v>8603</v>
      </c>
      <c r="B275" t="s">
        <v>8604</v>
      </c>
    </row>
    <row r="276" spans="1:2" x14ac:dyDescent="0.25">
      <c r="A276" t="s">
        <v>8605</v>
      </c>
      <c r="B276" t="s">
        <v>8606</v>
      </c>
    </row>
    <row r="277" spans="1:2" x14ac:dyDescent="0.25">
      <c r="A277" t="s">
        <v>8607</v>
      </c>
      <c r="B277" t="s">
        <v>8608</v>
      </c>
    </row>
    <row r="278" spans="1:2" x14ac:dyDescent="0.25">
      <c r="A278" t="s">
        <v>8609</v>
      </c>
      <c r="B278" t="s">
        <v>8610</v>
      </c>
    </row>
    <row r="279" spans="1:2" x14ac:dyDescent="0.25">
      <c r="A279" t="s">
        <v>8611</v>
      </c>
      <c r="B279" t="s">
        <v>8612</v>
      </c>
    </row>
    <row r="280" spans="1:2" x14ac:dyDescent="0.25">
      <c r="A280" t="s">
        <v>8613</v>
      </c>
      <c r="B280" t="s">
        <v>8614</v>
      </c>
    </row>
    <row r="281" spans="1:2" x14ac:dyDescent="0.25">
      <c r="A281" t="s">
        <v>8615</v>
      </c>
      <c r="B281" t="s">
        <v>8616</v>
      </c>
    </row>
    <row r="282" spans="1:2" x14ac:dyDescent="0.25">
      <c r="A282" t="s">
        <v>8617</v>
      </c>
      <c r="B282" t="s">
        <v>8618</v>
      </c>
    </row>
    <row r="283" spans="1:2" x14ac:dyDescent="0.25">
      <c r="A283" t="s">
        <v>8619</v>
      </c>
      <c r="B283" t="s">
        <v>8620</v>
      </c>
    </row>
    <row r="284" spans="1:2" x14ac:dyDescent="0.25">
      <c r="A284" t="s">
        <v>8621</v>
      </c>
      <c r="B284" t="s">
        <v>8622</v>
      </c>
    </row>
    <row r="285" spans="1:2" x14ac:dyDescent="0.25">
      <c r="A285" t="s">
        <v>8623</v>
      </c>
      <c r="B285" t="s">
        <v>8624</v>
      </c>
    </row>
    <row r="286" spans="1:2" x14ac:dyDescent="0.25">
      <c r="A286" t="s">
        <v>8625</v>
      </c>
      <c r="B286" t="s">
        <v>8626</v>
      </c>
    </row>
    <row r="287" spans="1:2" x14ac:dyDescent="0.25">
      <c r="A287" t="s">
        <v>8627</v>
      </c>
      <c r="B287" t="s">
        <v>8628</v>
      </c>
    </row>
    <row r="288" spans="1:2" x14ac:dyDescent="0.25">
      <c r="A288" t="s">
        <v>8629</v>
      </c>
      <c r="B288" t="s">
        <v>8630</v>
      </c>
    </row>
    <row r="289" spans="1:2" x14ac:dyDescent="0.25">
      <c r="A289" t="s">
        <v>8631</v>
      </c>
      <c r="B289" t="s">
        <v>8632</v>
      </c>
    </row>
    <row r="290" spans="1:2" x14ac:dyDescent="0.25">
      <c r="A290" t="s">
        <v>8633</v>
      </c>
      <c r="B290" t="s">
        <v>8634</v>
      </c>
    </row>
    <row r="291" spans="1:2" x14ac:dyDescent="0.25">
      <c r="A291" t="s">
        <v>8635</v>
      </c>
      <c r="B291" t="s">
        <v>8636</v>
      </c>
    </row>
    <row r="292" spans="1:2" x14ac:dyDescent="0.25">
      <c r="A292" t="s">
        <v>1008</v>
      </c>
      <c r="B292" t="s">
        <v>3921</v>
      </c>
    </row>
    <row r="293" spans="1:2" x14ac:dyDescent="0.25">
      <c r="A293" t="s">
        <v>8637</v>
      </c>
      <c r="B293" t="s">
        <v>8638</v>
      </c>
    </row>
    <row r="294" spans="1:2" x14ac:dyDescent="0.25">
      <c r="A294" t="s">
        <v>8639</v>
      </c>
      <c r="B294" t="s">
        <v>8640</v>
      </c>
    </row>
    <row r="295" spans="1:2" x14ac:dyDescent="0.25">
      <c r="A295" t="s">
        <v>8641</v>
      </c>
      <c r="B295" t="s">
        <v>8642</v>
      </c>
    </row>
    <row r="296" spans="1:2" x14ac:dyDescent="0.25">
      <c r="A296" t="s">
        <v>8643</v>
      </c>
      <c r="B296" t="s">
        <v>8644</v>
      </c>
    </row>
    <row r="297" spans="1:2" x14ac:dyDescent="0.25">
      <c r="A297" t="s">
        <v>8645</v>
      </c>
      <c r="B297" t="s">
        <v>8646</v>
      </c>
    </row>
    <row r="298" spans="1:2" x14ac:dyDescent="0.25">
      <c r="A298" t="s">
        <v>8647</v>
      </c>
      <c r="B298" t="s">
        <v>8648</v>
      </c>
    </row>
    <row r="299" spans="1:2" x14ac:dyDescent="0.25">
      <c r="A299" t="s">
        <v>8649</v>
      </c>
      <c r="B299" t="s">
        <v>8650</v>
      </c>
    </row>
    <row r="300" spans="1:2" x14ac:dyDescent="0.25">
      <c r="A300" t="s">
        <v>8651</v>
      </c>
      <c r="B300" t="s">
        <v>8652</v>
      </c>
    </row>
    <row r="301" spans="1:2" x14ac:dyDescent="0.25">
      <c r="A301" t="s">
        <v>8653</v>
      </c>
      <c r="B301" t="s">
        <v>8654</v>
      </c>
    </row>
    <row r="302" spans="1:2" x14ac:dyDescent="0.25">
      <c r="A302" t="s">
        <v>8655</v>
      </c>
      <c r="B302" t="s">
        <v>8656</v>
      </c>
    </row>
    <row r="303" spans="1:2" x14ac:dyDescent="0.25">
      <c r="A303" t="s">
        <v>547</v>
      </c>
      <c r="B303" t="s">
        <v>8657</v>
      </c>
    </row>
    <row r="304" spans="1:2" x14ac:dyDescent="0.25">
      <c r="A304" t="s">
        <v>8658</v>
      </c>
      <c r="B304" t="s">
        <v>8659</v>
      </c>
    </row>
    <row r="305" spans="1:2" x14ac:dyDescent="0.25">
      <c r="A305" t="s">
        <v>8660</v>
      </c>
      <c r="B305" t="s">
        <v>3684</v>
      </c>
    </row>
    <row r="306" spans="1:2" x14ac:dyDescent="0.25">
      <c r="A306" t="s">
        <v>8661</v>
      </c>
      <c r="B306" t="s">
        <v>8662</v>
      </c>
    </row>
    <row r="307" spans="1:2" x14ac:dyDescent="0.25">
      <c r="A307" t="s">
        <v>8663</v>
      </c>
      <c r="B307" t="s">
        <v>8664</v>
      </c>
    </row>
    <row r="308" spans="1:2" x14ac:dyDescent="0.25">
      <c r="A308" t="s">
        <v>8665</v>
      </c>
      <c r="B308" t="s">
        <v>8666</v>
      </c>
    </row>
    <row r="309" spans="1:2" x14ac:dyDescent="0.25">
      <c r="A309" t="s">
        <v>8667</v>
      </c>
      <c r="B309" t="s">
        <v>8668</v>
      </c>
    </row>
    <row r="310" spans="1:2" x14ac:dyDescent="0.25">
      <c r="A310" t="s">
        <v>8669</v>
      </c>
      <c r="B310" t="s">
        <v>8670</v>
      </c>
    </row>
    <row r="311" spans="1:2" x14ac:dyDescent="0.25">
      <c r="A311" t="s">
        <v>8671</v>
      </c>
      <c r="B311" t="s">
        <v>8672</v>
      </c>
    </row>
    <row r="312" spans="1:2" x14ac:dyDescent="0.25">
      <c r="A312" t="s">
        <v>8673</v>
      </c>
      <c r="B312" t="s">
        <v>8674</v>
      </c>
    </row>
    <row r="313" spans="1:2" x14ac:dyDescent="0.25">
      <c r="A313" t="s">
        <v>8675</v>
      </c>
      <c r="B313" t="s">
        <v>8676</v>
      </c>
    </row>
    <row r="314" spans="1:2" x14ac:dyDescent="0.25">
      <c r="A314" t="s">
        <v>8677</v>
      </c>
      <c r="B314" t="s">
        <v>8678</v>
      </c>
    </row>
    <row r="315" spans="1:2" x14ac:dyDescent="0.25">
      <c r="A315" t="s">
        <v>8679</v>
      </c>
      <c r="B315" t="s">
        <v>8680</v>
      </c>
    </row>
    <row r="316" spans="1:2" x14ac:dyDescent="0.25">
      <c r="A316" t="s">
        <v>8681</v>
      </c>
      <c r="B316" t="s">
        <v>8682</v>
      </c>
    </row>
    <row r="317" spans="1:2" x14ac:dyDescent="0.25">
      <c r="A317" t="s">
        <v>8683</v>
      </c>
      <c r="B317" t="s">
        <v>8684</v>
      </c>
    </row>
    <row r="318" spans="1:2" x14ac:dyDescent="0.25">
      <c r="A318" t="s">
        <v>8685</v>
      </c>
      <c r="B318" t="s">
        <v>8686</v>
      </c>
    </row>
    <row r="319" spans="1:2" x14ac:dyDescent="0.25">
      <c r="A319" t="s">
        <v>8687</v>
      </c>
      <c r="B319" t="s">
        <v>8688</v>
      </c>
    </row>
    <row r="320" spans="1:2" x14ac:dyDescent="0.25">
      <c r="A320" t="s">
        <v>8689</v>
      </c>
      <c r="B320" t="s">
        <v>6506</v>
      </c>
    </row>
    <row r="321" spans="1:2" x14ac:dyDescent="0.25">
      <c r="A321" t="s">
        <v>8690</v>
      </c>
      <c r="B321" t="s">
        <v>8691</v>
      </c>
    </row>
    <row r="322" spans="1:2" x14ac:dyDescent="0.25">
      <c r="A322" t="s">
        <v>8692</v>
      </c>
      <c r="B322" t="s">
        <v>8693</v>
      </c>
    </row>
    <row r="323" spans="1:2" x14ac:dyDescent="0.25">
      <c r="A323" t="s">
        <v>8694</v>
      </c>
      <c r="B323" t="s">
        <v>8695</v>
      </c>
    </row>
    <row r="324" spans="1:2" x14ac:dyDescent="0.25">
      <c r="A324" t="s">
        <v>8696</v>
      </c>
      <c r="B324" t="s">
        <v>8697</v>
      </c>
    </row>
    <row r="325" spans="1:2" x14ac:dyDescent="0.25">
      <c r="A325" t="s">
        <v>8698</v>
      </c>
      <c r="B325" t="s">
        <v>8699</v>
      </c>
    </row>
    <row r="326" spans="1:2" x14ac:dyDescent="0.25">
      <c r="A326" t="s">
        <v>8700</v>
      </c>
      <c r="B326" t="s">
        <v>8701</v>
      </c>
    </row>
    <row r="327" spans="1:2" x14ac:dyDescent="0.25">
      <c r="A327" t="s">
        <v>8702</v>
      </c>
      <c r="B327" t="s">
        <v>8703</v>
      </c>
    </row>
    <row r="328" spans="1:2" x14ac:dyDescent="0.25">
      <c r="A328" t="s">
        <v>8704</v>
      </c>
      <c r="B328" t="s">
        <v>8705</v>
      </c>
    </row>
    <row r="329" spans="1:2" x14ac:dyDescent="0.25">
      <c r="A329" t="s">
        <v>8706</v>
      </c>
      <c r="B329" t="s">
        <v>8707</v>
      </c>
    </row>
    <row r="330" spans="1:2" x14ac:dyDescent="0.25">
      <c r="A330" t="s">
        <v>8708</v>
      </c>
      <c r="B330" t="s">
        <v>8709</v>
      </c>
    </row>
    <row r="331" spans="1:2" x14ac:dyDescent="0.25">
      <c r="A331" t="s">
        <v>8710</v>
      </c>
      <c r="B331" t="s">
        <v>8711</v>
      </c>
    </row>
    <row r="332" spans="1:2" x14ac:dyDescent="0.25">
      <c r="A332" t="s">
        <v>8712</v>
      </c>
      <c r="B332" t="s">
        <v>8713</v>
      </c>
    </row>
    <row r="333" spans="1:2" x14ac:dyDescent="0.25">
      <c r="A333" t="s">
        <v>8714</v>
      </c>
      <c r="B333" t="s">
        <v>8715</v>
      </c>
    </row>
    <row r="334" spans="1:2" x14ac:dyDescent="0.25">
      <c r="A334" t="s">
        <v>8716</v>
      </c>
      <c r="B334" t="s">
        <v>8717</v>
      </c>
    </row>
    <row r="335" spans="1:2" x14ac:dyDescent="0.25">
      <c r="A335" t="s">
        <v>8718</v>
      </c>
      <c r="B335" t="s">
        <v>8719</v>
      </c>
    </row>
    <row r="336" spans="1:2" x14ac:dyDescent="0.25">
      <c r="A336" t="s">
        <v>8720</v>
      </c>
      <c r="B336" t="s">
        <v>8721</v>
      </c>
    </row>
    <row r="337" spans="1:2" x14ac:dyDescent="0.25">
      <c r="A337" t="s">
        <v>8722</v>
      </c>
      <c r="B337" t="s">
        <v>8723</v>
      </c>
    </row>
    <row r="338" spans="1:2" x14ac:dyDescent="0.25">
      <c r="A338" t="s">
        <v>8724</v>
      </c>
      <c r="B338" t="s">
        <v>8725</v>
      </c>
    </row>
    <row r="339" spans="1:2" x14ac:dyDescent="0.25">
      <c r="A339" t="s">
        <v>8726</v>
      </c>
      <c r="B339" t="s">
        <v>8727</v>
      </c>
    </row>
    <row r="340" spans="1:2" x14ac:dyDescent="0.25">
      <c r="A340" t="s">
        <v>8728</v>
      </c>
      <c r="B340" t="s">
        <v>8729</v>
      </c>
    </row>
    <row r="341" spans="1:2" x14ac:dyDescent="0.25">
      <c r="A341" t="s">
        <v>8730</v>
      </c>
      <c r="B341" t="s">
        <v>8731</v>
      </c>
    </row>
    <row r="342" spans="1:2" x14ac:dyDescent="0.25">
      <c r="A342" t="s">
        <v>8732</v>
      </c>
      <c r="B342" t="s">
        <v>8733</v>
      </c>
    </row>
    <row r="343" spans="1:2" x14ac:dyDescent="0.25">
      <c r="A343" t="s">
        <v>8734</v>
      </c>
      <c r="B343" t="s">
        <v>8735</v>
      </c>
    </row>
    <row r="344" spans="1:2" x14ac:dyDescent="0.25">
      <c r="A344" t="s">
        <v>8736</v>
      </c>
      <c r="B344" t="s">
        <v>8737</v>
      </c>
    </row>
    <row r="345" spans="1:2" x14ac:dyDescent="0.25">
      <c r="A345" t="s">
        <v>8738</v>
      </c>
      <c r="B345" t="s">
        <v>8739</v>
      </c>
    </row>
    <row r="346" spans="1:2" x14ac:dyDescent="0.25">
      <c r="A346" t="s">
        <v>8740</v>
      </c>
      <c r="B346" t="s">
        <v>8741</v>
      </c>
    </row>
    <row r="347" spans="1:2" x14ac:dyDescent="0.25">
      <c r="A347" t="s">
        <v>8742</v>
      </c>
      <c r="B347" t="s">
        <v>8743</v>
      </c>
    </row>
    <row r="348" spans="1:2" x14ac:dyDescent="0.25">
      <c r="A348" t="s">
        <v>8744</v>
      </c>
      <c r="B348" t="s">
        <v>8745</v>
      </c>
    </row>
    <row r="349" spans="1:2" x14ac:dyDescent="0.25">
      <c r="A349" t="s">
        <v>8746</v>
      </c>
      <c r="B349" t="s">
        <v>3287</v>
      </c>
    </row>
    <row r="350" spans="1:2" x14ac:dyDescent="0.25">
      <c r="A350" s="484" t="s">
        <v>1065</v>
      </c>
      <c r="B350" t="s">
        <v>3287</v>
      </c>
    </row>
    <row r="351" spans="1:2" x14ac:dyDescent="0.25">
      <c r="A351" t="s">
        <v>8747</v>
      </c>
      <c r="B351" t="s">
        <v>8748</v>
      </c>
    </row>
    <row r="352" spans="1:2" x14ac:dyDescent="0.25">
      <c r="A352" t="s">
        <v>8749</v>
      </c>
      <c r="B352" t="s">
        <v>8750</v>
      </c>
    </row>
    <row r="353" spans="1:2" x14ac:dyDescent="0.25">
      <c r="A353" t="s">
        <v>8751</v>
      </c>
      <c r="B353" t="s">
        <v>8752</v>
      </c>
    </row>
    <row r="354" spans="1:2" x14ac:dyDescent="0.25">
      <c r="A354" t="s">
        <v>1692</v>
      </c>
      <c r="B354" t="s">
        <v>4075</v>
      </c>
    </row>
    <row r="355" spans="1:2" x14ac:dyDescent="0.25">
      <c r="A355" t="s">
        <v>8753</v>
      </c>
      <c r="B355" t="s">
        <v>8754</v>
      </c>
    </row>
    <row r="356" spans="1:2" x14ac:dyDescent="0.25">
      <c r="A356" t="s">
        <v>8755</v>
      </c>
      <c r="B356" t="s">
        <v>8756</v>
      </c>
    </row>
    <row r="357" spans="1:2" x14ac:dyDescent="0.25">
      <c r="A357" t="s">
        <v>8757</v>
      </c>
      <c r="B357" t="s">
        <v>8758</v>
      </c>
    </row>
    <row r="358" spans="1:2" x14ac:dyDescent="0.25">
      <c r="A358" t="s">
        <v>8759</v>
      </c>
      <c r="B358" t="s">
        <v>8760</v>
      </c>
    </row>
    <row r="359" spans="1:2" x14ac:dyDescent="0.25">
      <c r="A359" t="s">
        <v>8761</v>
      </c>
      <c r="B359" t="s">
        <v>8762</v>
      </c>
    </row>
    <row r="360" spans="1:2" x14ac:dyDescent="0.25">
      <c r="A360" t="s">
        <v>8763</v>
      </c>
      <c r="B360" t="s">
        <v>8764</v>
      </c>
    </row>
    <row r="361" spans="1:2" x14ac:dyDescent="0.25">
      <c r="A361" t="s">
        <v>8765</v>
      </c>
      <c r="B361" t="s">
        <v>8766</v>
      </c>
    </row>
    <row r="362" spans="1:2" x14ac:dyDescent="0.25">
      <c r="A362" t="s">
        <v>8767</v>
      </c>
      <c r="B362" t="s">
        <v>8768</v>
      </c>
    </row>
    <row r="363" spans="1:2" x14ac:dyDescent="0.25">
      <c r="A363" t="s">
        <v>8769</v>
      </c>
      <c r="B363" t="s">
        <v>8770</v>
      </c>
    </row>
    <row r="364" spans="1:2" x14ac:dyDescent="0.25">
      <c r="A364" t="s">
        <v>8771</v>
      </c>
      <c r="B364" t="s">
        <v>8772</v>
      </c>
    </row>
    <row r="365" spans="1:2" x14ac:dyDescent="0.25">
      <c r="A365" t="s">
        <v>8773</v>
      </c>
      <c r="B365" t="s">
        <v>8774</v>
      </c>
    </row>
    <row r="366" spans="1:2" x14ac:dyDescent="0.25">
      <c r="A366" t="s">
        <v>8775</v>
      </c>
      <c r="B366" t="s">
        <v>8776</v>
      </c>
    </row>
    <row r="367" spans="1:2" x14ac:dyDescent="0.25">
      <c r="A367" t="s">
        <v>8777</v>
      </c>
      <c r="B367" t="s">
        <v>8778</v>
      </c>
    </row>
    <row r="368" spans="1:2" x14ac:dyDescent="0.25">
      <c r="A368" t="s">
        <v>8779</v>
      </c>
      <c r="B368" t="s">
        <v>8780</v>
      </c>
    </row>
    <row r="369" spans="1:2" x14ac:dyDescent="0.25">
      <c r="A369" t="s">
        <v>1844</v>
      </c>
      <c r="B369" t="s">
        <v>8781</v>
      </c>
    </row>
    <row r="370" spans="1:2" x14ac:dyDescent="0.25">
      <c r="A370" t="s">
        <v>1808</v>
      </c>
      <c r="B370" t="s">
        <v>8782</v>
      </c>
    </row>
    <row r="371" spans="1:2" x14ac:dyDescent="0.25">
      <c r="A371" t="s">
        <v>8783</v>
      </c>
      <c r="B371" t="s">
        <v>8784</v>
      </c>
    </row>
    <row r="372" spans="1:2" x14ac:dyDescent="0.25">
      <c r="A372" t="s">
        <v>8785</v>
      </c>
      <c r="B372" t="s">
        <v>8786</v>
      </c>
    </row>
    <row r="373" spans="1:2" x14ac:dyDescent="0.25">
      <c r="A373" t="s">
        <v>8787</v>
      </c>
      <c r="B373" t="s">
        <v>8788</v>
      </c>
    </row>
    <row r="374" spans="1:2" x14ac:dyDescent="0.25">
      <c r="A374" t="s">
        <v>8789</v>
      </c>
      <c r="B374" t="s">
        <v>8790</v>
      </c>
    </row>
    <row r="375" spans="1:2" x14ac:dyDescent="0.25">
      <c r="A375" t="s">
        <v>8791</v>
      </c>
      <c r="B375" t="s">
        <v>8792</v>
      </c>
    </row>
    <row r="376" spans="1:2" x14ac:dyDescent="0.25">
      <c r="A376" t="s">
        <v>8793</v>
      </c>
      <c r="B376" t="s">
        <v>8794</v>
      </c>
    </row>
    <row r="377" spans="1:2" x14ac:dyDescent="0.25">
      <c r="A377" t="s">
        <v>587</v>
      </c>
      <c r="B377" t="s">
        <v>8795</v>
      </c>
    </row>
    <row r="378" spans="1:2" x14ac:dyDescent="0.25">
      <c r="A378" t="s">
        <v>8796</v>
      </c>
      <c r="B378" t="s">
        <v>8797</v>
      </c>
    </row>
    <row r="379" spans="1:2" x14ac:dyDescent="0.25">
      <c r="A379" t="s">
        <v>8798</v>
      </c>
      <c r="B379" t="s">
        <v>8799</v>
      </c>
    </row>
    <row r="380" spans="1:2" x14ac:dyDescent="0.25">
      <c r="A380" t="s">
        <v>8800</v>
      </c>
      <c r="B380" t="s">
        <v>8801</v>
      </c>
    </row>
    <row r="381" spans="1:2" x14ac:dyDescent="0.25">
      <c r="A381" t="s">
        <v>8802</v>
      </c>
      <c r="B381" t="s">
        <v>8803</v>
      </c>
    </row>
    <row r="382" spans="1:2" x14ac:dyDescent="0.25">
      <c r="A382" t="s">
        <v>8804</v>
      </c>
      <c r="B382" t="s">
        <v>8805</v>
      </c>
    </row>
    <row r="383" spans="1:2" x14ac:dyDescent="0.25">
      <c r="A383" t="s">
        <v>8806</v>
      </c>
      <c r="B383" t="s">
        <v>8807</v>
      </c>
    </row>
    <row r="384" spans="1:2" x14ac:dyDescent="0.25">
      <c r="A384" t="s">
        <v>8808</v>
      </c>
      <c r="B384" t="s">
        <v>8809</v>
      </c>
    </row>
    <row r="385" spans="1:2" x14ac:dyDescent="0.25">
      <c r="A385" t="s">
        <v>8810</v>
      </c>
      <c r="B385" t="s">
        <v>8811</v>
      </c>
    </row>
    <row r="386" spans="1:2" x14ac:dyDescent="0.25">
      <c r="A386" t="s">
        <v>8812</v>
      </c>
      <c r="B386" t="s">
        <v>8813</v>
      </c>
    </row>
    <row r="387" spans="1:2" x14ac:dyDescent="0.25">
      <c r="A387" t="s">
        <v>8814</v>
      </c>
      <c r="B387" t="s">
        <v>8815</v>
      </c>
    </row>
    <row r="388" spans="1:2" x14ac:dyDescent="0.25">
      <c r="A388" t="s">
        <v>8816</v>
      </c>
      <c r="B388" t="s">
        <v>8817</v>
      </c>
    </row>
    <row r="389" spans="1:2" x14ac:dyDescent="0.25">
      <c r="A389" t="s">
        <v>8818</v>
      </c>
      <c r="B389" t="s">
        <v>8819</v>
      </c>
    </row>
    <row r="390" spans="1:2" x14ac:dyDescent="0.25">
      <c r="A390" t="s">
        <v>8820</v>
      </c>
      <c r="B390" t="s">
        <v>8821</v>
      </c>
    </row>
    <row r="391" spans="1:2" x14ac:dyDescent="0.25">
      <c r="A391" t="s">
        <v>8822</v>
      </c>
      <c r="B391" t="s">
        <v>8823</v>
      </c>
    </row>
    <row r="392" spans="1:2" x14ac:dyDescent="0.25">
      <c r="A392" t="s">
        <v>8824</v>
      </c>
      <c r="B392" t="s">
        <v>8825</v>
      </c>
    </row>
    <row r="393" spans="1:2" x14ac:dyDescent="0.25">
      <c r="A393" t="s">
        <v>8826</v>
      </c>
      <c r="B393" t="s">
        <v>8827</v>
      </c>
    </row>
    <row r="394" spans="1:2" x14ac:dyDescent="0.25">
      <c r="A394" t="s">
        <v>8828</v>
      </c>
      <c r="B394" t="s">
        <v>8829</v>
      </c>
    </row>
    <row r="395" spans="1:2" x14ac:dyDescent="0.25">
      <c r="A395" t="s">
        <v>8830</v>
      </c>
      <c r="B395" t="s">
        <v>8831</v>
      </c>
    </row>
    <row r="396" spans="1:2" x14ac:dyDescent="0.25">
      <c r="A396" t="s">
        <v>8832</v>
      </c>
      <c r="B396" t="s">
        <v>8833</v>
      </c>
    </row>
    <row r="397" spans="1:2" x14ac:dyDescent="0.25">
      <c r="A397" t="s">
        <v>8834</v>
      </c>
      <c r="B397" t="s">
        <v>8835</v>
      </c>
    </row>
    <row r="398" spans="1:2" x14ac:dyDescent="0.25">
      <c r="A398" t="s">
        <v>8836</v>
      </c>
      <c r="B398" t="s">
        <v>8837</v>
      </c>
    </row>
    <row r="399" spans="1:2" x14ac:dyDescent="0.25">
      <c r="A399" t="s">
        <v>8838</v>
      </c>
      <c r="B399" t="s">
        <v>8839</v>
      </c>
    </row>
    <row r="400" spans="1:2" x14ac:dyDescent="0.25">
      <c r="A400" t="s">
        <v>8840</v>
      </c>
      <c r="B400" t="s">
        <v>8841</v>
      </c>
    </row>
    <row r="401" spans="1:2" x14ac:dyDescent="0.25">
      <c r="A401" t="s">
        <v>8842</v>
      </c>
      <c r="B401" t="s">
        <v>8843</v>
      </c>
    </row>
    <row r="402" spans="1:2" x14ac:dyDescent="0.25">
      <c r="A402" t="s">
        <v>8844</v>
      </c>
      <c r="B402" t="s">
        <v>8845</v>
      </c>
    </row>
    <row r="403" spans="1:2" x14ac:dyDescent="0.25">
      <c r="A403" t="s">
        <v>8846</v>
      </c>
      <c r="B403" t="s">
        <v>8847</v>
      </c>
    </row>
    <row r="404" spans="1:2" x14ac:dyDescent="0.25">
      <c r="A404" t="s">
        <v>8848</v>
      </c>
      <c r="B404" t="s">
        <v>8849</v>
      </c>
    </row>
    <row r="405" spans="1:2" x14ac:dyDescent="0.25">
      <c r="A405" t="s">
        <v>8850</v>
      </c>
      <c r="B405" t="s">
        <v>8851</v>
      </c>
    </row>
    <row r="406" spans="1:2" x14ac:dyDescent="0.25">
      <c r="A406" t="s">
        <v>8852</v>
      </c>
      <c r="B406" t="s">
        <v>4393</v>
      </c>
    </row>
    <row r="407" spans="1:2" x14ac:dyDescent="0.25">
      <c r="A407" t="s">
        <v>8853</v>
      </c>
      <c r="B407" t="s">
        <v>8854</v>
      </c>
    </row>
    <row r="408" spans="1:2" x14ac:dyDescent="0.25">
      <c r="A408" t="s">
        <v>8855</v>
      </c>
      <c r="B408" t="s">
        <v>8856</v>
      </c>
    </row>
    <row r="409" spans="1:2" x14ac:dyDescent="0.25">
      <c r="A409" t="s">
        <v>8857</v>
      </c>
      <c r="B409" t="s">
        <v>8858</v>
      </c>
    </row>
    <row r="410" spans="1:2" x14ac:dyDescent="0.25">
      <c r="A410" t="s">
        <v>8859</v>
      </c>
      <c r="B410" t="s">
        <v>8860</v>
      </c>
    </row>
    <row r="411" spans="1:2" x14ac:dyDescent="0.25">
      <c r="A411" t="s">
        <v>8861</v>
      </c>
      <c r="B411" t="s">
        <v>8862</v>
      </c>
    </row>
    <row r="412" spans="1:2" x14ac:dyDescent="0.25">
      <c r="A412" t="s">
        <v>8863</v>
      </c>
      <c r="B412" t="s">
        <v>8864</v>
      </c>
    </row>
    <row r="413" spans="1:2" x14ac:dyDescent="0.25">
      <c r="A413" t="s">
        <v>8865</v>
      </c>
      <c r="B413" t="s">
        <v>8866</v>
      </c>
    </row>
    <row r="414" spans="1:2" x14ac:dyDescent="0.25">
      <c r="A414" t="s">
        <v>8867</v>
      </c>
      <c r="B414" t="s">
        <v>8868</v>
      </c>
    </row>
    <row r="415" spans="1:2" x14ac:dyDescent="0.25">
      <c r="A415" t="s">
        <v>8869</v>
      </c>
      <c r="B415" t="s">
        <v>8870</v>
      </c>
    </row>
    <row r="416" spans="1:2" x14ac:dyDescent="0.25">
      <c r="A416" t="s">
        <v>8871</v>
      </c>
      <c r="B416" t="s">
        <v>8872</v>
      </c>
    </row>
    <row r="417" spans="1:2" x14ac:dyDescent="0.25">
      <c r="A417" t="s">
        <v>8873</v>
      </c>
      <c r="B417" t="s">
        <v>8874</v>
      </c>
    </row>
    <row r="418" spans="1:2" x14ac:dyDescent="0.25">
      <c r="A418" t="s">
        <v>8875</v>
      </c>
      <c r="B418" t="s">
        <v>8876</v>
      </c>
    </row>
    <row r="419" spans="1:2" x14ac:dyDescent="0.25">
      <c r="A419" t="s">
        <v>636</v>
      </c>
      <c r="B419" t="s">
        <v>8877</v>
      </c>
    </row>
    <row r="420" spans="1:2" x14ac:dyDescent="0.25">
      <c r="A420" t="s">
        <v>8878</v>
      </c>
      <c r="B420" t="s">
        <v>8879</v>
      </c>
    </row>
    <row r="421" spans="1:2" x14ac:dyDescent="0.25">
      <c r="A421" t="s">
        <v>8880</v>
      </c>
      <c r="B421" t="s">
        <v>8881</v>
      </c>
    </row>
    <row r="422" spans="1:2" x14ac:dyDescent="0.25">
      <c r="A422" t="s">
        <v>8882</v>
      </c>
      <c r="B422" t="s">
        <v>8883</v>
      </c>
    </row>
    <row r="423" spans="1:2" x14ac:dyDescent="0.25">
      <c r="A423" t="s">
        <v>8884</v>
      </c>
      <c r="B423" t="s">
        <v>8885</v>
      </c>
    </row>
    <row r="424" spans="1:2" x14ac:dyDescent="0.25">
      <c r="A424" t="s">
        <v>8886</v>
      </c>
      <c r="B424" t="s">
        <v>3628</v>
      </c>
    </row>
    <row r="425" spans="1:2" x14ac:dyDescent="0.25">
      <c r="A425" t="s">
        <v>8887</v>
      </c>
      <c r="B425" t="s">
        <v>8888</v>
      </c>
    </row>
    <row r="426" spans="1:2" x14ac:dyDescent="0.25">
      <c r="A426" t="s">
        <v>8889</v>
      </c>
      <c r="B426" t="s">
        <v>8890</v>
      </c>
    </row>
    <row r="427" spans="1:2" x14ac:dyDescent="0.25">
      <c r="A427" t="s">
        <v>8891</v>
      </c>
      <c r="B427" t="s">
        <v>8892</v>
      </c>
    </row>
    <row r="428" spans="1:2" x14ac:dyDescent="0.25">
      <c r="A428" t="s">
        <v>8893</v>
      </c>
      <c r="B428" t="s">
        <v>8894</v>
      </c>
    </row>
    <row r="429" spans="1:2" x14ac:dyDescent="0.25">
      <c r="A429" t="s">
        <v>8895</v>
      </c>
      <c r="B429" t="s">
        <v>8896</v>
      </c>
    </row>
    <row r="430" spans="1:2" x14ac:dyDescent="0.25">
      <c r="A430" t="s">
        <v>8897</v>
      </c>
      <c r="B430" t="s">
        <v>3670</v>
      </c>
    </row>
    <row r="431" spans="1:2" x14ac:dyDescent="0.25">
      <c r="A431" t="s">
        <v>8897</v>
      </c>
      <c r="B431" t="s">
        <v>3670</v>
      </c>
    </row>
    <row r="432" spans="1:2" x14ac:dyDescent="0.25">
      <c r="A432" t="s">
        <v>8898</v>
      </c>
      <c r="B432" t="s">
        <v>8899</v>
      </c>
    </row>
    <row r="433" spans="1:2" x14ac:dyDescent="0.25">
      <c r="A433" t="s">
        <v>8900</v>
      </c>
      <c r="B433" t="s">
        <v>8901</v>
      </c>
    </row>
    <row r="434" spans="1:2" x14ac:dyDescent="0.25">
      <c r="A434" t="s">
        <v>8902</v>
      </c>
      <c r="B434" t="s">
        <v>8903</v>
      </c>
    </row>
    <row r="435" spans="1:2" x14ac:dyDescent="0.25">
      <c r="A435" t="s">
        <v>8904</v>
      </c>
      <c r="B435" t="s">
        <v>8905</v>
      </c>
    </row>
    <row r="436" spans="1:2" x14ac:dyDescent="0.25">
      <c r="A436" t="s">
        <v>8906</v>
      </c>
      <c r="B436" t="s">
        <v>8907</v>
      </c>
    </row>
    <row r="437" spans="1:2" x14ac:dyDescent="0.25">
      <c r="A437" t="s">
        <v>8908</v>
      </c>
      <c r="B437" t="s">
        <v>8909</v>
      </c>
    </row>
    <row r="438" spans="1:2" x14ac:dyDescent="0.25">
      <c r="A438" t="s">
        <v>8910</v>
      </c>
      <c r="B438" t="s">
        <v>8911</v>
      </c>
    </row>
    <row r="439" spans="1:2" x14ac:dyDescent="0.25">
      <c r="A439" t="s">
        <v>8912</v>
      </c>
      <c r="B439" t="s">
        <v>8913</v>
      </c>
    </row>
    <row r="440" spans="1:2" x14ac:dyDescent="0.25">
      <c r="A440" t="s">
        <v>8914</v>
      </c>
      <c r="B440" t="s">
        <v>8915</v>
      </c>
    </row>
    <row r="441" spans="1:2" x14ac:dyDescent="0.25">
      <c r="A441" t="s">
        <v>8916</v>
      </c>
      <c r="B441" t="s">
        <v>8917</v>
      </c>
    </row>
    <row r="442" spans="1:2" x14ac:dyDescent="0.25">
      <c r="A442" t="s">
        <v>8918</v>
      </c>
      <c r="B442" t="s">
        <v>8919</v>
      </c>
    </row>
    <row r="443" spans="1:2" x14ac:dyDescent="0.25">
      <c r="A443" t="s">
        <v>8920</v>
      </c>
      <c r="B443" t="s">
        <v>8921</v>
      </c>
    </row>
    <row r="444" spans="1:2" x14ac:dyDescent="0.25">
      <c r="A444" t="s">
        <v>8922</v>
      </c>
      <c r="B444" t="s">
        <v>8923</v>
      </c>
    </row>
    <row r="445" spans="1:2" x14ac:dyDescent="0.25">
      <c r="A445" t="s">
        <v>8071</v>
      </c>
      <c r="B445" t="s">
        <v>8072</v>
      </c>
    </row>
    <row r="446" spans="1:2" x14ac:dyDescent="0.25">
      <c r="A446" t="s">
        <v>1822</v>
      </c>
      <c r="B446" t="s">
        <v>8924</v>
      </c>
    </row>
    <row r="447" spans="1:2" x14ac:dyDescent="0.25">
      <c r="A447" t="s">
        <v>8925</v>
      </c>
      <c r="B447" t="s">
        <v>8926</v>
      </c>
    </row>
    <row r="448" spans="1:2" x14ac:dyDescent="0.25">
      <c r="A448" t="s">
        <v>8927</v>
      </c>
      <c r="B448" t="s">
        <v>8928</v>
      </c>
    </row>
    <row r="449" spans="1:2" x14ac:dyDescent="0.25">
      <c r="A449" t="s">
        <v>8929</v>
      </c>
      <c r="B449" t="s">
        <v>8930</v>
      </c>
    </row>
    <row r="450" spans="1:2" x14ac:dyDescent="0.25">
      <c r="A450" t="s">
        <v>8931</v>
      </c>
      <c r="B450" t="s">
        <v>8932</v>
      </c>
    </row>
    <row r="451" spans="1:2" x14ac:dyDescent="0.25">
      <c r="A451" t="s">
        <v>8933</v>
      </c>
      <c r="B451" t="s">
        <v>8934</v>
      </c>
    </row>
    <row r="452" spans="1:2" x14ac:dyDescent="0.25">
      <c r="A452" t="s">
        <v>8935</v>
      </c>
      <c r="B452" t="s">
        <v>8936</v>
      </c>
    </row>
    <row r="453" spans="1:2" x14ac:dyDescent="0.25">
      <c r="A453" t="s">
        <v>8937</v>
      </c>
      <c r="B453" t="s">
        <v>8938</v>
      </c>
    </row>
    <row r="454" spans="1:2" x14ac:dyDescent="0.25">
      <c r="A454" t="s">
        <v>8939</v>
      </c>
      <c r="B454" t="s">
        <v>8940</v>
      </c>
    </row>
    <row r="455" spans="1:2" x14ac:dyDescent="0.25">
      <c r="A455" t="s">
        <v>8941</v>
      </c>
      <c r="B455" t="s">
        <v>8942</v>
      </c>
    </row>
    <row r="456" spans="1:2" x14ac:dyDescent="0.25">
      <c r="A456" t="s">
        <v>8943</v>
      </c>
      <c r="B456" t="s">
        <v>8944</v>
      </c>
    </row>
    <row r="457" spans="1:2" x14ac:dyDescent="0.25">
      <c r="A457" t="s">
        <v>8945</v>
      </c>
      <c r="B457" t="s">
        <v>8946</v>
      </c>
    </row>
    <row r="458" spans="1:2" x14ac:dyDescent="0.25">
      <c r="A458" t="s">
        <v>8947</v>
      </c>
      <c r="B458" t="s">
        <v>8948</v>
      </c>
    </row>
    <row r="459" spans="1:2" x14ac:dyDescent="0.25">
      <c r="A459" t="s">
        <v>8949</v>
      </c>
      <c r="B459" t="s">
        <v>8950</v>
      </c>
    </row>
    <row r="460" spans="1:2" x14ac:dyDescent="0.25">
      <c r="A460" t="s">
        <v>8951</v>
      </c>
      <c r="B460" t="s">
        <v>8952</v>
      </c>
    </row>
    <row r="461" spans="1:2" x14ac:dyDescent="0.25">
      <c r="A461" t="s">
        <v>8953</v>
      </c>
      <c r="B461" t="s">
        <v>8954</v>
      </c>
    </row>
    <row r="462" spans="1:2" x14ac:dyDescent="0.25">
      <c r="A462" t="s">
        <v>2505</v>
      </c>
      <c r="B462" t="s">
        <v>8955</v>
      </c>
    </row>
    <row r="463" spans="1:2" x14ac:dyDescent="0.25">
      <c r="A463" t="s">
        <v>8956</v>
      </c>
      <c r="B463" t="s">
        <v>8957</v>
      </c>
    </row>
    <row r="464" spans="1:2" x14ac:dyDescent="0.25">
      <c r="A464" t="s">
        <v>8958</v>
      </c>
      <c r="B464" t="s">
        <v>8959</v>
      </c>
    </row>
    <row r="465" spans="1:2" x14ac:dyDescent="0.25">
      <c r="A465" t="s">
        <v>8960</v>
      </c>
      <c r="B465" t="s">
        <v>8961</v>
      </c>
    </row>
    <row r="466" spans="1:2" x14ac:dyDescent="0.25">
      <c r="A466" t="s">
        <v>8962</v>
      </c>
      <c r="B466" t="s">
        <v>8963</v>
      </c>
    </row>
    <row r="467" spans="1:2" x14ac:dyDescent="0.25">
      <c r="A467" t="s">
        <v>8964</v>
      </c>
      <c r="B467" t="s">
        <v>8965</v>
      </c>
    </row>
    <row r="468" spans="1:2" x14ac:dyDescent="0.25">
      <c r="A468" t="s">
        <v>8966</v>
      </c>
      <c r="B468" t="s">
        <v>8967</v>
      </c>
    </row>
    <row r="469" spans="1:2" x14ac:dyDescent="0.25">
      <c r="A469" t="s">
        <v>8968</v>
      </c>
      <c r="B469" t="s">
        <v>8969</v>
      </c>
    </row>
    <row r="470" spans="1:2" x14ac:dyDescent="0.25">
      <c r="A470" t="s">
        <v>8970</v>
      </c>
      <c r="B470" t="s">
        <v>8971</v>
      </c>
    </row>
    <row r="471" spans="1:2" x14ac:dyDescent="0.25">
      <c r="A471" t="s">
        <v>8972</v>
      </c>
      <c r="B471" t="s">
        <v>8973</v>
      </c>
    </row>
    <row r="472" spans="1:2" x14ac:dyDescent="0.25">
      <c r="A472" t="s">
        <v>8974</v>
      </c>
      <c r="B472" t="s">
        <v>8975</v>
      </c>
    </row>
    <row r="473" spans="1:2" x14ac:dyDescent="0.25">
      <c r="A473" t="s">
        <v>8976</v>
      </c>
      <c r="B473" t="s">
        <v>8977</v>
      </c>
    </row>
    <row r="474" spans="1:2" x14ac:dyDescent="0.25">
      <c r="A474" t="s">
        <v>8978</v>
      </c>
      <c r="B474" t="s">
        <v>8979</v>
      </c>
    </row>
    <row r="475" spans="1:2" x14ac:dyDescent="0.25">
      <c r="A475" t="s">
        <v>8980</v>
      </c>
      <c r="B475" t="s">
        <v>8981</v>
      </c>
    </row>
    <row r="476" spans="1:2" x14ac:dyDescent="0.25">
      <c r="A476" t="s">
        <v>8982</v>
      </c>
      <c r="B476" t="s">
        <v>8983</v>
      </c>
    </row>
    <row r="477" spans="1:2" x14ac:dyDescent="0.25">
      <c r="A477" t="s">
        <v>8984</v>
      </c>
      <c r="B477" t="s">
        <v>8983</v>
      </c>
    </row>
    <row r="478" spans="1:2" x14ac:dyDescent="0.25">
      <c r="A478" t="s">
        <v>8985</v>
      </c>
      <c r="B478" t="s">
        <v>8986</v>
      </c>
    </row>
    <row r="479" spans="1:2" x14ac:dyDescent="0.25">
      <c r="A479" t="s">
        <v>8987</v>
      </c>
      <c r="B479" t="s">
        <v>8988</v>
      </c>
    </row>
    <row r="480" spans="1:2" x14ac:dyDescent="0.25">
      <c r="A480" t="s">
        <v>8989</v>
      </c>
      <c r="B480" t="s">
        <v>8990</v>
      </c>
    </row>
    <row r="481" spans="1:2" x14ac:dyDescent="0.25">
      <c r="A481" t="s">
        <v>8991</v>
      </c>
      <c r="B481" t="s">
        <v>8992</v>
      </c>
    </row>
    <row r="482" spans="1:2" x14ac:dyDescent="0.25">
      <c r="A482" t="s">
        <v>1725</v>
      </c>
      <c r="B482" t="s">
        <v>9995</v>
      </c>
    </row>
    <row r="483" spans="1:2" x14ac:dyDescent="0.25">
      <c r="A483" t="s">
        <v>8993</v>
      </c>
      <c r="B483" t="s">
        <v>8994</v>
      </c>
    </row>
    <row r="484" spans="1:2" x14ac:dyDescent="0.25">
      <c r="A484" t="s">
        <v>8995</v>
      </c>
      <c r="B484" t="s">
        <v>8996</v>
      </c>
    </row>
    <row r="485" spans="1:2" x14ac:dyDescent="0.25">
      <c r="A485" t="s">
        <v>8997</v>
      </c>
      <c r="B485" t="s">
        <v>8998</v>
      </c>
    </row>
    <row r="486" spans="1:2" x14ac:dyDescent="0.25">
      <c r="A486" t="s">
        <v>8999</v>
      </c>
      <c r="B486" t="s">
        <v>9000</v>
      </c>
    </row>
    <row r="487" spans="1:2" x14ac:dyDescent="0.25">
      <c r="A487" t="s">
        <v>9001</v>
      </c>
      <c r="B487" t="s">
        <v>9002</v>
      </c>
    </row>
    <row r="488" spans="1:2" x14ac:dyDescent="0.25">
      <c r="A488" t="s">
        <v>9003</v>
      </c>
      <c r="B488" t="s">
        <v>9004</v>
      </c>
    </row>
    <row r="489" spans="1:2" x14ac:dyDescent="0.25">
      <c r="A489" t="s">
        <v>9005</v>
      </c>
      <c r="B489" t="s">
        <v>9006</v>
      </c>
    </row>
    <row r="490" spans="1:2" x14ac:dyDescent="0.25">
      <c r="A490" t="s">
        <v>4241</v>
      </c>
      <c r="B490" t="s">
        <v>9007</v>
      </c>
    </row>
    <row r="491" spans="1:2" x14ac:dyDescent="0.25">
      <c r="A491" t="s">
        <v>9008</v>
      </c>
      <c r="B491" t="s">
        <v>9009</v>
      </c>
    </row>
    <row r="492" spans="1:2" x14ac:dyDescent="0.25">
      <c r="A492" t="s">
        <v>9010</v>
      </c>
      <c r="B492" t="s">
        <v>9011</v>
      </c>
    </row>
    <row r="493" spans="1:2" x14ac:dyDescent="0.25">
      <c r="A493" t="s">
        <v>9012</v>
      </c>
      <c r="B493" t="s">
        <v>9013</v>
      </c>
    </row>
    <row r="494" spans="1:2" x14ac:dyDescent="0.25">
      <c r="A494" t="s">
        <v>9014</v>
      </c>
      <c r="B494" t="s">
        <v>9015</v>
      </c>
    </row>
    <row r="495" spans="1:2" x14ac:dyDescent="0.25">
      <c r="A495" t="s">
        <v>9016</v>
      </c>
      <c r="B495" t="s">
        <v>9017</v>
      </c>
    </row>
    <row r="496" spans="1:2" x14ac:dyDescent="0.25">
      <c r="A496" t="s">
        <v>9018</v>
      </c>
      <c r="B496" t="s">
        <v>9019</v>
      </c>
    </row>
    <row r="497" spans="1:2" x14ac:dyDescent="0.25">
      <c r="A497" t="s">
        <v>9020</v>
      </c>
      <c r="B497" t="s">
        <v>9021</v>
      </c>
    </row>
    <row r="498" spans="1:2" x14ac:dyDescent="0.25">
      <c r="A498" t="s">
        <v>9022</v>
      </c>
      <c r="B498" t="s">
        <v>9023</v>
      </c>
    </row>
    <row r="499" spans="1:2" x14ac:dyDescent="0.25">
      <c r="A499" t="s">
        <v>9024</v>
      </c>
      <c r="B499" t="s">
        <v>9025</v>
      </c>
    </row>
    <row r="500" spans="1:2" x14ac:dyDescent="0.25">
      <c r="A500" t="s">
        <v>9026</v>
      </c>
      <c r="B500" t="s">
        <v>9027</v>
      </c>
    </row>
    <row r="501" spans="1:2" x14ac:dyDescent="0.25">
      <c r="A501" t="s">
        <v>9028</v>
      </c>
      <c r="B501" t="s">
        <v>9029</v>
      </c>
    </row>
    <row r="502" spans="1:2" x14ac:dyDescent="0.25">
      <c r="A502" t="s">
        <v>9030</v>
      </c>
      <c r="B502" t="s">
        <v>9031</v>
      </c>
    </row>
    <row r="503" spans="1:2" x14ac:dyDescent="0.25">
      <c r="A503" t="s">
        <v>9032</v>
      </c>
      <c r="B503" t="s">
        <v>9033</v>
      </c>
    </row>
    <row r="504" spans="1:2" x14ac:dyDescent="0.25">
      <c r="A504" t="s">
        <v>9034</v>
      </c>
      <c r="B504" t="s">
        <v>9035</v>
      </c>
    </row>
    <row r="505" spans="1:2" x14ac:dyDescent="0.25">
      <c r="A505" t="s">
        <v>9036</v>
      </c>
      <c r="B505" t="s">
        <v>9037</v>
      </c>
    </row>
    <row r="506" spans="1:2" x14ac:dyDescent="0.25">
      <c r="A506" t="s">
        <v>9038</v>
      </c>
      <c r="B506" t="s">
        <v>9039</v>
      </c>
    </row>
    <row r="507" spans="1:2" x14ac:dyDescent="0.25">
      <c r="A507" t="s">
        <v>9040</v>
      </c>
      <c r="B507" t="s">
        <v>9041</v>
      </c>
    </row>
    <row r="508" spans="1:2" x14ac:dyDescent="0.25">
      <c r="A508" t="s">
        <v>9042</v>
      </c>
      <c r="B508" t="s">
        <v>9043</v>
      </c>
    </row>
    <row r="509" spans="1:2" x14ac:dyDescent="0.25">
      <c r="A509" t="s">
        <v>9044</v>
      </c>
      <c r="B509" t="s">
        <v>9045</v>
      </c>
    </row>
    <row r="510" spans="1:2" x14ac:dyDescent="0.25">
      <c r="A510" t="s">
        <v>9046</v>
      </c>
      <c r="B510" t="s">
        <v>9047</v>
      </c>
    </row>
    <row r="511" spans="1:2" x14ac:dyDescent="0.25">
      <c r="A511" t="s">
        <v>9048</v>
      </c>
      <c r="B511" t="s">
        <v>9049</v>
      </c>
    </row>
    <row r="512" spans="1:2" x14ac:dyDescent="0.25">
      <c r="A512" t="s">
        <v>9050</v>
      </c>
      <c r="B512" t="s">
        <v>9051</v>
      </c>
    </row>
    <row r="513" spans="1:2" x14ac:dyDescent="0.25">
      <c r="A513" t="s">
        <v>9052</v>
      </c>
      <c r="B513" t="s">
        <v>9053</v>
      </c>
    </row>
    <row r="514" spans="1:2" x14ac:dyDescent="0.25">
      <c r="A514" t="s">
        <v>9054</v>
      </c>
      <c r="B514" t="s">
        <v>9055</v>
      </c>
    </row>
    <row r="515" spans="1:2" x14ac:dyDescent="0.25">
      <c r="A515" t="s">
        <v>9056</v>
      </c>
      <c r="B515" t="s">
        <v>9057</v>
      </c>
    </row>
    <row r="516" spans="1:2" x14ac:dyDescent="0.25">
      <c r="A516" t="s">
        <v>9058</v>
      </c>
      <c r="B516" t="s">
        <v>9059</v>
      </c>
    </row>
    <row r="517" spans="1:2" x14ac:dyDescent="0.25">
      <c r="A517" t="s">
        <v>9060</v>
      </c>
      <c r="B517" t="s">
        <v>9061</v>
      </c>
    </row>
    <row r="518" spans="1:2" x14ac:dyDescent="0.25">
      <c r="A518" t="s">
        <v>9062</v>
      </c>
      <c r="B518" t="s">
        <v>9063</v>
      </c>
    </row>
    <row r="519" spans="1:2" x14ac:dyDescent="0.25">
      <c r="A519" t="s">
        <v>9064</v>
      </c>
      <c r="B519" t="s">
        <v>9065</v>
      </c>
    </row>
    <row r="520" spans="1:2" x14ac:dyDescent="0.25">
      <c r="A520" t="s">
        <v>9066</v>
      </c>
      <c r="B520" t="s">
        <v>9067</v>
      </c>
    </row>
    <row r="521" spans="1:2" x14ac:dyDescent="0.25">
      <c r="A521" t="s">
        <v>9068</v>
      </c>
      <c r="B521" t="s">
        <v>9069</v>
      </c>
    </row>
    <row r="522" spans="1:2" x14ac:dyDescent="0.25">
      <c r="A522" t="s">
        <v>9070</v>
      </c>
      <c r="B522" t="s">
        <v>9071</v>
      </c>
    </row>
    <row r="523" spans="1:2" x14ac:dyDescent="0.25">
      <c r="A523" t="s">
        <v>9072</v>
      </c>
      <c r="B523" t="s">
        <v>9073</v>
      </c>
    </row>
    <row r="524" spans="1:2" x14ac:dyDescent="0.25">
      <c r="A524" t="s">
        <v>9074</v>
      </c>
      <c r="B524" t="s">
        <v>9075</v>
      </c>
    </row>
    <row r="525" spans="1:2" x14ac:dyDescent="0.25">
      <c r="A525" t="s">
        <v>9076</v>
      </c>
      <c r="B525" t="s">
        <v>9077</v>
      </c>
    </row>
    <row r="526" spans="1:2" x14ac:dyDescent="0.25">
      <c r="A526" t="s">
        <v>275</v>
      </c>
      <c r="B526" t="s">
        <v>9078</v>
      </c>
    </row>
    <row r="527" spans="1:2" x14ac:dyDescent="0.25">
      <c r="A527" t="s">
        <v>9079</v>
      </c>
      <c r="B527" t="s">
        <v>9080</v>
      </c>
    </row>
    <row r="528" spans="1:2" x14ac:dyDescent="0.25">
      <c r="A528" t="s">
        <v>9081</v>
      </c>
      <c r="B528" t="s">
        <v>9082</v>
      </c>
    </row>
    <row r="529" spans="1:2" x14ac:dyDescent="0.25">
      <c r="A529" t="s">
        <v>600</v>
      </c>
      <c r="B529" t="s">
        <v>9083</v>
      </c>
    </row>
    <row r="530" spans="1:2" x14ac:dyDescent="0.25">
      <c r="A530" t="s">
        <v>1708</v>
      </c>
    </row>
    <row r="531" spans="1:2" x14ac:dyDescent="0.25">
      <c r="A531" t="s">
        <v>9084</v>
      </c>
      <c r="B531" t="s">
        <v>9085</v>
      </c>
    </row>
    <row r="532" spans="1:2" x14ac:dyDescent="0.25">
      <c r="A532" t="s">
        <v>9086</v>
      </c>
      <c r="B532" t="s">
        <v>9087</v>
      </c>
    </row>
    <row r="533" spans="1:2" x14ac:dyDescent="0.25">
      <c r="A533" t="s">
        <v>9088</v>
      </c>
      <c r="B533" t="s">
        <v>9089</v>
      </c>
    </row>
    <row r="534" spans="1:2" x14ac:dyDescent="0.25">
      <c r="A534" t="s">
        <v>9090</v>
      </c>
      <c r="B534" t="s">
        <v>9091</v>
      </c>
    </row>
    <row r="535" spans="1:2" x14ac:dyDescent="0.25">
      <c r="A535" t="s">
        <v>9092</v>
      </c>
      <c r="B535" t="s">
        <v>9093</v>
      </c>
    </row>
    <row r="536" spans="1:2" x14ac:dyDescent="0.25">
      <c r="A536" t="s">
        <v>9094</v>
      </c>
      <c r="B536" t="s">
        <v>9095</v>
      </c>
    </row>
    <row r="537" spans="1:2" x14ac:dyDescent="0.25">
      <c r="A537" t="s">
        <v>9096</v>
      </c>
      <c r="B537" t="s">
        <v>9097</v>
      </c>
    </row>
    <row r="538" spans="1:2" x14ac:dyDescent="0.25">
      <c r="A538" t="s">
        <v>9098</v>
      </c>
      <c r="B538" t="s">
        <v>9099</v>
      </c>
    </row>
    <row r="539" spans="1:2" x14ac:dyDescent="0.25">
      <c r="A539" t="s">
        <v>9100</v>
      </c>
      <c r="B539" t="s">
        <v>9101</v>
      </c>
    </row>
    <row r="540" spans="1:2" x14ac:dyDescent="0.25">
      <c r="A540" t="s">
        <v>9102</v>
      </c>
      <c r="B540" t="s">
        <v>9103</v>
      </c>
    </row>
    <row r="541" spans="1:2" x14ac:dyDescent="0.25">
      <c r="A541" t="s">
        <v>9104</v>
      </c>
      <c r="B541" t="s">
        <v>9105</v>
      </c>
    </row>
    <row r="542" spans="1:2" x14ac:dyDescent="0.25">
      <c r="A542" t="s">
        <v>9106</v>
      </c>
      <c r="B542" t="s">
        <v>9107</v>
      </c>
    </row>
    <row r="543" spans="1:2" x14ac:dyDescent="0.25">
      <c r="A543" t="s">
        <v>9108</v>
      </c>
      <c r="B543" t="s">
        <v>9109</v>
      </c>
    </row>
    <row r="544" spans="1:2" x14ac:dyDescent="0.25">
      <c r="A544" t="s">
        <v>9110</v>
      </c>
      <c r="B544" t="s">
        <v>9111</v>
      </c>
    </row>
    <row r="545" spans="1:2" x14ac:dyDescent="0.25">
      <c r="A545" t="s">
        <v>9112</v>
      </c>
      <c r="B545" t="s">
        <v>9113</v>
      </c>
    </row>
    <row r="546" spans="1:2" x14ac:dyDescent="0.25">
      <c r="A546" t="s">
        <v>9114</v>
      </c>
      <c r="B546" t="s">
        <v>9115</v>
      </c>
    </row>
    <row r="547" spans="1:2" x14ac:dyDescent="0.25">
      <c r="A547" t="s">
        <v>9116</v>
      </c>
      <c r="B547" t="s">
        <v>9117</v>
      </c>
    </row>
    <row r="548" spans="1:2" x14ac:dyDescent="0.25">
      <c r="A548" t="s">
        <v>9118</v>
      </c>
      <c r="B548" t="s">
        <v>9119</v>
      </c>
    </row>
    <row r="549" spans="1:2" x14ac:dyDescent="0.25">
      <c r="A549" t="s">
        <v>9120</v>
      </c>
      <c r="B549" t="s">
        <v>9121</v>
      </c>
    </row>
    <row r="550" spans="1:2" x14ac:dyDescent="0.25">
      <c r="A550" t="s">
        <v>9122</v>
      </c>
      <c r="B550" t="s">
        <v>9123</v>
      </c>
    </row>
    <row r="551" spans="1:2" x14ac:dyDescent="0.25">
      <c r="A551" t="s">
        <v>9124</v>
      </c>
      <c r="B551" t="s">
        <v>9125</v>
      </c>
    </row>
    <row r="552" spans="1:2" x14ac:dyDescent="0.25">
      <c r="A552" t="s">
        <v>9126</v>
      </c>
      <c r="B552" t="s">
        <v>9127</v>
      </c>
    </row>
    <row r="553" spans="1:2" x14ac:dyDescent="0.25">
      <c r="A553" t="s">
        <v>9128</v>
      </c>
      <c r="B553" t="s">
        <v>9129</v>
      </c>
    </row>
    <row r="554" spans="1:2" x14ac:dyDescent="0.25">
      <c r="A554" t="s">
        <v>9130</v>
      </c>
      <c r="B554" t="s">
        <v>9131</v>
      </c>
    </row>
    <row r="555" spans="1:2" x14ac:dyDescent="0.25">
      <c r="A555" t="s">
        <v>9132</v>
      </c>
      <c r="B555" t="s">
        <v>9133</v>
      </c>
    </row>
    <row r="556" spans="1:2" x14ac:dyDescent="0.25">
      <c r="A556" t="s">
        <v>9134</v>
      </c>
      <c r="B556" t="s">
        <v>9135</v>
      </c>
    </row>
    <row r="557" spans="1:2" x14ac:dyDescent="0.25">
      <c r="A557" t="s">
        <v>9136</v>
      </c>
      <c r="B557" t="s">
        <v>9137</v>
      </c>
    </row>
    <row r="558" spans="1:2" x14ac:dyDescent="0.25">
      <c r="A558" t="s">
        <v>9138</v>
      </c>
      <c r="B558" t="s">
        <v>9139</v>
      </c>
    </row>
    <row r="559" spans="1:2" x14ac:dyDescent="0.25">
      <c r="A559" t="s">
        <v>9140</v>
      </c>
      <c r="B559" t="s">
        <v>9141</v>
      </c>
    </row>
    <row r="560" spans="1:2" x14ac:dyDescent="0.25">
      <c r="A560" t="s">
        <v>9142</v>
      </c>
      <c r="B560" t="s">
        <v>9143</v>
      </c>
    </row>
    <row r="561" spans="1:2" x14ac:dyDescent="0.25">
      <c r="A561" t="s">
        <v>9144</v>
      </c>
      <c r="B561" t="s">
        <v>9145</v>
      </c>
    </row>
    <row r="562" spans="1:2" x14ac:dyDescent="0.25">
      <c r="A562" t="s">
        <v>9146</v>
      </c>
      <c r="B562" t="s">
        <v>9147</v>
      </c>
    </row>
    <row r="563" spans="1:2" x14ac:dyDescent="0.25">
      <c r="A563" t="s">
        <v>9148</v>
      </c>
      <c r="B563" t="s">
        <v>9149</v>
      </c>
    </row>
    <row r="564" spans="1:2" x14ac:dyDescent="0.25">
      <c r="A564" t="s">
        <v>9150</v>
      </c>
      <c r="B564" t="s">
        <v>9151</v>
      </c>
    </row>
    <row r="565" spans="1:2" x14ac:dyDescent="0.25">
      <c r="A565" t="s">
        <v>9152</v>
      </c>
      <c r="B565" t="s">
        <v>9153</v>
      </c>
    </row>
    <row r="566" spans="1:2" x14ac:dyDescent="0.25">
      <c r="A566" t="s">
        <v>9154</v>
      </c>
      <c r="B566" t="s">
        <v>9155</v>
      </c>
    </row>
    <row r="567" spans="1:2" x14ac:dyDescent="0.25">
      <c r="A567" t="s">
        <v>9156</v>
      </c>
      <c r="B567" t="s">
        <v>9157</v>
      </c>
    </row>
    <row r="568" spans="1:2" x14ac:dyDescent="0.25">
      <c r="A568" t="s">
        <v>9158</v>
      </c>
      <c r="B568" t="s">
        <v>9159</v>
      </c>
    </row>
    <row r="569" spans="1:2" x14ac:dyDescent="0.25">
      <c r="A569" t="s">
        <v>9160</v>
      </c>
      <c r="B569" t="s">
        <v>9161</v>
      </c>
    </row>
    <row r="570" spans="1:2" x14ac:dyDescent="0.25">
      <c r="A570" t="s">
        <v>9162</v>
      </c>
      <c r="B570" t="s">
        <v>9163</v>
      </c>
    </row>
    <row r="571" spans="1:2" x14ac:dyDescent="0.25">
      <c r="A571" t="s">
        <v>9164</v>
      </c>
      <c r="B571" t="s">
        <v>9165</v>
      </c>
    </row>
    <row r="572" spans="1:2" x14ac:dyDescent="0.25">
      <c r="A572" t="s">
        <v>9166</v>
      </c>
      <c r="B572" t="s">
        <v>9167</v>
      </c>
    </row>
    <row r="573" spans="1:2" x14ac:dyDescent="0.25">
      <c r="A573" t="s">
        <v>9168</v>
      </c>
      <c r="B573" t="s">
        <v>9169</v>
      </c>
    </row>
    <row r="574" spans="1:2" x14ac:dyDescent="0.25">
      <c r="A574" t="s">
        <v>9170</v>
      </c>
      <c r="B574" t="s">
        <v>9171</v>
      </c>
    </row>
    <row r="575" spans="1:2" x14ac:dyDescent="0.25">
      <c r="A575" t="s">
        <v>9172</v>
      </c>
      <c r="B575" t="s">
        <v>9173</v>
      </c>
    </row>
    <row r="576" spans="1:2" x14ac:dyDescent="0.25">
      <c r="A576" t="s">
        <v>9174</v>
      </c>
      <c r="B576" t="s">
        <v>9175</v>
      </c>
    </row>
    <row r="577" spans="1:2" x14ac:dyDescent="0.25">
      <c r="A577" t="s">
        <v>9176</v>
      </c>
      <c r="B577" t="s">
        <v>9177</v>
      </c>
    </row>
    <row r="578" spans="1:2" x14ac:dyDescent="0.25">
      <c r="A578" t="s">
        <v>9178</v>
      </c>
      <c r="B578" t="s">
        <v>9179</v>
      </c>
    </row>
    <row r="579" spans="1:2" x14ac:dyDescent="0.25">
      <c r="A579" t="s">
        <v>9180</v>
      </c>
      <c r="B579" t="s">
        <v>9181</v>
      </c>
    </row>
    <row r="580" spans="1:2" x14ac:dyDescent="0.25">
      <c r="A580" t="s">
        <v>1761</v>
      </c>
      <c r="B580" t="s">
        <v>4996</v>
      </c>
    </row>
    <row r="581" spans="1:2" x14ac:dyDescent="0.25">
      <c r="A581" t="s">
        <v>9182</v>
      </c>
      <c r="B581" t="s">
        <v>4034</v>
      </c>
    </row>
    <row r="582" spans="1:2" x14ac:dyDescent="0.25">
      <c r="A582" t="s">
        <v>9183</v>
      </c>
      <c r="B582" t="s">
        <v>9184</v>
      </c>
    </row>
    <row r="583" spans="1:2" x14ac:dyDescent="0.25">
      <c r="A583" t="s">
        <v>9185</v>
      </c>
      <c r="B583" t="s">
        <v>9186</v>
      </c>
    </row>
    <row r="584" spans="1:2" x14ac:dyDescent="0.25">
      <c r="A584" t="s">
        <v>9187</v>
      </c>
      <c r="B584" t="s">
        <v>9188</v>
      </c>
    </row>
    <row r="585" spans="1:2" x14ac:dyDescent="0.25">
      <c r="A585" t="s">
        <v>9189</v>
      </c>
      <c r="B585" t="s">
        <v>9190</v>
      </c>
    </row>
    <row r="586" spans="1:2" x14ac:dyDescent="0.25">
      <c r="A586" t="s">
        <v>1699</v>
      </c>
      <c r="B586" t="s">
        <v>9191</v>
      </c>
    </row>
    <row r="587" spans="1:2" x14ac:dyDescent="0.25">
      <c r="A587" t="s">
        <v>9192</v>
      </c>
      <c r="B587" t="s">
        <v>9193</v>
      </c>
    </row>
    <row r="588" spans="1:2" x14ac:dyDescent="0.25">
      <c r="A588" t="s">
        <v>9194</v>
      </c>
      <c r="B588" t="s">
        <v>9195</v>
      </c>
    </row>
    <row r="589" spans="1:2" x14ac:dyDescent="0.25">
      <c r="A589" t="s">
        <v>9196</v>
      </c>
      <c r="B589" t="s">
        <v>9197</v>
      </c>
    </row>
    <row r="590" spans="1:2" x14ac:dyDescent="0.25">
      <c r="A590" t="s">
        <v>9198</v>
      </c>
      <c r="B590" t="s">
        <v>9199</v>
      </c>
    </row>
    <row r="591" spans="1:2" x14ac:dyDescent="0.25">
      <c r="A591" t="s">
        <v>9200</v>
      </c>
      <c r="B591" t="s">
        <v>9201</v>
      </c>
    </row>
    <row r="592" spans="1:2" x14ac:dyDescent="0.25">
      <c r="A592" t="s">
        <v>9202</v>
      </c>
      <c r="B592" t="s">
        <v>9203</v>
      </c>
    </row>
    <row r="593" spans="1:2" x14ac:dyDescent="0.25">
      <c r="A593" t="s">
        <v>9204</v>
      </c>
      <c r="B593" t="s">
        <v>9205</v>
      </c>
    </row>
    <row r="594" spans="1:2" x14ac:dyDescent="0.25">
      <c r="A594" t="s">
        <v>9206</v>
      </c>
      <c r="B594" t="s">
        <v>9207</v>
      </c>
    </row>
    <row r="595" spans="1:2" x14ac:dyDescent="0.25">
      <c r="A595" t="s">
        <v>9208</v>
      </c>
      <c r="B595" t="s">
        <v>9209</v>
      </c>
    </row>
    <row r="596" spans="1:2" x14ac:dyDescent="0.25">
      <c r="A596" t="s">
        <v>9210</v>
      </c>
      <c r="B596" t="s">
        <v>9211</v>
      </c>
    </row>
    <row r="597" spans="1:2" x14ac:dyDescent="0.25">
      <c r="A597" t="s">
        <v>9212</v>
      </c>
      <c r="B597" t="s">
        <v>9213</v>
      </c>
    </row>
    <row r="598" spans="1:2" x14ac:dyDescent="0.25">
      <c r="A598" t="s">
        <v>9214</v>
      </c>
      <c r="B598" t="s">
        <v>9215</v>
      </c>
    </row>
    <row r="599" spans="1:2" x14ac:dyDescent="0.25">
      <c r="A599" t="s">
        <v>9216</v>
      </c>
      <c r="B599" t="s">
        <v>9217</v>
      </c>
    </row>
    <row r="600" spans="1:2" x14ac:dyDescent="0.25">
      <c r="A600" t="s">
        <v>9218</v>
      </c>
      <c r="B600" t="s">
        <v>9219</v>
      </c>
    </row>
    <row r="601" spans="1:2" x14ac:dyDescent="0.25">
      <c r="A601" t="s">
        <v>9220</v>
      </c>
      <c r="B601" t="s">
        <v>9221</v>
      </c>
    </row>
    <row r="602" spans="1:2" x14ac:dyDescent="0.25">
      <c r="A602" t="s">
        <v>9222</v>
      </c>
      <c r="B602" t="s">
        <v>9223</v>
      </c>
    </row>
    <row r="603" spans="1:2" x14ac:dyDescent="0.25">
      <c r="A603" t="s">
        <v>9224</v>
      </c>
      <c r="B603" t="s">
        <v>9225</v>
      </c>
    </row>
    <row r="604" spans="1:2" x14ac:dyDescent="0.25">
      <c r="A604" t="s">
        <v>9226</v>
      </c>
      <c r="B604" t="s">
        <v>9227</v>
      </c>
    </row>
    <row r="605" spans="1:2" x14ac:dyDescent="0.25">
      <c r="A605" t="s">
        <v>9228</v>
      </c>
      <c r="B605" t="s">
        <v>9229</v>
      </c>
    </row>
    <row r="606" spans="1:2" x14ac:dyDescent="0.25">
      <c r="A606" t="s">
        <v>9230</v>
      </c>
      <c r="B606" t="s">
        <v>9231</v>
      </c>
    </row>
    <row r="607" spans="1:2" x14ac:dyDescent="0.25">
      <c r="A607" t="s">
        <v>9232</v>
      </c>
      <c r="B607" t="s">
        <v>9233</v>
      </c>
    </row>
    <row r="608" spans="1:2" x14ac:dyDescent="0.25">
      <c r="A608" t="s">
        <v>9234</v>
      </c>
      <c r="B608" t="s">
        <v>9235</v>
      </c>
    </row>
    <row r="609" spans="1:2" x14ac:dyDescent="0.25">
      <c r="A609" t="s">
        <v>9236</v>
      </c>
      <c r="B609" t="s">
        <v>9237</v>
      </c>
    </row>
    <row r="610" spans="1:2" x14ac:dyDescent="0.25">
      <c r="A610" t="s">
        <v>9238</v>
      </c>
      <c r="B610" t="s">
        <v>9239</v>
      </c>
    </row>
    <row r="611" spans="1:2" x14ac:dyDescent="0.25">
      <c r="A611" t="s">
        <v>9240</v>
      </c>
      <c r="B611" t="s">
        <v>9241</v>
      </c>
    </row>
    <row r="612" spans="1:2" x14ac:dyDescent="0.25">
      <c r="A612" t="s">
        <v>9242</v>
      </c>
      <c r="B612" t="s">
        <v>9243</v>
      </c>
    </row>
    <row r="613" spans="1:2" x14ac:dyDescent="0.25">
      <c r="A613" t="s">
        <v>9244</v>
      </c>
      <c r="B613" t="s">
        <v>9245</v>
      </c>
    </row>
    <row r="614" spans="1:2" x14ac:dyDescent="0.25">
      <c r="A614" t="s">
        <v>9246</v>
      </c>
      <c r="B614" t="s">
        <v>9247</v>
      </c>
    </row>
    <row r="615" spans="1:2" x14ac:dyDescent="0.25">
      <c r="A615" t="s">
        <v>9248</v>
      </c>
      <c r="B615" t="s">
        <v>9249</v>
      </c>
    </row>
    <row r="616" spans="1:2" x14ac:dyDescent="0.25">
      <c r="A616" t="s">
        <v>9250</v>
      </c>
      <c r="B616" t="s">
        <v>9251</v>
      </c>
    </row>
    <row r="617" spans="1:2" x14ac:dyDescent="0.25">
      <c r="A617" t="s">
        <v>9252</v>
      </c>
      <c r="B617" t="s">
        <v>9253</v>
      </c>
    </row>
    <row r="618" spans="1:2" x14ac:dyDescent="0.25">
      <c r="A618" t="s">
        <v>9254</v>
      </c>
      <c r="B618" t="s">
        <v>9255</v>
      </c>
    </row>
    <row r="619" spans="1:2" x14ac:dyDescent="0.25">
      <c r="A619" t="s">
        <v>9256</v>
      </c>
      <c r="B619" t="s">
        <v>9257</v>
      </c>
    </row>
    <row r="620" spans="1:2" x14ac:dyDescent="0.25">
      <c r="A620" t="s">
        <v>1135</v>
      </c>
      <c r="B620" t="s">
        <v>9258</v>
      </c>
    </row>
    <row r="621" spans="1:2" x14ac:dyDescent="0.25">
      <c r="A621" t="s">
        <v>9259</v>
      </c>
      <c r="B621" t="s">
        <v>9260</v>
      </c>
    </row>
    <row r="622" spans="1:2" x14ac:dyDescent="0.25">
      <c r="A622" t="s">
        <v>9261</v>
      </c>
      <c r="B622" t="s">
        <v>9262</v>
      </c>
    </row>
    <row r="623" spans="1:2" x14ac:dyDescent="0.25">
      <c r="A623" t="s">
        <v>9263</v>
      </c>
      <c r="B623" t="s">
        <v>9264</v>
      </c>
    </row>
    <row r="624" spans="1:2" x14ac:dyDescent="0.25">
      <c r="A624" t="s">
        <v>9265</v>
      </c>
      <c r="B624" t="s">
        <v>9266</v>
      </c>
    </row>
    <row r="625" spans="1:2" x14ac:dyDescent="0.25">
      <c r="A625" t="s">
        <v>9267</v>
      </c>
      <c r="B625" t="s">
        <v>9268</v>
      </c>
    </row>
    <row r="626" spans="1:2" x14ac:dyDescent="0.25">
      <c r="A626" t="s">
        <v>9269</v>
      </c>
      <c r="B626" t="s">
        <v>9270</v>
      </c>
    </row>
    <row r="627" spans="1:2" x14ac:dyDescent="0.25">
      <c r="A627" t="s">
        <v>9271</v>
      </c>
      <c r="B627" t="s">
        <v>9272</v>
      </c>
    </row>
    <row r="628" spans="1:2" x14ac:dyDescent="0.25">
      <c r="A628" t="s">
        <v>9273</v>
      </c>
      <c r="B628" t="s">
        <v>9274</v>
      </c>
    </row>
    <row r="629" spans="1:2" x14ac:dyDescent="0.25">
      <c r="A629" t="s">
        <v>9275</v>
      </c>
      <c r="B629" t="s">
        <v>9276</v>
      </c>
    </row>
    <row r="630" spans="1:2" x14ac:dyDescent="0.25">
      <c r="A630" t="s">
        <v>9277</v>
      </c>
      <c r="B630" t="s">
        <v>9278</v>
      </c>
    </row>
    <row r="631" spans="1:2" x14ac:dyDescent="0.25">
      <c r="A631" t="s">
        <v>9279</v>
      </c>
      <c r="B631" t="s">
        <v>9280</v>
      </c>
    </row>
    <row r="632" spans="1:2" x14ac:dyDescent="0.25">
      <c r="A632" t="s">
        <v>9281</v>
      </c>
      <c r="B632" t="s">
        <v>9282</v>
      </c>
    </row>
    <row r="633" spans="1:2" x14ac:dyDescent="0.25">
      <c r="A633" t="s">
        <v>9283</v>
      </c>
      <c r="B633" t="s">
        <v>4762</v>
      </c>
    </row>
    <row r="634" spans="1:2" x14ac:dyDescent="0.25">
      <c r="A634" t="s">
        <v>9284</v>
      </c>
      <c r="B634" t="s">
        <v>9285</v>
      </c>
    </row>
    <row r="635" spans="1:2" x14ac:dyDescent="0.25">
      <c r="A635" t="s">
        <v>9286</v>
      </c>
      <c r="B635" t="s">
        <v>9287</v>
      </c>
    </row>
    <row r="636" spans="1:2" x14ac:dyDescent="0.25">
      <c r="A636" t="s">
        <v>9288</v>
      </c>
      <c r="B636" t="s">
        <v>9289</v>
      </c>
    </row>
    <row r="637" spans="1:2" x14ac:dyDescent="0.25">
      <c r="A637" t="s">
        <v>9290</v>
      </c>
      <c r="B637" t="s">
        <v>9291</v>
      </c>
    </row>
    <row r="638" spans="1:2" x14ac:dyDescent="0.25">
      <c r="A638" t="s">
        <v>9292</v>
      </c>
      <c r="B638" t="s">
        <v>9293</v>
      </c>
    </row>
    <row r="639" spans="1:2" x14ac:dyDescent="0.25">
      <c r="A639" t="s">
        <v>9294</v>
      </c>
      <c r="B639" t="s">
        <v>9295</v>
      </c>
    </row>
    <row r="640" spans="1:2" x14ac:dyDescent="0.25">
      <c r="A640" t="s">
        <v>9296</v>
      </c>
      <c r="B640" t="s">
        <v>9297</v>
      </c>
    </row>
    <row r="641" spans="1:2" x14ac:dyDescent="0.25">
      <c r="A641" t="s">
        <v>9298</v>
      </c>
      <c r="B641" t="s">
        <v>9299</v>
      </c>
    </row>
    <row r="642" spans="1:2" x14ac:dyDescent="0.25">
      <c r="A642" t="s">
        <v>9300</v>
      </c>
      <c r="B642" t="s">
        <v>9301</v>
      </c>
    </row>
    <row r="643" spans="1:2" x14ac:dyDescent="0.25">
      <c r="A643" t="s">
        <v>9302</v>
      </c>
      <c r="B643" t="s">
        <v>9303</v>
      </c>
    </row>
    <row r="644" spans="1:2" x14ac:dyDescent="0.25">
      <c r="A644" t="s">
        <v>9304</v>
      </c>
      <c r="B644" t="s">
        <v>9305</v>
      </c>
    </row>
    <row r="645" spans="1:2" x14ac:dyDescent="0.25">
      <c r="A645" t="s">
        <v>9306</v>
      </c>
      <c r="B645" t="s">
        <v>9307</v>
      </c>
    </row>
    <row r="646" spans="1:2" x14ac:dyDescent="0.25">
      <c r="A646" t="s">
        <v>9308</v>
      </c>
      <c r="B646" t="s">
        <v>9309</v>
      </c>
    </row>
    <row r="647" spans="1:2" x14ac:dyDescent="0.25">
      <c r="A647" t="s">
        <v>9310</v>
      </c>
      <c r="B647" t="s">
        <v>9311</v>
      </c>
    </row>
    <row r="648" spans="1:2" x14ac:dyDescent="0.25">
      <c r="A648" t="s">
        <v>9312</v>
      </c>
      <c r="B648" t="s">
        <v>9313</v>
      </c>
    </row>
    <row r="649" spans="1:2" x14ac:dyDescent="0.25">
      <c r="A649" t="s">
        <v>9314</v>
      </c>
      <c r="B649" t="s">
        <v>9315</v>
      </c>
    </row>
    <row r="650" spans="1:2" x14ac:dyDescent="0.25">
      <c r="A650" t="s">
        <v>9316</v>
      </c>
      <c r="B650" t="s">
        <v>9317</v>
      </c>
    </row>
    <row r="651" spans="1:2" x14ac:dyDescent="0.25">
      <c r="A651" t="s">
        <v>9318</v>
      </c>
      <c r="B651" t="s">
        <v>9319</v>
      </c>
    </row>
    <row r="652" spans="1:2" x14ac:dyDescent="0.25">
      <c r="A652" t="s">
        <v>9320</v>
      </c>
      <c r="B652" t="s">
        <v>9321</v>
      </c>
    </row>
    <row r="653" spans="1:2" x14ac:dyDescent="0.25">
      <c r="A653" t="s">
        <v>9322</v>
      </c>
      <c r="B653" t="s">
        <v>9323</v>
      </c>
    </row>
    <row r="654" spans="1:2" x14ac:dyDescent="0.25">
      <c r="A654" t="s">
        <v>9324</v>
      </c>
      <c r="B654" t="s">
        <v>9325</v>
      </c>
    </row>
    <row r="655" spans="1:2" x14ac:dyDescent="0.25">
      <c r="A655" t="s">
        <v>9326</v>
      </c>
      <c r="B655" t="s">
        <v>9327</v>
      </c>
    </row>
    <row r="656" spans="1:2" x14ac:dyDescent="0.25">
      <c r="A656" t="s">
        <v>9328</v>
      </c>
      <c r="B656" t="s">
        <v>9329</v>
      </c>
    </row>
    <row r="657" spans="1:2" x14ac:dyDescent="0.25">
      <c r="A657" t="s">
        <v>9330</v>
      </c>
      <c r="B657" t="s">
        <v>9331</v>
      </c>
    </row>
    <row r="658" spans="1:2" x14ac:dyDescent="0.25">
      <c r="A658" t="s">
        <v>9332</v>
      </c>
      <c r="B658" t="s">
        <v>9333</v>
      </c>
    </row>
    <row r="659" spans="1:2" x14ac:dyDescent="0.25">
      <c r="A659" t="s">
        <v>9334</v>
      </c>
      <c r="B659" t="s">
        <v>9335</v>
      </c>
    </row>
    <row r="660" spans="1:2" x14ac:dyDescent="0.25">
      <c r="A660" t="s">
        <v>9336</v>
      </c>
      <c r="B660" t="s">
        <v>9337</v>
      </c>
    </row>
    <row r="661" spans="1:2" x14ac:dyDescent="0.25">
      <c r="A661" t="s">
        <v>9338</v>
      </c>
      <c r="B661" t="s">
        <v>9339</v>
      </c>
    </row>
    <row r="662" spans="1:2" x14ac:dyDescent="0.25">
      <c r="A662" t="s">
        <v>9340</v>
      </c>
      <c r="B662" t="s">
        <v>9341</v>
      </c>
    </row>
    <row r="663" spans="1:2" x14ac:dyDescent="0.25">
      <c r="A663" t="s">
        <v>9342</v>
      </c>
      <c r="B663" t="s">
        <v>9343</v>
      </c>
    </row>
    <row r="664" spans="1:2" x14ac:dyDescent="0.25">
      <c r="A664" t="s">
        <v>9344</v>
      </c>
      <c r="B664" t="s">
        <v>9345</v>
      </c>
    </row>
    <row r="665" spans="1:2" x14ac:dyDescent="0.25">
      <c r="A665" t="s">
        <v>9346</v>
      </c>
      <c r="B665" t="s">
        <v>9347</v>
      </c>
    </row>
    <row r="666" spans="1:2" x14ac:dyDescent="0.25">
      <c r="A666" t="s">
        <v>9348</v>
      </c>
      <c r="B666" t="s">
        <v>9349</v>
      </c>
    </row>
    <row r="667" spans="1:2" x14ac:dyDescent="0.25">
      <c r="A667" t="s">
        <v>9350</v>
      </c>
      <c r="B667" t="s">
        <v>9351</v>
      </c>
    </row>
    <row r="668" spans="1:2" x14ac:dyDescent="0.25">
      <c r="A668" t="s">
        <v>9352</v>
      </c>
      <c r="B668" t="s">
        <v>9353</v>
      </c>
    </row>
    <row r="669" spans="1:2" x14ac:dyDescent="0.25">
      <c r="A669" t="s">
        <v>9354</v>
      </c>
      <c r="B669" t="s">
        <v>9355</v>
      </c>
    </row>
    <row r="670" spans="1:2" x14ac:dyDescent="0.25">
      <c r="A670" t="s">
        <v>9356</v>
      </c>
      <c r="B670" t="s">
        <v>9357</v>
      </c>
    </row>
    <row r="671" spans="1:2" x14ac:dyDescent="0.25">
      <c r="A671" t="s">
        <v>9358</v>
      </c>
      <c r="B671" t="s">
        <v>9359</v>
      </c>
    </row>
    <row r="672" spans="1:2" x14ac:dyDescent="0.25">
      <c r="A672" t="s">
        <v>9360</v>
      </c>
      <c r="B672" t="s">
        <v>9361</v>
      </c>
    </row>
    <row r="673" spans="1:2" x14ac:dyDescent="0.25">
      <c r="A673" t="s">
        <v>9362</v>
      </c>
      <c r="B673" t="s">
        <v>9363</v>
      </c>
    </row>
    <row r="674" spans="1:2" x14ac:dyDescent="0.25">
      <c r="A674" t="s">
        <v>9364</v>
      </c>
      <c r="B674" t="s">
        <v>9365</v>
      </c>
    </row>
    <row r="675" spans="1:2" x14ac:dyDescent="0.25">
      <c r="A675" t="s">
        <v>9366</v>
      </c>
      <c r="B675" t="s">
        <v>9367</v>
      </c>
    </row>
    <row r="676" spans="1:2" x14ac:dyDescent="0.25">
      <c r="A676" t="s">
        <v>9368</v>
      </c>
      <c r="B676" t="s">
        <v>9369</v>
      </c>
    </row>
    <row r="677" spans="1:2" x14ac:dyDescent="0.25">
      <c r="A677" t="s">
        <v>1076</v>
      </c>
      <c r="B677" t="s">
        <v>9370</v>
      </c>
    </row>
    <row r="678" spans="1:2" x14ac:dyDescent="0.25">
      <c r="A678" t="s">
        <v>9371</v>
      </c>
      <c r="B678" t="s">
        <v>9372</v>
      </c>
    </row>
    <row r="679" spans="1:2" x14ac:dyDescent="0.25">
      <c r="A679" t="s">
        <v>9373</v>
      </c>
      <c r="B679" t="s">
        <v>9374</v>
      </c>
    </row>
    <row r="680" spans="1:2" x14ac:dyDescent="0.25">
      <c r="A680" t="s">
        <v>889</v>
      </c>
      <c r="B680">
        <v>911144442</v>
      </c>
    </row>
    <row r="681" spans="1:2" x14ac:dyDescent="0.25">
      <c r="A681" t="s">
        <v>9375</v>
      </c>
      <c r="B681" t="s">
        <v>9376</v>
      </c>
    </row>
    <row r="682" spans="1:2" x14ac:dyDescent="0.25">
      <c r="A682" t="s">
        <v>9377</v>
      </c>
      <c r="B682" t="s">
        <v>9378</v>
      </c>
    </row>
    <row r="683" spans="1:2" x14ac:dyDescent="0.25">
      <c r="A683" t="s">
        <v>9379</v>
      </c>
      <c r="B683" t="s">
        <v>9380</v>
      </c>
    </row>
    <row r="684" spans="1:2" x14ac:dyDescent="0.25">
      <c r="A684" t="s">
        <v>9381</v>
      </c>
      <c r="B684" t="s">
        <v>9382</v>
      </c>
    </row>
    <row r="685" spans="1:2" x14ac:dyDescent="0.25">
      <c r="A685" t="s">
        <v>9383</v>
      </c>
      <c r="B685" t="s">
        <v>9384</v>
      </c>
    </row>
    <row r="686" spans="1:2" x14ac:dyDescent="0.25">
      <c r="A686" t="s">
        <v>9385</v>
      </c>
      <c r="B686" t="s">
        <v>9386</v>
      </c>
    </row>
    <row r="687" spans="1:2" x14ac:dyDescent="0.25">
      <c r="A687" t="s">
        <v>9387</v>
      </c>
      <c r="B687" t="s">
        <v>9388</v>
      </c>
    </row>
    <row r="688" spans="1:2" x14ac:dyDescent="0.25">
      <c r="A688" t="s">
        <v>9389</v>
      </c>
      <c r="B688" t="s">
        <v>9390</v>
      </c>
    </row>
    <row r="689" spans="1:2" x14ac:dyDescent="0.25">
      <c r="A689" t="s">
        <v>9391</v>
      </c>
      <c r="B689" t="s">
        <v>9392</v>
      </c>
    </row>
    <row r="690" spans="1:2" x14ac:dyDescent="0.25">
      <c r="A690" t="s">
        <v>9393</v>
      </c>
      <c r="B690" t="s">
        <v>9394</v>
      </c>
    </row>
    <row r="691" spans="1:2" x14ac:dyDescent="0.25">
      <c r="A691" t="s">
        <v>9395</v>
      </c>
      <c r="B691" t="s">
        <v>9396</v>
      </c>
    </row>
    <row r="692" spans="1:2" x14ac:dyDescent="0.25">
      <c r="A692" t="s">
        <v>9397</v>
      </c>
      <c r="B692" t="s">
        <v>9398</v>
      </c>
    </row>
    <row r="693" spans="1:2" x14ac:dyDescent="0.25">
      <c r="A693" t="s">
        <v>9399</v>
      </c>
      <c r="B693" t="s">
        <v>9400</v>
      </c>
    </row>
    <row r="694" spans="1:2" x14ac:dyDescent="0.25">
      <c r="A694" t="s">
        <v>9401</v>
      </c>
      <c r="B694" t="s">
        <v>9402</v>
      </c>
    </row>
    <row r="695" spans="1:2" x14ac:dyDescent="0.25">
      <c r="A695" t="s">
        <v>9403</v>
      </c>
      <c r="B695" t="s">
        <v>9404</v>
      </c>
    </row>
    <row r="696" spans="1:2" x14ac:dyDescent="0.25">
      <c r="A696" t="s">
        <v>9405</v>
      </c>
      <c r="B696" t="s">
        <v>9406</v>
      </c>
    </row>
    <row r="697" spans="1:2" x14ac:dyDescent="0.25">
      <c r="A697" t="s">
        <v>9407</v>
      </c>
      <c r="B697" t="s">
        <v>9408</v>
      </c>
    </row>
    <row r="698" spans="1:2" x14ac:dyDescent="0.25">
      <c r="A698" t="s">
        <v>9409</v>
      </c>
      <c r="B698" t="s">
        <v>9410</v>
      </c>
    </row>
    <row r="699" spans="1:2" x14ac:dyDescent="0.25">
      <c r="A699" t="s">
        <v>9411</v>
      </c>
      <c r="B699" t="s">
        <v>9412</v>
      </c>
    </row>
    <row r="700" spans="1:2" x14ac:dyDescent="0.25">
      <c r="A700" t="s">
        <v>9413</v>
      </c>
      <c r="B700" t="s">
        <v>9414</v>
      </c>
    </row>
    <row r="701" spans="1:2" x14ac:dyDescent="0.25">
      <c r="A701" t="s">
        <v>9415</v>
      </c>
      <c r="B701" t="s">
        <v>9416</v>
      </c>
    </row>
    <row r="702" spans="1:2" x14ac:dyDescent="0.25">
      <c r="A702" t="s">
        <v>9417</v>
      </c>
      <c r="B702" t="s">
        <v>9418</v>
      </c>
    </row>
    <row r="703" spans="1:2" x14ac:dyDescent="0.25">
      <c r="A703" t="s">
        <v>9419</v>
      </c>
      <c r="B703" t="s">
        <v>9420</v>
      </c>
    </row>
    <row r="704" spans="1:2" x14ac:dyDescent="0.25">
      <c r="A704" t="s">
        <v>219</v>
      </c>
      <c r="B704" t="s">
        <v>9421</v>
      </c>
    </row>
    <row r="705" spans="1:2" x14ac:dyDescent="0.25">
      <c r="A705" t="s">
        <v>9422</v>
      </c>
      <c r="B705" t="s">
        <v>9423</v>
      </c>
    </row>
    <row r="706" spans="1:2" x14ac:dyDescent="0.25">
      <c r="A706" t="s">
        <v>9424</v>
      </c>
      <c r="B706" t="s">
        <v>9425</v>
      </c>
    </row>
    <row r="707" spans="1:2" x14ac:dyDescent="0.25">
      <c r="A707" t="s">
        <v>9426</v>
      </c>
      <c r="B707" t="s">
        <v>9427</v>
      </c>
    </row>
    <row r="708" spans="1:2" x14ac:dyDescent="0.25">
      <c r="A708" t="s">
        <v>9428</v>
      </c>
      <c r="B708" t="s">
        <v>9429</v>
      </c>
    </row>
    <row r="709" spans="1:2" x14ac:dyDescent="0.25">
      <c r="A709" t="s">
        <v>9430</v>
      </c>
      <c r="B709" t="s">
        <v>9431</v>
      </c>
    </row>
    <row r="710" spans="1:2" x14ac:dyDescent="0.25">
      <c r="A710" t="s">
        <v>9432</v>
      </c>
      <c r="B710" t="s">
        <v>9433</v>
      </c>
    </row>
    <row r="711" spans="1:2" x14ac:dyDescent="0.25">
      <c r="A711" t="s">
        <v>9434</v>
      </c>
      <c r="B711" t="s">
        <v>9435</v>
      </c>
    </row>
    <row r="712" spans="1:2" x14ac:dyDescent="0.25">
      <c r="A712" t="s">
        <v>9436</v>
      </c>
      <c r="B712" t="s">
        <v>9437</v>
      </c>
    </row>
    <row r="713" spans="1:2" x14ac:dyDescent="0.25">
      <c r="A713" t="s">
        <v>9438</v>
      </c>
      <c r="B713" t="s">
        <v>9439</v>
      </c>
    </row>
    <row r="714" spans="1:2" x14ac:dyDescent="0.25">
      <c r="A714" t="s">
        <v>9440</v>
      </c>
      <c r="B714" t="s">
        <v>9441</v>
      </c>
    </row>
    <row r="715" spans="1:2" x14ac:dyDescent="0.25">
      <c r="A715" t="s">
        <v>9442</v>
      </c>
      <c r="B715" t="s">
        <v>9443</v>
      </c>
    </row>
    <row r="716" spans="1:2" x14ac:dyDescent="0.25">
      <c r="A716" t="s">
        <v>9444</v>
      </c>
      <c r="B716" t="s">
        <v>9445</v>
      </c>
    </row>
    <row r="717" spans="1:2" x14ac:dyDescent="0.25">
      <c r="A717" t="s">
        <v>9446</v>
      </c>
      <c r="B717" t="s">
        <v>9447</v>
      </c>
    </row>
    <row r="718" spans="1:2" x14ac:dyDescent="0.25">
      <c r="A718" t="s">
        <v>9448</v>
      </c>
      <c r="B718" t="s">
        <v>9449</v>
      </c>
    </row>
    <row r="719" spans="1:2" x14ac:dyDescent="0.25">
      <c r="A719" t="s">
        <v>9450</v>
      </c>
      <c r="B719" t="s">
        <v>9451</v>
      </c>
    </row>
    <row r="720" spans="1:2" x14ac:dyDescent="0.25">
      <c r="A720" t="s">
        <v>9452</v>
      </c>
      <c r="B720" t="s">
        <v>9453</v>
      </c>
    </row>
    <row r="721" spans="1:2" x14ac:dyDescent="0.25">
      <c r="A721" t="s">
        <v>9454</v>
      </c>
      <c r="B721" t="s">
        <v>9455</v>
      </c>
    </row>
    <row r="722" spans="1:2" x14ac:dyDescent="0.25">
      <c r="A722" t="s">
        <v>9456</v>
      </c>
      <c r="B722" t="s">
        <v>9457</v>
      </c>
    </row>
    <row r="723" spans="1:2" x14ac:dyDescent="0.25">
      <c r="A723" t="s">
        <v>1816</v>
      </c>
      <c r="B723" t="s">
        <v>9458</v>
      </c>
    </row>
    <row r="724" spans="1:2" x14ac:dyDescent="0.25">
      <c r="A724" t="s">
        <v>9459</v>
      </c>
      <c r="B724" t="s">
        <v>9460</v>
      </c>
    </row>
    <row r="725" spans="1:2" x14ac:dyDescent="0.25">
      <c r="A725" t="s">
        <v>9461</v>
      </c>
      <c r="B725" t="s">
        <v>9462</v>
      </c>
    </row>
    <row r="726" spans="1:2" x14ac:dyDescent="0.25">
      <c r="A726" t="s">
        <v>9463</v>
      </c>
      <c r="B726" t="s">
        <v>9464</v>
      </c>
    </row>
    <row r="727" spans="1:2" x14ac:dyDescent="0.25">
      <c r="A727" t="s">
        <v>9465</v>
      </c>
      <c r="B727" t="s">
        <v>9466</v>
      </c>
    </row>
    <row r="728" spans="1:2" x14ac:dyDescent="0.25">
      <c r="A728" t="s">
        <v>9467</v>
      </c>
      <c r="B728" t="s">
        <v>6494</v>
      </c>
    </row>
    <row r="729" spans="1:2" x14ac:dyDescent="0.25">
      <c r="A729" t="s">
        <v>9468</v>
      </c>
      <c r="B729" t="s">
        <v>9469</v>
      </c>
    </row>
    <row r="730" spans="1:2" x14ac:dyDescent="0.25">
      <c r="A730" t="s">
        <v>9470</v>
      </c>
      <c r="B730" t="s">
        <v>9471</v>
      </c>
    </row>
    <row r="731" spans="1:2" x14ac:dyDescent="0.25">
      <c r="A731" t="s">
        <v>9472</v>
      </c>
      <c r="B731" t="s">
        <v>9473</v>
      </c>
    </row>
    <row r="732" spans="1:2" x14ac:dyDescent="0.25">
      <c r="A732" t="s">
        <v>9474</v>
      </c>
      <c r="B732" t="s">
        <v>9475</v>
      </c>
    </row>
    <row r="733" spans="1:2" x14ac:dyDescent="0.25">
      <c r="A733" t="s">
        <v>9476</v>
      </c>
      <c r="B733" t="s">
        <v>9477</v>
      </c>
    </row>
    <row r="734" spans="1:2" x14ac:dyDescent="0.25">
      <c r="A734" t="s">
        <v>9478</v>
      </c>
      <c r="B734" t="s">
        <v>9479</v>
      </c>
    </row>
    <row r="735" spans="1:2" x14ac:dyDescent="0.25">
      <c r="A735" t="s">
        <v>9480</v>
      </c>
      <c r="B735" t="s">
        <v>9481</v>
      </c>
    </row>
    <row r="736" spans="1:2" x14ac:dyDescent="0.25">
      <c r="A736" t="s">
        <v>9482</v>
      </c>
      <c r="B736" t="s">
        <v>9483</v>
      </c>
    </row>
    <row r="737" spans="1:2" x14ac:dyDescent="0.25">
      <c r="A737" t="s">
        <v>9484</v>
      </c>
      <c r="B737" t="s">
        <v>9485</v>
      </c>
    </row>
    <row r="738" spans="1:2" x14ac:dyDescent="0.25">
      <c r="A738" t="s">
        <v>9486</v>
      </c>
      <c r="B738" t="s">
        <v>9487</v>
      </c>
    </row>
    <row r="739" spans="1:2" x14ac:dyDescent="0.25">
      <c r="A739" t="s">
        <v>9488</v>
      </c>
      <c r="B739" t="s">
        <v>9489</v>
      </c>
    </row>
    <row r="740" spans="1:2" x14ac:dyDescent="0.25">
      <c r="A740" t="s">
        <v>9490</v>
      </c>
      <c r="B740" t="s">
        <v>9491</v>
      </c>
    </row>
    <row r="741" spans="1:2" x14ac:dyDescent="0.25">
      <c r="A741" t="s">
        <v>9492</v>
      </c>
      <c r="B741" t="s">
        <v>9493</v>
      </c>
    </row>
    <row r="742" spans="1:2" x14ac:dyDescent="0.25">
      <c r="A742" t="s">
        <v>9494</v>
      </c>
      <c r="B742" t="s">
        <v>9495</v>
      </c>
    </row>
    <row r="743" spans="1:2" x14ac:dyDescent="0.25">
      <c r="A743" t="s">
        <v>9496</v>
      </c>
      <c r="B743" t="s">
        <v>9497</v>
      </c>
    </row>
    <row r="744" spans="1:2" x14ac:dyDescent="0.25">
      <c r="A744" t="s">
        <v>9498</v>
      </c>
      <c r="B744" t="s">
        <v>9499</v>
      </c>
    </row>
    <row r="745" spans="1:2" x14ac:dyDescent="0.25">
      <c r="A745" t="s">
        <v>9500</v>
      </c>
      <c r="B745" t="s">
        <v>9501</v>
      </c>
    </row>
    <row r="746" spans="1:2" x14ac:dyDescent="0.25">
      <c r="A746" t="s">
        <v>9502</v>
      </c>
      <c r="B746" t="s">
        <v>9503</v>
      </c>
    </row>
    <row r="747" spans="1:2" x14ac:dyDescent="0.25">
      <c r="A747" t="s">
        <v>9504</v>
      </c>
      <c r="B747" t="s">
        <v>9505</v>
      </c>
    </row>
    <row r="748" spans="1:2" x14ac:dyDescent="0.25">
      <c r="A748" t="s">
        <v>9506</v>
      </c>
      <c r="B748" t="s">
        <v>9507</v>
      </c>
    </row>
    <row r="749" spans="1:2" x14ac:dyDescent="0.25">
      <c r="A749" t="s">
        <v>9508</v>
      </c>
      <c r="B749" t="s">
        <v>9509</v>
      </c>
    </row>
    <row r="750" spans="1:2" x14ac:dyDescent="0.25">
      <c r="A750" t="s">
        <v>9510</v>
      </c>
      <c r="B750" t="s">
        <v>9511</v>
      </c>
    </row>
    <row r="751" spans="1:2" x14ac:dyDescent="0.25">
      <c r="A751" t="s">
        <v>9512</v>
      </c>
      <c r="B751" t="s">
        <v>9513</v>
      </c>
    </row>
    <row r="752" spans="1:2" x14ac:dyDescent="0.25">
      <c r="A752" t="s">
        <v>9514</v>
      </c>
      <c r="B752" t="s">
        <v>9515</v>
      </c>
    </row>
    <row r="753" spans="1:2" x14ac:dyDescent="0.25">
      <c r="A753" t="s">
        <v>9516</v>
      </c>
      <c r="B753" t="s">
        <v>9517</v>
      </c>
    </row>
    <row r="754" spans="1:2" x14ac:dyDescent="0.25">
      <c r="A754" t="s">
        <v>9518</v>
      </c>
      <c r="B754" t="s">
        <v>9519</v>
      </c>
    </row>
    <row r="755" spans="1:2" x14ac:dyDescent="0.25">
      <c r="A755" t="s">
        <v>9520</v>
      </c>
      <c r="B755" t="s">
        <v>9521</v>
      </c>
    </row>
    <row r="756" spans="1:2" x14ac:dyDescent="0.25">
      <c r="A756" t="s">
        <v>9522</v>
      </c>
      <c r="B756" t="s">
        <v>9523</v>
      </c>
    </row>
    <row r="757" spans="1:2" x14ac:dyDescent="0.25">
      <c r="A757" t="s">
        <v>9524</v>
      </c>
      <c r="B757" t="s">
        <v>9525</v>
      </c>
    </row>
    <row r="758" spans="1:2" x14ac:dyDescent="0.25">
      <c r="A758" t="s">
        <v>9526</v>
      </c>
      <c r="B758" t="s">
        <v>9527</v>
      </c>
    </row>
    <row r="759" spans="1:2" x14ac:dyDescent="0.25">
      <c r="A759" t="s">
        <v>9528</v>
      </c>
      <c r="B759" t="s">
        <v>9529</v>
      </c>
    </row>
    <row r="760" spans="1:2" x14ac:dyDescent="0.25">
      <c r="A760" t="s">
        <v>9530</v>
      </c>
      <c r="B760" t="s">
        <v>9531</v>
      </c>
    </row>
    <row r="761" spans="1:2" x14ac:dyDescent="0.25">
      <c r="A761" t="s">
        <v>9532</v>
      </c>
      <c r="B761" t="s">
        <v>9533</v>
      </c>
    </row>
    <row r="762" spans="1:2" x14ac:dyDescent="0.25">
      <c r="A762" t="s">
        <v>9534</v>
      </c>
      <c r="B762" t="s">
        <v>9535</v>
      </c>
    </row>
    <row r="763" spans="1:2" x14ac:dyDescent="0.25">
      <c r="A763" t="s">
        <v>9536</v>
      </c>
      <c r="B763" t="s">
        <v>9537</v>
      </c>
    </row>
    <row r="764" spans="1:2" x14ac:dyDescent="0.25">
      <c r="A764" t="s">
        <v>9538</v>
      </c>
      <c r="B764" t="s">
        <v>9539</v>
      </c>
    </row>
    <row r="765" spans="1:2" x14ac:dyDescent="0.25">
      <c r="A765" s="486" t="s">
        <v>6304</v>
      </c>
      <c r="B765" t="s">
        <v>9996</v>
      </c>
    </row>
    <row r="766" spans="1:2" x14ac:dyDescent="0.25">
      <c r="A766" t="s">
        <v>9540</v>
      </c>
      <c r="B766" t="s">
        <v>9541</v>
      </c>
    </row>
    <row r="767" spans="1:2" x14ac:dyDescent="0.25">
      <c r="A767" t="s">
        <v>9542</v>
      </c>
      <c r="B767" t="s">
        <v>9543</v>
      </c>
    </row>
    <row r="768" spans="1:2" x14ac:dyDescent="0.25">
      <c r="A768" t="s">
        <v>9544</v>
      </c>
      <c r="B768" t="s">
        <v>9545</v>
      </c>
    </row>
    <row r="769" spans="1:2" x14ac:dyDescent="0.25">
      <c r="A769" t="s">
        <v>9546</v>
      </c>
      <c r="B769" t="s">
        <v>9547</v>
      </c>
    </row>
    <row r="770" spans="1:2" x14ac:dyDescent="0.25">
      <c r="A770" t="s">
        <v>9548</v>
      </c>
      <c r="B770" t="s">
        <v>9549</v>
      </c>
    </row>
    <row r="771" spans="1:2" x14ac:dyDescent="0.25">
      <c r="A771" t="s">
        <v>9550</v>
      </c>
      <c r="B771" t="s">
        <v>9551</v>
      </c>
    </row>
    <row r="772" spans="1:2" x14ac:dyDescent="0.25">
      <c r="A772" t="s">
        <v>9552</v>
      </c>
      <c r="B772" t="s">
        <v>9553</v>
      </c>
    </row>
    <row r="773" spans="1:2" x14ac:dyDescent="0.25">
      <c r="A773" t="s">
        <v>9554</v>
      </c>
      <c r="B773" t="s">
        <v>9555</v>
      </c>
    </row>
    <row r="774" spans="1:2" x14ac:dyDescent="0.25">
      <c r="A774" t="s">
        <v>9556</v>
      </c>
      <c r="B774" t="s">
        <v>9557</v>
      </c>
    </row>
    <row r="775" spans="1:2" x14ac:dyDescent="0.25">
      <c r="A775" t="s">
        <v>9558</v>
      </c>
      <c r="B775" t="s">
        <v>9559</v>
      </c>
    </row>
    <row r="776" spans="1:2" x14ac:dyDescent="0.25">
      <c r="A776" t="s">
        <v>2622</v>
      </c>
      <c r="B776" t="s">
        <v>9560</v>
      </c>
    </row>
    <row r="777" spans="1:2" x14ac:dyDescent="0.25">
      <c r="A777" t="s">
        <v>9561</v>
      </c>
      <c r="B777" t="s">
        <v>9562</v>
      </c>
    </row>
    <row r="778" spans="1:2" x14ac:dyDescent="0.25">
      <c r="A778" t="s">
        <v>9563</v>
      </c>
      <c r="B778" t="s">
        <v>9564</v>
      </c>
    </row>
    <row r="779" spans="1:2" x14ac:dyDescent="0.25">
      <c r="A779" t="s">
        <v>9565</v>
      </c>
      <c r="B779" t="s">
        <v>9566</v>
      </c>
    </row>
    <row r="780" spans="1:2" x14ac:dyDescent="0.25">
      <c r="A780" t="s">
        <v>9567</v>
      </c>
      <c r="B780" t="s">
        <v>9568</v>
      </c>
    </row>
    <row r="781" spans="1:2" x14ac:dyDescent="0.25">
      <c r="A781" t="s">
        <v>9569</v>
      </c>
      <c r="B781" t="s">
        <v>9570</v>
      </c>
    </row>
    <row r="782" spans="1:2" x14ac:dyDescent="0.25">
      <c r="A782" t="s">
        <v>9571</v>
      </c>
      <c r="B782" t="s">
        <v>9572</v>
      </c>
    </row>
    <row r="783" spans="1:2" x14ac:dyDescent="0.25">
      <c r="A783" t="s">
        <v>9573</v>
      </c>
      <c r="B783" t="s">
        <v>9574</v>
      </c>
    </row>
    <row r="784" spans="1:2" x14ac:dyDescent="0.25">
      <c r="A784" t="s">
        <v>9575</v>
      </c>
      <c r="B784" t="s">
        <v>9576</v>
      </c>
    </row>
    <row r="785" spans="1:2" x14ac:dyDescent="0.25">
      <c r="A785" t="s">
        <v>9577</v>
      </c>
      <c r="B785" t="s">
        <v>9578</v>
      </c>
    </row>
    <row r="786" spans="1:2" x14ac:dyDescent="0.25">
      <c r="A786" t="s">
        <v>9579</v>
      </c>
      <c r="B786" t="s">
        <v>9580</v>
      </c>
    </row>
    <row r="787" spans="1:2" x14ac:dyDescent="0.25">
      <c r="A787" t="s">
        <v>9581</v>
      </c>
      <c r="B787" t="s">
        <v>9582</v>
      </c>
    </row>
    <row r="788" spans="1:2" x14ac:dyDescent="0.25">
      <c r="A788" t="s">
        <v>1756</v>
      </c>
      <c r="B788" t="s">
        <v>9583</v>
      </c>
    </row>
    <row r="789" spans="1:2" x14ac:dyDescent="0.25">
      <c r="A789" t="s">
        <v>9584</v>
      </c>
      <c r="B789" t="s">
        <v>9585</v>
      </c>
    </row>
    <row r="790" spans="1:2" x14ac:dyDescent="0.25">
      <c r="A790" t="s">
        <v>9586</v>
      </c>
      <c r="B790" t="s">
        <v>9587</v>
      </c>
    </row>
    <row r="791" spans="1:2" x14ac:dyDescent="0.25">
      <c r="A791" t="s">
        <v>9588</v>
      </c>
      <c r="B791" t="s">
        <v>9589</v>
      </c>
    </row>
    <row r="792" spans="1:2" x14ac:dyDescent="0.25">
      <c r="A792" t="s">
        <v>9590</v>
      </c>
      <c r="B792" t="s">
        <v>9591</v>
      </c>
    </row>
    <row r="793" spans="1:2" x14ac:dyDescent="0.25">
      <c r="A793" t="s">
        <v>9592</v>
      </c>
      <c r="B793" t="s">
        <v>9593</v>
      </c>
    </row>
    <row r="794" spans="1:2" x14ac:dyDescent="0.25">
      <c r="A794" t="s">
        <v>9594</v>
      </c>
      <c r="B794" t="s">
        <v>9595</v>
      </c>
    </row>
    <row r="795" spans="1:2" x14ac:dyDescent="0.25">
      <c r="A795" t="s">
        <v>9596</v>
      </c>
      <c r="B795" t="s">
        <v>9597</v>
      </c>
    </row>
    <row r="796" spans="1:2" x14ac:dyDescent="0.25">
      <c r="A796" t="s">
        <v>9598</v>
      </c>
      <c r="B796" t="s">
        <v>9599</v>
      </c>
    </row>
    <row r="797" spans="1:2" x14ac:dyDescent="0.25">
      <c r="A797" t="s">
        <v>9600</v>
      </c>
      <c r="B797" t="s">
        <v>9601</v>
      </c>
    </row>
    <row r="798" spans="1:2" x14ac:dyDescent="0.25">
      <c r="A798" t="s">
        <v>9602</v>
      </c>
      <c r="B798" t="s">
        <v>9603</v>
      </c>
    </row>
    <row r="799" spans="1:2" x14ac:dyDescent="0.25">
      <c r="A799" t="s">
        <v>9604</v>
      </c>
      <c r="B799" t="s">
        <v>9605</v>
      </c>
    </row>
    <row r="800" spans="1:2" x14ac:dyDescent="0.25">
      <c r="A800" t="s">
        <v>9606</v>
      </c>
      <c r="B800" t="s">
        <v>9607</v>
      </c>
    </row>
    <row r="801" spans="1:2" x14ac:dyDescent="0.25">
      <c r="A801" t="s">
        <v>9608</v>
      </c>
      <c r="B801" t="s">
        <v>9609</v>
      </c>
    </row>
    <row r="802" spans="1:2" x14ac:dyDescent="0.25">
      <c r="A802" t="s">
        <v>9610</v>
      </c>
      <c r="B802" t="s">
        <v>9611</v>
      </c>
    </row>
    <row r="803" spans="1:2" x14ac:dyDescent="0.25">
      <c r="A803" t="s">
        <v>9612</v>
      </c>
      <c r="B803" t="s">
        <v>9613</v>
      </c>
    </row>
    <row r="804" spans="1:2" x14ac:dyDescent="0.25">
      <c r="A804" t="s">
        <v>9614</v>
      </c>
      <c r="B804" t="s">
        <v>9615</v>
      </c>
    </row>
    <row r="805" spans="1:2" x14ac:dyDescent="0.25">
      <c r="A805" t="s">
        <v>9616</v>
      </c>
      <c r="B805" t="s">
        <v>9617</v>
      </c>
    </row>
    <row r="806" spans="1:2" x14ac:dyDescent="0.25">
      <c r="A806" t="s">
        <v>9618</v>
      </c>
      <c r="B806" t="s">
        <v>9619</v>
      </c>
    </row>
    <row r="807" spans="1:2" x14ac:dyDescent="0.25">
      <c r="A807" t="s">
        <v>9620</v>
      </c>
      <c r="B807" t="s">
        <v>9621</v>
      </c>
    </row>
    <row r="808" spans="1:2" x14ac:dyDescent="0.25">
      <c r="A808" t="s">
        <v>9622</v>
      </c>
      <c r="B808" t="s">
        <v>9623</v>
      </c>
    </row>
    <row r="809" spans="1:2" x14ac:dyDescent="0.25">
      <c r="A809" t="s">
        <v>9624</v>
      </c>
      <c r="B809" t="s">
        <v>9625</v>
      </c>
    </row>
    <row r="810" spans="1:2" x14ac:dyDescent="0.25">
      <c r="A810" t="s">
        <v>2602</v>
      </c>
      <c r="B810" t="s">
        <v>9626</v>
      </c>
    </row>
    <row r="811" spans="1:2" x14ac:dyDescent="0.25">
      <c r="A811" t="s">
        <v>9627</v>
      </c>
      <c r="B811" t="s">
        <v>9628</v>
      </c>
    </row>
    <row r="812" spans="1:2" x14ac:dyDescent="0.25">
      <c r="A812" t="s">
        <v>9629</v>
      </c>
      <c r="B812" t="s">
        <v>9630</v>
      </c>
    </row>
    <row r="813" spans="1:2" x14ac:dyDescent="0.25">
      <c r="A813" t="s">
        <v>9631</v>
      </c>
      <c r="B813" t="s">
        <v>9632</v>
      </c>
    </row>
    <row r="814" spans="1:2" x14ac:dyDescent="0.25">
      <c r="A814" t="s">
        <v>9633</v>
      </c>
      <c r="B814" t="s">
        <v>9634</v>
      </c>
    </row>
    <row r="815" spans="1:2" x14ac:dyDescent="0.25">
      <c r="A815" t="s">
        <v>9635</v>
      </c>
      <c r="B815" t="s">
        <v>9636</v>
      </c>
    </row>
    <row r="816" spans="1:2" x14ac:dyDescent="0.25">
      <c r="A816" t="s">
        <v>9637</v>
      </c>
      <c r="B816" t="s">
        <v>9638</v>
      </c>
    </row>
    <row r="817" spans="1:2" x14ac:dyDescent="0.25">
      <c r="A817" t="s">
        <v>9639</v>
      </c>
      <c r="B817" t="s">
        <v>9640</v>
      </c>
    </row>
    <row r="818" spans="1:2" x14ac:dyDescent="0.25">
      <c r="A818" t="s">
        <v>9641</v>
      </c>
      <c r="B818" t="s">
        <v>9642</v>
      </c>
    </row>
    <row r="819" spans="1:2" x14ac:dyDescent="0.25">
      <c r="A819" t="s">
        <v>9643</v>
      </c>
      <c r="B819" t="s">
        <v>9644</v>
      </c>
    </row>
    <row r="820" spans="1:2" x14ac:dyDescent="0.25">
      <c r="A820" t="s">
        <v>9645</v>
      </c>
      <c r="B820" t="s">
        <v>9646</v>
      </c>
    </row>
    <row r="821" spans="1:2" x14ac:dyDescent="0.25">
      <c r="A821" t="s">
        <v>9647</v>
      </c>
      <c r="B821" t="s">
        <v>9648</v>
      </c>
    </row>
    <row r="822" spans="1:2" x14ac:dyDescent="0.25">
      <c r="A822" t="s">
        <v>9649</v>
      </c>
      <c r="B822" t="s">
        <v>9650</v>
      </c>
    </row>
    <row r="823" spans="1:2" x14ac:dyDescent="0.25">
      <c r="A823" t="s">
        <v>9651</v>
      </c>
      <c r="B823" t="s">
        <v>9652</v>
      </c>
    </row>
    <row r="824" spans="1:2" x14ac:dyDescent="0.25">
      <c r="A824" t="s">
        <v>9653</v>
      </c>
      <c r="B824" t="s">
        <v>9654</v>
      </c>
    </row>
    <row r="825" spans="1:2" x14ac:dyDescent="0.25">
      <c r="A825" t="s">
        <v>9655</v>
      </c>
      <c r="B825" t="s">
        <v>9656</v>
      </c>
    </row>
    <row r="826" spans="1:2" x14ac:dyDescent="0.25">
      <c r="A826" t="s">
        <v>9657</v>
      </c>
      <c r="B826" t="s">
        <v>9658</v>
      </c>
    </row>
    <row r="827" spans="1:2" x14ac:dyDescent="0.25">
      <c r="A827" t="s">
        <v>9659</v>
      </c>
      <c r="B827" t="s">
        <v>9660</v>
      </c>
    </row>
    <row r="828" spans="1:2" x14ac:dyDescent="0.25">
      <c r="A828" t="s">
        <v>9661</v>
      </c>
      <c r="B828" t="s">
        <v>9662</v>
      </c>
    </row>
    <row r="829" spans="1:2" x14ac:dyDescent="0.25">
      <c r="A829" t="s">
        <v>9663</v>
      </c>
      <c r="B829" t="s">
        <v>9664</v>
      </c>
    </row>
    <row r="830" spans="1:2" x14ac:dyDescent="0.25">
      <c r="A830" t="s">
        <v>9665</v>
      </c>
      <c r="B830" t="s">
        <v>9666</v>
      </c>
    </row>
    <row r="831" spans="1:2" x14ac:dyDescent="0.25">
      <c r="A831" t="s">
        <v>9667</v>
      </c>
      <c r="B831" t="s">
        <v>9668</v>
      </c>
    </row>
    <row r="832" spans="1:2" x14ac:dyDescent="0.25">
      <c r="A832" t="s">
        <v>9669</v>
      </c>
      <c r="B832" t="s">
        <v>9670</v>
      </c>
    </row>
    <row r="833" spans="1:2" x14ac:dyDescent="0.25">
      <c r="A833" t="s">
        <v>9671</v>
      </c>
      <c r="B833" t="s">
        <v>9672</v>
      </c>
    </row>
    <row r="834" spans="1:2" x14ac:dyDescent="0.25">
      <c r="A834" t="s">
        <v>9673</v>
      </c>
      <c r="B834" t="s">
        <v>9674</v>
      </c>
    </row>
    <row r="835" spans="1:2" x14ac:dyDescent="0.25">
      <c r="A835" t="s">
        <v>9675</v>
      </c>
      <c r="B835" t="s">
        <v>9676</v>
      </c>
    </row>
    <row r="836" spans="1:2" x14ac:dyDescent="0.25">
      <c r="A836" t="s">
        <v>9677</v>
      </c>
      <c r="B836" t="s">
        <v>9678</v>
      </c>
    </row>
    <row r="837" spans="1:2" x14ac:dyDescent="0.25">
      <c r="A837" t="s">
        <v>9679</v>
      </c>
      <c r="B837" t="s">
        <v>9680</v>
      </c>
    </row>
    <row r="838" spans="1:2" x14ac:dyDescent="0.25">
      <c r="A838" t="s">
        <v>9681</v>
      </c>
      <c r="B838" t="s">
        <v>9682</v>
      </c>
    </row>
    <row r="839" spans="1:2" x14ac:dyDescent="0.25">
      <c r="A839" t="s">
        <v>9683</v>
      </c>
      <c r="B839" t="s">
        <v>9684</v>
      </c>
    </row>
    <row r="840" spans="1:2" x14ac:dyDescent="0.25">
      <c r="A840" t="s">
        <v>9685</v>
      </c>
      <c r="B840" t="s">
        <v>4269</v>
      </c>
    </row>
    <row r="841" spans="1:2" x14ac:dyDescent="0.25">
      <c r="A841" t="s">
        <v>9686</v>
      </c>
      <c r="B841" t="s">
        <v>9687</v>
      </c>
    </row>
    <row r="842" spans="1:2" x14ac:dyDescent="0.25">
      <c r="A842" t="s">
        <v>9688</v>
      </c>
      <c r="B842" t="s">
        <v>9689</v>
      </c>
    </row>
    <row r="843" spans="1:2" x14ac:dyDescent="0.25">
      <c r="A843" t="s">
        <v>9690</v>
      </c>
      <c r="B843" t="s">
        <v>9691</v>
      </c>
    </row>
    <row r="844" spans="1:2" x14ac:dyDescent="0.25">
      <c r="A844" t="s">
        <v>9692</v>
      </c>
      <c r="B844" t="s">
        <v>9693</v>
      </c>
    </row>
    <row r="845" spans="1:2" x14ac:dyDescent="0.25">
      <c r="A845" t="s">
        <v>9694</v>
      </c>
      <c r="B845" t="s">
        <v>9695</v>
      </c>
    </row>
    <row r="846" spans="1:2" x14ac:dyDescent="0.25">
      <c r="A846" t="s">
        <v>9696</v>
      </c>
      <c r="B846" t="s">
        <v>9697</v>
      </c>
    </row>
    <row r="847" spans="1:2" x14ac:dyDescent="0.25">
      <c r="A847" t="s">
        <v>9698</v>
      </c>
      <c r="B847" t="s">
        <v>9699</v>
      </c>
    </row>
    <row r="848" spans="1:2" x14ac:dyDescent="0.25">
      <c r="A848" t="s">
        <v>9700</v>
      </c>
      <c r="B848" t="s">
        <v>9701</v>
      </c>
    </row>
    <row r="849" spans="1:2" x14ac:dyDescent="0.25">
      <c r="A849" t="s">
        <v>9702</v>
      </c>
      <c r="B849" t="s">
        <v>9703</v>
      </c>
    </row>
    <row r="850" spans="1:2" x14ac:dyDescent="0.25">
      <c r="A850" t="s">
        <v>9704</v>
      </c>
      <c r="B850" t="s">
        <v>9705</v>
      </c>
    </row>
    <row r="851" spans="1:2" x14ac:dyDescent="0.25">
      <c r="A851" t="s">
        <v>9706</v>
      </c>
      <c r="B851" t="s">
        <v>9707</v>
      </c>
    </row>
    <row r="852" spans="1:2" x14ac:dyDescent="0.25">
      <c r="A852" t="s">
        <v>9708</v>
      </c>
      <c r="B852" t="s">
        <v>9709</v>
      </c>
    </row>
    <row r="853" spans="1:2" x14ac:dyDescent="0.25">
      <c r="A853" t="s">
        <v>9710</v>
      </c>
      <c r="B853" t="s">
        <v>9711</v>
      </c>
    </row>
    <row r="854" spans="1:2" x14ac:dyDescent="0.25">
      <c r="A854" t="s">
        <v>9712</v>
      </c>
      <c r="B854" t="s">
        <v>9713</v>
      </c>
    </row>
    <row r="855" spans="1:2" x14ac:dyDescent="0.25">
      <c r="A855" t="s">
        <v>9714</v>
      </c>
      <c r="B855" t="s">
        <v>9715</v>
      </c>
    </row>
    <row r="856" spans="1:2" x14ac:dyDescent="0.25">
      <c r="A856" t="s">
        <v>9716</v>
      </c>
      <c r="B856" t="s">
        <v>9717</v>
      </c>
    </row>
    <row r="857" spans="1:2" x14ac:dyDescent="0.25">
      <c r="A857" t="s">
        <v>9718</v>
      </c>
      <c r="B857" t="s">
        <v>9719</v>
      </c>
    </row>
    <row r="858" spans="1:2" x14ac:dyDescent="0.25">
      <c r="A858" t="s">
        <v>9720</v>
      </c>
      <c r="B858" t="s">
        <v>9721</v>
      </c>
    </row>
    <row r="859" spans="1:2" x14ac:dyDescent="0.25">
      <c r="A859" t="s">
        <v>9722</v>
      </c>
      <c r="B859" t="s">
        <v>9723</v>
      </c>
    </row>
    <row r="860" spans="1:2" x14ac:dyDescent="0.25">
      <c r="A860" t="s">
        <v>9724</v>
      </c>
      <c r="B860" t="s">
        <v>9725</v>
      </c>
    </row>
    <row r="861" spans="1:2" x14ac:dyDescent="0.25">
      <c r="A861" t="s">
        <v>9726</v>
      </c>
      <c r="B861" t="s">
        <v>9727</v>
      </c>
    </row>
    <row r="862" spans="1:2" x14ac:dyDescent="0.25">
      <c r="A862" t="s">
        <v>9728</v>
      </c>
      <c r="B862" t="s">
        <v>9729</v>
      </c>
    </row>
    <row r="863" spans="1:2" x14ac:dyDescent="0.25">
      <c r="A863" t="s">
        <v>9730</v>
      </c>
      <c r="B863" t="s">
        <v>9731</v>
      </c>
    </row>
    <row r="864" spans="1:2" x14ac:dyDescent="0.25">
      <c r="A864" t="s">
        <v>9732</v>
      </c>
      <c r="B864" t="s">
        <v>9733</v>
      </c>
    </row>
    <row r="865" spans="1:2" x14ac:dyDescent="0.25">
      <c r="A865" t="s">
        <v>3138</v>
      </c>
      <c r="B865" t="s">
        <v>4366</v>
      </c>
    </row>
    <row r="866" spans="1:2" x14ac:dyDescent="0.25">
      <c r="A866" t="s">
        <v>9734</v>
      </c>
      <c r="B866" t="s">
        <v>9735</v>
      </c>
    </row>
    <row r="867" spans="1:2" x14ac:dyDescent="0.25">
      <c r="A867" t="s">
        <v>9736</v>
      </c>
      <c r="B867" t="s">
        <v>9737</v>
      </c>
    </row>
    <row r="868" spans="1:2" x14ac:dyDescent="0.25">
      <c r="A868" t="s">
        <v>9738</v>
      </c>
      <c r="B868" t="s">
        <v>9739</v>
      </c>
    </row>
    <row r="869" spans="1:2" x14ac:dyDescent="0.25">
      <c r="A869" t="s">
        <v>9740</v>
      </c>
      <c r="B869" t="s">
        <v>9741</v>
      </c>
    </row>
    <row r="870" spans="1:2" x14ac:dyDescent="0.25">
      <c r="A870" t="s">
        <v>9742</v>
      </c>
      <c r="B870" t="s">
        <v>9743</v>
      </c>
    </row>
    <row r="871" spans="1:2" x14ac:dyDescent="0.25">
      <c r="A871" t="s">
        <v>9744</v>
      </c>
      <c r="B871" t="s">
        <v>9745</v>
      </c>
    </row>
    <row r="872" spans="1:2" x14ac:dyDescent="0.25">
      <c r="A872" t="s">
        <v>9746</v>
      </c>
      <c r="B872" t="s">
        <v>9747</v>
      </c>
    </row>
    <row r="873" spans="1:2" x14ac:dyDescent="0.25">
      <c r="A873" t="s">
        <v>9748</v>
      </c>
      <c r="B873" t="s">
        <v>9749</v>
      </c>
    </row>
    <row r="874" spans="1:2" x14ac:dyDescent="0.25">
      <c r="A874" t="s">
        <v>9750</v>
      </c>
      <c r="B874" t="s">
        <v>9751</v>
      </c>
    </row>
    <row r="875" spans="1:2" x14ac:dyDescent="0.25">
      <c r="A875" t="s">
        <v>9752</v>
      </c>
      <c r="B875" t="s">
        <v>9753</v>
      </c>
    </row>
    <row r="876" spans="1:2" x14ac:dyDescent="0.25">
      <c r="A876" t="s">
        <v>9754</v>
      </c>
      <c r="B876" t="s">
        <v>9755</v>
      </c>
    </row>
    <row r="877" spans="1:2" x14ac:dyDescent="0.25">
      <c r="A877" t="s">
        <v>9756</v>
      </c>
      <c r="B877" t="s">
        <v>9757</v>
      </c>
    </row>
    <row r="878" spans="1:2" x14ac:dyDescent="0.25">
      <c r="A878" t="s">
        <v>9758</v>
      </c>
      <c r="B878" t="s">
        <v>9759</v>
      </c>
    </row>
    <row r="879" spans="1:2" x14ac:dyDescent="0.25">
      <c r="A879" t="s">
        <v>9760</v>
      </c>
      <c r="B879" t="s">
        <v>9761</v>
      </c>
    </row>
    <row r="880" spans="1:2" x14ac:dyDescent="0.25">
      <c r="A880" t="s">
        <v>9762</v>
      </c>
      <c r="B880" t="s">
        <v>4774</v>
      </c>
    </row>
    <row r="881" spans="1:2" x14ac:dyDescent="0.25">
      <c r="A881" t="s">
        <v>9763</v>
      </c>
      <c r="B881" t="s">
        <v>9764</v>
      </c>
    </row>
    <row r="882" spans="1:2" x14ac:dyDescent="0.25">
      <c r="A882" t="s">
        <v>9765</v>
      </c>
      <c r="B882" t="s">
        <v>9766</v>
      </c>
    </row>
    <row r="883" spans="1:2" x14ac:dyDescent="0.25">
      <c r="A883" t="s">
        <v>9767</v>
      </c>
      <c r="B883" t="s">
        <v>9768</v>
      </c>
    </row>
    <row r="884" spans="1:2" x14ac:dyDescent="0.25">
      <c r="A884" t="s">
        <v>9769</v>
      </c>
      <c r="B884" t="s">
        <v>9770</v>
      </c>
    </row>
    <row r="885" spans="1:2" x14ac:dyDescent="0.25">
      <c r="A885" t="s">
        <v>9771</v>
      </c>
      <c r="B885" t="s">
        <v>9772</v>
      </c>
    </row>
    <row r="886" spans="1:2" x14ac:dyDescent="0.25">
      <c r="A886" t="s">
        <v>9773</v>
      </c>
      <c r="B886" t="s">
        <v>9774</v>
      </c>
    </row>
    <row r="887" spans="1:2" x14ac:dyDescent="0.25">
      <c r="A887" t="s">
        <v>9775</v>
      </c>
      <c r="B887" t="s">
        <v>9776</v>
      </c>
    </row>
    <row r="888" spans="1:2" x14ac:dyDescent="0.25">
      <c r="A888" t="s">
        <v>9777</v>
      </c>
      <c r="B888" t="s">
        <v>9778</v>
      </c>
    </row>
    <row r="889" spans="1:2" x14ac:dyDescent="0.25">
      <c r="A889" t="s">
        <v>9779</v>
      </c>
      <c r="B889" t="s">
        <v>9780</v>
      </c>
    </row>
    <row r="890" spans="1:2" x14ac:dyDescent="0.25">
      <c r="A890" t="s">
        <v>9781</v>
      </c>
      <c r="B890" t="s">
        <v>9782</v>
      </c>
    </row>
    <row r="891" spans="1:2" x14ac:dyDescent="0.25">
      <c r="A891" t="s">
        <v>9783</v>
      </c>
      <c r="B891" t="s">
        <v>9784</v>
      </c>
    </row>
    <row r="892" spans="1:2" x14ac:dyDescent="0.25">
      <c r="A892" t="s">
        <v>9785</v>
      </c>
      <c r="B892" t="s">
        <v>9786</v>
      </c>
    </row>
    <row r="893" spans="1:2" x14ac:dyDescent="0.25">
      <c r="A893" t="s">
        <v>9787</v>
      </c>
      <c r="B893" t="s">
        <v>9788</v>
      </c>
    </row>
    <row r="894" spans="1:2" x14ac:dyDescent="0.25">
      <c r="A894" t="s">
        <v>9789</v>
      </c>
      <c r="B894" t="s">
        <v>9790</v>
      </c>
    </row>
    <row r="895" spans="1:2" x14ac:dyDescent="0.25">
      <c r="A895" t="s">
        <v>9791</v>
      </c>
      <c r="B895" t="s">
        <v>9792</v>
      </c>
    </row>
    <row r="896" spans="1:2" x14ac:dyDescent="0.25">
      <c r="A896" t="s">
        <v>9793</v>
      </c>
      <c r="B896" t="s">
        <v>9794</v>
      </c>
    </row>
    <row r="897" spans="1:2" x14ac:dyDescent="0.25">
      <c r="A897" t="s">
        <v>9795</v>
      </c>
      <c r="B897" t="s">
        <v>9796</v>
      </c>
    </row>
    <row r="898" spans="1:2" x14ac:dyDescent="0.25">
      <c r="A898" t="s">
        <v>9797</v>
      </c>
      <c r="B898" t="s">
        <v>9798</v>
      </c>
    </row>
    <row r="899" spans="1:2" x14ac:dyDescent="0.25">
      <c r="A899" t="s">
        <v>9799</v>
      </c>
      <c r="B899" t="s">
        <v>9800</v>
      </c>
    </row>
    <row r="900" spans="1:2" x14ac:dyDescent="0.25">
      <c r="A900" t="s">
        <v>9801</v>
      </c>
      <c r="B900" t="s">
        <v>9802</v>
      </c>
    </row>
    <row r="901" spans="1:2" x14ac:dyDescent="0.25">
      <c r="A901" t="s">
        <v>9803</v>
      </c>
      <c r="B901" t="s">
        <v>9804</v>
      </c>
    </row>
    <row r="902" spans="1:2" x14ac:dyDescent="0.25">
      <c r="A902" t="s">
        <v>9805</v>
      </c>
      <c r="B902" t="s">
        <v>9806</v>
      </c>
    </row>
    <row r="903" spans="1:2" x14ac:dyDescent="0.25">
      <c r="A903" t="s">
        <v>9807</v>
      </c>
      <c r="B903" t="s">
        <v>9808</v>
      </c>
    </row>
    <row r="904" spans="1:2" x14ac:dyDescent="0.25">
      <c r="A904" t="s">
        <v>9809</v>
      </c>
      <c r="B904" t="s">
        <v>9810</v>
      </c>
    </row>
    <row r="905" spans="1:2" x14ac:dyDescent="0.25">
      <c r="A905" t="s">
        <v>9811</v>
      </c>
      <c r="B905" t="s">
        <v>9812</v>
      </c>
    </row>
    <row r="906" spans="1:2" x14ac:dyDescent="0.25">
      <c r="A906" t="s">
        <v>9813</v>
      </c>
      <c r="B906" t="s">
        <v>9814</v>
      </c>
    </row>
    <row r="907" spans="1:2" x14ac:dyDescent="0.25">
      <c r="A907" t="s">
        <v>9815</v>
      </c>
      <c r="B907" t="s">
        <v>9816</v>
      </c>
    </row>
    <row r="908" spans="1:2" x14ac:dyDescent="0.25">
      <c r="A908" t="s">
        <v>9817</v>
      </c>
      <c r="B908" t="s">
        <v>9818</v>
      </c>
    </row>
    <row r="909" spans="1:2" x14ac:dyDescent="0.25">
      <c r="A909" t="s">
        <v>9819</v>
      </c>
      <c r="B909" t="s">
        <v>9820</v>
      </c>
    </row>
    <row r="910" spans="1:2" x14ac:dyDescent="0.25">
      <c r="A910" t="s">
        <v>9821</v>
      </c>
      <c r="B910" t="s">
        <v>9822</v>
      </c>
    </row>
    <row r="911" spans="1:2" x14ac:dyDescent="0.25">
      <c r="A911" t="s">
        <v>9823</v>
      </c>
      <c r="B911" t="s">
        <v>9824</v>
      </c>
    </row>
    <row r="912" spans="1:2" x14ac:dyDescent="0.25">
      <c r="A912" t="s">
        <v>9825</v>
      </c>
      <c r="B912" t="s">
        <v>9826</v>
      </c>
    </row>
    <row r="913" spans="1:2" x14ac:dyDescent="0.25">
      <c r="A913" t="s">
        <v>9827</v>
      </c>
      <c r="B913" t="s">
        <v>9828</v>
      </c>
    </row>
    <row r="914" spans="1:2" x14ac:dyDescent="0.25">
      <c r="A914" t="s">
        <v>9829</v>
      </c>
      <c r="B914" t="s">
        <v>9830</v>
      </c>
    </row>
    <row r="915" spans="1:2" x14ac:dyDescent="0.25">
      <c r="A915" t="s">
        <v>9831</v>
      </c>
      <c r="B915" t="s">
        <v>9832</v>
      </c>
    </row>
    <row r="916" spans="1:2" x14ac:dyDescent="0.25">
      <c r="A916" t="s">
        <v>9833</v>
      </c>
      <c r="B916" t="s">
        <v>9834</v>
      </c>
    </row>
    <row r="917" spans="1:2" x14ac:dyDescent="0.25">
      <c r="A917" t="s">
        <v>9835</v>
      </c>
      <c r="B917" t="s">
        <v>9836</v>
      </c>
    </row>
    <row r="918" spans="1:2" x14ac:dyDescent="0.25">
      <c r="A918" t="s">
        <v>9837</v>
      </c>
      <c r="B918" t="s">
        <v>9838</v>
      </c>
    </row>
    <row r="919" spans="1:2" x14ac:dyDescent="0.25">
      <c r="A919" t="s">
        <v>9839</v>
      </c>
      <c r="B919" t="s">
        <v>9840</v>
      </c>
    </row>
    <row r="920" spans="1:2" x14ac:dyDescent="0.25">
      <c r="A920" t="s">
        <v>9841</v>
      </c>
      <c r="B920" t="s">
        <v>9842</v>
      </c>
    </row>
    <row r="921" spans="1:2" x14ac:dyDescent="0.25">
      <c r="A921" t="s">
        <v>9843</v>
      </c>
      <c r="B921" t="s">
        <v>9844</v>
      </c>
    </row>
    <row r="922" spans="1:2" x14ac:dyDescent="0.25">
      <c r="A922" t="s">
        <v>9845</v>
      </c>
      <c r="B922" t="s">
        <v>9846</v>
      </c>
    </row>
    <row r="923" spans="1:2" x14ac:dyDescent="0.25">
      <c r="A923" t="s">
        <v>9847</v>
      </c>
      <c r="B923" t="s">
        <v>9848</v>
      </c>
    </row>
    <row r="924" spans="1:2" x14ac:dyDescent="0.25">
      <c r="A924" t="s">
        <v>9849</v>
      </c>
      <c r="B924" t="s">
        <v>9850</v>
      </c>
    </row>
    <row r="925" spans="1:2" x14ac:dyDescent="0.25">
      <c r="A925" t="s">
        <v>9851</v>
      </c>
      <c r="B925" t="s">
        <v>9852</v>
      </c>
    </row>
    <row r="926" spans="1:2" x14ac:dyDescent="0.25">
      <c r="A926" t="s">
        <v>9853</v>
      </c>
      <c r="B926" t="s">
        <v>9854</v>
      </c>
    </row>
    <row r="927" spans="1:2" x14ac:dyDescent="0.25">
      <c r="A927" t="s">
        <v>9855</v>
      </c>
      <c r="B927" t="s">
        <v>9856</v>
      </c>
    </row>
    <row r="928" spans="1:2" x14ac:dyDescent="0.25">
      <c r="A928" t="s">
        <v>9857</v>
      </c>
      <c r="B928" t="s">
        <v>9858</v>
      </c>
    </row>
    <row r="929" spans="1:2" x14ac:dyDescent="0.25">
      <c r="A929" t="s">
        <v>9859</v>
      </c>
      <c r="B929" t="s">
        <v>9860</v>
      </c>
    </row>
    <row r="930" spans="1:2" x14ac:dyDescent="0.25">
      <c r="A930" t="s">
        <v>9861</v>
      </c>
      <c r="B930" t="s">
        <v>9862</v>
      </c>
    </row>
    <row r="931" spans="1:2" x14ac:dyDescent="0.25">
      <c r="A931" t="s">
        <v>9863</v>
      </c>
      <c r="B931" t="s">
        <v>9864</v>
      </c>
    </row>
    <row r="932" spans="1:2" x14ac:dyDescent="0.25">
      <c r="A932" t="s">
        <v>9865</v>
      </c>
      <c r="B932" t="s">
        <v>9866</v>
      </c>
    </row>
    <row r="933" spans="1:2" x14ac:dyDescent="0.25">
      <c r="A933" t="s">
        <v>9867</v>
      </c>
      <c r="B933" t="s">
        <v>4318</v>
      </c>
    </row>
    <row r="934" spans="1:2" x14ac:dyDescent="0.25">
      <c r="A934" t="s">
        <v>9868</v>
      </c>
      <c r="B934" t="s">
        <v>9869</v>
      </c>
    </row>
    <row r="935" spans="1:2" x14ac:dyDescent="0.25">
      <c r="A935" t="s">
        <v>9870</v>
      </c>
      <c r="B935" t="s">
        <v>9871</v>
      </c>
    </row>
    <row r="936" spans="1:2" x14ac:dyDescent="0.25">
      <c r="A936" t="s">
        <v>9872</v>
      </c>
      <c r="B936" t="s">
        <v>9873</v>
      </c>
    </row>
    <row r="937" spans="1:2" x14ac:dyDescent="0.25">
      <c r="A937" t="s">
        <v>9874</v>
      </c>
      <c r="B937" t="s">
        <v>9875</v>
      </c>
    </row>
    <row r="938" spans="1:2" x14ac:dyDescent="0.25">
      <c r="A938" t="s">
        <v>9876</v>
      </c>
      <c r="B938" t="s">
        <v>9877</v>
      </c>
    </row>
    <row r="939" spans="1:2" x14ac:dyDescent="0.25">
      <c r="A939" t="s">
        <v>9878</v>
      </c>
      <c r="B939" t="s">
        <v>9879</v>
      </c>
    </row>
    <row r="940" spans="1:2" x14ac:dyDescent="0.25">
      <c r="A940" t="s">
        <v>9880</v>
      </c>
      <c r="B940" t="s">
        <v>9881</v>
      </c>
    </row>
    <row r="941" spans="1:2" x14ac:dyDescent="0.25">
      <c r="A941" t="s">
        <v>9882</v>
      </c>
      <c r="B941" t="s">
        <v>9883</v>
      </c>
    </row>
    <row r="942" spans="1:2" x14ac:dyDescent="0.25">
      <c r="A942" t="s">
        <v>9884</v>
      </c>
      <c r="B942" t="s">
        <v>9885</v>
      </c>
    </row>
    <row r="943" spans="1:2" x14ac:dyDescent="0.25">
      <c r="A943" t="s">
        <v>9886</v>
      </c>
      <c r="B943" t="s">
        <v>9887</v>
      </c>
    </row>
    <row r="944" spans="1:2" x14ac:dyDescent="0.25">
      <c r="A944" t="s">
        <v>9888</v>
      </c>
      <c r="B944" t="s">
        <v>9889</v>
      </c>
    </row>
    <row r="945" spans="1:2" x14ac:dyDescent="0.25">
      <c r="A945" t="s">
        <v>9890</v>
      </c>
      <c r="B945" t="s">
        <v>9891</v>
      </c>
    </row>
    <row r="946" spans="1:2" x14ac:dyDescent="0.25">
      <c r="A946" t="s">
        <v>9892</v>
      </c>
      <c r="B946" t="s">
        <v>9893</v>
      </c>
    </row>
    <row r="947" spans="1:2" x14ac:dyDescent="0.25">
      <c r="A947" t="s">
        <v>9894</v>
      </c>
      <c r="B947" t="s">
        <v>9895</v>
      </c>
    </row>
    <row r="948" spans="1:2" x14ac:dyDescent="0.25">
      <c r="A948" t="s">
        <v>9896</v>
      </c>
      <c r="B948" t="s">
        <v>9897</v>
      </c>
    </row>
    <row r="949" spans="1:2" x14ac:dyDescent="0.25">
      <c r="A949" t="s">
        <v>9898</v>
      </c>
      <c r="B949" t="s">
        <v>9899</v>
      </c>
    </row>
    <row r="950" spans="1:2" x14ac:dyDescent="0.25">
      <c r="A950" t="s">
        <v>9900</v>
      </c>
      <c r="B950" t="s">
        <v>9901</v>
      </c>
    </row>
    <row r="951" spans="1:2" x14ac:dyDescent="0.25">
      <c r="A951" t="s">
        <v>9902</v>
      </c>
      <c r="B951" t="s">
        <v>9903</v>
      </c>
    </row>
    <row r="952" spans="1:2" x14ac:dyDescent="0.25">
      <c r="A952" t="s">
        <v>9904</v>
      </c>
      <c r="B952" t="s">
        <v>9905</v>
      </c>
    </row>
    <row r="953" spans="1:2" x14ac:dyDescent="0.25">
      <c r="A953" t="s">
        <v>9906</v>
      </c>
      <c r="B953" t="s">
        <v>9907</v>
      </c>
    </row>
    <row r="954" spans="1:2" x14ac:dyDescent="0.25">
      <c r="A954" t="s">
        <v>9908</v>
      </c>
      <c r="B954" t="s">
        <v>9909</v>
      </c>
    </row>
    <row r="955" spans="1:2" x14ac:dyDescent="0.25">
      <c r="A955" t="s">
        <v>9910</v>
      </c>
      <c r="B955" t="s">
        <v>9911</v>
      </c>
    </row>
    <row r="956" spans="1:2" x14ac:dyDescent="0.25">
      <c r="A956" t="s">
        <v>9912</v>
      </c>
      <c r="B956" t="s">
        <v>9913</v>
      </c>
    </row>
    <row r="957" spans="1:2" x14ac:dyDescent="0.25">
      <c r="A957" t="s">
        <v>9914</v>
      </c>
      <c r="B957" t="s">
        <v>9915</v>
      </c>
    </row>
    <row r="958" spans="1:2" x14ac:dyDescent="0.25">
      <c r="A958" t="s">
        <v>9916</v>
      </c>
      <c r="B958" t="s">
        <v>9917</v>
      </c>
    </row>
    <row r="959" spans="1:2" x14ac:dyDescent="0.25">
      <c r="A959" t="s">
        <v>9918</v>
      </c>
      <c r="B959" t="s">
        <v>9919</v>
      </c>
    </row>
    <row r="960" spans="1:2" x14ac:dyDescent="0.25">
      <c r="A960" t="s">
        <v>9920</v>
      </c>
      <c r="B960" t="s">
        <v>9921</v>
      </c>
    </row>
    <row r="961" spans="1:2" x14ac:dyDescent="0.25">
      <c r="A961" t="s">
        <v>9922</v>
      </c>
      <c r="B961" t="s">
        <v>9923</v>
      </c>
    </row>
    <row r="962" spans="1:2" x14ac:dyDescent="0.25">
      <c r="A962" t="s">
        <v>9924</v>
      </c>
      <c r="B962" t="s">
        <v>9925</v>
      </c>
    </row>
    <row r="963" spans="1:2" x14ac:dyDescent="0.25">
      <c r="A963" t="s">
        <v>9926</v>
      </c>
      <c r="B963" t="s">
        <v>9927</v>
      </c>
    </row>
    <row r="964" spans="1:2" x14ac:dyDescent="0.25">
      <c r="A964" t="s">
        <v>9928</v>
      </c>
      <c r="B964" t="s">
        <v>9929</v>
      </c>
    </row>
    <row r="965" spans="1:2" x14ac:dyDescent="0.25">
      <c r="A965" t="s">
        <v>9930</v>
      </c>
      <c r="B965" t="s">
        <v>9931</v>
      </c>
    </row>
    <row r="966" spans="1:2" x14ac:dyDescent="0.25">
      <c r="A966" t="s">
        <v>9932</v>
      </c>
      <c r="B966" t="s">
        <v>9933</v>
      </c>
    </row>
    <row r="967" spans="1:2" x14ac:dyDescent="0.25">
      <c r="A967" t="s">
        <v>9934</v>
      </c>
      <c r="B967" t="s">
        <v>9935</v>
      </c>
    </row>
    <row r="968" spans="1:2" x14ac:dyDescent="0.25">
      <c r="A968" t="s">
        <v>9936</v>
      </c>
      <c r="B968" t="s">
        <v>9937</v>
      </c>
    </row>
    <row r="969" spans="1:2" x14ac:dyDescent="0.25">
      <c r="A969" t="s">
        <v>9938</v>
      </c>
      <c r="B969" t="s">
        <v>9939</v>
      </c>
    </row>
    <row r="970" spans="1:2" x14ac:dyDescent="0.25">
      <c r="A970" t="s">
        <v>9940</v>
      </c>
      <c r="B970" t="s">
        <v>9941</v>
      </c>
    </row>
    <row r="971" spans="1:2" x14ac:dyDescent="0.25">
      <c r="A971" t="s">
        <v>9942</v>
      </c>
      <c r="B971" t="s">
        <v>9943</v>
      </c>
    </row>
    <row r="972" spans="1:2" x14ac:dyDescent="0.25">
      <c r="A972" t="s">
        <v>9944</v>
      </c>
      <c r="B972" t="s">
        <v>9945</v>
      </c>
    </row>
    <row r="973" spans="1:2" x14ac:dyDescent="0.25">
      <c r="A973" t="s">
        <v>9946</v>
      </c>
      <c r="B973" t="s">
        <v>9947</v>
      </c>
    </row>
    <row r="974" spans="1:2" x14ac:dyDescent="0.25">
      <c r="A974" t="s">
        <v>9948</v>
      </c>
      <c r="B974" t="s">
        <v>9949</v>
      </c>
    </row>
    <row r="975" spans="1:2" x14ac:dyDescent="0.25">
      <c r="A975" t="s">
        <v>9950</v>
      </c>
      <c r="B975" t="s">
        <v>9951</v>
      </c>
    </row>
    <row r="976" spans="1:2" x14ac:dyDescent="0.25">
      <c r="A976" t="s">
        <v>9952</v>
      </c>
      <c r="B976" t="s">
        <v>9953</v>
      </c>
    </row>
    <row r="977" spans="1:2" x14ac:dyDescent="0.25">
      <c r="A977" t="s">
        <v>9954</v>
      </c>
      <c r="B977" t="s">
        <v>9955</v>
      </c>
    </row>
    <row r="978" spans="1:2" x14ac:dyDescent="0.25">
      <c r="A978" t="s">
        <v>9956</v>
      </c>
      <c r="B978" t="s">
        <v>9957</v>
      </c>
    </row>
    <row r="979" spans="1:2" x14ac:dyDescent="0.25">
      <c r="A979" t="s">
        <v>9958</v>
      </c>
      <c r="B979" t="s">
        <v>9959</v>
      </c>
    </row>
    <row r="980" spans="1:2" x14ac:dyDescent="0.25">
      <c r="A980" t="s">
        <v>9960</v>
      </c>
      <c r="B980" t="s">
        <v>9961</v>
      </c>
    </row>
    <row r="981" spans="1:2" x14ac:dyDescent="0.25">
      <c r="A981" t="s">
        <v>9962</v>
      </c>
      <c r="B981" t="s">
        <v>9963</v>
      </c>
    </row>
    <row r="982" spans="1:2" x14ac:dyDescent="0.25">
      <c r="A982" t="s">
        <v>1381</v>
      </c>
      <c r="B982" t="s">
        <v>4487</v>
      </c>
    </row>
    <row r="983" spans="1:2" x14ac:dyDescent="0.25">
      <c r="A983" t="s">
        <v>9964</v>
      </c>
      <c r="B983" t="s">
        <v>9965</v>
      </c>
    </row>
    <row r="984" spans="1:2" x14ac:dyDescent="0.25">
      <c r="A984" t="s">
        <v>9966</v>
      </c>
      <c r="B984" t="s">
        <v>3779</v>
      </c>
    </row>
    <row r="985" spans="1:2" x14ac:dyDescent="0.25">
      <c r="A985" t="s">
        <v>9967</v>
      </c>
      <c r="B985" t="s">
        <v>9968</v>
      </c>
    </row>
    <row r="986" spans="1:2" x14ac:dyDescent="0.25">
      <c r="A986" t="s">
        <v>9969</v>
      </c>
      <c r="B986" t="s">
        <v>9970</v>
      </c>
    </row>
    <row r="987" spans="1:2" x14ac:dyDescent="0.25">
      <c r="A987" t="s">
        <v>9971</v>
      </c>
      <c r="B987" t="s">
        <v>3610</v>
      </c>
    </row>
    <row r="988" spans="1:2" x14ac:dyDescent="0.25">
      <c r="A988" t="s">
        <v>9972</v>
      </c>
      <c r="B988" t="s">
        <v>9973</v>
      </c>
    </row>
    <row r="989" spans="1:2" x14ac:dyDescent="0.25">
      <c r="A989" t="s">
        <v>9974</v>
      </c>
      <c r="B989" t="s">
        <v>9975</v>
      </c>
    </row>
    <row r="990" spans="1:2" x14ac:dyDescent="0.25">
      <c r="A990" t="s">
        <v>9976</v>
      </c>
      <c r="B990" t="s">
        <v>9977</v>
      </c>
    </row>
    <row r="991" spans="1:2" x14ac:dyDescent="0.25">
      <c r="A991" t="s">
        <v>9978</v>
      </c>
      <c r="B991" t="s">
        <v>9979</v>
      </c>
    </row>
    <row r="992" spans="1:2" x14ac:dyDescent="0.25">
      <c r="A992" t="s">
        <v>9980</v>
      </c>
      <c r="B992" t="s">
        <v>9981</v>
      </c>
    </row>
    <row r="993" spans="1:2" x14ac:dyDescent="0.25">
      <c r="A993" t="s">
        <v>609</v>
      </c>
      <c r="B993" t="s">
        <v>9982</v>
      </c>
    </row>
    <row r="994" spans="1:2" x14ac:dyDescent="0.25">
      <c r="A994" t="s">
        <v>9983</v>
      </c>
      <c r="B994" t="s">
        <v>9984</v>
      </c>
    </row>
    <row r="995" spans="1:2" x14ac:dyDescent="0.25">
      <c r="A995" t="s">
        <v>9985</v>
      </c>
      <c r="B995" t="s">
        <v>9986</v>
      </c>
    </row>
    <row r="996" spans="1:2" x14ac:dyDescent="0.25">
      <c r="A996" t="s">
        <v>9987</v>
      </c>
      <c r="B996" t="s">
        <v>9988</v>
      </c>
    </row>
    <row r="997" spans="1:2" x14ac:dyDescent="0.25">
      <c r="A997" t="s">
        <v>9989</v>
      </c>
      <c r="B997" t="s">
        <v>9990</v>
      </c>
    </row>
    <row r="998" spans="1:2" ht="30" x14ac:dyDescent="0.25">
      <c r="A998" s="180" t="s">
        <v>9991</v>
      </c>
      <c r="B998" s="14" t="s">
        <v>3121</v>
      </c>
    </row>
    <row r="999" spans="1:2" x14ac:dyDescent="0.25">
      <c r="A999" s="180" t="s">
        <v>1193</v>
      </c>
      <c r="B999" t="s">
        <v>9992</v>
      </c>
    </row>
    <row r="1000" spans="1:2" x14ac:dyDescent="0.25">
      <c r="A1000" s="180" t="s">
        <v>9993</v>
      </c>
      <c r="B1000" t="s">
        <v>9994</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87874-DFEF-41A3-9F46-15DF04214070}">
  <dimension ref="A1:C21"/>
  <sheetViews>
    <sheetView tabSelected="1" workbookViewId="0">
      <selection activeCell="B11" sqref="B11"/>
    </sheetView>
  </sheetViews>
  <sheetFormatPr baseColWidth="10" defaultRowHeight="15" x14ac:dyDescent="0.25"/>
  <cols>
    <col min="1" max="1" width="39.85546875" bestFit="1" customWidth="1"/>
    <col min="2" max="2" width="63.7109375" bestFit="1" customWidth="1"/>
  </cols>
  <sheetData>
    <row r="1" spans="1:3" ht="15.75" x14ac:dyDescent="0.25">
      <c r="A1" s="1088" t="s">
        <v>10000</v>
      </c>
      <c r="B1" s="1088" t="s">
        <v>10001</v>
      </c>
    </row>
    <row r="2" spans="1:3" x14ac:dyDescent="0.25">
      <c r="A2" s="1089" t="s">
        <v>10020</v>
      </c>
      <c r="B2" s="1089" t="s">
        <v>10021</v>
      </c>
    </row>
    <row r="3" spans="1:3" x14ac:dyDescent="0.25">
      <c r="A3" s="1089" t="s">
        <v>10002</v>
      </c>
      <c r="B3" s="1089" t="s">
        <v>9997</v>
      </c>
    </row>
    <row r="4" spans="1:3" x14ac:dyDescent="0.25">
      <c r="A4" s="1089" t="s">
        <v>10003</v>
      </c>
      <c r="B4" s="1089" t="s">
        <v>10008</v>
      </c>
    </row>
    <row r="5" spans="1:3" x14ac:dyDescent="0.25">
      <c r="A5" s="1089" t="s">
        <v>9998</v>
      </c>
      <c r="B5" s="1089" t="s">
        <v>9999</v>
      </c>
    </row>
    <row r="6" spans="1:3" x14ac:dyDescent="0.25">
      <c r="A6" s="1089" t="s">
        <v>10004</v>
      </c>
      <c r="B6" s="1089" t="s">
        <v>10009</v>
      </c>
    </row>
    <row r="7" spans="1:3" x14ac:dyDescent="0.25">
      <c r="A7" s="1089" t="s">
        <v>10005</v>
      </c>
      <c r="B7" s="1089" t="s">
        <v>10010</v>
      </c>
    </row>
    <row r="8" spans="1:3" x14ac:dyDescent="0.25">
      <c r="A8" s="1089" t="s">
        <v>10006</v>
      </c>
      <c r="B8" s="1089" t="s">
        <v>10011</v>
      </c>
    </row>
    <row r="9" spans="1:3" x14ac:dyDescent="0.25">
      <c r="A9" s="1089" t="s">
        <v>10007</v>
      </c>
      <c r="B9" s="1089" t="s">
        <v>10012</v>
      </c>
    </row>
    <row r="10" spans="1:3" x14ac:dyDescent="0.25">
      <c r="A10" s="1089" t="s">
        <v>10013</v>
      </c>
      <c r="B10" s="1089" t="s">
        <v>10014</v>
      </c>
    </row>
    <row r="11" spans="1:3" x14ac:dyDescent="0.25">
      <c r="A11" s="1089" t="s">
        <v>10015</v>
      </c>
      <c r="B11" s="1089" t="s">
        <v>10022</v>
      </c>
    </row>
    <row r="12" spans="1:3" x14ac:dyDescent="0.25">
      <c r="A12" s="1089" t="s">
        <v>10016</v>
      </c>
      <c r="B12" s="1089" t="s">
        <v>10017</v>
      </c>
    </row>
    <row r="13" spans="1:3" x14ac:dyDescent="0.25">
      <c r="A13" s="1089" t="s">
        <v>10018</v>
      </c>
      <c r="B13" s="1089" t="s">
        <v>10019</v>
      </c>
    </row>
    <row r="15" spans="1:3" x14ac:dyDescent="0.25">
      <c r="C15" s="1090"/>
    </row>
    <row r="16" spans="1:3" x14ac:dyDescent="0.25">
      <c r="C16" s="1090"/>
    </row>
    <row r="17" spans="3:3" x14ac:dyDescent="0.25">
      <c r="C17" s="1090"/>
    </row>
    <row r="18" spans="3:3" x14ac:dyDescent="0.25">
      <c r="C18" s="1090"/>
    </row>
    <row r="19" spans="3:3" x14ac:dyDescent="0.25">
      <c r="C19" s="1090"/>
    </row>
    <row r="20" spans="3:3" x14ac:dyDescent="0.25">
      <c r="C20" s="1090"/>
    </row>
    <row r="21" spans="3:3" x14ac:dyDescent="0.25">
      <c r="C21" s="1090"/>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BQ144"/>
  <sheetViews>
    <sheetView workbookViewId="0">
      <pane ySplit="1" topLeftCell="A113" activePane="bottomLeft" state="frozen"/>
      <selection pane="bottomLeft" activeCell="P116" sqref="P116"/>
    </sheetView>
  </sheetViews>
  <sheetFormatPr baseColWidth="10" defaultColWidth="11.42578125" defaultRowHeight="15" x14ac:dyDescent="0.25"/>
  <cols>
    <col min="1" max="1" width="13" customWidth="1"/>
    <col min="2" max="2" width="13" hidden="1" customWidth="1"/>
    <col min="3" max="3" width="21" hidden="1" customWidth="1"/>
    <col min="4" max="4" width="24.85546875" hidden="1" customWidth="1"/>
    <col min="5" max="5" width="14.5703125" hidden="1" customWidth="1"/>
    <col min="6" max="6" width="15" customWidth="1"/>
    <col min="7" max="7" width="20.5703125" hidden="1" customWidth="1"/>
    <col min="8" max="8" width="15.140625" customWidth="1"/>
    <col min="9" max="9" width="24.5703125" hidden="1" customWidth="1"/>
    <col min="10" max="10" width="18.42578125" hidden="1" customWidth="1"/>
    <col min="11" max="11" width="17.42578125" hidden="1" customWidth="1"/>
    <col min="12" max="12" width="18" hidden="1" customWidth="1"/>
    <col min="13" max="13" width="19" customWidth="1"/>
    <col min="14" max="14" width="18.85546875" hidden="1" customWidth="1"/>
    <col min="15" max="15" width="20.42578125" hidden="1" customWidth="1"/>
    <col min="16" max="16" width="43.7109375" customWidth="1"/>
    <col min="17" max="17" width="14.85546875" customWidth="1"/>
    <col min="18" max="18" width="13.7109375" customWidth="1"/>
    <col min="19" max="19" width="14.85546875" customWidth="1"/>
    <col min="20" max="20" width="15.140625" customWidth="1"/>
    <col min="21" max="21" width="11.42578125" customWidth="1"/>
    <col min="22" max="22" width="15" customWidth="1"/>
    <col min="23" max="25" width="11.42578125" customWidth="1"/>
    <col min="26" max="28" width="11.5703125" bestFit="1" customWidth="1"/>
    <col min="32" max="35" width="12.7109375" bestFit="1" customWidth="1"/>
    <col min="38" max="38" width="18.7109375" customWidth="1"/>
    <col min="39" max="39" width="11.5703125" bestFit="1" customWidth="1"/>
    <col min="40" max="40" width="16.5703125" customWidth="1"/>
    <col min="42" max="43" width="11.5703125" bestFit="1" customWidth="1"/>
    <col min="47" max="47" width="12.42578125" bestFit="1" customWidth="1"/>
    <col min="53" max="62" width="11.5703125" bestFit="1" customWidth="1"/>
    <col min="64" max="68" width="11.5703125" bestFit="1" customWidth="1"/>
  </cols>
  <sheetData>
    <row r="1" spans="1:69" ht="105" x14ac:dyDescent="0.25">
      <c r="A1" s="431" t="s">
        <v>83</v>
      </c>
      <c r="B1" s="432">
        <v>2018</v>
      </c>
      <c r="C1" s="433" t="s">
        <v>84</v>
      </c>
      <c r="D1" s="434" t="s">
        <v>85</v>
      </c>
      <c r="E1" s="433" t="s">
        <v>86</v>
      </c>
      <c r="F1" s="433" t="s">
        <v>1</v>
      </c>
      <c r="G1" s="433" t="s">
        <v>87</v>
      </c>
      <c r="H1" s="433" t="s">
        <v>88</v>
      </c>
      <c r="I1" s="433" t="s">
        <v>89</v>
      </c>
      <c r="J1" s="433" t="s">
        <v>90</v>
      </c>
      <c r="K1" s="433" t="s">
        <v>91</v>
      </c>
      <c r="L1" s="433" t="s">
        <v>92</v>
      </c>
      <c r="M1" s="435" t="s">
        <v>93</v>
      </c>
      <c r="N1" s="433" t="s">
        <v>94</v>
      </c>
      <c r="O1" s="433" t="s">
        <v>95</v>
      </c>
      <c r="P1" s="433" t="s">
        <v>0</v>
      </c>
      <c r="Q1" s="436" t="s">
        <v>96</v>
      </c>
      <c r="R1" s="437" t="s">
        <v>97</v>
      </c>
      <c r="S1" s="437" t="s">
        <v>98</v>
      </c>
      <c r="T1" s="438" t="s">
        <v>99</v>
      </c>
      <c r="U1" s="437" t="s">
        <v>100</v>
      </c>
      <c r="V1" s="437" t="s">
        <v>101</v>
      </c>
      <c r="W1" s="439" t="s">
        <v>102</v>
      </c>
      <c r="X1" s="440" t="s">
        <v>103</v>
      </c>
      <c r="Y1" s="433" t="s">
        <v>104</v>
      </c>
      <c r="Z1" s="440" t="s">
        <v>105</v>
      </c>
      <c r="AA1" s="440" t="s">
        <v>106</v>
      </c>
      <c r="AB1" s="441" t="s">
        <v>107</v>
      </c>
      <c r="AC1" s="441" t="s">
        <v>108</v>
      </c>
      <c r="AD1" s="441" t="s">
        <v>109</v>
      </c>
      <c r="AE1" s="433" t="s">
        <v>110</v>
      </c>
      <c r="AF1" s="442" t="s">
        <v>111</v>
      </c>
      <c r="AG1" s="442" t="s">
        <v>112</v>
      </c>
      <c r="AH1" s="442" t="s">
        <v>113</v>
      </c>
      <c r="AI1" s="442" t="s">
        <v>114</v>
      </c>
      <c r="AJ1" s="433" t="s">
        <v>115</v>
      </c>
      <c r="AK1" s="443" t="s">
        <v>116</v>
      </c>
      <c r="AL1" s="443" t="s">
        <v>117</v>
      </c>
      <c r="AM1" s="443" t="s">
        <v>118</v>
      </c>
      <c r="AN1" s="444" t="s">
        <v>119</v>
      </c>
      <c r="AO1" s="433" t="s">
        <v>120</v>
      </c>
      <c r="AP1" s="445" t="s">
        <v>121</v>
      </c>
      <c r="AQ1" s="445" t="s">
        <v>122</v>
      </c>
      <c r="AR1" s="445" t="s">
        <v>123</v>
      </c>
      <c r="AS1" s="445" t="s">
        <v>124</v>
      </c>
      <c r="AT1" s="445" t="s">
        <v>125</v>
      </c>
      <c r="AU1" s="446" t="s">
        <v>126</v>
      </c>
      <c r="AV1" s="440" t="s">
        <v>118</v>
      </c>
      <c r="AW1" s="433" t="s">
        <v>127</v>
      </c>
      <c r="AX1" s="436" t="s">
        <v>128</v>
      </c>
      <c r="AY1" s="440" t="s">
        <v>129</v>
      </c>
      <c r="AZ1" s="433" t="s">
        <v>130</v>
      </c>
      <c r="BA1" s="433" t="s">
        <v>131</v>
      </c>
      <c r="BB1" s="447" t="s">
        <v>132</v>
      </c>
      <c r="BC1" s="448" t="s">
        <v>133</v>
      </c>
      <c r="BD1" s="449" t="s">
        <v>134</v>
      </c>
      <c r="BE1" s="449" t="s">
        <v>135</v>
      </c>
      <c r="BF1" s="449" t="s">
        <v>136</v>
      </c>
      <c r="BG1" s="449" t="s">
        <v>137</v>
      </c>
      <c r="BH1" s="449" t="s">
        <v>138</v>
      </c>
      <c r="BI1" s="449" t="s">
        <v>139</v>
      </c>
      <c r="BJ1" s="449" t="s">
        <v>140</v>
      </c>
      <c r="BK1" s="449" t="s">
        <v>141</v>
      </c>
      <c r="BL1" s="450" t="s">
        <v>142</v>
      </c>
      <c r="BM1" s="449" t="s">
        <v>143</v>
      </c>
      <c r="BN1" s="449" t="s">
        <v>144</v>
      </c>
      <c r="BO1" s="451" t="s">
        <v>145</v>
      </c>
      <c r="BP1" s="433" t="s">
        <v>146</v>
      </c>
      <c r="BQ1" s="452" t="s">
        <v>147</v>
      </c>
    </row>
    <row r="2" spans="1:69" x14ac:dyDescent="0.25">
      <c r="A2" s="3">
        <v>1</v>
      </c>
      <c r="B2" s="3">
        <v>2</v>
      </c>
      <c r="C2" s="3">
        <v>3</v>
      </c>
      <c r="D2" s="453">
        <v>4</v>
      </c>
      <c r="E2" s="3">
        <v>5</v>
      </c>
      <c r="F2" s="3">
        <v>6</v>
      </c>
      <c r="G2" s="3"/>
      <c r="H2" s="3">
        <v>7</v>
      </c>
      <c r="I2" s="3">
        <v>8</v>
      </c>
      <c r="J2" s="3">
        <v>9</v>
      </c>
      <c r="K2" s="3">
        <v>10</v>
      </c>
      <c r="L2" s="3">
        <v>11</v>
      </c>
      <c r="M2" s="3">
        <v>12</v>
      </c>
      <c r="N2" s="3">
        <v>13</v>
      </c>
      <c r="O2" s="3">
        <v>14</v>
      </c>
      <c r="P2" s="3">
        <v>15</v>
      </c>
      <c r="Q2" s="3">
        <v>16</v>
      </c>
      <c r="R2" s="3">
        <v>17</v>
      </c>
      <c r="S2" s="3">
        <v>18</v>
      </c>
      <c r="T2" s="3">
        <v>19</v>
      </c>
      <c r="U2" s="3">
        <v>20</v>
      </c>
      <c r="V2" s="3">
        <v>21</v>
      </c>
      <c r="W2" s="3">
        <v>22</v>
      </c>
      <c r="X2" s="3">
        <v>23</v>
      </c>
      <c r="Y2" s="3">
        <v>24</v>
      </c>
      <c r="Z2" s="3">
        <v>25</v>
      </c>
      <c r="AA2" s="3">
        <v>26</v>
      </c>
      <c r="AB2" s="3">
        <v>27</v>
      </c>
      <c r="AC2" s="3">
        <v>28</v>
      </c>
      <c r="AD2" s="3">
        <v>29</v>
      </c>
      <c r="AE2" s="3">
        <v>30</v>
      </c>
      <c r="AF2" s="3">
        <v>31</v>
      </c>
      <c r="AG2" s="3">
        <v>32</v>
      </c>
      <c r="AH2" s="3">
        <v>33</v>
      </c>
      <c r="AI2" s="3">
        <v>34</v>
      </c>
      <c r="AJ2" s="3">
        <v>35</v>
      </c>
      <c r="AK2" s="202">
        <v>36</v>
      </c>
      <c r="AL2" s="3">
        <v>37</v>
      </c>
      <c r="AM2" s="3">
        <v>38</v>
      </c>
      <c r="AN2" s="3">
        <v>39</v>
      </c>
      <c r="AO2" s="3">
        <v>40</v>
      </c>
      <c r="AP2" s="3">
        <v>41</v>
      </c>
      <c r="AQ2" s="3">
        <v>42</v>
      </c>
      <c r="AR2" s="3">
        <v>43</v>
      </c>
      <c r="AS2" s="3">
        <v>44</v>
      </c>
      <c r="AT2" s="3">
        <v>45</v>
      </c>
      <c r="AU2" s="3">
        <v>46</v>
      </c>
      <c r="AV2" s="3">
        <v>47</v>
      </c>
      <c r="AW2" s="3">
        <v>48</v>
      </c>
      <c r="AX2" s="3">
        <v>49</v>
      </c>
      <c r="AY2" s="3">
        <v>50</v>
      </c>
      <c r="AZ2" s="3">
        <v>51</v>
      </c>
      <c r="BA2" s="3">
        <v>52</v>
      </c>
      <c r="BB2" s="3">
        <v>53</v>
      </c>
      <c r="BC2" s="3">
        <v>54</v>
      </c>
      <c r="BD2" s="3">
        <v>55</v>
      </c>
      <c r="BE2" s="3">
        <v>56</v>
      </c>
      <c r="BF2" s="3">
        <v>57</v>
      </c>
      <c r="BG2" s="3">
        <v>58</v>
      </c>
      <c r="BH2" s="3">
        <v>59</v>
      </c>
      <c r="BI2" s="3">
        <v>60</v>
      </c>
      <c r="BJ2" s="3">
        <v>61</v>
      </c>
      <c r="BK2" s="3">
        <v>62</v>
      </c>
      <c r="BL2" s="3">
        <v>63</v>
      </c>
      <c r="BM2" s="3">
        <v>64</v>
      </c>
      <c r="BN2" s="3">
        <v>65</v>
      </c>
      <c r="BO2" s="454">
        <v>66</v>
      </c>
      <c r="BP2" s="3">
        <v>67</v>
      </c>
      <c r="BQ2" s="455"/>
    </row>
    <row r="3" spans="1:69" s="591" customFormat="1" ht="150" x14ac:dyDescent="0.25">
      <c r="A3" s="959" t="s">
        <v>148</v>
      </c>
      <c r="B3" s="960">
        <v>1</v>
      </c>
      <c r="C3" s="959" t="s">
        <v>149</v>
      </c>
      <c r="D3" s="959" t="s">
        <v>150</v>
      </c>
      <c r="E3" s="959" t="s">
        <v>151</v>
      </c>
      <c r="F3" s="960" t="s">
        <v>152</v>
      </c>
      <c r="G3" s="567"/>
      <c r="H3" s="960" t="s">
        <v>151</v>
      </c>
      <c r="I3" s="275" t="s">
        <v>153</v>
      </c>
      <c r="J3" s="590"/>
      <c r="K3" s="590"/>
      <c r="L3" s="590"/>
      <c r="M3" s="375" t="str">
        <f t="shared" ref="M3:M34" si="0">I3&amp;J3&amp;" "&amp;K3&amp;" "&amp;L3</f>
        <v xml:space="preserve">Grafiscanner, S.A. de C.V.  </v>
      </c>
      <c r="N3" s="959" t="s">
        <v>154</v>
      </c>
      <c r="O3" s="961" t="s">
        <v>154</v>
      </c>
      <c r="P3" s="456" t="s">
        <v>155</v>
      </c>
      <c r="Q3" s="962">
        <v>684400</v>
      </c>
      <c r="R3" s="962">
        <f>Q3*0.16</f>
        <v>109504</v>
      </c>
      <c r="S3" s="384">
        <f>Q3+R3</f>
        <v>793904</v>
      </c>
      <c r="T3" s="385">
        <v>0</v>
      </c>
      <c r="U3" s="384">
        <f>(T3*0.16)+(T3)</f>
        <v>0</v>
      </c>
      <c r="V3" s="962">
        <f t="shared" ref="V3:V34" si="1">S3+AN3</f>
        <v>793904</v>
      </c>
      <c r="W3" s="963" t="s">
        <v>156</v>
      </c>
      <c r="X3" s="964">
        <v>43115</v>
      </c>
      <c r="Y3" s="964" t="s">
        <v>157</v>
      </c>
      <c r="Z3" s="964">
        <v>43115</v>
      </c>
      <c r="AA3" s="964">
        <v>43159</v>
      </c>
      <c r="AB3" s="959"/>
      <c r="AC3" s="959"/>
      <c r="AD3" s="960"/>
      <c r="AE3" s="959" t="s">
        <v>158</v>
      </c>
      <c r="AF3" s="963"/>
      <c r="AG3" s="963"/>
      <c r="AH3" s="963"/>
      <c r="AI3" s="963"/>
      <c r="AJ3" s="960" t="s">
        <v>159</v>
      </c>
      <c r="AK3" s="959"/>
      <c r="AL3" s="959"/>
      <c r="AM3" s="965"/>
      <c r="AN3" s="962"/>
      <c r="AO3" s="960" t="str">
        <f t="shared" ref="AO3:AO34" ca="1" si="2">IF(ISBLANK(AA3),"",IF(AA3&gt;=TODAY(),"VIGENTE","MUERTO"))</f>
        <v>MUERTO</v>
      </c>
      <c r="AP3" s="966">
        <v>2</v>
      </c>
      <c r="AQ3" s="960"/>
      <c r="AR3" s="960" t="s">
        <v>157</v>
      </c>
      <c r="AS3" s="960"/>
      <c r="AT3" s="960"/>
      <c r="AU3" s="967"/>
      <c r="AV3" s="965"/>
      <c r="AW3" s="967"/>
      <c r="AX3" s="968"/>
      <c r="AY3" s="965"/>
      <c r="AZ3" s="959"/>
      <c r="BA3" s="959" t="str">
        <f>VLOOKUP(I3,'[1] RFC'!$1:$1048576,2,0)</f>
        <v>GRA940407RNA</v>
      </c>
      <c r="BB3" s="969">
        <v>43103</v>
      </c>
      <c r="BC3" s="969">
        <v>43115</v>
      </c>
      <c r="BD3" s="969">
        <v>43119</v>
      </c>
      <c r="BE3" s="970" t="s">
        <v>160</v>
      </c>
      <c r="BF3" s="969" t="s">
        <v>161</v>
      </c>
      <c r="BG3" s="969" t="s">
        <v>161</v>
      </c>
      <c r="BH3" s="971" t="e">
        <f>NETWORKDAYS(BE3,BF3,#REF!)</f>
        <v>#VALUE!</v>
      </c>
      <c r="BI3" s="969" t="s">
        <v>161</v>
      </c>
      <c r="BJ3" s="969" t="s">
        <v>161</v>
      </c>
      <c r="BK3" s="969" t="s">
        <v>161</v>
      </c>
      <c r="BL3" s="969">
        <v>43271</v>
      </c>
      <c r="BM3" s="969">
        <v>43149</v>
      </c>
      <c r="BN3" s="969">
        <v>43132</v>
      </c>
      <c r="BO3" s="972">
        <v>43146</v>
      </c>
      <c r="BP3" s="970">
        <v>43131</v>
      </c>
      <c r="BQ3" s="452"/>
    </row>
    <row r="4" spans="1:69" s="591" customFormat="1" ht="60" x14ac:dyDescent="0.25">
      <c r="A4" s="959" t="s">
        <v>162</v>
      </c>
      <c r="B4" s="960">
        <v>2</v>
      </c>
      <c r="C4" s="959" t="s">
        <v>149</v>
      </c>
      <c r="D4" s="959"/>
      <c r="E4" s="567" t="s">
        <v>163</v>
      </c>
      <c r="F4" s="960" t="s">
        <v>164</v>
      </c>
      <c r="G4" s="567" t="s">
        <v>163</v>
      </c>
      <c r="H4" s="567" t="s">
        <v>163</v>
      </c>
      <c r="I4" s="275" t="s">
        <v>165</v>
      </c>
      <c r="J4" s="590"/>
      <c r="K4" s="590"/>
      <c r="L4" s="590"/>
      <c r="M4" s="375" t="str">
        <f t="shared" si="0"/>
        <v xml:space="preserve">Policía Auxiliar de la Ciudad de México  </v>
      </c>
      <c r="N4" s="959" t="s">
        <v>166</v>
      </c>
      <c r="O4" s="959" t="s">
        <v>166</v>
      </c>
      <c r="P4" s="456" t="s">
        <v>167</v>
      </c>
      <c r="Q4" s="962">
        <v>43383516</v>
      </c>
      <c r="R4" s="962">
        <f>Q4*0.16</f>
        <v>6941362.5600000005</v>
      </c>
      <c r="S4" s="384">
        <f>Q4+R4</f>
        <v>50324878.560000002</v>
      </c>
      <c r="T4" s="385">
        <v>15000000</v>
      </c>
      <c r="U4" s="384">
        <f>(T4*0.16)+(T4)</f>
        <v>17400000</v>
      </c>
      <c r="V4" s="962">
        <f t="shared" si="1"/>
        <v>52849920.160000004</v>
      </c>
      <c r="W4" s="963" t="s">
        <v>156</v>
      </c>
      <c r="X4" s="964">
        <v>43115</v>
      </c>
      <c r="Y4" s="964" t="s">
        <v>157</v>
      </c>
      <c r="Z4" s="964">
        <v>43101</v>
      </c>
      <c r="AA4" s="964">
        <v>43465</v>
      </c>
      <c r="AB4" s="959"/>
      <c r="AC4" s="959"/>
      <c r="AD4" s="960"/>
      <c r="AE4" s="959"/>
      <c r="AF4" s="963"/>
      <c r="AG4" s="963"/>
      <c r="AH4" s="963"/>
      <c r="AI4" s="963"/>
      <c r="AJ4" s="960" t="s">
        <v>159</v>
      </c>
      <c r="AK4" s="973" t="s">
        <v>168</v>
      </c>
      <c r="AL4" s="959" t="s">
        <v>169</v>
      </c>
      <c r="AM4" s="965">
        <v>43374</v>
      </c>
      <c r="AN4" s="962">
        <v>2525041.6</v>
      </c>
      <c r="AO4" s="960" t="str">
        <f t="shared" ca="1" si="2"/>
        <v>MUERTO</v>
      </c>
      <c r="AP4" s="966">
        <v>2</v>
      </c>
      <c r="AQ4" s="960">
        <v>11</v>
      </c>
      <c r="AR4" s="960" t="s">
        <v>157</v>
      </c>
      <c r="AS4" s="960"/>
      <c r="AT4" s="960"/>
      <c r="AU4" s="967"/>
      <c r="AV4" s="965"/>
      <c r="AW4" s="959"/>
      <c r="AX4" s="968"/>
      <c r="AY4" s="965"/>
      <c r="AZ4" s="959"/>
      <c r="BA4" s="959" t="e">
        <f>VLOOKUP(I4,'[1] RFC'!$1:$1048576,2,0)</f>
        <v>#N/A</v>
      </c>
      <c r="BB4" s="969">
        <v>43076</v>
      </c>
      <c r="BC4" s="969">
        <v>43115</v>
      </c>
      <c r="BD4" s="969">
        <v>43117</v>
      </c>
      <c r="BE4" s="970" t="s">
        <v>170</v>
      </c>
      <c r="BF4" s="969" t="s">
        <v>161</v>
      </c>
      <c r="BG4" s="969" t="s">
        <v>161</v>
      </c>
      <c r="BH4" s="971" t="e">
        <f>NETWORKDAYS(BE4,BF4,#REF!)</f>
        <v>#VALUE!</v>
      </c>
      <c r="BI4" s="969" t="s">
        <v>161</v>
      </c>
      <c r="BJ4" s="969" t="s">
        <v>161</v>
      </c>
      <c r="BK4" s="969" t="s">
        <v>161</v>
      </c>
      <c r="BL4" s="969">
        <v>43229</v>
      </c>
      <c r="BM4" s="969">
        <v>43229</v>
      </c>
      <c r="BN4" s="969">
        <v>43229</v>
      </c>
      <c r="BO4" s="972">
        <v>43228</v>
      </c>
      <c r="BP4" s="970">
        <v>43228</v>
      </c>
      <c r="BQ4" s="974"/>
    </row>
    <row r="5" spans="1:69" s="592" customFormat="1" ht="75" x14ac:dyDescent="0.25">
      <c r="A5" s="959" t="s">
        <v>171</v>
      </c>
      <c r="B5" s="960">
        <v>3</v>
      </c>
      <c r="C5" s="959" t="s">
        <v>149</v>
      </c>
      <c r="D5" s="959" t="s">
        <v>172</v>
      </c>
      <c r="E5" s="4" t="s">
        <v>173</v>
      </c>
      <c r="F5" s="960" t="s">
        <v>174</v>
      </c>
      <c r="G5" s="567"/>
      <c r="H5" s="960" t="s">
        <v>175</v>
      </c>
      <c r="I5" s="275"/>
      <c r="J5" s="590" t="s">
        <v>176</v>
      </c>
      <c r="K5" s="590" t="s">
        <v>177</v>
      </c>
      <c r="L5" s="590" t="s">
        <v>178</v>
      </c>
      <c r="M5" s="375" t="str">
        <f t="shared" si="0"/>
        <v>Luis Andrade Mendoza</v>
      </c>
      <c r="N5" s="959" t="s">
        <v>179</v>
      </c>
      <c r="O5" s="959" t="s">
        <v>180</v>
      </c>
      <c r="P5" s="456" t="s">
        <v>181</v>
      </c>
      <c r="Q5" s="962">
        <v>4466539</v>
      </c>
      <c r="R5" s="962">
        <v>0</v>
      </c>
      <c r="S5" s="384">
        <v>4466539</v>
      </c>
      <c r="T5" s="385">
        <v>262570</v>
      </c>
      <c r="U5" s="384">
        <v>262570</v>
      </c>
      <c r="V5" s="962">
        <f t="shared" si="1"/>
        <v>5583173.75</v>
      </c>
      <c r="W5" s="963" t="s">
        <v>156</v>
      </c>
      <c r="X5" s="964">
        <v>43118</v>
      </c>
      <c r="Y5" s="964" t="s">
        <v>157</v>
      </c>
      <c r="Z5" s="964">
        <v>43132</v>
      </c>
      <c r="AA5" s="964">
        <v>43524</v>
      </c>
      <c r="AB5" s="959"/>
      <c r="AC5" s="959"/>
      <c r="AD5" s="960"/>
      <c r="AE5" s="959" t="s">
        <v>182</v>
      </c>
      <c r="AF5" s="963">
        <v>669980.85</v>
      </c>
      <c r="AG5" s="963"/>
      <c r="AH5" s="963"/>
      <c r="AI5" s="963"/>
      <c r="AJ5" s="960" t="s">
        <v>183</v>
      </c>
      <c r="AK5" s="959" t="s">
        <v>184</v>
      </c>
      <c r="AL5" s="959" t="s">
        <v>185</v>
      </c>
      <c r="AM5" s="965">
        <v>43452</v>
      </c>
      <c r="AN5" s="962">
        <v>1116634.75</v>
      </c>
      <c r="AO5" s="960" t="str">
        <f t="shared" ca="1" si="2"/>
        <v>MUERTO</v>
      </c>
      <c r="AP5" s="966">
        <v>3</v>
      </c>
      <c r="AQ5" s="960"/>
      <c r="AR5" s="960" t="s">
        <v>157</v>
      </c>
      <c r="AS5" s="960"/>
      <c r="AT5" s="960"/>
      <c r="AU5" s="967"/>
      <c r="AV5" s="965"/>
      <c r="AW5" s="959"/>
      <c r="AX5" s="968"/>
      <c r="AY5" s="965"/>
      <c r="AZ5" s="959"/>
      <c r="BA5" s="959" t="e">
        <f>VLOOKUP(I5,'[1] RFC'!$1:$1048576,2,0)</f>
        <v>#N/A</v>
      </c>
      <c r="BB5" s="969">
        <v>43103</v>
      </c>
      <c r="BC5" s="969">
        <v>43115</v>
      </c>
      <c r="BD5" s="969">
        <v>43118</v>
      </c>
      <c r="BE5" s="970">
        <v>43166</v>
      </c>
      <c r="BF5" s="969">
        <v>43166</v>
      </c>
      <c r="BG5" s="969">
        <v>43166</v>
      </c>
      <c r="BH5" s="971" t="e">
        <f>NETWORKDAYS(BE5,BF5,#REF!)</f>
        <v>#REF!</v>
      </c>
      <c r="BI5" s="969">
        <v>43166</v>
      </c>
      <c r="BJ5" s="969">
        <v>43168</v>
      </c>
      <c r="BK5" s="969" t="s">
        <v>161</v>
      </c>
      <c r="BL5" s="969">
        <v>43172</v>
      </c>
      <c r="BM5" s="969">
        <v>43159</v>
      </c>
      <c r="BN5" s="969">
        <v>43154</v>
      </c>
      <c r="BO5" s="972">
        <v>43159</v>
      </c>
      <c r="BP5" s="970" t="s">
        <v>186</v>
      </c>
      <c r="BQ5" s="974"/>
    </row>
    <row r="6" spans="1:69" s="592" customFormat="1" ht="75" x14ac:dyDescent="0.25">
      <c r="A6" s="959" t="s">
        <v>187</v>
      </c>
      <c r="B6" s="960">
        <v>4</v>
      </c>
      <c r="C6" s="959" t="s">
        <v>149</v>
      </c>
      <c r="D6" s="959"/>
      <c r="E6" s="567" t="s">
        <v>163</v>
      </c>
      <c r="F6" s="960" t="s">
        <v>188</v>
      </c>
      <c r="G6" s="567" t="s">
        <v>163</v>
      </c>
      <c r="H6" s="567" t="s">
        <v>163</v>
      </c>
      <c r="I6" s="275" t="s">
        <v>189</v>
      </c>
      <c r="J6" s="590"/>
      <c r="K6" s="590"/>
      <c r="L6" s="590"/>
      <c r="M6" s="375" t="str">
        <f t="shared" si="0"/>
        <v xml:space="preserve">Camerier, S.A. de C.V.  </v>
      </c>
      <c r="N6" s="959" t="s">
        <v>190</v>
      </c>
      <c r="O6" s="959" t="s">
        <v>191</v>
      </c>
      <c r="P6" s="959" t="s">
        <v>192</v>
      </c>
      <c r="Q6" s="962">
        <v>1500000</v>
      </c>
      <c r="R6" s="962">
        <f>Q6*0.16</f>
        <v>240000</v>
      </c>
      <c r="S6" s="384">
        <f t="shared" ref="S6:S52" si="3">Q6+R6</f>
        <v>1740000</v>
      </c>
      <c r="T6" s="385">
        <v>200000</v>
      </c>
      <c r="U6" s="384">
        <f>(T6*0.16)+(T6)</f>
        <v>232000</v>
      </c>
      <c r="V6" s="962">
        <f t="shared" si="1"/>
        <v>1740000</v>
      </c>
      <c r="W6" s="963" t="s">
        <v>156</v>
      </c>
      <c r="X6" s="964">
        <v>43132</v>
      </c>
      <c r="Y6" s="960" t="s">
        <v>193</v>
      </c>
      <c r="Z6" s="964">
        <v>43132</v>
      </c>
      <c r="AA6" s="964">
        <v>43343</v>
      </c>
      <c r="AB6" s="959"/>
      <c r="AC6" s="959"/>
      <c r="AD6" s="960"/>
      <c r="AE6" s="959" t="s">
        <v>194</v>
      </c>
      <c r="AF6" s="963">
        <v>225000</v>
      </c>
      <c r="AG6" s="963"/>
      <c r="AH6" s="963"/>
      <c r="AI6" s="963"/>
      <c r="AJ6" s="960" t="s">
        <v>183</v>
      </c>
      <c r="AK6" s="959"/>
      <c r="AL6" s="959"/>
      <c r="AM6" s="965"/>
      <c r="AN6" s="962"/>
      <c r="AO6" s="960" t="str">
        <f t="shared" ca="1" si="2"/>
        <v>MUERTO</v>
      </c>
      <c r="AP6" s="966">
        <v>3</v>
      </c>
      <c r="AQ6" s="960"/>
      <c r="AR6" s="960" t="s">
        <v>193</v>
      </c>
      <c r="AS6" s="960"/>
      <c r="AT6" s="960"/>
      <c r="AU6" s="967"/>
      <c r="AV6" s="965"/>
      <c r="AW6" s="959"/>
      <c r="AX6" s="968"/>
      <c r="AY6" s="965"/>
      <c r="AZ6" s="959"/>
      <c r="BA6" s="959" t="str">
        <f>VLOOKUP(I6,'[1] RFC'!$1:$1048576,2,0)</f>
        <v>CAM140321F13</v>
      </c>
      <c r="BB6" s="969">
        <v>43117</v>
      </c>
      <c r="BC6" s="969">
        <v>43131</v>
      </c>
      <c r="BD6" s="969">
        <v>43133</v>
      </c>
      <c r="BE6" s="970">
        <v>43152</v>
      </c>
      <c r="BF6" s="969">
        <v>43171</v>
      </c>
      <c r="BG6" s="969">
        <v>43171</v>
      </c>
      <c r="BH6" s="971" t="e">
        <f>NETWORKDAYS(BE6,BF6,#REF!)</f>
        <v>#REF!</v>
      </c>
      <c r="BI6" s="969">
        <v>43172</v>
      </c>
      <c r="BJ6" s="969">
        <v>43175</v>
      </c>
      <c r="BK6" s="969" t="s">
        <v>161</v>
      </c>
      <c r="BL6" s="969">
        <v>43179</v>
      </c>
      <c r="BM6" s="969">
        <v>43160</v>
      </c>
      <c r="BN6" s="969">
        <v>43154</v>
      </c>
      <c r="BO6" s="972">
        <v>43164</v>
      </c>
      <c r="BP6" s="970" t="s">
        <v>186</v>
      </c>
      <c r="BQ6" s="974"/>
    </row>
    <row r="7" spans="1:69" s="591" customFormat="1" ht="105" x14ac:dyDescent="0.25">
      <c r="A7" s="959" t="s">
        <v>195</v>
      </c>
      <c r="B7" s="960">
        <v>5</v>
      </c>
      <c r="C7" s="959" t="s">
        <v>149</v>
      </c>
      <c r="D7" s="959"/>
      <c r="E7" s="567" t="s">
        <v>163</v>
      </c>
      <c r="F7" s="960" t="s">
        <v>196</v>
      </c>
      <c r="G7" s="567" t="s">
        <v>163</v>
      </c>
      <c r="H7" s="567" t="s">
        <v>163</v>
      </c>
      <c r="I7" s="275" t="s">
        <v>197</v>
      </c>
      <c r="J7" s="590"/>
      <c r="K7" s="590"/>
      <c r="L7" s="590"/>
      <c r="M7" s="375" t="str">
        <f t="shared" si="0"/>
        <v xml:space="preserve">Samurai Motors Ciudad de México, S. de R.L. de C.V.  </v>
      </c>
      <c r="N7" s="959" t="s">
        <v>198</v>
      </c>
      <c r="O7" s="959" t="s">
        <v>199</v>
      </c>
      <c r="P7" s="959" t="s">
        <v>200</v>
      </c>
      <c r="Q7" s="962">
        <v>646551.72</v>
      </c>
      <c r="R7" s="962">
        <f>Q7*0.16</f>
        <v>103448.2752</v>
      </c>
      <c r="S7" s="384">
        <f t="shared" si="3"/>
        <v>749999.9952</v>
      </c>
      <c r="T7" s="385">
        <v>172413.79</v>
      </c>
      <c r="U7" s="384">
        <f>(T7*0.16)+(T7)</f>
        <v>199999.9964</v>
      </c>
      <c r="V7" s="962">
        <f t="shared" si="1"/>
        <v>1558189.6452000001</v>
      </c>
      <c r="W7" s="963" t="s">
        <v>156</v>
      </c>
      <c r="X7" s="964">
        <v>43132</v>
      </c>
      <c r="Y7" s="960" t="s">
        <v>193</v>
      </c>
      <c r="Z7" s="964">
        <v>43132</v>
      </c>
      <c r="AA7" s="964">
        <v>43524</v>
      </c>
      <c r="AB7" s="959"/>
      <c r="AC7" s="959"/>
      <c r="AD7" s="960"/>
      <c r="AE7" s="959" t="s">
        <v>201</v>
      </c>
      <c r="AF7" s="963">
        <v>96982.76</v>
      </c>
      <c r="AG7" s="963"/>
      <c r="AH7" s="963"/>
      <c r="AI7" s="963"/>
      <c r="AJ7" s="960" t="s">
        <v>183</v>
      </c>
      <c r="AK7" s="959" t="s">
        <v>202</v>
      </c>
      <c r="AL7" s="959" t="s">
        <v>203</v>
      </c>
      <c r="AM7" s="965">
        <v>43508</v>
      </c>
      <c r="AN7" s="962">
        <v>808189.65</v>
      </c>
      <c r="AO7" s="960" t="str">
        <f t="shared" ca="1" si="2"/>
        <v>MUERTO</v>
      </c>
      <c r="AP7" s="966">
        <v>3</v>
      </c>
      <c r="AQ7" s="960"/>
      <c r="AR7" s="960" t="s">
        <v>193</v>
      </c>
      <c r="AS7" s="960"/>
      <c r="AT7" s="960"/>
      <c r="AU7" s="967"/>
      <c r="AV7" s="965"/>
      <c r="AW7" s="959"/>
      <c r="AX7" s="968"/>
      <c r="AY7" s="965"/>
      <c r="AZ7" s="959"/>
      <c r="BA7" s="959" t="str">
        <f>VLOOKUP(I7,'[1] RFC'!$1:$1048576,2,0)</f>
        <v>SMC171030UG5</v>
      </c>
      <c r="BB7" s="969" t="s">
        <v>204</v>
      </c>
      <c r="BC7" s="969">
        <v>43132</v>
      </c>
      <c r="BD7" s="969">
        <v>43133</v>
      </c>
      <c r="BE7" s="970">
        <v>43157</v>
      </c>
      <c r="BF7" s="969">
        <v>43237</v>
      </c>
      <c r="BG7" s="969">
        <v>43237</v>
      </c>
      <c r="BH7" s="971" t="e">
        <f>NETWORKDAYS(BE7,BF7,#REF!)</f>
        <v>#REF!</v>
      </c>
      <c r="BI7" s="969">
        <v>43238</v>
      </c>
      <c r="BJ7" s="969">
        <v>43243</v>
      </c>
      <c r="BK7" s="969" t="s">
        <v>161</v>
      </c>
      <c r="BL7" s="969">
        <v>43245</v>
      </c>
      <c r="BM7" s="969">
        <v>43168</v>
      </c>
      <c r="BN7" s="969">
        <v>43164</v>
      </c>
      <c r="BO7" s="972" t="s">
        <v>205</v>
      </c>
      <c r="BP7" s="970">
        <v>43167</v>
      </c>
      <c r="BQ7" s="974"/>
    </row>
    <row r="8" spans="1:69" s="591" customFormat="1" ht="135" x14ac:dyDescent="0.25">
      <c r="A8" s="959" t="s">
        <v>206</v>
      </c>
      <c r="B8" s="960">
        <v>6</v>
      </c>
      <c r="C8" s="959" t="s">
        <v>149</v>
      </c>
      <c r="D8" s="959" t="s">
        <v>207</v>
      </c>
      <c r="E8" s="4" t="s">
        <v>173</v>
      </c>
      <c r="F8" s="960" t="s">
        <v>174</v>
      </c>
      <c r="G8" s="567"/>
      <c r="H8" s="960" t="s">
        <v>175</v>
      </c>
      <c r="I8" s="275" t="s">
        <v>208</v>
      </c>
      <c r="J8" s="590"/>
      <c r="K8" s="590"/>
      <c r="L8" s="590"/>
      <c r="M8" s="375" t="str">
        <f t="shared" si="0"/>
        <v xml:space="preserve">MR Computer Solutions, S.A. de C.V.  </v>
      </c>
      <c r="N8" s="959" t="s">
        <v>209</v>
      </c>
      <c r="O8" s="959" t="s">
        <v>210</v>
      </c>
      <c r="P8" s="959" t="s">
        <v>211</v>
      </c>
      <c r="Q8" s="962">
        <v>1104000</v>
      </c>
      <c r="R8" s="962">
        <f>Q8*0.16</f>
        <v>176640</v>
      </c>
      <c r="S8" s="384">
        <f t="shared" si="3"/>
        <v>1280640</v>
      </c>
      <c r="T8" s="385">
        <v>0</v>
      </c>
      <c r="U8" s="384">
        <f>(T8*0.16)+(T8)</f>
        <v>0</v>
      </c>
      <c r="V8" s="962">
        <f t="shared" si="1"/>
        <v>1280640</v>
      </c>
      <c r="W8" s="963" t="s">
        <v>156</v>
      </c>
      <c r="X8" s="964">
        <v>43144</v>
      </c>
      <c r="Y8" s="960" t="s">
        <v>193</v>
      </c>
      <c r="Z8" s="964">
        <v>43143</v>
      </c>
      <c r="AA8" s="964">
        <v>43465</v>
      </c>
      <c r="AB8" s="959"/>
      <c r="AC8" s="959"/>
      <c r="AD8" s="960"/>
      <c r="AE8" s="959" t="s">
        <v>212</v>
      </c>
      <c r="AF8" s="963">
        <v>165600</v>
      </c>
      <c r="AG8" s="963">
        <v>110400</v>
      </c>
      <c r="AH8" s="963"/>
      <c r="AI8" s="963"/>
      <c r="AJ8" s="960" t="s">
        <v>183</v>
      </c>
      <c r="AK8" s="959"/>
      <c r="AL8" s="959"/>
      <c r="AM8" s="965" t="s">
        <v>213</v>
      </c>
      <c r="AN8" s="962"/>
      <c r="AO8" s="960" t="str">
        <f t="shared" ca="1" si="2"/>
        <v>MUERTO</v>
      </c>
      <c r="AP8" s="966">
        <v>3</v>
      </c>
      <c r="AQ8" s="960"/>
      <c r="AR8" s="960" t="s">
        <v>193</v>
      </c>
      <c r="AS8" s="960"/>
      <c r="AT8" s="960"/>
      <c r="AU8" s="967"/>
      <c r="AV8" s="965"/>
      <c r="AW8" s="959"/>
      <c r="AX8" s="968"/>
      <c r="AY8" s="965"/>
      <c r="AZ8" s="959"/>
      <c r="BA8" s="959" t="str">
        <f>VLOOKUP(I8,'[1] RFC'!$1:$1048576,2,0)</f>
        <v>MCS010116P69</v>
      </c>
      <c r="BB8" s="969">
        <v>43140</v>
      </c>
      <c r="BC8" s="969">
        <v>43143</v>
      </c>
      <c r="BD8" s="969">
        <v>43144</v>
      </c>
      <c r="BE8" s="970">
        <v>43159</v>
      </c>
      <c r="BF8" s="969">
        <v>43160</v>
      </c>
      <c r="BG8" s="970" t="s">
        <v>214</v>
      </c>
      <c r="BH8" s="971" t="e">
        <f>NETWORKDAYS(BE8,BF8,#REF!)</f>
        <v>#REF!</v>
      </c>
      <c r="BI8" s="970" t="s">
        <v>215</v>
      </c>
      <c r="BJ8" s="970" t="s">
        <v>216</v>
      </c>
      <c r="BK8" s="970" t="s">
        <v>217</v>
      </c>
      <c r="BL8" s="969">
        <v>43431</v>
      </c>
      <c r="BM8" s="969">
        <v>43180</v>
      </c>
      <c r="BN8" s="969">
        <v>43173</v>
      </c>
      <c r="BO8" s="972">
        <v>43432</v>
      </c>
      <c r="BP8" s="970" t="s">
        <v>186</v>
      </c>
      <c r="BQ8" s="974"/>
    </row>
    <row r="9" spans="1:69" s="591" customFormat="1" ht="60" x14ac:dyDescent="0.25">
      <c r="A9" s="959" t="s">
        <v>218</v>
      </c>
      <c r="B9" s="960">
        <v>7</v>
      </c>
      <c r="C9" s="959" t="s">
        <v>149</v>
      </c>
      <c r="D9" s="959"/>
      <c r="E9" s="567" t="s">
        <v>163</v>
      </c>
      <c r="F9" s="960" t="s">
        <v>164</v>
      </c>
      <c r="G9" s="567" t="s">
        <v>163</v>
      </c>
      <c r="H9" s="567" t="s">
        <v>163</v>
      </c>
      <c r="I9" s="275" t="s">
        <v>219</v>
      </c>
      <c r="J9" s="590"/>
      <c r="K9" s="590"/>
      <c r="L9" s="590"/>
      <c r="M9" s="375" t="str">
        <f t="shared" si="0"/>
        <v xml:space="preserve">Notimex, Agencia de noticias del Estado de México  </v>
      </c>
      <c r="N9" s="959" t="s">
        <v>220</v>
      </c>
      <c r="O9" s="959" t="s">
        <v>221</v>
      </c>
      <c r="P9" s="959" t="s">
        <v>222</v>
      </c>
      <c r="Q9" s="962">
        <v>275341.5</v>
      </c>
      <c r="R9" s="962">
        <f>Q9*0.16</f>
        <v>44054.64</v>
      </c>
      <c r="S9" s="384">
        <f t="shared" si="3"/>
        <v>319396.14</v>
      </c>
      <c r="T9" s="385">
        <v>0</v>
      </c>
      <c r="U9" s="384">
        <f>(T9*0.16)+(T9)</f>
        <v>0</v>
      </c>
      <c r="V9" s="962">
        <f t="shared" si="1"/>
        <v>319396.14</v>
      </c>
      <c r="W9" s="963" t="s">
        <v>156</v>
      </c>
      <c r="X9" s="964">
        <v>43145</v>
      </c>
      <c r="Y9" s="960" t="s">
        <v>193</v>
      </c>
      <c r="Z9" s="964">
        <v>43147</v>
      </c>
      <c r="AA9" s="964">
        <v>43465</v>
      </c>
      <c r="AB9" s="959"/>
      <c r="AC9" s="959"/>
      <c r="AD9" s="960"/>
      <c r="AE9" s="959"/>
      <c r="AF9" s="963"/>
      <c r="AG9" s="963"/>
      <c r="AH9" s="963"/>
      <c r="AI9" s="963"/>
      <c r="AJ9" s="960"/>
      <c r="AK9" s="959"/>
      <c r="AL9" s="959"/>
      <c r="AM9" s="965"/>
      <c r="AN9" s="962"/>
      <c r="AO9" s="960" t="str">
        <f t="shared" ca="1" si="2"/>
        <v>MUERTO</v>
      </c>
      <c r="AP9" s="966">
        <v>3</v>
      </c>
      <c r="AQ9" s="960"/>
      <c r="AR9" s="960" t="s">
        <v>193</v>
      </c>
      <c r="AS9" s="960"/>
      <c r="AT9" s="960"/>
      <c r="AU9" s="975"/>
      <c r="AV9" s="965"/>
      <c r="AW9" s="976"/>
      <c r="AX9" s="968"/>
      <c r="AY9" s="965"/>
      <c r="AZ9" s="959"/>
      <c r="BA9" s="959" t="str">
        <f>VLOOKUP(I9,'[1] RFC'!$1:$1048576,2,0)</f>
        <v>NAN060602PW9</v>
      </c>
      <c r="BB9" s="969">
        <v>43131</v>
      </c>
      <c r="BC9" s="969">
        <v>43140</v>
      </c>
      <c r="BD9" s="969">
        <v>43151</v>
      </c>
      <c r="BE9" s="970" t="s">
        <v>223</v>
      </c>
      <c r="BF9" s="970" t="s">
        <v>161</v>
      </c>
      <c r="BG9" s="969" t="s">
        <v>161</v>
      </c>
      <c r="BH9" s="971" t="e">
        <f>NETWORKDAYS(BE9,BF9,#REF!)</f>
        <v>#VALUE!</v>
      </c>
      <c r="BI9" s="969" t="s">
        <v>161</v>
      </c>
      <c r="BJ9" s="969" t="s">
        <v>161</v>
      </c>
      <c r="BK9" s="969" t="s">
        <v>161</v>
      </c>
      <c r="BL9" s="969">
        <v>43202</v>
      </c>
      <c r="BM9" s="969">
        <v>43202</v>
      </c>
      <c r="BN9" s="969">
        <v>43185</v>
      </c>
      <c r="BO9" s="972">
        <v>43248</v>
      </c>
      <c r="BP9" s="970">
        <v>43201</v>
      </c>
      <c r="BQ9" s="974"/>
    </row>
    <row r="10" spans="1:69" s="591" customFormat="1" ht="90" x14ac:dyDescent="0.25">
      <c r="A10" s="959" t="s">
        <v>224</v>
      </c>
      <c r="B10" s="960">
        <v>8</v>
      </c>
      <c r="C10" s="959" t="s">
        <v>225</v>
      </c>
      <c r="D10" s="959" t="s">
        <v>226</v>
      </c>
      <c r="E10" s="959" t="s">
        <v>151</v>
      </c>
      <c r="F10" s="960" t="s">
        <v>152</v>
      </c>
      <c r="G10" s="567"/>
      <c r="H10" s="960" t="s">
        <v>151</v>
      </c>
      <c r="I10" s="275" t="s">
        <v>227</v>
      </c>
      <c r="J10" s="590"/>
      <c r="K10" s="590"/>
      <c r="L10" s="590"/>
      <c r="M10" s="375" t="str">
        <f t="shared" si="0"/>
        <v xml:space="preserve">Electropura, S. de R.L. de C.V.  </v>
      </c>
      <c r="N10" s="959" t="s">
        <v>228</v>
      </c>
      <c r="O10" s="959" t="s">
        <v>229</v>
      </c>
      <c r="P10" s="959" t="s">
        <v>230</v>
      </c>
      <c r="Q10" s="962">
        <v>600000</v>
      </c>
      <c r="R10" s="962">
        <v>0</v>
      </c>
      <c r="S10" s="384">
        <f t="shared" si="3"/>
        <v>600000</v>
      </c>
      <c r="T10" s="385">
        <v>180000</v>
      </c>
      <c r="U10" s="384">
        <v>180000</v>
      </c>
      <c r="V10" s="962">
        <f t="shared" si="1"/>
        <v>750000</v>
      </c>
      <c r="W10" s="963" t="s">
        <v>156</v>
      </c>
      <c r="X10" s="964">
        <v>43157</v>
      </c>
      <c r="Y10" s="960" t="s">
        <v>193</v>
      </c>
      <c r="Z10" s="964">
        <v>43160</v>
      </c>
      <c r="AA10" s="964">
        <v>43524</v>
      </c>
      <c r="AB10" s="959"/>
      <c r="AC10" s="959"/>
      <c r="AD10" s="960"/>
      <c r="AE10" s="959" t="s">
        <v>231</v>
      </c>
      <c r="AF10" s="460">
        <v>90000</v>
      </c>
      <c r="AG10" s="460"/>
      <c r="AH10" s="460"/>
      <c r="AI10" s="460"/>
      <c r="AJ10" s="960" t="s">
        <v>183</v>
      </c>
      <c r="AK10" s="959" t="s">
        <v>232</v>
      </c>
      <c r="AL10" s="959" t="s">
        <v>233</v>
      </c>
      <c r="AM10" s="965">
        <v>43447</v>
      </c>
      <c r="AN10" s="962">
        <v>150000</v>
      </c>
      <c r="AO10" s="960" t="str">
        <f t="shared" ca="1" si="2"/>
        <v>MUERTO</v>
      </c>
      <c r="AP10" s="960">
        <v>4</v>
      </c>
      <c r="AQ10" s="960"/>
      <c r="AR10" s="960" t="s">
        <v>234</v>
      </c>
      <c r="AS10" s="960"/>
      <c r="AT10" s="960"/>
      <c r="AU10" s="967"/>
      <c r="AV10" s="965"/>
      <c r="AW10" s="959"/>
      <c r="AX10" s="968"/>
      <c r="AY10" s="965"/>
      <c r="AZ10" s="959"/>
      <c r="BA10" s="959" t="str">
        <f>VLOOKUP(I10,'[1] RFC'!$1:$1048576,2,0)</f>
        <v>ELE9012281G2</v>
      </c>
      <c r="BB10" s="969">
        <v>43138</v>
      </c>
      <c r="BC10" s="969">
        <v>43151</v>
      </c>
      <c r="BD10" s="969">
        <v>43157</v>
      </c>
      <c r="BE10" s="970">
        <v>43195</v>
      </c>
      <c r="BF10" s="969">
        <v>43277</v>
      </c>
      <c r="BG10" s="969">
        <v>43277</v>
      </c>
      <c r="BH10" s="971" t="e">
        <f>NETWORKDAYS(BE10,BF10,#REF!)</f>
        <v>#REF!</v>
      </c>
      <c r="BI10" s="969">
        <v>43277</v>
      </c>
      <c r="BJ10" s="969">
        <v>43285</v>
      </c>
      <c r="BK10" s="969"/>
      <c r="BL10" s="969">
        <v>43287</v>
      </c>
      <c r="BM10" s="969">
        <v>43235</v>
      </c>
      <c r="BN10" s="969">
        <v>43215</v>
      </c>
      <c r="BO10" s="972">
        <v>43251</v>
      </c>
      <c r="BP10" s="970">
        <v>43234</v>
      </c>
      <c r="BQ10" s="974"/>
    </row>
    <row r="11" spans="1:69" s="592" customFormat="1" ht="75" x14ac:dyDescent="0.25">
      <c r="A11" s="959" t="s">
        <v>235</v>
      </c>
      <c r="B11" s="960">
        <v>9</v>
      </c>
      <c r="C11" s="959" t="s">
        <v>149</v>
      </c>
      <c r="D11" s="959" t="s">
        <v>236</v>
      </c>
      <c r="E11" s="567" t="s">
        <v>163</v>
      </c>
      <c r="F11" s="960" t="s">
        <v>237</v>
      </c>
      <c r="G11" s="567" t="s">
        <v>163</v>
      </c>
      <c r="H11" s="960" t="s">
        <v>238</v>
      </c>
      <c r="I11" s="275"/>
      <c r="J11" s="590" t="s">
        <v>239</v>
      </c>
      <c r="K11" s="590" t="s">
        <v>240</v>
      </c>
      <c r="L11" s="590" t="s">
        <v>241</v>
      </c>
      <c r="M11" s="375" t="str">
        <f t="shared" si="0"/>
        <v>Alfredo Muñoz Herranz</v>
      </c>
      <c r="N11" s="959" t="s">
        <v>179</v>
      </c>
      <c r="O11" s="959" t="s">
        <v>242</v>
      </c>
      <c r="P11" s="959" t="s">
        <v>243</v>
      </c>
      <c r="Q11" s="962">
        <v>440000</v>
      </c>
      <c r="R11" s="962">
        <f>Q11*0.16</f>
        <v>70400</v>
      </c>
      <c r="S11" s="384">
        <f t="shared" si="3"/>
        <v>510400</v>
      </c>
      <c r="T11" s="385">
        <v>0</v>
      </c>
      <c r="U11" s="384">
        <f>(T11*0.16)+(T11)</f>
        <v>0</v>
      </c>
      <c r="V11" s="962">
        <f t="shared" si="1"/>
        <v>612480</v>
      </c>
      <c r="W11" s="963" t="s">
        <v>156</v>
      </c>
      <c r="X11" s="964">
        <v>43154</v>
      </c>
      <c r="Y11" s="964" t="s">
        <v>193</v>
      </c>
      <c r="Z11" s="964">
        <v>43160</v>
      </c>
      <c r="AA11" s="964">
        <v>43524</v>
      </c>
      <c r="AB11" s="959"/>
      <c r="AC11" s="959"/>
      <c r="AD11" s="960"/>
      <c r="AE11" s="959" t="s">
        <v>244</v>
      </c>
      <c r="AF11" s="963">
        <v>66000</v>
      </c>
      <c r="AG11" s="963">
        <v>66000</v>
      </c>
      <c r="AH11" s="963"/>
      <c r="AI11" s="963"/>
      <c r="AJ11" s="960" t="s">
        <v>183</v>
      </c>
      <c r="AK11" s="959" t="s">
        <v>245</v>
      </c>
      <c r="AL11" s="959" t="s">
        <v>246</v>
      </c>
      <c r="AM11" s="965">
        <v>43452</v>
      </c>
      <c r="AN11" s="962">
        <v>102080</v>
      </c>
      <c r="AO11" s="960" t="str">
        <f t="shared" ca="1" si="2"/>
        <v>MUERTO</v>
      </c>
      <c r="AP11" s="960">
        <v>4</v>
      </c>
      <c r="AQ11" s="960"/>
      <c r="AR11" s="960" t="s">
        <v>193</v>
      </c>
      <c r="AS11" s="960"/>
      <c r="AT11" s="960"/>
      <c r="AU11" s="967"/>
      <c r="AV11" s="965"/>
      <c r="AW11" s="959"/>
      <c r="AX11" s="968"/>
      <c r="AY11" s="965"/>
      <c r="AZ11" s="959"/>
      <c r="BA11" s="959" t="e">
        <f>VLOOKUP(I11,'[1] RFC'!$1:$1048576,2,0)</f>
        <v>#N/A</v>
      </c>
      <c r="BB11" s="969">
        <v>43145</v>
      </c>
      <c r="BC11" s="969">
        <v>43153</v>
      </c>
      <c r="BD11" s="969">
        <v>43159</v>
      </c>
      <c r="BE11" s="970">
        <v>43167</v>
      </c>
      <c r="BF11" s="969">
        <v>43192</v>
      </c>
      <c r="BG11" s="970" t="s">
        <v>247</v>
      </c>
      <c r="BH11" s="971" t="e">
        <f>NETWORKDAYS(BE11,BF11,#REF!)</f>
        <v>#REF!</v>
      </c>
      <c r="BI11" s="970" t="s">
        <v>248</v>
      </c>
      <c r="BJ11" s="970" t="s">
        <v>249</v>
      </c>
      <c r="BK11" s="969" t="s">
        <v>161</v>
      </c>
      <c r="BL11" s="969">
        <v>43202</v>
      </c>
      <c r="BM11" s="969">
        <v>43175</v>
      </c>
      <c r="BN11" s="969">
        <v>43172</v>
      </c>
      <c r="BO11" s="972">
        <v>43181</v>
      </c>
      <c r="BP11" s="970" t="s">
        <v>186</v>
      </c>
      <c r="BQ11" s="974"/>
    </row>
    <row r="12" spans="1:69" s="592" customFormat="1" ht="75" x14ac:dyDescent="0.25">
      <c r="A12" s="959" t="s">
        <v>250</v>
      </c>
      <c r="B12" s="960">
        <v>10</v>
      </c>
      <c r="C12" s="959" t="s">
        <v>149</v>
      </c>
      <c r="D12" s="959" t="s">
        <v>251</v>
      </c>
      <c r="E12" s="959" t="s">
        <v>151</v>
      </c>
      <c r="F12" s="960" t="s">
        <v>152</v>
      </c>
      <c r="G12" s="567"/>
      <c r="H12" s="960" t="s">
        <v>151</v>
      </c>
      <c r="I12" s="275"/>
      <c r="J12" s="590" t="s">
        <v>239</v>
      </c>
      <c r="K12" s="590" t="s">
        <v>240</v>
      </c>
      <c r="L12" s="590" t="s">
        <v>241</v>
      </c>
      <c r="M12" s="375" t="str">
        <f t="shared" si="0"/>
        <v>Alfredo Muñoz Herranz</v>
      </c>
      <c r="N12" s="959" t="s">
        <v>179</v>
      </c>
      <c r="O12" s="959" t="s">
        <v>242</v>
      </c>
      <c r="P12" s="959" t="s">
        <v>252</v>
      </c>
      <c r="Q12" s="962">
        <v>315000</v>
      </c>
      <c r="R12" s="962">
        <f>Q12*0.16</f>
        <v>50400</v>
      </c>
      <c r="S12" s="384">
        <f t="shared" si="3"/>
        <v>365400</v>
      </c>
      <c r="T12" s="385">
        <v>0</v>
      </c>
      <c r="U12" s="384">
        <f>(T12*0.16)+(T12)</f>
        <v>0</v>
      </c>
      <c r="V12" s="962">
        <f t="shared" si="1"/>
        <v>438480</v>
      </c>
      <c r="W12" s="963" t="s">
        <v>156</v>
      </c>
      <c r="X12" s="964">
        <v>43154</v>
      </c>
      <c r="Y12" s="960" t="s">
        <v>193</v>
      </c>
      <c r="Z12" s="964">
        <v>43160</v>
      </c>
      <c r="AA12" s="964">
        <v>43524</v>
      </c>
      <c r="AB12" s="959"/>
      <c r="AC12" s="959"/>
      <c r="AD12" s="960"/>
      <c r="AE12" s="959" t="s">
        <v>244</v>
      </c>
      <c r="AF12" s="963">
        <v>47250</v>
      </c>
      <c r="AG12" s="963">
        <v>47250</v>
      </c>
      <c r="AH12" s="963"/>
      <c r="AI12" s="963"/>
      <c r="AJ12" s="960" t="s">
        <v>183</v>
      </c>
      <c r="AK12" s="959" t="s">
        <v>253</v>
      </c>
      <c r="AL12" s="959" t="s">
        <v>246</v>
      </c>
      <c r="AM12" s="965">
        <v>43452</v>
      </c>
      <c r="AN12" s="962">
        <v>73080</v>
      </c>
      <c r="AO12" s="960" t="str">
        <f t="shared" ca="1" si="2"/>
        <v>MUERTO</v>
      </c>
      <c r="AP12" s="960">
        <v>4</v>
      </c>
      <c r="AQ12" s="960"/>
      <c r="AR12" s="960" t="s">
        <v>193</v>
      </c>
      <c r="AS12" s="960"/>
      <c r="AT12" s="960"/>
      <c r="AU12" s="967"/>
      <c r="AV12" s="965"/>
      <c r="AW12" s="967"/>
      <c r="AX12" s="968"/>
      <c r="AY12" s="965"/>
      <c r="AZ12" s="959"/>
      <c r="BA12" s="959" t="e">
        <f>VLOOKUP(I12,'[1] RFC'!$1:$1048576,2,0)</f>
        <v>#N/A</v>
      </c>
      <c r="BB12" s="969">
        <v>43145</v>
      </c>
      <c r="BC12" s="969">
        <v>43153</v>
      </c>
      <c r="BD12" s="969">
        <v>43159</v>
      </c>
      <c r="BE12" s="970">
        <v>43167</v>
      </c>
      <c r="BF12" s="969">
        <v>43200</v>
      </c>
      <c r="BG12" s="970" t="s">
        <v>254</v>
      </c>
      <c r="BH12" s="971" t="e">
        <f>NETWORKDAYS(BE12,BF12,#REF!)</f>
        <v>#REF!</v>
      </c>
      <c r="BI12" s="970" t="s">
        <v>254</v>
      </c>
      <c r="BJ12" s="970" t="s">
        <v>255</v>
      </c>
      <c r="BK12" s="969" t="s">
        <v>161</v>
      </c>
      <c r="BL12" s="969">
        <v>43210</v>
      </c>
      <c r="BM12" s="969">
        <v>43175</v>
      </c>
      <c r="BN12" s="969">
        <v>43172</v>
      </c>
      <c r="BO12" s="972">
        <v>43181</v>
      </c>
      <c r="BP12" s="970" t="s">
        <v>186</v>
      </c>
      <c r="BQ12" s="974"/>
    </row>
    <row r="13" spans="1:69" s="592" customFormat="1" ht="75" x14ac:dyDescent="0.25">
      <c r="A13" s="959" t="s">
        <v>256</v>
      </c>
      <c r="B13" s="960">
        <v>11</v>
      </c>
      <c r="C13" s="959" t="s">
        <v>149</v>
      </c>
      <c r="D13" s="959" t="s">
        <v>257</v>
      </c>
      <c r="E13" s="959" t="s">
        <v>151</v>
      </c>
      <c r="F13" s="960" t="s">
        <v>152</v>
      </c>
      <c r="G13" s="567"/>
      <c r="H13" s="960" t="s">
        <v>151</v>
      </c>
      <c r="I13" s="275"/>
      <c r="J13" s="590" t="s">
        <v>258</v>
      </c>
      <c r="K13" s="590" t="s">
        <v>259</v>
      </c>
      <c r="L13" s="590" t="s">
        <v>260</v>
      </c>
      <c r="M13" s="375" t="str">
        <f t="shared" si="0"/>
        <v>Aureliano Contreras Morales</v>
      </c>
      <c r="N13" s="959" t="s">
        <v>179</v>
      </c>
      <c r="O13" s="959" t="s">
        <v>242</v>
      </c>
      <c r="P13" s="959" t="s">
        <v>261</v>
      </c>
      <c r="Q13" s="962">
        <v>333000</v>
      </c>
      <c r="R13" s="962">
        <f>Q13*0.16</f>
        <v>53280</v>
      </c>
      <c r="S13" s="384">
        <f t="shared" si="3"/>
        <v>386280</v>
      </c>
      <c r="T13" s="385">
        <v>0</v>
      </c>
      <c r="U13" s="384">
        <f>(T13*0.16)+(T13)</f>
        <v>0</v>
      </c>
      <c r="V13" s="962">
        <f t="shared" si="1"/>
        <v>463536</v>
      </c>
      <c r="W13" s="963" t="s">
        <v>156</v>
      </c>
      <c r="X13" s="964">
        <v>43154</v>
      </c>
      <c r="Y13" s="960" t="s">
        <v>193</v>
      </c>
      <c r="Z13" s="964">
        <v>43160</v>
      </c>
      <c r="AA13" s="964">
        <v>43524</v>
      </c>
      <c r="AB13" s="959"/>
      <c r="AC13" s="959"/>
      <c r="AD13" s="960"/>
      <c r="AE13" s="959" t="s">
        <v>244</v>
      </c>
      <c r="AF13" s="963">
        <v>49950</v>
      </c>
      <c r="AG13" s="963">
        <v>49950</v>
      </c>
      <c r="AH13" s="963"/>
      <c r="AI13" s="963"/>
      <c r="AJ13" s="960" t="s">
        <v>183</v>
      </c>
      <c r="AK13" s="959" t="s">
        <v>262</v>
      </c>
      <c r="AL13" s="959" t="s">
        <v>246</v>
      </c>
      <c r="AM13" s="965">
        <v>43817</v>
      </c>
      <c r="AN13" s="962">
        <v>77256</v>
      </c>
      <c r="AO13" s="960" t="str">
        <f t="shared" ca="1" si="2"/>
        <v>MUERTO</v>
      </c>
      <c r="AP13" s="960">
        <v>4</v>
      </c>
      <c r="AQ13" s="960"/>
      <c r="AR13" s="960" t="s">
        <v>193</v>
      </c>
      <c r="AS13" s="960"/>
      <c r="AT13" s="960"/>
      <c r="AU13" s="967"/>
      <c r="AV13" s="965"/>
      <c r="AW13" s="967"/>
      <c r="AX13" s="968"/>
      <c r="AY13" s="965"/>
      <c r="AZ13" s="959"/>
      <c r="BA13" s="959" t="e">
        <f>VLOOKUP(I13,'[1] RFC'!$1:$1048576,2,0)</f>
        <v>#N/A</v>
      </c>
      <c r="BB13" s="969">
        <v>43145</v>
      </c>
      <c r="BC13" s="969">
        <v>43153</v>
      </c>
      <c r="BD13" s="969">
        <v>43160</v>
      </c>
      <c r="BE13" s="970">
        <v>43161</v>
      </c>
      <c r="BF13" s="969">
        <v>43200</v>
      </c>
      <c r="BG13" s="970" t="s">
        <v>263</v>
      </c>
      <c r="BH13" s="971" t="e">
        <f>NETWORKDAYS(BE13,BF13,#REF!)</f>
        <v>#REF!</v>
      </c>
      <c r="BI13" s="970" t="s">
        <v>264</v>
      </c>
      <c r="BJ13" s="970" t="s">
        <v>265</v>
      </c>
      <c r="BK13" s="970" t="s">
        <v>266</v>
      </c>
      <c r="BL13" s="969">
        <v>43223</v>
      </c>
      <c r="BM13" s="969">
        <v>43175</v>
      </c>
      <c r="BN13" s="969">
        <v>43172</v>
      </c>
      <c r="BO13" s="972">
        <v>43194</v>
      </c>
      <c r="BP13" s="970" t="s">
        <v>186</v>
      </c>
      <c r="BQ13" s="974"/>
    </row>
    <row r="14" spans="1:69" s="591" customFormat="1" ht="45" x14ac:dyDescent="0.25">
      <c r="A14" s="959" t="s">
        <v>267</v>
      </c>
      <c r="B14" s="960">
        <v>12</v>
      </c>
      <c r="C14" s="959" t="s">
        <v>225</v>
      </c>
      <c r="D14" s="959" t="s">
        <v>268</v>
      </c>
      <c r="E14" s="959" t="s">
        <v>151</v>
      </c>
      <c r="F14" s="960" t="s">
        <v>152</v>
      </c>
      <c r="G14" s="567"/>
      <c r="H14" s="960" t="s">
        <v>151</v>
      </c>
      <c r="I14" s="275" t="s">
        <v>269</v>
      </c>
      <c r="J14" s="590"/>
      <c r="K14" s="590"/>
      <c r="L14" s="590"/>
      <c r="M14" s="375" t="str">
        <f t="shared" si="0"/>
        <v xml:space="preserve">Manantiales la Asunción, S.A.P.I. de C.V.  </v>
      </c>
      <c r="N14" s="959" t="s">
        <v>270</v>
      </c>
      <c r="O14" s="959" t="s">
        <v>271</v>
      </c>
      <c r="P14" s="959" t="s">
        <v>272</v>
      </c>
      <c r="Q14" s="962">
        <v>785122.37</v>
      </c>
      <c r="R14" s="962">
        <v>0</v>
      </c>
      <c r="S14" s="384">
        <f t="shared" si="3"/>
        <v>785122.37</v>
      </c>
      <c r="T14" s="385">
        <v>314048.95</v>
      </c>
      <c r="U14" s="384">
        <v>314122.37</v>
      </c>
      <c r="V14" s="962">
        <f t="shared" si="1"/>
        <v>785122.37</v>
      </c>
      <c r="W14" s="963" t="s">
        <v>156</v>
      </c>
      <c r="X14" s="964">
        <v>43153</v>
      </c>
      <c r="Y14" s="960" t="s">
        <v>193</v>
      </c>
      <c r="Z14" s="964">
        <v>43153</v>
      </c>
      <c r="AA14" s="964">
        <v>43465</v>
      </c>
      <c r="AB14" s="959"/>
      <c r="AC14" s="959"/>
      <c r="AD14" s="960"/>
      <c r="AE14" s="959"/>
      <c r="AF14" s="963"/>
      <c r="AG14" s="963"/>
      <c r="AH14" s="963"/>
      <c r="AI14" s="963"/>
      <c r="AJ14" s="960"/>
      <c r="AK14" s="959"/>
      <c r="AL14" s="959"/>
      <c r="AM14" s="965"/>
      <c r="AN14" s="962"/>
      <c r="AO14" s="960" t="str">
        <f t="shared" ca="1" si="2"/>
        <v>MUERTO</v>
      </c>
      <c r="AP14" s="966">
        <v>3</v>
      </c>
      <c r="AQ14" s="960"/>
      <c r="AR14" s="960" t="s">
        <v>193</v>
      </c>
      <c r="AS14" s="960"/>
      <c r="AT14" s="960"/>
      <c r="AU14" s="967"/>
      <c r="AV14" s="965"/>
      <c r="AW14" s="967"/>
      <c r="AX14" s="968"/>
      <c r="AY14" s="965"/>
      <c r="AZ14" s="959"/>
      <c r="BA14" s="959" t="str">
        <f>VLOOKUP(I14,'[1] RFC'!$1:$1048576,2,0)</f>
        <v>MAS880707J27</v>
      </c>
      <c r="BB14" s="969">
        <v>43143</v>
      </c>
      <c r="BC14" s="969">
        <v>43153</v>
      </c>
      <c r="BD14" s="969">
        <v>43160</v>
      </c>
      <c r="BE14" s="970">
        <v>43168</v>
      </c>
      <c r="BF14" s="969">
        <v>43248</v>
      </c>
      <c r="BG14" s="969">
        <v>43248</v>
      </c>
      <c r="BH14" s="971" t="e">
        <f>NETWORKDAYS(BE14,BF14,#REF!)</f>
        <v>#REF!</v>
      </c>
      <c r="BI14" s="969">
        <v>43248</v>
      </c>
      <c r="BJ14" s="969">
        <v>43251</v>
      </c>
      <c r="BK14" s="969" t="s">
        <v>161</v>
      </c>
      <c r="BL14" s="969">
        <v>43255</v>
      </c>
      <c r="BM14" s="969">
        <v>43186</v>
      </c>
      <c r="BN14" s="969">
        <v>43180</v>
      </c>
      <c r="BO14" s="972">
        <v>43187</v>
      </c>
      <c r="BP14" s="970">
        <v>43182</v>
      </c>
      <c r="BQ14" s="974"/>
    </row>
    <row r="15" spans="1:69" s="591" customFormat="1" ht="285" x14ac:dyDescent="0.25">
      <c r="A15" s="959" t="s">
        <v>273</v>
      </c>
      <c r="B15" s="960">
        <v>13</v>
      </c>
      <c r="C15" s="959" t="s">
        <v>149</v>
      </c>
      <c r="D15" s="959" t="s">
        <v>274</v>
      </c>
      <c r="E15" s="959" t="s">
        <v>151</v>
      </c>
      <c r="F15" s="960" t="s">
        <v>152</v>
      </c>
      <c r="G15" s="567"/>
      <c r="H15" s="960" t="s">
        <v>151</v>
      </c>
      <c r="I15" s="275" t="s">
        <v>275</v>
      </c>
      <c r="J15" s="590"/>
      <c r="K15" s="590"/>
      <c r="L15" s="590"/>
      <c r="M15" s="375" t="str">
        <f t="shared" si="0"/>
        <v xml:space="preserve">Impulso Metropolitano de Vivienda, S.A. de C.V.  </v>
      </c>
      <c r="N15" s="959" t="s">
        <v>276</v>
      </c>
      <c r="O15" s="959" t="s">
        <v>277</v>
      </c>
      <c r="P15" s="959" t="s">
        <v>278</v>
      </c>
      <c r="Q15" s="962">
        <v>985079.31</v>
      </c>
      <c r="R15" s="962">
        <f t="shared" ref="R15:R23" si="4">Q15*0.16</f>
        <v>157612.68960000001</v>
      </c>
      <c r="S15" s="384">
        <f t="shared" si="3"/>
        <v>1142691.9996</v>
      </c>
      <c r="T15" s="385">
        <v>394031.73</v>
      </c>
      <c r="U15" s="384">
        <f t="shared" ref="U15:U47" si="5">(T15*0.16)+(T15)</f>
        <v>457076.80679999996</v>
      </c>
      <c r="V15" s="962">
        <f t="shared" si="1"/>
        <v>1280216.9896</v>
      </c>
      <c r="W15" s="963" t="s">
        <v>156</v>
      </c>
      <c r="X15" s="964">
        <v>43157</v>
      </c>
      <c r="Y15" s="960" t="s">
        <v>193</v>
      </c>
      <c r="Z15" s="964">
        <v>43157</v>
      </c>
      <c r="AA15" s="964">
        <v>43524</v>
      </c>
      <c r="AB15" s="959"/>
      <c r="AC15" s="959"/>
      <c r="AD15" s="960"/>
      <c r="AE15" s="959" t="s">
        <v>279</v>
      </c>
      <c r="AF15" s="963">
        <v>147761.89000000001</v>
      </c>
      <c r="AG15" s="963">
        <v>197015.86</v>
      </c>
      <c r="AH15" s="963"/>
      <c r="AI15" s="963"/>
      <c r="AJ15" s="960" t="s">
        <v>183</v>
      </c>
      <c r="AK15" s="959" t="s">
        <v>280</v>
      </c>
      <c r="AL15" s="959" t="s">
        <v>281</v>
      </c>
      <c r="AM15" s="965" t="s">
        <v>282</v>
      </c>
      <c r="AN15" s="962">
        <v>137524.99</v>
      </c>
      <c r="AO15" s="960" t="str">
        <f t="shared" ca="1" si="2"/>
        <v>MUERTO</v>
      </c>
      <c r="AP15" s="966">
        <v>3</v>
      </c>
      <c r="AQ15" s="966">
        <v>9</v>
      </c>
      <c r="AR15" s="960" t="s">
        <v>234</v>
      </c>
      <c r="AS15" s="960"/>
      <c r="AT15" s="960"/>
      <c r="AU15" s="967"/>
      <c r="AV15" s="965"/>
      <c r="AW15" s="959"/>
      <c r="AX15" s="968"/>
      <c r="AY15" s="965"/>
      <c r="AZ15" s="959"/>
      <c r="BA15" s="959" t="str">
        <f>VLOOKUP(I15,'[1] RFC'!$1:$1048576,2,0)</f>
        <v>IMV040628UM1</v>
      </c>
      <c r="BB15" s="969">
        <v>43153</v>
      </c>
      <c r="BC15" s="969">
        <v>43157</v>
      </c>
      <c r="BD15" s="969">
        <v>43165</v>
      </c>
      <c r="BE15" s="970">
        <v>43175</v>
      </c>
      <c r="BF15" s="969">
        <v>43201</v>
      </c>
      <c r="BG15" s="970" t="s">
        <v>283</v>
      </c>
      <c r="BH15" s="971" t="e">
        <f>NETWORKDAYS(BE15,BF15,#REF!)</f>
        <v>#REF!</v>
      </c>
      <c r="BI15" s="970" t="s">
        <v>284</v>
      </c>
      <c r="BJ15" s="970" t="s">
        <v>285</v>
      </c>
      <c r="BK15" s="969" t="s">
        <v>161</v>
      </c>
      <c r="BL15" s="969">
        <v>43249</v>
      </c>
      <c r="BM15" s="969">
        <v>43231</v>
      </c>
      <c r="BN15" s="969">
        <v>43193</v>
      </c>
      <c r="BO15" s="972">
        <v>43329</v>
      </c>
      <c r="BP15" s="970">
        <v>43230</v>
      </c>
      <c r="BQ15" s="974"/>
    </row>
    <row r="16" spans="1:69" s="591" customFormat="1" ht="135" x14ac:dyDescent="0.25">
      <c r="A16" s="959" t="s">
        <v>286</v>
      </c>
      <c r="B16" s="960">
        <v>14</v>
      </c>
      <c r="C16" s="959" t="s">
        <v>149</v>
      </c>
      <c r="D16" s="959" t="s">
        <v>287</v>
      </c>
      <c r="E16" s="959" t="s">
        <v>151</v>
      </c>
      <c r="F16" s="960" t="s">
        <v>152</v>
      </c>
      <c r="G16" s="567"/>
      <c r="H16" s="960" t="s">
        <v>151</v>
      </c>
      <c r="I16" s="275"/>
      <c r="J16" s="590" t="s">
        <v>288</v>
      </c>
      <c r="K16" s="590" t="s">
        <v>289</v>
      </c>
      <c r="L16" s="590" t="s">
        <v>290</v>
      </c>
      <c r="M16" s="375" t="str">
        <f t="shared" si="0"/>
        <v>Eliseo Madera Olague</v>
      </c>
      <c r="N16" s="959" t="s">
        <v>276</v>
      </c>
      <c r="O16" s="959" t="s">
        <v>277</v>
      </c>
      <c r="P16" s="959" t="s">
        <v>291</v>
      </c>
      <c r="Q16" s="962">
        <v>674929.54</v>
      </c>
      <c r="R16" s="962">
        <f t="shared" si="4"/>
        <v>107988.72640000001</v>
      </c>
      <c r="S16" s="384">
        <f t="shared" si="3"/>
        <v>782918.26640000008</v>
      </c>
      <c r="T16" s="385">
        <v>269971.81</v>
      </c>
      <c r="U16" s="384">
        <f t="shared" si="5"/>
        <v>313167.29960000003</v>
      </c>
      <c r="V16" s="962">
        <f t="shared" si="1"/>
        <v>978647.83640000015</v>
      </c>
      <c r="W16" s="963" t="s">
        <v>156</v>
      </c>
      <c r="X16" s="964">
        <v>43159</v>
      </c>
      <c r="Y16" s="960" t="s">
        <v>193</v>
      </c>
      <c r="Z16" s="964">
        <v>43161</v>
      </c>
      <c r="AA16" s="964">
        <v>43524</v>
      </c>
      <c r="AB16" s="959"/>
      <c r="AC16" s="959"/>
      <c r="AD16" s="960"/>
      <c r="AE16" s="959" t="s">
        <v>292</v>
      </c>
      <c r="AF16" s="963">
        <v>101239.43</v>
      </c>
      <c r="AG16" s="963">
        <v>202478.86</v>
      </c>
      <c r="AH16" s="963"/>
      <c r="AI16" s="963"/>
      <c r="AJ16" s="960" t="s">
        <v>156</v>
      </c>
      <c r="AK16" s="959" t="s">
        <v>293</v>
      </c>
      <c r="AL16" s="959" t="s">
        <v>294</v>
      </c>
      <c r="AM16" s="965">
        <v>43447</v>
      </c>
      <c r="AN16" s="962">
        <v>195729.57</v>
      </c>
      <c r="AO16" s="960" t="str">
        <f t="shared" ca="1" si="2"/>
        <v>MUERTO</v>
      </c>
      <c r="AP16" s="960">
        <v>4</v>
      </c>
      <c r="AQ16" s="960"/>
      <c r="AR16" s="960" t="s">
        <v>234</v>
      </c>
      <c r="AS16" s="960"/>
      <c r="AT16" s="960"/>
      <c r="AU16" s="967"/>
      <c r="AV16" s="965"/>
      <c r="AW16" s="959"/>
      <c r="AX16" s="968"/>
      <c r="AY16" s="965"/>
      <c r="AZ16" s="959"/>
      <c r="BA16" s="959" t="e">
        <f>VLOOKUP(I16,'[1] RFC'!$1:$1048576,2,0)</f>
        <v>#N/A</v>
      </c>
      <c r="BB16" s="969">
        <v>43151</v>
      </c>
      <c r="BC16" s="969">
        <v>43157</v>
      </c>
      <c r="BD16" s="969">
        <v>43165</v>
      </c>
      <c r="BE16" s="970">
        <v>43167</v>
      </c>
      <c r="BF16" s="969">
        <v>43194</v>
      </c>
      <c r="BG16" s="970" t="s">
        <v>295</v>
      </c>
      <c r="BH16" s="971" t="e">
        <f>NETWORKDAYS(BE16,BF16,#REF!)</f>
        <v>#REF!</v>
      </c>
      <c r="BI16" s="970" t="s">
        <v>296</v>
      </c>
      <c r="BJ16" s="970" t="s">
        <v>297</v>
      </c>
      <c r="BK16" s="969" t="s">
        <v>161</v>
      </c>
      <c r="BL16" s="969">
        <v>43236</v>
      </c>
      <c r="BM16" s="969">
        <v>43236</v>
      </c>
      <c r="BN16" s="969">
        <v>43208</v>
      </c>
      <c r="BO16" s="972">
        <v>43222</v>
      </c>
      <c r="BP16" s="970">
        <v>43223</v>
      </c>
      <c r="BQ16" s="974"/>
    </row>
    <row r="17" spans="1:69" s="591" customFormat="1" ht="90" x14ac:dyDescent="0.25">
      <c r="A17" s="959" t="s">
        <v>298</v>
      </c>
      <c r="B17" s="960">
        <v>15</v>
      </c>
      <c r="C17" s="959" t="s">
        <v>149</v>
      </c>
      <c r="D17" s="959" t="s">
        <v>299</v>
      </c>
      <c r="E17" s="4" t="s">
        <v>173</v>
      </c>
      <c r="F17" s="960" t="s">
        <v>174</v>
      </c>
      <c r="G17" s="567"/>
      <c r="H17" s="960" t="s">
        <v>175</v>
      </c>
      <c r="I17" s="275" t="s">
        <v>300</v>
      </c>
      <c r="J17" s="590"/>
      <c r="K17" s="590"/>
      <c r="L17" s="590"/>
      <c r="M17" s="375" t="str">
        <f t="shared" si="0"/>
        <v xml:space="preserve">Ipark, S.A. de C.V.  </v>
      </c>
      <c r="N17" s="959" t="s">
        <v>301</v>
      </c>
      <c r="O17" s="959" t="s">
        <v>302</v>
      </c>
      <c r="P17" s="959" t="s">
        <v>303</v>
      </c>
      <c r="Q17" s="962">
        <v>2582070.73</v>
      </c>
      <c r="R17" s="962">
        <f t="shared" si="4"/>
        <v>413131.31680000003</v>
      </c>
      <c r="S17" s="384">
        <f t="shared" si="3"/>
        <v>2995202.0468000001</v>
      </c>
      <c r="T17" s="385">
        <v>1032828.29</v>
      </c>
      <c r="U17" s="384">
        <f t="shared" si="5"/>
        <v>1198080.8164000001</v>
      </c>
      <c r="V17" s="962">
        <f>S17+AN17</f>
        <v>3174914.1668000002</v>
      </c>
      <c r="W17" s="963" t="s">
        <v>156</v>
      </c>
      <c r="X17" s="964">
        <v>43159</v>
      </c>
      <c r="Y17" s="960" t="s">
        <v>193</v>
      </c>
      <c r="Z17" s="964">
        <v>43160</v>
      </c>
      <c r="AA17" s="964">
        <v>43524</v>
      </c>
      <c r="AB17" s="959"/>
      <c r="AC17" s="959"/>
      <c r="AD17" s="960"/>
      <c r="AE17" s="959" t="s">
        <v>304</v>
      </c>
      <c r="AF17" s="963">
        <v>387310.61</v>
      </c>
      <c r="AG17" s="963">
        <v>774621</v>
      </c>
      <c r="AH17" s="963"/>
      <c r="AI17" s="963"/>
      <c r="AJ17" s="960" t="s">
        <v>183</v>
      </c>
      <c r="AK17" s="959" t="s">
        <v>305</v>
      </c>
      <c r="AL17" s="959" t="s">
        <v>306</v>
      </c>
      <c r="AM17" s="965">
        <v>43465</v>
      </c>
      <c r="AN17" s="962">
        <v>179712.12</v>
      </c>
      <c r="AO17" s="960" t="str">
        <f t="shared" ca="1" si="2"/>
        <v>MUERTO</v>
      </c>
      <c r="AP17" s="960">
        <v>4</v>
      </c>
      <c r="AQ17" s="960"/>
      <c r="AR17" s="960" t="s">
        <v>193</v>
      </c>
      <c r="AS17" s="960"/>
      <c r="AT17" s="960"/>
      <c r="AU17" s="967"/>
      <c r="AV17" s="965"/>
      <c r="AW17" s="959"/>
      <c r="AX17" s="968"/>
      <c r="AY17" s="965"/>
      <c r="AZ17" s="959"/>
      <c r="BA17" s="959" t="str">
        <f>VLOOKUP(I17,'[1] RFC'!$1:$1048576,2,0)</f>
        <v>IPA140327555</v>
      </c>
      <c r="BB17" s="969">
        <v>43152</v>
      </c>
      <c r="BC17" s="969">
        <v>43157</v>
      </c>
      <c r="BD17" s="969">
        <v>43164</v>
      </c>
      <c r="BE17" s="970">
        <v>43167</v>
      </c>
      <c r="BF17" s="969">
        <v>43182</v>
      </c>
      <c r="BG17" s="970" t="s">
        <v>307</v>
      </c>
      <c r="BH17" s="971" t="e">
        <f>NETWORKDAYS(BE17,BF17,#REF!)</f>
        <v>#REF!</v>
      </c>
      <c r="BI17" s="970" t="s">
        <v>308</v>
      </c>
      <c r="BJ17" s="970" t="s">
        <v>309</v>
      </c>
      <c r="BK17" s="969" t="s">
        <v>161</v>
      </c>
      <c r="BL17" s="969">
        <v>43200</v>
      </c>
      <c r="BM17" s="969">
        <v>43186</v>
      </c>
      <c r="BN17" s="969">
        <v>43180</v>
      </c>
      <c r="BO17" s="972">
        <v>43182</v>
      </c>
      <c r="BP17" s="970">
        <v>43182</v>
      </c>
      <c r="BQ17" s="974"/>
    </row>
    <row r="18" spans="1:69" s="591" customFormat="1" ht="120" x14ac:dyDescent="0.25">
      <c r="A18" s="959" t="s">
        <v>310</v>
      </c>
      <c r="B18" s="960">
        <v>16</v>
      </c>
      <c r="C18" s="959" t="s">
        <v>149</v>
      </c>
      <c r="D18" s="959" t="s">
        <v>311</v>
      </c>
      <c r="E18" s="567" t="s">
        <v>163</v>
      </c>
      <c r="F18" s="960" t="s">
        <v>312</v>
      </c>
      <c r="G18" s="567" t="s">
        <v>163</v>
      </c>
      <c r="H18" s="960" t="s">
        <v>313</v>
      </c>
      <c r="I18" s="275" t="s">
        <v>314</v>
      </c>
      <c r="J18" s="590"/>
      <c r="K18" s="590"/>
      <c r="L18" s="590"/>
      <c r="M18" s="375" t="str">
        <f t="shared" si="0"/>
        <v xml:space="preserve">DHIMEX Ciudad de México, S.A. de C.V.  </v>
      </c>
      <c r="N18" s="959" t="s">
        <v>315</v>
      </c>
      <c r="O18" s="959" t="s">
        <v>316</v>
      </c>
      <c r="P18" s="959" t="s">
        <v>317</v>
      </c>
      <c r="Q18" s="962">
        <v>3665834.55</v>
      </c>
      <c r="R18" s="962">
        <f t="shared" si="4"/>
        <v>586533.52799999993</v>
      </c>
      <c r="S18" s="384">
        <f t="shared" si="3"/>
        <v>4252368.0779999997</v>
      </c>
      <c r="T18" s="385">
        <v>0</v>
      </c>
      <c r="U18" s="384">
        <f t="shared" si="5"/>
        <v>0</v>
      </c>
      <c r="V18" s="962">
        <f t="shared" si="1"/>
        <v>4479676.9479999999</v>
      </c>
      <c r="W18" s="963" t="s">
        <v>156</v>
      </c>
      <c r="X18" s="964">
        <v>43174</v>
      </c>
      <c r="Y18" s="960" t="s">
        <v>234</v>
      </c>
      <c r="Z18" s="964">
        <v>43160</v>
      </c>
      <c r="AA18" s="964">
        <v>43465</v>
      </c>
      <c r="AB18" s="959"/>
      <c r="AC18" s="959"/>
      <c r="AD18" s="960"/>
      <c r="AE18" s="959" t="s">
        <v>318</v>
      </c>
      <c r="AF18" s="963">
        <v>549875.18000000005</v>
      </c>
      <c r="AG18" s="963">
        <v>549875.18000000005</v>
      </c>
      <c r="AH18" s="963"/>
      <c r="AI18" s="963"/>
      <c r="AJ18" s="960" t="s">
        <v>183</v>
      </c>
      <c r="AK18" s="959" t="s">
        <v>319</v>
      </c>
      <c r="AL18" s="959" t="s">
        <v>320</v>
      </c>
      <c r="AM18" s="965">
        <v>43340</v>
      </c>
      <c r="AN18" s="962">
        <v>227308.87</v>
      </c>
      <c r="AO18" s="960" t="str">
        <f t="shared" ca="1" si="2"/>
        <v>MUERTO</v>
      </c>
      <c r="AP18" s="960">
        <v>4</v>
      </c>
      <c r="AQ18" s="966">
        <v>9</v>
      </c>
      <c r="AR18" s="960" t="s">
        <v>234</v>
      </c>
      <c r="AS18" s="960"/>
      <c r="AT18" s="960"/>
      <c r="AU18" s="967"/>
      <c r="AV18" s="965"/>
      <c r="AW18" s="959"/>
      <c r="AX18" s="968"/>
      <c r="AY18" s="965"/>
      <c r="AZ18" s="959"/>
      <c r="BA18" s="959" t="str">
        <f>VLOOKUP(I18,'[1] RFC'!$1:$1048576,2,0)</f>
        <v>DCM060704I30</v>
      </c>
      <c r="BB18" s="969">
        <v>43117</v>
      </c>
      <c r="BC18" s="969">
        <v>43158</v>
      </c>
      <c r="BD18" s="969">
        <v>43161</v>
      </c>
      <c r="BE18" s="970">
        <v>43181</v>
      </c>
      <c r="BF18" s="969">
        <v>43185</v>
      </c>
      <c r="BG18" s="970" t="s">
        <v>321</v>
      </c>
      <c r="BH18" s="971" t="e">
        <f>NETWORKDAYS(BE18,BF18,#REF!)</f>
        <v>#REF!</v>
      </c>
      <c r="BI18" s="970" t="s">
        <v>322</v>
      </c>
      <c r="BJ18" s="970" t="s">
        <v>323</v>
      </c>
      <c r="BK18" s="969" t="s">
        <v>161</v>
      </c>
      <c r="BL18" s="969">
        <v>43297</v>
      </c>
      <c r="BM18" s="969">
        <v>43202</v>
      </c>
      <c r="BN18" s="969">
        <v>43192</v>
      </c>
      <c r="BO18" s="972">
        <v>43207</v>
      </c>
      <c r="BP18" s="970">
        <v>43201</v>
      </c>
      <c r="BQ18" s="974"/>
    </row>
    <row r="19" spans="1:69" s="591" customFormat="1" ht="105" x14ac:dyDescent="0.25">
      <c r="A19" s="959" t="s">
        <v>324</v>
      </c>
      <c r="B19" s="960">
        <v>17</v>
      </c>
      <c r="C19" s="959" t="s">
        <v>149</v>
      </c>
      <c r="D19" s="959" t="s">
        <v>325</v>
      </c>
      <c r="E19" s="4" t="s">
        <v>173</v>
      </c>
      <c r="F19" s="960" t="s">
        <v>326</v>
      </c>
      <c r="G19" s="567"/>
      <c r="H19" s="960" t="s">
        <v>175</v>
      </c>
      <c r="I19" s="275" t="s">
        <v>327</v>
      </c>
      <c r="J19" s="590"/>
      <c r="K19" s="590"/>
      <c r="L19" s="590"/>
      <c r="M19" s="375" t="str">
        <f t="shared" si="0"/>
        <v xml:space="preserve">Fumi-Dip Control de Plagas, S.A. de C.V.  </v>
      </c>
      <c r="N19" s="959" t="s">
        <v>328</v>
      </c>
      <c r="O19" s="959" t="s">
        <v>329</v>
      </c>
      <c r="P19" s="959" t="s">
        <v>330</v>
      </c>
      <c r="Q19" s="962">
        <v>388278.74</v>
      </c>
      <c r="R19" s="962">
        <f t="shared" si="4"/>
        <v>62124.598400000003</v>
      </c>
      <c r="S19" s="384">
        <f t="shared" si="3"/>
        <v>450403.33840000001</v>
      </c>
      <c r="T19" s="385">
        <v>155311.49</v>
      </c>
      <c r="U19" s="384">
        <f t="shared" si="5"/>
        <v>180161.3284</v>
      </c>
      <c r="V19" s="962">
        <f t="shared" si="1"/>
        <v>563004.15840000007</v>
      </c>
      <c r="W19" s="963" t="s">
        <v>156</v>
      </c>
      <c r="X19" s="964">
        <v>43160</v>
      </c>
      <c r="Y19" s="960" t="s">
        <v>234</v>
      </c>
      <c r="Z19" s="964">
        <v>43160</v>
      </c>
      <c r="AA19" s="964">
        <v>43524</v>
      </c>
      <c r="AB19" s="959"/>
      <c r="AC19" s="959"/>
      <c r="AD19" s="960"/>
      <c r="AE19" s="959" t="s">
        <v>318</v>
      </c>
      <c r="AF19" s="963">
        <v>58241.81</v>
      </c>
      <c r="AG19" s="963">
        <v>58241.08</v>
      </c>
      <c r="AH19" s="963"/>
      <c r="AI19" s="963"/>
      <c r="AJ19" s="960" t="s">
        <v>183</v>
      </c>
      <c r="AK19" s="959" t="s">
        <v>331</v>
      </c>
      <c r="AL19" s="973" t="s">
        <v>332</v>
      </c>
      <c r="AM19" s="965">
        <v>43447</v>
      </c>
      <c r="AN19" s="962">
        <v>112600.82</v>
      </c>
      <c r="AO19" s="960" t="str">
        <f t="shared" ca="1" si="2"/>
        <v>MUERTO</v>
      </c>
      <c r="AP19" s="966">
        <v>10</v>
      </c>
      <c r="AQ19" s="960"/>
      <c r="AR19" s="960" t="s">
        <v>333</v>
      </c>
      <c r="AS19" s="960"/>
      <c r="AT19" s="960"/>
      <c r="AU19" s="967"/>
      <c r="AV19" s="965"/>
      <c r="AW19" s="959"/>
      <c r="AX19" s="968"/>
      <c r="AY19" s="965"/>
      <c r="AZ19" s="959"/>
      <c r="BA19" s="959" t="str">
        <f>VLOOKUP(I19,'[1] RFC'!$1:$1048576,2,0)</f>
        <v>FCP0702164I3</v>
      </c>
      <c r="BB19" s="969">
        <v>43160</v>
      </c>
      <c r="BC19" s="969">
        <v>43160</v>
      </c>
      <c r="BD19" s="969">
        <v>43160</v>
      </c>
      <c r="BE19" s="970">
        <v>43228</v>
      </c>
      <c r="BF19" s="969">
        <v>43250</v>
      </c>
      <c r="BG19" s="970" t="s">
        <v>334</v>
      </c>
      <c r="BH19" s="971" t="e">
        <f>NETWORKDAYS(BE19,BF19,#REF!)</f>
        <v>#REF!</v>
      </c>
      <c r="BI19" s="970" t="s">
        <v>335</v>
      </c>
      <c r="BJ19" s="970" t="s">
        <v>336</v>
      </c>
      <c r="BK19" s="969" t="s">
        <v>161</v>
      </c>
      <c r="BL19" s="969">
        <v>43257</v>
      </c>
      <c r="BM19" s="969">
        <v>43243</v>
      </c>
      <c r="BN19" s="969">
        <v>43220</v>
      </c>
      <c r="BO19" s="972">
        <v>43248</v>
      </c>
      <c r="BP19" s="970">
        <v>43242</v>
      </c>
      <c r="BQ19" s="974"/>
    </row>
    <row r="20" spans="1:69" s="591" customFormat="1" ht="105" x14ac:dyDescent="0.25">
      <c r="A20" s="959" t="s">
        <v>337</v>
      </c>
      <c r="B20" s="960">
        <v>18</v>
      </c>
      <c r="C20" s="959" t="s">
        <v>149</v>
      </c>
      <c r="D20" s="959" t="s">
        <v>325</v>
      </c>
      <c r="E20" s="4" t="s">
        <v>173</v>
      </c>
      <c r="F20" s="960" t="s">
        <v>326</v>
      </c>
      <c r="G20" s="567"/>
      <c r="H20" s="960" t="s">
        <v>175</v>
      </c>
      <c r="I20" s="275" t="s">
        <v>327</v>
      </c>
      <c r="J20" s="590"/>
      <c r="K20" s="590"/>
      <c r="L20" s="590"/>
      <c r="M20" s="375" t="str">
        <f t="shared" si="0"/>
        <v xml:space="preserve">Fumi-Dip Control de Plagas, S.A. de C.V.  </v>
      </c>
      <c r="N20" s="959" t="s">
        <v>328</v>
      </c>
      <c r="O20" s="959" t="s">
        <v>329</v>
      </c>
      <c r="P20" s="959" t="s">
        <v>338</v>
      </c>
      <c r="Q20" s="962">
        <v>618318.24</v>
      </c>
      <c r="R20" s="962">
        <f t="shared" si="4"/>
        <v>98930.918399999995</v>
      </c>
      <c r="S20" s="384">
        <f t="shared" si="3"/>
        <v>717249.15839999996</v>
      </c>
      <c r="T20" s="385">
        <v>247327.35999999999</v>
      </c>
      <c r="U20" s="384">
        <f t="shared" si="5"/>
        <v>286899.73759999999</v>
      </c>
      <c r="V20" s="962">
        <f t="shared" si="1"/>
        <v>896561.44839999999</v>
      </c>
      <c r="W20" s="963" t="s">
        <v>156</v>
      </c>
      <c r="X20" s="964">
        <v>43160</v>
      </c>
      <c r="Y20" s="960" t="s">
        <v>234</v>
      </c>
      <c r="Z20" s="964">
        <v>43160</v>
      </c>
      <c r="AA20" s="964">
        <v>43465</v>
      </c>
      <c r="AB20" s="959"/>
      <c r="AC20" s="959"/>
      <c r="AD20" s="960"/>
      <c r="AE20" s="959" t="s">
        <v>318</v>
      </c>
      <c r="AF20" s="963">
        <v>92747.74</v>
      </c>
      <c r="AG20" s="963"/>
      <c r="AH20" s="963"/>
      <c r="AI20" s="963"/>
      <c r="AJ20" s="960" t="s">
        <v>183</v>
      </c>
      <c r="AK20" s="959" t="s">
        <v>339</v>
      </c>
      <c r="AL20" s="973" t="s">
        <v>332</v>
      </c>
      <c r="AM20" s="965">
        <v>43447</v>
      </c>
      <c r="AN20" s="962">
        <v>179312.29</v>
      </c>
      <c r="AO20" s="960" t="str">
        <f t="shared" ca="1" si="2"/>
        <v>MUERTO</v>
      </c>
      <c r="AP20" s="966">
        <v>5</v>
      </c>
      <c r="AQ20" s="960"/>
      <c r="AR20" s="960" t="s">
        <v>333</v>
      </c>
      <c r="AS20" s="960"/>
      <c r="AT20" s="960"/>
      <c r="AU20" s="967"/>
      <c r="AV20" s="965"/>
      <c r="AW20" s="959"/>
      <c r="AX20" s="968"/>
      <c r="AY20" s="965"/>
      <c r="AZ20" s="959"/>
      <c r="BA20" s="959" t="str">
        <f>VLOOKUP(I20,'[1] RFC'!$1:$1048576,2,0)</f>
        <v>FCP0702164I3</v>
      </c>
      <c r="BB20" s="969">
        <v>43160</v>
      </c>
      <c r="BC20" s="969">
        <v>43160</v>
      </c>
      <c r="BD20" s="969">
        <v>43160</v>
      </c>
      <c r="BE20" s="970">
        <v>43228</v>
      </c>
      <c r="BF20" s="969">
        <v>43250</v>
      </c>
      <c r="BG20" s="970" t="s">
        <v>334</v>
      </c>
      <c r="BH20" s="971" t="e">
        <f>NETWORKDAYS(BE20,BF20,#REF!)</f>
        <v>#REF!</v>
      </c>
      <c r="BI20" s="970" t="s">
        <v>335</v>
      </c>
      <c r="BJ20" s="970" t="s">
        <v>336</v>
      </c>
      <c r="BK20" s="969" t="s">
        <v>161</v>
      </c>
      <c r="BL20" s="969">
        <v>43257</v>
      </c>
      <c r="BM20" s="969">
        <v>43243</v>
      </c>
      <c r="BN20" s="969">
        <v>43236</v>
      </c>
      <c r="BO20" s="972">
        <v>43248</v>
      </c>
      <c r="BP20" s="970">
        <v>43242</v>
      </c>
      <c r="BQ20" s="974"/>
    </row>
    <row r="21" spans="1:69" s="591" customFormat="1" ht="60" x14ac:dyDescent="0.25">
      <c r="A21" s="959" t="s">
        <v>340</v>
      </c>
      <c r="B21" s="960">
        <v>19</v>
      </c>
      <c r="C21" s="959" t="s">
        <v>149</v>
      </c>
      <c r="D21" s="959" t="s">
        <v>311</v>
      </c>
      <c r="E21" s="567" t="s">
        <v>163</v>
      </c>
      <c r="F21" s="960" t="s">
        <v>312</v>
      </c>
      <c r="G21" s="567" t="s">
        <v>163</v>
      </c>
      <c r="H21" s="960" t="s">
        <v>313</v>
      </c>
      <c r="I21" s="275" t="s">
        <v>341</v>
      </c>
      <c r="J21" s="590"/>
      <c r="K21" s="590"/>
      <c r="L21" s="590"/>
      <c r="M21" s="375" t="str">
        <f t="shared" si="0"/>
        <v xml:space="preserve">Detección y Supresión Inteligentes, S.A. de C.V.  </v>
      </c>
      <c r="N21" s="959" t="s">
        <v>315</v>
      </c>
      <c r="O21" s="959" t="s">
        <v>316</v>
      </c>
      <c r="P21" s="959" t="s">
        <v>342</v>
      </c>
      <c r="Q21" s="962">
        <v>404818.25</v>
      </c>
      <c r="R21" s="962">
        <f t="shared" si="4"/>
        <v>64770.92</v>
      </c>
      <c r="S21" s="384">
        <f t="shared" si="3"/>
        <v>469589.17</v>
      </c>
      <c r="T21" s="385">
        <v>0</v>
      </c>
      <c r="U21" s="384">
        <f t="shared" si="5"/>
        <v>0</v>
      </c>
      <c r="V21" s="962">
        <f t="shared" si="1"/>
        <v>523737.97</v>
      </c>
      <c r="W21" s="963" t="s">
        <v>156</v>
      </c>
      <c r="X21" s="964">
        <v>43174</v>
      </c>
      <c r="Y21" s="960" t="s">
        <v>234</v>
      </c>
      <c r="Z21" s="964">
        <v>43160</v>
      </c>
      <c r="AA21" s="964">
        <v>43465</v>
      </c>
      <c r="AB21" s="959"/>
      <c r="AC21" s="959"/>
      <c r="AD21" s="960"/>
      <c r="AE21" s="959" t="s">
        <v>343</v>
      </c>
      <c r="AF21" s="963">
        <v>60722.73</v>
      </c>
      <c r="AG21" s="963">
        <v>2000000</v>
      </c>
      <c r="AH21" s="963"/>
      <c r="AI21" s="963"/>
      <c r="AJ21" s="960" t="s">
        <v>183</v>
      </c>
      <c r="AK21" s="959" t="s">
        <v>344</v>
      </c>
      <c r="AL21" s="959" t="s">
        <v>345</v>
      </c>
      <c r="AM21" s="965">
        <v>43356</v>
      </c>
      <c r="AN21" s="962">
        <v>54148.800000000003</v>
      </c>
      <c r="AO21" s="960" t="str">
        <f t="shared" ca="1" si="2"/>
        <v>MUERTO</v>
      </c>
      <c r="AP21" s="960">
        <v>4</v>
      </c>
      <c r="AQ21" s="966">
        <v>9</v>
      </c>
      <c r="AR21" s="960" t="s">
        <v>234</v>
      </c>
      <c r="AS21" s="960"/>
      <c r="AT21" s="960"/>
      <c r="AU21" s="967"/>
      <c r="AV21" s="965"/>
      <c r="AW21" s="959"/>
      <c r="AX21" s="968"/>
      <c r="AY21" s="965"/>
      <c r="AZ21" s="959"/>
      <c r="BA21" s="959" t="str">
        <f>VLOOKUP(I21,'[1] RFC'!$1:$1048576,2,0)</f>
        <v>DSI010223ST6</v>
      </c>
      <c r="BB21" s="969">
        <v>43154</v>
      </c>
      <c r="BC21" s="969">
        <v>43160</v>
      </c>
      <c r="BD21" s="969">
        <v>43180</v>
      </c>
      <c r="BE21" s="970">
        <v>43182</v>
      </c>
      <c r="BF21" s="969">
        <v>43236</v>
      </c>
      <c r="BG21" s="970" t="s">
        <v>346</v>
      </c>
      <c r="BH21" s="971" t="e">
        <f>NETWORKDAYS(BE21,BF21,#REF!)</f>
        <v>#REF!</v>
      </c>
      <c r="BI21" s="970" t="s">
        <v>347</v>
      </c>
      <c r="BJ21" s="970" t="s">
        <v>348</v>
      </c>
      <c r="BK21" s="969" t="s">
        <v>161</v>
      </c>
      <c r="BL21" s="969">
        <v>43306</v>
      </c>
      <c r="BM21" s="969">
        <v>43194</v>
      </c>
      <c r="BN21" s="969">
        <v>43182</v>
      </c>
      <c r="BO21" s="972">
        <v>43213</v>
      </c>
      <c r="BP21" s="970">
        <v>43195</v>
      </c>
      <c r="BQ21" s="974"/>
    </row>
    <row r="22" spans="1:69" s="591" customFormat="1" ht="120" x14ac:dyDescent="0.25">
      <c r="A22" s="959" t="s">
        <v>349</v>
      </c>
      <c r="B22" s="960">
        <v>20</v>
      </c>
      <c r="C22" s="959" t="s">
        <v>149</v>
      </c>
      <c r="D22" s="959" t="s">
        <v>350</v>
      </c>
      <c r="E22" s="4" t="s">
        <v>173</v>
      </c>
      <c r="F22" s="960" t="s">
        <v>174</v>
      </c>
      <c r="G22" s="567"/>
      <c r="H22" s="960" t="s">
        <v>175</v>
      </c>
      <c r="I22" s="275" t="s">
        <v>351</v>
      </c>
      <c r="J22" s="590"/>
      <c r="K22" s="590"/>
      <c r="L22" s="590"/>
      <c r="M22" s="375" t="str">
        <f t="shared" si="0"/>
        <v xml:space="preserve">Alos Mantenimiento Integral, S.A. de C.V.  </v>
      </c>
      <c r="N22" s="959" t="s">
        <v>198</v>
      </c>
      <c r="O22" s="959" t="s">
        <v>352</v>
      </c>
      <c r="P22" s="959" t="s">
        <v>353</v>
      </c>
      <c r="Q22" s="962">
        <v>1145297.8700000001</v>
      </c>
      <c r="R22" s="962">
        <f t="shared" si="4"/>
        <v>183247.65920000002</v>
      </c>
      <c r="S22" s="384">
        <f t="shared" si="3"/>
        <v>1328545.5292000002</v>
      </c>
      <c r="T22" s="385">
        <v>458119.15</v>
      </c>
      <c r="U22" s="384">
        <f t="shared" si="5"/>
        <v>531418.21400000004</v>
      </c>
      <c r="V22" s="962">
        <f t="shared" si="1"/>
        <v>1328545.5292000002</v>
      </c>
      <c r="W22" s="963" t="s">
        <v>156</v>
      </c>
      <c r="X22" s="964">
        <v>43160</v>
      </c>
      <c r="Y22" s="960" t="s">
        <v>234</v>
      </c>
      <c r="Z22" s="964">
        <v>43160</v>
      </c>
      <c r="AA22" s="964">
        <v>43524</v>
      </c>
      <c r="AB22" s="959"/>
      <c r="AC22" s="959"/>
      <c r="AD22" s="960"/>
      <c r="AE22" s="959" t="s">
        <v>292</v>
      </c>
      <c r="AF22" s="963">
        <v>171794.68</v>
      </c>
      <c r="AG22" s="963">
        <v>343590</v>
      </c>
      <c r="AH22" s="963"/>
      <c r="AI22" s="963"/>
      <c r="AJ22" s="960" t="s">
        <v>183</v>
      </c>
      <c r="AK22" s="959" t="s">
        <v>354</v>
      </c>
      <c r="AL22" s="959" t="s">
        <v>355</v>
      </c>
      <c r="AM22" s="965">
        <v>43472</v>
      </c>
      <c r="AN22" s="962">
        <v>0</v>
      </c>
      <c r="AO22" s="960" t="str">
        <f t="shared" ca="1" si="2"/>
        <v>MUERTO</v>
      </c>
      <c r="AP22" s="960">
        <v>4</v>
      </c>
      <c r="AQ22" s="960"/>
      <c r="AR22" s="960" t="s">
        <v>234</v>
      </c>
      <c r="AS22" s="960"/>
      <c r="AT22" s="960"/>
      <c r="AU22" s="967"/>
      <c r="AV22" s="965"/>
      <c r="AW22" s="959"/>
      <c r="AX22" s="968"/>
      <c r="AY22" s="965"/>
      <c r="AZ22" s="959"/>
      <c r="BA22" s="959" t="str">
        <f>VLOOKUP(I22,'[1] RFC'!$1:$1048576,2,0)</f>
        <v>AMI0512018U5</v>
      </c>
      <c r="BB22" s="969">
        <v>43157</v>
      </c>
      <c r="BC22" s="969">
        <v>43160</v>
      </c>
      <c r="BD22" s="969">
        <v>43165</v>
      </c>
      <c r="BE22" s="970">
        <v>43167</v>
      </c>
      <c r="BF22" s="969">
        <v>43227</v>
      </c>
      <c r="BG22" s="970" t="s">
        <v>356</v>
      </c>
      <c r="BH22" s="971" t="e">
        <f>NETWORKDAYS(BE22,BF22,#REF!)</f>
        <v>#REF!</v>
      </c>
      <c r="BI22" s="970" t="s">
        <v>356</v>
      </c>
      <c r="BJ22" s="970" t="s">
        <v>357</v>
      </c>
      <c r="BK22" s="970" t="s">
        <v>358</v>
      </c>
      <c r="BL22" s="969">
        <v>43279</v>
      </c>
      <c r="BM22" s="969">
        <v>43180</v>
      </c>
      <c r="BN22" s="969">
        <v>43180</v>
      </c>
      <c r="BO22" s="972">
        <v>43195</v>
      </c>
      <c r="BP22" s="970">
        <v>43180</v>
      </c>
      <c r="BQ22" s="974"/>
    </row>
    <row r="23" spans="1:69" s="591" customFormat="1" ht="60" x14ac:dyDescent="0.25">
      <c r="A23" s="959" t="s">
        <v>359</v>
      </c>
      <c r="B23" s="960">
        <v>21</v>
      </c>
      <c r="C23" s="959" t="s">
        <v>149</v>
      </c>
      <c r="D23" s="959" t="s">
        <v>360</v>
      </c>
      <c r="E23" s="567" t="s">
        <v>163</v>
      </c>
      <c r="F23" s="960" t="s">
        <v>312</v>
      </c>
      <c r="G23" s="567" t="s">
        <v>163</v>
      </c>
      <c r="H23" s="960" t="s">
        <v>313</v>
      </c>
      <c r="I23" s="275" t="s">
        <v>361</v>
      </c>
      <c r="J23" s="590"/>
      <c r="K23" s="590"/>
      <c r="L23" s="590"/>
      <c r="M23" s="375" t="str">
        <f t="shared" si="0"/>
        <v xml:space="preserve">Millenium Technologies, S.A. de C.V.  </v>
      </c>
      <c r="N23" s="959" t="s">
        <v>209</v>
      </c>
      <c r="O23" s="959" t="s">
        <v>210</v>
      </c>
      <c r="P23" s="959" t="s">
        <v>362</v>
      </c>
      <c r="Q23" s="962">
        <v>4560000</v>
      </c>
      <c r="R23" s="962">
        <f t="shared" si="4"/>
        <v>729600</v>
      </c>
      <c r="S23" s="384">
        <f t="shared" si="3"/>
        <v>5289600</v>
      </c>
      <c r="T23" s="385">
        <v>0</v>
      </c>
      <c r="U23" s="384">
        <f t="shared" si="5"/>
        <v>0</v>
      </c>
      <c r="V23" s="962">
        <f t="shared" si="1"/>
        <v>5289600</v>
      </c>
      <c r="W23" s="963" t="s">
        <v>183</v>
      </c>
      <c r="X23" s="964">
        <v>43160</v>
      </c>
      <c r="Y23" s="960" t="s">
        <v>234</v>
      </c>
      <c r="Z23" s="964">
        <v>43160</v>
      </c>
      <c r="AA23" s="964">
        <v>43524</v>
      </c>
      <c r="AB23" s="959"/>
      <c r="AC23" s="959"/>
      <c r="AD23" s="960"/>
      <c r="AE23" s="959" t="s">
        <v>363</v>
      </c>
      <c r="AF23" s="963"/>
      <c r="AG23" s="963"/>
      <c r="AH23" s="963"/>
      <c r="AI23" s="963"/>
      <c r="AJ23" s="960" t="s">
        <v>156</v>
      </c>
      <c r="AK23" s="959"/>
      <c r="AL23" s="959"/>
      <c r="AM23" s="965"/>
      <c r="AN23" s="962"/>
      <c r="AO23" s="960" t="str">
        <f t="shared" ca="1" si="2"/>
        <v>MUERTO</v>
      </c>
      <c r="AP23" s="960">
        <v>4</v>
      </c>
      <c r="AQ23" s="960"/>
      <c r="AR23" s="960" t="s">
        <v>234</v>
      </c>
      <c r="AS23" s="960"/>
      <c r="AT23" s="960"/>
      <c r="AU23" s="967"/>
      <c r="AV23" s="965"/>
      <c r="AW23" s="959"/>
      <c r="AX23" s="968"/>
      <c r="AY23" s="965"/>
      <c r="AZ23" s="959"/>
      <c r="BA23" s="959" t="str">
        <f>VLOOKUP(I23,'[1] RFC'!$1:$1048576,2,0)</f>
        <v>MTE000615LF6</v>
      </c>
      <c r="BB23" s="969">
        <v>43145</v>
      </c>
      <c r="BC23" s="969">
        <v>43160</v>
      </c>
      <c r="BD23" s="969">
        <v>43165</v>
      </c>
      <c r="BE23" s="970">
        <v>43172</v>
      </c>
      <c r="BF23" s="969">
        <v>43186</v>
      </c>
      <c r="BG23" s="970" t="s">
        <v>364</v>
      </c>
      <c r="BH23" s="971" t="e">
        <f>NETWORKDAYS(BE23,BF23,#REF!)</f>
        <v>#REF!</v>
      </c>
      <c r="BI23" s="970" t="s">
        <v>365</v>
      </c>
      <c r="BJ23" s="970" t="s">
        <v>366</v>
      </c>
      <c r="BK23" s="969" t="s">
        <v>161</v>
      </c>
      <c r="BL23" s="969">
        <v>43220</v>
      </c>
      <c r="BM23" s="969">
        <v>43182</v>
      </c>
      <c r="BN23" s="969">
        <v>43175</v>
      </c>
      <c r="BO23" s="972">
        <v>43186</v>
      </c>
      <c r="BP23" s="970" t="s">
        <v>186</v>
      </c>
      <c r="BQ23" s="974"/>
    </row>
    <row r="24" spans="1:69" s="592" customFormat="1" ht="60" x14ac:dyDescent="0.25">
      <c r="A24" s="959" t="s">
        <v>367</v>
      </c>
      <c r="B24" s="960">
        <v>22</v>
      </c>
      <c r="C24" s="959" t="s">
        <v>225</v>
      </c>
      <c r="D24" s="959" t="s">
        <v>368</v>
      </c>
      <c r="E24" s="4" t="s">
        <v>173</v>
      </c>
      <c r="F24" s="960" t="s">
        <v>174</v>
      </c>
      <c r="G24" s="567"/>
      <c r="H24" s="960" t="s">
        <v>175</v>
      </c>
      <c r="I24" s="275" t="s">
        <v>369</v>
      </c>
      <c r="J24" s="590"/>
      <c r="K24" s="590"/>
      <c r="L24" s="590"/>
      <c r="M24" s="375" t="str">
        <f t="shared" si="0"/>
        <v xml:space="preserve">Si Vale México, S.A. de C.V.  </v>
      </c>
      <c r="N24" s="959" t="s">
        <v>370</v>
      </c>
      <c r="O24" s="959" t="s">
        <v>370</v>
      </c>
      <c r="P24" s="959" t="s">
        <v>371</v>
      </c>
      <c r="Q24" s="962">
        <v>47553223.859999999</v>
      </c>
      <c r="R24" s="962">
        <v>0</v>
      </c>
      <c r="S24" s="384">
        <f t="shared" si="3"/>
        <v>47553223.859999999</v>
      </c>
      <c r="T24" s="385">
        <v>30864783</v>
      </c>
      <c r="U24" s="384">
        <f t="shared" si="5"/>
        <v>35803148.280000001</v>
      </c>
      <c r="V24" s="962">
        <f t="shared" si="1"/>
        <v>35023402</v>
      </c>
      <c r="W24" s="963" t="s">
        <v>156</v>
      </c>
      <c r="X24" s="964">
        <v>43160</v>
      </c>
      <c r="Y24" s="960" t="s">
        <v>234</v>
      </c>
      <c r="Z24" s="964">
        <v>43160</v>
      </c>
      <c r="AA24" s="964">
        <v>43465</v>
      </c>
      <c r="AB24" s="959"/>
      <c r="AC24" s="959"/>
      <c r="AD24" s="960"/>
      <c r="AE24" s="959" t="s">
        <v>372</v>
      </c>
      <c r="AF24" s="963">
        <v>7132983.5700000003</v>
      </c>
      <c r="AG24" s="963"/>
      <c r="AH24" s="963"/>
      <c r="AI24" s="963"/>
      <c r="AJ24" s="960" t="s">
        <v>156</v>
      </c>
      <c r="AK24" s="959" t="s">
        <v>373</v>
      </c>
      <c r="AL24" s="959" t="s">
        <v>374</v>
      </c>
      <c r="AM24" s="965">
        <v>43396</v>
      </c>
      <c r="AN24" s="962">
        <v>-12529821.859999999</v>
      </c>
      <c r="AO24" s="960" t="str">
        <f t="shared" ca="1" si="2"/>
        <v>MUERTO</v>
      </c>
      <c r="AP24" s="960">
        <v>4</v>
      </c>
      <c r="AQ24" s="960">
        <v>11</v>
      </c>
      <c r="AR24" s="960" t="s">
        <v>234</v>
      </c>
      <c r="AS24" s="960"/>
      <c r="AT24" s="960"/>
      <c r="AU24" s="967"/>
      <c r="AV24" s="965"/>
      <c r="AW24" s="959"/>
      <c r="AX24" s="968"/>
      <c r="AY24" s="965"/>
      <c r="AZ24" s="959"/>
      <c r="BA24" s="959" t="e">
        <f>VLOOKUP(I24,'[1] RFC'!$1:$1048576,2,0)</f>
        <v>#N/A</v>
      </c>
      <c r="BB24" s="969">
        <v>43159</v>
      </c>
      <c r="BC24" s="969">
        <v>43160</v>
      </c>
      <c r="BD24" s="969">
        <v>43168</v>
      </c>
      <c r="BE24" s="970">
        <v>43173</v>
      </c>
      <c r="BF24" s="969">
        <v>43186</v>
      </c>
      <c r="BG24" s="969">
        <v>43186</v>
      </c>
      <c r="BH24" s="971" t="e">
        <f>NETWORKDAYS(BE24,BF24,#REF!)</f>
        <v>#REF!</v>
      </c>
      <c r="BI24" s="969">
        <v>43195</v>
      </c>
      <c r="BJ24" s="969">
        <v>43208</v>
      </c>
      <c r="BK24" s="969" t="s">
        <v>161</v>
      </c>
      <c r="BL24" s="969">
        <v>43203</v>
      </c>
      <c r="BM24" s="969">
        <v>43203</v>
      </c>
      <c r="BN24" s="969">
        <v>43200</v>
      </c>
      <c r="BO24" s="972">
        <v>43222</v>
      </c>
      <c r="BP24" s="970" t="s">
        <v>186</v>
      </c>
      <c r="BQ24" s="974"/>
    </row>
    <row r="25" spans="1:69" s="591" customFormat="1" ht="75" x14ac:dyDescent="0.25">
      <c r="A25" s="959" t="s">
        <v>375</v>
      </c>
      <c r="B25" s="960">
        <v>23</v>
      </c>
      <c r="C25" s="959" t="s">
        <v>225</v>
      </c>
      <c r="D25" s="959" t="s">
        <v>376</v>
      </c>
      <c r="E25" s="4" t="s">
        <v>173</v>
      </c>
      <c r="F25" s="960" t="s">
        <v>174</v>
      </c>
      <c r="G25" s="567"/>
      <c r="H25" s="960" t="s">
        <v>175</v>
      </c>
      <c r="I25" s="275" t="s">
        <v>377</v>
      </c>
      <c r="J25" s="590"/>
      <c r="K25" s="590"/>
      <c r="L25" s="590"/>
      <c r="M25" s="375" t="str">
        <f t="shared" si="0"/>
        <v xml:space="preserve">SANIPAP de México, S.A. de C.V.  </v>
      </c>
      <c r="N25" s="959" t="s">
        <v>198</v>
      </c>
      <c r="O25" s="959" t="s">
        <v>378</v>
      </c>
      <c r="P25" s="959" t="s">
        <v>379</v>
      </c>
      <c r="Q25" s="962">
        <v>1908922.41</v>
      </c>
      <c r="R25" s="962">
        <f t="shared" ref="R25:R47" si="6">Q25*0.16</f>
        <v>305427.58559999999</v>
      </c>
      <c r="S25" s="384">
        <f t="shared" si="3"/>
        <v>2214349.9956</v>
      </c>
      <c r="T25" s="385">
        <v>763568.96</v>
      </c>
      <c r="U25" s="384">
        <f t="shared" si="5"/>
        <v>885739.99359999993</v>
      </c>
      <c r="V25" s="962">
        <f t="shared" si="1"/>
        <v>2214349.9956</v>
      </c>
      <c r="W25" s="963" t="s">
        <v>156</v>
      </c>
      <c r="X25" s="964">
        <v>43160</v>
      </c>
      <c r="Y25" s="960" t="s">
        <v>234</v>
      </c>
      <c r="Z25" s="964">
        <v>43160</v>
      </c>
      <c r="AA25" s="964">
        <v>43524</v>
      </c>
      <c r="AB25" s="959"/>
      <c r="AC25" s="959"/>
      <c r="AD25" s="960"/>
      <c r="AE25" s="959" t="s">
        <v>372</v>
      </c>
      <c r="AF25" s="963"/>
      <c r="AG25" s="963"/>
      <c r="AH25" s="963"/>
      <c r="AI25" s="963"/>
      <c r="AJ25" s="960" t="s">
        <v>156</v>
      </c>
      <c r="AK25" s="959" t="s">
        <v>380</v>
      </c>
      <c r="AL25" s="959" t="s">
        <v>381</v>
      </c>
      <c r="AM25" s="965">
        <v>43452</v>
      </c>
      <c r="AN25" s="962">
        <v>0</v>
      </c>
      <c r="AO25" s="960" t="str">
        <f t="shared" ca="1" si="2"/>
        <v>MUERTO</v>
      </c>
      <c r="AP25" s="960">
        <v>4</v>
      </c>
      <c r="AQ25" s="960"/>
      <c r="AR25" s="960" t="s">
        <v>234</v>
      </c>
      <c r="AS25" s="960"/>
      <c r="AT25" s="960"/>
      <c r="AU25" s="967"/>
      <c r="AV25" s="965"/>
      <c r="AW25" s="959"/>
      <c r="AX25" s="968"/>
      <c r="AY25" s="965"/>
      <c r="AZ25" s="959"/>
      <c r="BA25" s="959" t="str">
        <f>VLOOKUP(I25,'[1] RFC'!$1:$1048576,2,0)</f>
        <v>SME0608184Z2</v>
      </c>
      <c r="BB25" s="969">
        <v>43160</v>
      </c>
      <c r="BC25" s="969">
        <v>43161</v>
      </c>
      <c r="BD25" s="969">
        <v>43168</v>
      </c>
      <c r="BE25" s="970">
        <v>43173</v>
      </c>
      <c r="BF25" s="969">
        <v>43245</v>
      </c>
      <c r="BG25" s="969">
        <v>43245</v>
      </c>
      <c r="BH25" s="971" t="e">
        <f>NETWORKDAYS(BE25,BF25,#REF!)</f>
        <v>#REF!</v>
      </c>
      <c r="BI25" s="969">
        <v>43248</v>
      </c>
      <c r="BJ25" s="969">
        <v>43251</v>
      </c>
      <c r="BK25" s="969" t="s">
        <v>161</v>
      </c>
      <c r="BL25" s="969">
        <v>43255</v>
      </c>
      <c r="BM25" s="969">
        <v>43220</v>
      </c>
      <c r="BN25" s="969">
        <v>43215</v>
      </c>
      <c r="BO25" s="972">
        <v>43245</v>
      </c>
      <c r="BP25" s="970">
        <v>43217</v>
      </c>
      <c r="BQ25" s="974"/>
    </row>
    <row r="26" spans="1:69" s="591" customFormat="1" ht="240" x14ac:dyDescent="0.25">
      <c r="A26" s="959" t="s">
        <v>382</v>
      </c>
      <c r="B26" s="960">
        <v>24</v>
      </c>
      <c r="C26" s="959" t="s">
        <v>225</v>
      </c>
      <c r="D26" s="959" t="s">
        <v>383</v>
      </c>
      <c r="E26" s="4" t="s">
        <v>173</v>
      </c>
      <c r="F26" s="960" t="s">
        <v>174</v>
      </c>
      <c r="G26" s="567"/>
      <c r="H26" s="960" t="s">
        <v>175</v>
      </c>
      <c r="I26" s="275"/>
      <c r="J26" s="590" t="s">
        <v>384</v>
      </c>
      <c r="K26" s="590" t="s">
        <v>259</v>
      </c>
      <c r="L26" s="590" t="s">
        <v>385</v>
      </c>
      <c r="M26" s="375" t="str">
        <f t="shared" si="0"/>
        <v>Mario Alberto Contreras García</v>
      </c>
      <c r="N26" s="959" t="s">
        <v>301</v>
      </c>
      <c r="O26" s="959" t="s">
        <v>302</v>
      </c>
      <c r="P26" s="959" t="s">
        <v>386</v>
      </c>
      <c r="Q26" s="962">
        <v>1031747.43</v>
      </c>
      <c r="R26" s="962">
        <f t="shared" si="6"/>
        <v>165079.5888</v>
      </c>
      <c r="S26" s="384">
        <f t="shared" si="3"/>
        <v>1196827.0188</v>
      </c>
      <c r="T26" s="385">
        <v>412698.98</v>
      </c>
      <c r="U26" s="384">
        <f t="shared" si="5"/>
        <v>478730.81679999997</v>
      </c>
      <c r="V26" s="977">
        <f t="shared" si="1"/>
        <v>1436192.4087999999</v>
      </c>
      <c r="W26" s="963" t="s">
        <v>156</v>
      </c>
      <c r="X26" s="964">
        <v>43160</v>
      </c>
      <c r="Y26" s="960" t="s">
        <v>234</v>
      </c>
      <c r="Z26" s="964">
        <v>43160</v>
      </c>
      <c r="AA26" s="964">
        <v>43555</v>
      </c>
      <c r="AB26" s="959"/>
      <c r="AC26" s="959"/>
      <c r="AD26" s="960"/>
      <c r="AE26" s="959" t="s">
        <v>372</v>
      </c>
      <c r="AF26" s="963">
        <v>154762.10999999999</v>
      </c>
      <c r="AG26" s="963"/>
      <c r="AH26" s="963"/>
      <c r="AI26" s="963"/>
      <c r="AJ26" s="960" t="s">
        <v>183</v>
      </c>
      <c r="AK26" s="959" t="s">
        <v>387</v>
      </c>
      <c r="AL26" s="959" t="s">
        <v>388</v>
      </c>
      <c r="AM26" s="965" t="s">
        <v>389</v>
      </c>
      <c r="AN26" s="962">
        <v>239365.39</v>
      </c>
      <c r="AO26" s="960" t="str">
        <f t="shared" ca="1" si="2"/>
        <v>MUERTO</v>
      </c>
      <c r="AP26" s="960">
        <v>4</v>
      </c>
      <c r="AQ26" s="960"/>
      <c r="AR26" s="960" t="s">
        <v>234</v>
      </c>
      <c r="AS26" s="960"/>
      <c r="AT26" s="960"/>
      <c r="AU26" s="967"/>
      <c r="AV26" s="965"/>
      <c r="AW26" s="959"/>
      <c r="AX26" s="968"/>
      <c r="AY26" s="965"/>
      <c r="AZ26" s="959"/>
      <c r="BA26" s="959" t="e">
        <f>VLOOKUP(I26,'[1] RFC'!$1:$1048576,2,0)</f>
        <v>#N/A</v>
      </c>
      <c r="BB26" s="969">
        <v>43160</v>
      </c>
      <c r="BC26" s="969">
        <v>43161</v>
      </c>
      <c r="BD26" s="969">
        <v>43168</v>
      </c>
      <c r="BE26" s="970">
        <v>43171</v>
      </c>
      <c r="BF26" s="969">
        <v>43194</v>
      </c>
      <c r="BG26" s="969">
        <v>43194</v>
      </c>
      <c r="BH26" s="971" t="e">
        <f>NETWORKDAYS(BE26,BF26,#REF!)</f>
        <v>#REF!</v>
      </c>
      <c r="BI26" s="969">
        <v>43195</v>
      </c>
      <c r="BJ26" s="969">
        <v>43200</v>
      </c>
      <c r="BK26" s="969" t="s">
        <v>161</v>
      </c>
      <c r="BL26" s="969">
        <v>43202</v>
      </c>
      <c r="BM26" s="969">
        <v>43186</v>
      </c>
      <c r="BN26" s="969">
        <v>43180</v>
      </c>
      <c r="BO26" s="972">
        <v>43194</v>
      </c>
      <c r="BP26" s="970">
        <v>43182</v>
      </c>
      <c r="BQ26" s="974"/>
    </row>
    <row r="27" spans="1:69" s="591" customFormat="1" ht="105" x14ac:dyDescent="0.25">
      <c r="A27" s="959" t="s">
        <v>390</v>
      </c>
      <c r="B27" s="960">
        <v>25</v>
      </c>
      <c r="C27" s="959" t="s">
        <v>225</v>
      </c>
      <c r="D27" s="959" t="s">
        <v>391</v>
      </c>
      <c r="E27" s="4" t="s">
        <v>173</v>
      </c>
      <c r="F27" s="960" t="s">
        <v>326</v>
      </c>
      <c r="G27" s="567"/>
      <c r="H27" s="960" t="s">
        <v>175</v>
      </c>
      <c r="I27" s="275"/>
      <c r="J27" s="590" t="s">
        <v>392</v>
      </c>
      <c r="K27" s="590" t="s">
        <v>393</v>
      </c>
      <c r="L27" s="590" t="s">
        <v>394</v>
      </c>
      <c r="M27" s="375" t="str">
        <f t="shared" si="0"/>
        <v>Roberto Martínez Castro</v>
      </c>
      <c r="N27" s="959" t="s">
        <v>395</v>
      </c>
      <c r="O27" s="959" t="s">
        <v>396</v>
      </c>
      <c r="P27" s="959" t="s">
        <v>397</v>
      </c>
      <c r="Q27" s="962">
        <v>2700569.05</v>
      </c>
      <c r="R27" s="962">
        <f t="shared" si="6"/>
        <v>432091.04799999995</v>
      </c>
      <c r="S27" s="384">
        <f t="shared" si="3"/>
        <v>3132660.0979999998</v>
      </c>
      <c r="T27" s="385">
        <v>1080227.6100000001</v>
      </c>
      <c r="U27" s="384">
        <f t="shared" si="5"/>
        <v>1253064.0276000001</v>
      </c>
      <c r="V27" s="962">
        <f t="shared" si="1"/>
        <v>3132660.0979999998</v>
      </c>
      <c r="W27" s="963" t="s">
        <v>156</v>
      </c>
      <c r="X27" s="964">
        <v>43166</v>
      </c>
      <c r="Y27" s="960" t="s">
        <v>234</v>
      </c>
      <c r="Z27" s="964">
        <v>43160</v>
      </c>
      <c r="AA27" s="964">
        <v>43465</v>
      </c>
      <c r="AB27" s="959"/>
      <c r="AC27" s="959"/>
      <c r="AD27" s="960"/>
      <c r="AE27" s="959" t="s">
        <v>372</v>
      </c>
      <c r="AF27" s="963">
        <v>405085.35</v>
      </c>
      <c r="AG27" s="963"/>
      <c r="AH27" s="963"/>
      <c r="AI27" s="963"/>
      <c r="AJ27" s="960" t="s">
        <v>183</v>
      </c>
      <c r="AK27" s="959"/>
      <c r="AL27" s="959"/>
      <c r="AM27" s="965"/>
      <c r="AN27" s="962"/>
      <c r="AO27" s="960" t="str">
        <f t="shared" ca="1" si="2"/>
        <v>MUERTO</v>
      </c>
      <c r="AP27" s="960">
        <v>4</v>
      </c>
      <c r="AQ27" s="960"/>
      <c r="AR27" s="960" t="s">
        <v>234</v>
      </c>
      <c r="AS27" s="960"/>
      <c r="AT27" s="960"/>
      <c r="AU27" s="967"/>
      <c r="AV27" s="965"/>
      <c r="AW27" s="959"/>
      <c r="AX27" s="968"/>
      <c r="AY27" s="965"/>
      <c r="AZ27" s="959"/>
      <c r="BA27" s="959" t="e">
        <f>VLOOKUP(I27,'[1] RFC'!$1:$1048576,2,0)</f>
        <v>#N/A</v>
      </c>
      <c r="BB27" s="969">
        <v>43160</v>
      </c>
      <c r="BC27" s="969">
        <v>43161</v>
      </c>
      <c r="BD27" s="969">
        <v>43172</v>
      </c>
      <c r="BE27" s="970">
        <v>43173</v>
      </c>
      <c r="BF27" s="969">
        <v>43192</v>
      </c>
      <c r="BG27" s="969">
        <v>43192</v>
      </c>
      <c r="BH27" s="971" t="e">
        <f>NETWORKDAYS(BE27,BF27,#REF!)</f>
        <v>#REF!</v>
      </c>
      <c r="BI27" s="969">
        <v>43195</v>
      </c>
      <c r="BJ27" s="969">
        <v>43200</v>
      </c>
      <c r="BK27" s="969" t="s">
        <v>161</v>
      </c>
      <c r="BL27" s="969">
        <v>43229</v>
      </c>
      <c r="BM27" s="969">
        <v>43229</v>
      </c>
      <c r="BN27" s="969">
        <v>43227</v>
      </c>
      <c r="BO27" s="972">
        <v>43228</v>
      </c>
      <c r="BP27" s="970">
        <v>43228</v>
      </c>
      <c r="BQ27" s="974"/>
    </row>
    <row r="28" spans="1:69" s="591" customFormat="1" ht="75" x14ac:dyDescent="0.25">
      <c r="A28" s="959" t="s">
        <v>398</v>
      </c>
      <c r="B28" s="960">
        <v>26</v>
      </c>
      <c r="C28" s="959" t="s">
        <v>149</v>
      </c>
      <c r="D28" s="959" t="s">
        <v>399</v>
      </c>
      <c r="E28" s="4" t="s">
        <v>173</v>
      </c>
      <c r="F28" s="960" t="s">
        <v>174</v>
      </c>
      <c r="G28" s="567"/>
      <c r="H28" s="960" t="s">
        <v>175</v>
      </c>
      <c r="I28" s="275" t="s">
        <v>400</v>
      </c>
      <c r="J28" s="590"/>
      <c r="K28" s="590"/>
      <c r="L28" s="590"/>
      <c r="M28" s="375" t="str">
        <f t="shared" si="0"/>
        <v xml:space="preserve">ATML, S.A. de C.V.  </v>
      </c>
      <c r="N28" s="959" t="s">
        <v>209</v>
      </c>
      <c r="O28" s="959" t="s">
        <v>210</v>
      </c>
      <c r="P28" s="959" t="s">
        <v>401</v>
      </c>
      <c r="Q28" s="962">
        <v>14756918.800000001</v>
      </c>
      <c r="R28" s="962">
        <f t="shared" si="6"/>
        <v>2361107.0080000004</v>
      </c>
      <c r="S28" s="384">
        <f t="shared" si="3"/>
        <v>17118025.808000002</v>
      </c>
      <c r="T28" s="385">
        <v>0</v>
      </c>
      <c r="U28" s="384">
        <f t="shared" si="5"/>
        <v>0</v>
      </c>
      <c r="V28" s="962">
        <f t="shared" si="1"/>
        <v>17118025.808000002</v>
      </c>
      <c r="W28" s="963" t="s">
        <v>183</v>
      </c>
      <c r="X28" s="964">
        <v>43166</v>
      </c>
      <c r="Y28" s="960" t="s">
        <v>234</v>
      </c>
      <c r="Z28" s="964">
        <v>43160</v>
      </c>
      <c r="AA28" s="964">
        <v>43524</v>
      </c>
      <c r="AB28" s="959"/>
      <c r="AC28" s="959"/>
      <c r="AD28" s="960"/>
      <c r="AE28" s="959" t="s">
        <v>402</v>
      </c>
      <c r="AF28" s="963">
        <v>2213537.8199999998</v>
      </c>
      <c r="AG28" s="963">
        <v>1475691.88</v>
      </c>
      <c r="AH28" s="963"/>
      <c r="AI28" s="963"/>
      <c r="AJ28" s="960" t="s">
        <v>183</v>
      </c>
      <c r="AK28" s="959"/>
      <c r="AL28" s="959"/>
      <c r="AM28" s="965"/>
      <c r="AN28" s="962"/>
      <c r="AO28" s="960" t="str">
        <f t="shared" ca="1" si="2"/>
        <v>MUERTO</v>
      </c>
      <c r="AP28" s="960">
        <v>4</v>
      </c>
      <c r="AQ28" s="960"/>
      <c r="AR28" s="960" t="s">
        <v>234</v>
      </c>
      <c r="AS28" s="960"/>
      <c r="AT28" s="960"/>
      <c r="AU28" s="967"/>
      <c r="AV28" s="965"/>
      <c r="AW28" s="959"/>
      <c r="AX28" s="968"/>
      <c r="AY28" s="965"/>
      <c r="AZ28" s="959"/>
      <c r="BA28" s="959" t="str">
        <f>VLOOKUP(I28,'[1] RFC'!$1:$1048576,2,0)</f>
        <v>ATM131008EM0</v>
      </c>
      <c r="BB28" s="969">
        <v>43157</v>
      </c>
      <c r="BC28" s="969">
        <v>43160</v>
      </c>
      <c r="BD28" s="969">
        <v>43172</v>
      </c>
      <c r="BE28" s="970">
        <v>43172</v>
      </c>
      <c r="BF28" s="969">
        <v>43185</v>
      </c>
      <c r="BG28" s="970" t="s">
        <v>403</v>
      </c>
      <c r="BH28" s="971" t="e">
        <f>NETWORKDAYS(BE28,BF28,#REF!)</f>
        <v>#REF!</v>
      </c>
      <c r="BI28" s="970" t="s">
        <v>404</v>
      </c>
      <c r="BJ28" s="970" t="s">
        <v>405</v>
      </c>
      <c r="BK28" s="969" t="s">
        <v>161</v>
      </c>
      <c r="BL28" s="969">
        <v>43287</v>
      </c>
      <c r="BM28" s="969">
        <v>43182</v>
      </c>
      <c r="BN28" s="969">
        <v>43175</v>
      </c>
      <c r="BO28" s="972" t="s">
        <v>205</v>
      </c>
      <c r="BP28" s="970" t="s">
        <v>186</v>
      </c>
      <c r="BQ28" s="974"/>
    </row>
    <row r="29" spans="1:69" s="591" customFormat="1" ht="240" x14ac:dyDescent="0.25">
      <c r="A29" s="959" t="s">
        <v>406</v>
      </c>
      <c r="B29" s="960">
        <v>27</v>
      </c>
      <c r="C29" s="959" t="s">
        <v>225</v>
      </c>
      <c r="D29" s="959" t="s">
        <v>383</v>
      </c>
      <c r="E29" s="4" t="s">
        <v>173</v>
      </c>
      <c r="F29" s="960" t="s">
        <v>174</v>
      </c>
      <c r="G29" s="567"/>
      <c r="H29" s="960" t="s">
        <v>175</v>
      </c>
      <c r="I29" s="275"/>
      <c r="J29" s="590" t="s">
        <v>407</v>
      </c>
      <c r="K29" s="590" t="s">
        <v>408</v>
      </c>
      <c r="L29" s="590" t="s">
        <v>409</v>
      </c>
      <c r="M29" s="375" t="str">
        <f t="shared" si="0"/>
        <v>Carolina Maldonado Sánchez</v>
      </c>
      <c r="N29" s="959" t="s">
        <v>301</v>
      </c>
      <c r="O29" s="959" t="s">
        <v>302</v>
      </c>
      <c r="P29" s="959" t="s">
        <v>410</v>
      </c>
      <c r="Q29" s="962">
        <v>1719579.05</v>
      </c>
      <c r="R29" s="962">
        <f t="shared" si="6"/>
        <v>275132.64799999999</v>
      </c>
      <c r="S29" s="384">
        <f t="shared" si="3"/>
        <v>1994711.6980000001</v>
      </c>
      <c r="T29" s="385">
        <v>687831.62</v>
      </c>
      <c r="U29" s="384">
        <f t="shared" si="5"/>
        <v>797884.67920000001</v>
      </c>
      <c r="V29" s="962">
        <f t="shared" si="1"/>
        <v>2393654.0180000002</v>
      </c>
      <c r="W29" s="963" t="s">
        <v>156</v>
      </c>
      <c r="X29" s="964">
        <v>43160</v>
      </c>
      <c r="Y29" s="960" t="s">
        <v>234</v>
      </c>
      <c r="Z29" s="964">
        <v>43160</v>
      </c>
      <c r="AA29" s="964">
        <v>43555</v>
      </c>
      <c r="AB29" s="959"/>
      <c r="AC29" s="959"/>
      <c r="AD29" s="960"/>
      <c r="AE29" s="959" t="s">
        <v>372</v>
      </c>
      <c r="AF29" s="963">
        <v>257936.86</v>
      </c>
      <c r="AG29" s="963"/>
      <c r="AH29" s="963"/>
      <c r="AI29" s="963"/>
      <c r="AJ29" s="960" t="s">
        <v>183</v>
      </c>
      <c r="AK29" s="959" t="s">
        <v>411</v>
      </c>
      <c r="AL29" s="959" t="s">
        <v>412</v>
      </c>
      <c r="AM29" s="965" t="s">
        <v>413</v>
      </c>
      <c r="AN29" s="962">
        <v>398942.32</v>
      </c>
      <c r="AO29" s="960" t="str">
        <f t="shared" ca="1" si="2"/>
        <v>MUERTO</v>
      </c>
      <c r="AP29" s="960">
        <v>4</v>
      </c>
      <c r="AQ29" s="960"/>
      <c r="AR29" s="960" t="s">
        <v>234</v>
      </c>
      <c r="AS29" s="960"/>
      <c r="AT29" s="960"/>
      <c r="AU29" s="967"/>
      <c r="AV29" s="965"/>
      <c r="AW29" s="959"/>
      <c r="AX29" s="968"/>
      <c r="AY29" s="965"/>
      <c r="AZ29" s="959"/>
      <c r="BA29" s="959" t="e">
        <f>VLOOKUP(I29,'[1] RFC'!$1:$1048576,2,0)</f>
        <v>#N/A</v>
      </c>
      <c r="BB29" s="969">
        <v>43160</v>
      </c>
      <c r="BC29" s="969">
        <v>43161</v>
      </c>
      <c r="BD29" s="969">
        <v>43168</v>
      </c>
      <c r="BE29" s="970">
        <v>43171</v>
      </c>
      <c r="BF29" s="969">
        <v>43194</v>
      </c>
      <c r="BG29" s="969">
        <v>43194</v>
      </c>
      <c r="BH29" s="971" t="e">
        <f>NETWORKDAYS(BE29,BF29,#REF!)</f>
        <v>#REF!</v>
      </c>
      <c r="BI29" s="969">
        <v>43195</v>
      </c>
      <c r="BJ29" s="969">
        <v>43202</v>
      </c>
      <c r="BK29" s="969" t="s">
        <v>161</v>
      </c>
      <c r="BL29" s="969">
        <v>43203</v>
      </c>
      <c r="BM29" s="969">
        <v>43186</v>
      </c>
      <c r="BN29" s="969">
        <v>43180</v>
      </c>
      <c r="BO29" s="972">
        <v>43194</v>
      </c>
      <c r="BP29" s="970">
        <v>43182</v>
      </c>
      <c r="BQ29" s="974"/>
    </row>
    <row r="30" spans="1:69" s="592" customFormat="1" ht="180" x14ac:dyDescent="0.25">
      <c r="A30" s="959" t="s">
        <v>414</v>
      </c>
      <c r="B30" s="960">
        <v>28</v>
      </c>
      <c r="C30" s="959" t="s">
        <v>149</v>
      </c>
      <c r="D30" s="959" t="s">
        <v>360</v>
      </c>
      <c r="E30" s="567" t="s">
        <v>163</v>
      </c>
      <c r="F30" s="960" t="s">
        <v>312</v>
      </c>
      <c r="G30" s="567" t="s">
        <v>163</v>
      </c>
      <c r="H30" s="960" t="s">
        <v>313</v>
      </c>
      <c r="I30" s="275" t="s">
        <v>415</v>
      </c>
      <c r="J30" s="590"/>
      <c r="K30" s="590"/>
      <c r="L30" s="590"/>
      <c r="M30" s="375" t="str">
        <f t="shared" si="0"/>
        <v xml:space="preserve">Johnson Controls Be Operations México, S. de R.L. de C.V.  </v>
      </c>
      <c r="N30" s="959" t="s">
        <v>198</v>
      </c>
      <c r="O30" s="959" t="s">
        <v>416</v>
      </c>
      <c r="P30" s="959" t="s">
        <v>417</v>
      </c>
      <c r="Q30" s="962">
        <v>4200000</v>
      </c>
      <c r="R30" s="962">
        <f t="shared" si="6"/>
        <v>672000</v>
      </c>
      <c r="S30" s="384">
        <f t="shared" si="3"/>
        <v>4872000</v>
      </c>
      <c r="T30" s="385">
        <v>3289285.2</v>
      </c>
      <c r="U30" s="384">
        <f t="shared" si="5"/>
        <v>3815570.8320000004</v>
      </c>
      <c r="V30" s="962">
        <f t="shared" si="1"/>
        <v>5635114.1600000001</v>
      </c>
      <c r="W30" s="963" t="s">
        <v>156</v>
      </c>
      <c r="X30" s="964">
        <v>43167</v>
      </c>
      <c r="Y30" s="960" t="s">
        <v>234</v>
      </c>
      <c r="Z30" s="964">
        <v>43160</v>
      </c>
      <c r="AA30" s="964">
        <v>43555</v>
      </c>
      <c r="AB30" s="959"/>
      <c r="AC30" s="959"/>
      <c r="AD30" s="960"/>
      <c r="AE30" s="959" t="s">
        <v>318</v>
      </c>
      <c r="AF30" s="963">
        <v>630000</v>
      </c>
      <c r="AG30" s="963">
        <v>4200000</v>
      </c>
      <c r="AH30" s="963"/>
      <c r="AI30" s="963"/>
      <c r="AJ30" s="960" t="s">
        <v>183</v>
      </c>
      <c r="AK30" s="965" t="s">
        <v>418</v>
      </c>
      <c r="AL30" s="959" t="s">
        <v>419</v>
      </c>
      <c r="AM30" s="965" t="s">
        <v>420</v>
      </c>
      <c r="AN30" s="962">
        <v>763114.16</v>
      </c>
      <c r="AO30" s="960" t="str">
        <f t="shared" ca="1" si="2"/>
        <v>MUERTO</v>
      </c>
      <c r="AP30" s="960">
        <v>4</v>
      </c>
      <c r="AQ30" s="960"/>
      <c r="AR30" s="960" t="s">
        <v>234</v>
      </c>
      <c r="AS30" s="960"/>
      <c r="AT30" s="960"/>
      <c r="AU30" s="967"/>
      <c r="AV30" s="965"/>
      <c r="AW30" s="959"/>
      <c r="AX30" s="968"/>
      <c r="AY30" s="965"/>
      <c r="AZ30" s="959"/>
      <c r="BA30" s="959" t="str">
        <f>VLOOKUP(I30,'[1] RFC'!$1:$1048576,2,0)</f>
        <v>JCB100702TQ1</v>
      </c>
      <c r="BB30" s="969">
        <v>43143</v>
      </c>
      <c r="BC30" s="969">
        <v>43166</v>
      </c>
      <c r="BD30" s="969">
        <v>43172</v>
      </c>
      <c r="BE30" s="970">
        <v>43180</v>
      </c>
      <c r="BF30" s="969">
        <v>43236</v>
      </c>
      <c r="BG30" s="970" t="s">
        <v>421</v>
      </c>
      <c r="BH30" s="971" t="e">
        <f>NETWORKDAYS(BE30,BF30,#REF!)</f>
        <v>#REF!</v>
      </c>
      <c r="BI30" s="970" t="s">
        <v>422</v>
      </c>
      <c r="BJ30" s="970" t="s">
        <v>423</v>
      </c>
      <c r="BK30" s="969" t="s">
        <v>161</v>
      </c>
      <c r="BL30" s="969">
        <v>43627</v>
      </c>
      <c r="BM30" s="969">
        <v>43210</v>
      </c>
      <c r="BN30" s="969">
        <v>43200</v>
      </c>
      <c r="BO30" s="972">
        <v>43206</v>
      </c>
      <c r="BP30" s="970">
        <v>43208</v>
      </c>
      <c r="BQ30" s="974"/>
    </row>
    <row r="31" spans="1:69" s="592" customFormat="1" ht="105" x14ac:dyDescent="0.25">
      <c r="A31" s="959" t="s">
        <v>424</v>
      </c>
      <c r="B31" s="960">
        <v>29</v>
      </c>
      <c r="C31" s="959" t="s">
        <v>149</v>
      </c>
      <c r="D31" s="959" t="s">
        <v>425</v>
      </c>
      <c r="E31" s="567" t="s">
        <v>163</v>
      </c>
      <c r="F31" s="960" t="s">
        <v>426</v>
      </c>
      <c r="G31" s="567" t="s">
        <v>163</v>
      </c>
      <c r="H31" s="960" t="s">
        <v>427</v>
      </c>
      <c r="I31" s="275"/>
      <c r="J31" s="590" t="s">
        <v>428</v>
      </c>
      <c r="K31" s="590" t="s">
        <v>429</v>
      </c>
      <c r="L31" s="590" t="s">
        <v>430</v>
      </c>
      <c r="M31" s="375" t="str">
        <f t="shared" si="0"/>
        <v>Adriana de la Paz Reiking Fernández</v>
      </c>
      <c r="N31" s="959" t="s">
        <v>431</v>
      </c>
      <c r="O31" s="959" t="s">
        <v>431</v>
      </c>
      <c r="P31" s="959" t="s">
        <v>432</v>
      </c>
      <c r="Q31" s="962">
        <v>240500</v>
      </c>
      <c r="R31" s="962">
        <f t="shared" si="6"/>
        <v>38480</v>
      </c>
      <c r="S31" s="384">
        <f t="shared" si="3"/>
        <v>278980</v>
      </c>
      <c r="T31" s="385" t="s">
        <v>161</v>
      </c>
      <c r="U31" s="384" t="e">
        <f t="shared" si="5"/>
        <v>#VALUE!</v>
      </c>
      <c r="V31" s="962">
        <f t="shared" si="1"/>
        <v>278980</v>
      </c>
      <c r="W31" s="963" t="s">
        <v>156</v>
      </c>
      <c r="X31" s="964">
        <v>43164</v>
      </c>
      <c r="Y31" s="960" t="s">
        <v>234</v>
      </c>
      <c r="Z31" s="964">
        <v>43164</v>
      </c>
      <c r="AA31" s="964">
        <v>43201</v>
      </c>
      <c r="AB31" s="959"/>
      <c r="AC31" s="959"/>
      <c r="AD31" s="960"/>
      <c r="AE31" s="959" t="s">
        <v>372</v>
      </c>
      <c r="AF31" s="963"/>
      <c r="AG31" s="963"/>
      <c r="AH31" s="963"/>
      <c r="AI31" s="963"/>
      <c r="AJ31" s="960" t="s">
        <v>183</v>
      </c>
      <c r="AK31" s="959" t="s">
        <v>433</v>
      </c>
      <c r="AL31" s="959" t="s">
        <v>434</v>
      </c>
      <c r="AM31" s="965">
        <v>43201</v>
      </c>
      <c r="AN31" s="962">
        <v>0</v>
      </c>
      <c r="AO31" s="960" t="str">
        <f t="shared" ca="1" si="2"/>
        <v>MUERTO</v>
      </c>
      <c r="AP31" s="960">
        <v>4</v>
      </c>
      <c r="AQ31" s="978">
        <v>6</v>
      </c>
      <c r="AR31" s="960" t="s">
        <v>234</v>
      </c>
      <c r="AS31" s="960"/>
      <c r="AT31" s="960"/>
      <c r="AU31" s="967"/>
      <c r="AV31" s="965"/>
      <c r="AW31" s="959"/>
      <c r="AX31" s="968"/>
      <c r="AY31" s="965"/>
      <c r="AZ31" s="959"/>
      <c r="BA31" s="959" t="e">
        <f>VLOOKUP(I31,'[1] RFC'!$1:$1048576,2,0)</f>
        <v>#N/A</v>
      </c>
      <c r="BB31" s="969">
        <v>43160</v>
      </c>
      <c r="BC31" s="969">
        <v>43164</v>
      </c>
      <c r="BD31" s="969">
        <v>43166</v>
      </c>
      <c r="BE31" s="970">
        <v>43180</v>
      </c>
      <c r="BF31" s="969" t="s">
        <v>161</v>
      </c>
      <c r="BG31" s="970" t="s">
        <v>160</v>
      </c>
      <c r="BH31" s="971" t="e">
        <f>NETWORKDAYS(BE31,BF31,#REF!)</f>
        <v>#VALUE!</v>
      </c>
      <c r="BI31" s="969" t="s">
        <v>161</v>
      </c>
      <c r="BJ31" s="969" t="s">
        <v>161</v>
      </c>
      <c r="BK31" s="969" t="s">
        <v>161</v>
      </c>
      <c r="BL31" s="969">
        <v>43235</v>
      </c>
      <c r="BM31" s="969">
        <v>43194</v>
      </c>
      <c r="BN31" s="969">
        <v>43181</v>
      </c>
      <c r="BO31" s="972" t="s">
        <v>205</v>
      </c>
      <c r="BP31" s="970">
        <v>43195</v>
      </c>
      <c r="BQ31" s="974"/>
    </row>
    <row r="32" spans="1:69" s="592" customFormat="1" ht="75" x14ac:dyDescent="0.25">
      <c r="A32" s="979" t="s">
        <v>435</v>
      </c>
      <c r="B32" s="960">
        <v>30</v>
      </c>
      <c r="C32" s="959" t="s">
        <v>149</v>
      </c>
      <c r="D32" s="959" t="s">
        <v>436</v>
      </c>
      <c r="E32" s="4" t="s">
        <v>173</v>
      </c>
      <c r="F32" s="960" t="s">
        <v>174</v>
      </c>
      <c r="G32" s="567"/>
      <c r="H32" s="960" t="s">
        <v>175</v>
      </c>
      <c r="I32" s="275" t="s">
        <v>437</v>
      </c>
      <c r="J32" s="590"/>
      <c r="K32" s="590"/>
      <c r="L32" s="590"/>
      <c r="M32" s="375" t="str">
        <f t="shared" si="0"/>
        <v xml:space="preserve">3W Educación, S.C.  </v>
      </c>
      <c r="N32" s="959" t="s">
        <v>179</v>
      </c>
      <c r="O32" s="959" t="s">
        <v>438</v>
      </c>
      <c r="P32" s="959" t="s">
        <v>439</v>
      </c>
      <c r="Q32" s="962">
        <v>16465517.24</v>
      </c>
      <c r="R32" s="962">
        <f t="shared" si="6"/>
        <v>2634482.7584000002</v>
      </c>
      <c r="S32" s="384">
        <f t="shared" si="3"/>
        <v>19099999.998399999</v>
      </c>
      <c r="T32" s="385">
        <v>0</v>
      </c>
      <c r="U32" s="384">
        <f t="shared" si="5"/>
        <v>0</v>
      </c>
      <c r="V32" s="962">
        <f t="shared" si="1"/>
        <v>19099999.998399999</v>
      </c>
      <c r="W32" s="963" t="s">
        <v>156</v>
      </c>
      <c r="X32" s="964">
        <v>43164</v>
      </c>
      <c r="Y32" s="960" t="s">
        <v>234</v>
      </c>
      <c r="Z32" s="964">
        <v>43161</v>
      </c>
      <c r="AA32" s="964">
        <v>43465</v>
      </c>
      <c r="AB32" s="959"/>
      <c r="AC32" s="959"/>
      <c r="AD32" s="960"/>
      <c r="AE32" s="959" t="s">
        <v>372</v>
      </c>
      <c r="AF32" s="963"/>
      <c r="AG32" s="963"/>
      <c r="AH32" s="963"/>
      <c r="AI32" s="963"/>
      <c r="AJ32" s="960" t="s">
        <v>156</v>
      </c>
      <c r="AK32" s="959"/>
      <c r="AL32" s="959"/>
      <c r="AM32" s="965"/>
      <c r="AN32" s="962"/>
      <c r="AO32" s="960" t="str">
        <f t="shared" ca="1" si="2"/>
        <v>MUERTO</v>
      </c>
      <c r="AP32" s="960">
        <v>4</v>
      </c>
      <c r="AQ32" s="960"/>
      <c r="AR32" s="960" t="s">
        <v>234</v>
      </c>
      <c r="AS32" s="960"/>
      <c r="AT32" s="960"/>
      <c r="AU32" s="967"/>
      <c r="AV32" s="965"/>
      <c r="AW32" s="959"/>
      <c r="AX32" s="968"/>
      <c r="AY32" s="965"/>
      <c r="AZ32" s="959"/>
      <c r="BA32" s="959" t="str">
        <f>VLOOKUP(I32,'[1] RFC'!$1:$1048576,2,0)</f>
        <v>WED130205MM6</v>
      </c>
      <c r="BB32" s="969">
        <v>43159</v>
      </c>
      <c r="BC32" s="969">
        <v>43161</v>
      </c>
      <c r="BD32" s="969">
        <v>43172</v>
      </c>
      <c r="BE32" s="970">
        <v>43172</v>
      </c>
      <c r="BF32" s="969">
        <v>43180</v>
      </c>
      <c r="BG32" s="970" t="s">
        <v>440</v>
      </c>
      <c r="BH32" s="971" t="e">
        <f>NETWORKDAYS(BE32,BF32,#REF!)</f>
        <v>#REF!</v>
      </c>
      <c r="BI32" s="970" t="s">
        <v>441</v>
      </c>
      <c r="BJ32" s="970" t="s">
        <v>442</v>
      </c>
      <c r="BK32" s="970" t="s">
        <v>443</v>
      </c>
      <c r="BL32" s="969">
        <v>43255</v>
      </c>
      <c r="BM32" s="969">
        <v>43182</v>
      </c>
      <c r="BN32" s="969">
        <v>43175</v>
      </c>
      <c r="BO32" s="972">
        <v>43223</v>
      </c>
      <c r="BP32" s="970" t="s">
        <v>186</v>
      </c>
      <c r="BQ32" s="974"/>
    </row>
    <row r="33" spans="1:69" s="591" customFormat="1" ht="60" x14ac:dyDescent="0.25">
      <c r="A33" s="959" t="s">
        <v>444</v>
      </c>
      <c r="B33" s="960">
        <v>31</v>
      </c>
      <c r="C33" s="959" t="s">
        <v>225</v>
      </c>
      <c r="D33" s="959" t="s">
        <v>445</v>
      </c>
      <c r="E33" s="4" t="s">
        <v>173</v>
      </c>
      <c r="F33" s="960" t="s">
        <v>174</v>
      </c>
      <c r="G33" s="567"/>
      <c r="H33" s="960" t="s">
        <v>175</v>
      </c>
      <c r="I33" s="275" t="s">
        <v>446</v>
      </c>
      <c r="J33" s="590"/>
      <c r="K33" s="590"/>
      <c r="L33" s="590"/>
      <c r="M33" s="375" t="str">
        <f t="shared" si="0"/>
        <v xml:space="preserve">Internacional Proveedora de Industrias, S.A. de C.V.  </v>
      </c>
      <c r="N33" s="959" t="s">
        <v>270</v>
      </c>
      <c r="O33" s="959" t="s">
        <v>271</v>
      </c>
      <c r="P33" s="959" t="s">
        <v>447</v>
      </c>
      <c r="Q33" s="962">
        <v>332615.84000000003</v>
      </c>
      <c r="R33" s="962">
        <f t="shared" si="6"/>
        <v>53218.534400000004</v>
      </c>
      <c r="S33" s="384">
        <f t="shared" si="3"/>
        <v>385834.37440000003</v>
      </c>
      <c r="T33" s="385">
        <v>133046.39000000001</v>
      </c>
      <c r="U33" s="384">
        <f t="shared" si="5"/>
        <v>154333.81240000002</v>
      </c>
      <c r="V33" s="962">
        <f t="shared" si="1"/>
        <v>385834.37440000003</v>
      </c>
      <c r="W33" s="963" t="s">
        <v>156</v>
      </c>
      <c r="X33" s="964">
        <v>43166</v>
      </c>
      <c r="Y33" s="960" t="s">
        <v>234</v>
      </c>
      <c r="Z33" s="964">
        <v>43168</v>
      </c>
      <c r="AA33" s="964">
        <v>43465</v>
      </c>
      <c r="AB33" s="959"/>
      <c r="AC33" s="959"/>
      <c r="AD33" s="960"/>
      <c r="AE33" s="959" t="s">
        <v>372</v>
      </c>
      <c r="AF33" s="963">
        <v>49892.38</v>
      </c>
      <c r="AG33" s="963"/>
      <c r="AH33" s="963"/>
      <c r="AI33" s="963"/>
      <c r="AJ33" s="960" t="s">
        <v>156</v>
      </c>
      <c r="AK33" s="959" t="s">
        <v>448</v>
      </c>
      <c r="AL33" s="959" t="s">
        <v>449</v>
      </c>
      <c r="AM33" s="965">
        <v>43272</v>
      </c>
      <c r="AN33" s="962">
        <v>0</v>
      </c>
      <c r="AO33" s="960" t="str">
        <f t="shared" ca="1" si="2"/>
        <v>MUERTO</v>
      </c>
      <c r="AP33" s="960">
        <v>4</v>
      </c>
      <c r="AQ33" s="966">
        <v>7</v>
      </c>
      <c r="AR33" s="960" t="s">
        <v>234</v>
      </c>
      <c r="AS33" s="960"/>
      <c r="AT33" s="960"/>
      <c r="AU33" s="967"/>
      <c r="AV33" s="965"/>
      <c r="AW33" s="959"/>
      <c r="AX33" s="968"/>
      <c r="AY33" s="965"/>
      <c r="AZ33" s="959"/>
      <c r="BA33" s="959" t="str">
        <f>VLOOKUP(I33,'[1] RFC'!$1:$1048576,2,0)</f>
        <v>IPI860721MN1</v>
      </c>
      <c r="BB33" s="969">
        <v>43160</v>
      </c>
      <c r="BC33" s="969">
        <v>43164</v>
      </c>
      <c r="BD33" s="969">
        <v>43168</v>
      </c>
      <c r="BE33" s="970">
        <v>43173</v>
      </c>
      <c r="BF33" s="969">
        <v>43194</v>
      </c>
      <c r="BG33" s="969">
        <v>43194</v>
      </c>
      <c r="BH33" s="971" t="e">
        <f>NETWORKDAYS(BE33,BF33,#REF!)</f>
        <v>#REF!</v>
      </c>
      <c r="BI33" s="969">
        <v>43195</v>
      </c>
      <c r="BJ33" s="969">
        <v>43202</v>
      </c>
      <c r="BK33" s="969" t="s">
        <v>161</v>
      </c>
      <c r="BL33" s="969">
        <v>43203</v>
      </c>
      <c r="BM33" s="969">
        <v>43194</v>
      </c>
      <c r="BN33" s="969">
        <v>43185</v>
      </c>
      <c r="BO33" s="972">
        <v>43194</v>
      </c>
      <c r="BP33" s="970">
        <v>43195</v>
      </c>
      <c r="BQ33" s="974"/>
    </row>
    <row r="34" spans="1:69" s="591" customFormat="1" ht="45" x14ac:dyDescent="0.25">
      <c r="A34" s="959" t="s">
        <v>450</v>
      </c>
      <c r="B34" s="960">
        <v>32</v>
      </c>
      <c r="C34" s="959" t="s">
        <v>225</v>
      </c>
      <c r="D34" s="959" t="s">
        <v>451</v>
      </c>
      <c r="E34" s="4" t="s">
        <v>173</v>
      </c>
      <c r="F34" s="960" t="s">
        <v>174</v>
      </c>
      <c r="G34" s="567"/>
      <c r="H34" s="960" t="s">
        <v>175</v>
      </c>
      <c r="I34" s="275"/>
      <c r="J34" s="590" t="s">
        <v>452</v>
      </c>
      <c r="K34" s="590" t="s">
        <v>453</v>
      </c>
      <c r="L34" s="590" t="s">
        <v>454</v>
      </c>
      <c r="M34" s="375" t="str">
        <f t="shared" si="0"/>
        <v>Claudia Ángelica López Flores</v>
      </c>
      <c r="N34" s="959" t="s">
        <v>270</v>
      </c>
      <c r="O34" s="959" t="s">
        <v>271</v>
      </c>
      <c r="P34" s="959" t="s">
        <v>455</v>
      </c>
      <c r="Q34" s="962">
        <v>99606.25</v>
      </c>
      <c r="R34" s="962">
        <f t="shared" si="6"/>
        <v>15937</v>
      </c>
      <c r="S34" s="384">
        <f t="shared" si="3"/>
        <v>115543.25</v>
      </c>
      <c r="T34" s="385">
        <v>39842.5</v>
      </c>
      <c r="U34" s="384">
        <f t="shared" si="5"/>
        <v>46217.3</v>
      </c>
      <c r="V34" s="962">
        <f t="shared" si="1"/>
        <v>115543.25</v>
      </c>
      <c r="W34" s="963" t="s">
        <v>156</v>
      </c>
      <c r="X34" s="964">
        <v>43166</v>
      </c>
      <c r="Y34" s="960" t="s">
        <v>234</v>
      </c>
      <c r="Z34" s="964">
        <v>43160</v>
      </c>
      <c r="AA34" s="964">
        <v>43465</v>
      </c>
      <c r="AB34" s="959"/>
      <c r="AC34" s="959"/>
      <c r="AD34" s="960"/>
      <c r="AE34" s="959" t="s">
        <v>372</v>
      </c>
      <c r="AF34" s="963">
        <v>14940.94</v>
      </c>
      <c r="AG34" s="963"/>
      <c r="AH34" s="963"/>
      <c r="AI34" s="963"/>
      <c r="AJ34" s="960" t="s">
        <v>183</v>
      </c>
      <c r="AK34" s="959"/>
      <c r="AL34" s="959"/>
      <c r="AM34" s="965"/>
      <c r="AN34" s="962"/>
      <c r="AO34" s="960" t="str">
        <f t="shared" ca="1" si="2"/>
        <v>MUERTO</v>
      </c>
      <c r="AP34" s="960">
        <v>4</v>
      </c>
      <c r="AQ34" s="960"/>
      <c r="AR34" s="960" t="s">
        <v>234</v>
      </c>
      <c r="AS34" s="960"/>
      <c r="AT34" s="960"/>
      <c r="AU34" s="967"/>
      <c r="AV34" s="965"/>
      <c r="AW34" s="959"/>
      <c r="AX34" s="968"/>
      <c r="AY34" s="965"/>
      <c r="AZ34" s="959"/>
      <c r="BA34" s="959" t="e">
        <f>VLOOKUP(I34,'[1] RFC'!$1:$1048576,2,0)</f>
        <v>#N/A</v>
      </c>
      <c r="BB34" s="969">
        <v>43160</v>
      </c>
      <c r="BC34" s="969">
        <v>43161</v>
      </c>
      <c r="BD34" s="969">
        <v>43172</v>
      </c>
      <c r="BE34" s="970">
        <v>43172</v>
      </c>
      <c r="BF34" s="969">
        <v>43259</v>
      </c>
      <c r="BG34" s="969">
        <v>43259</v>
      </c>
      <c r="BH34" s="971" t="e">
        <f>NETWORKDAYS(BE34,BF34,#REF!)</f>
        <v>#REF!</v>
      </c>
      <c r="BI34" s="969">
        <v>43259</v>
      </c>
      <c r="BJ34" s="969">
        <v>43265</v>
      </c>
      <c r="BK34" s="969" t="s">
        <v>161</v>
      </c>
      <c r="BL34" s="969">
        <v>43271</v>
      </c>
      <c r="BM34" s="969">
        <v>43186</v>
      </c>
      <c r="BN34" s="969">
        <v>43173</v>
      </c>
      <c r="BO34" s="972">
        <v>43259</v>
      </c>
      <c r="BP34" s="970">
        <v>43182</v>
      </c>
      <c r="BQ34" s="974"/>
    </row>
    <row r="35" spans="1:69" s="592" customFormat="1" ht="75" x14ac:dyDescent="0.25">
      <c r="A35" s="959" t="s">
        <v>456</v>
      </c>
      <c r="B35" s="960">
        <v>33</v>
      </c>
      <c r="C35" s="959" t="s">
        <v>149</v>
      </c>
      <c r="D35" s="959" t="s">
        <v>457</v>
      </c>
      <c r="E35" s="567" t="s">
        <v>163</v>
      </c>
      <c r="F35" s="960" t="s">
        <v>426</v>
      </c>
      <c r="G35" s="567" t="s">
        <v>163</v>
      </c>
      <c r="H35" s="960" t="s">
        <v>427</v>
      </c>
      <c r="I35" s="275"/>
      <c r="J35" s="590" t="s">
        <v>458</v>
      </c>
      <c r="K35" s="590" t="s">
        <v>459</v>
      </c>
      <c r="L35" s="590" t="s">
        <v>460</v>
      </c>
      <c r="M35" s="375" t="str">
        <f t="shared" ref="M35:M66" si="7">I35&amp;J35&amp;" "&amp;K35&amp;" "&amp;L35</f>
        <v>Mauricio Ricardo Cristante Skinfield</v>
      </c>
      <c r="N35" s="959" t="s">
        <v>461</v>
      </c>
      <c r="O35" s="959" t="s">
        <v>462</v>
      </c>
      <c r="P35" s="959" t="s">
        <v>463</v>
      </c>
      <c r="Q35" s="962">
        <v>269000</v>
      </c>
      <c r="R35" s="962">
        <f t="shared" si="6"/>
        <v>43040</v>
      </c>
      <c r="S35" s="384">
        <f t="shared" si="3"/>
        <v>312040</v>
      </c>
      <c r="T35" s="385">
        <v>0</v>
      </c>
      <c r="U35" s="384">
        <f t="shared" si="5"/>
        <v>0</v>
      </c>
      <c r="V35" s="962">
        <f t="shared" ref="V35:V66" si="8">S35+AN35</f>
        <v>312040</v>
      </c>
      <c r="W35" s="593" t="s">
        <v>156</v>
      </c>
      <c r="X35" s="964">
        <v>43161</v>
      </c>
      <c r="Y35" s="960" t="s">
        <v>234</v>
      </c>
      <c r="Z35" s="964">
        <v>43161</v>
      </c>
      <c r="AA35" s="964">
        <v>43267</v>
      </c>
      <c r="AB35" s="959"/>
      <c r="AC35" s="959"/>
      <c r="AD35" s="960"/>
      <c r="AE35" s="959" t="s">
        <v>161</v>
      </c>
      <c r="AF35" s="963"/>
      <c r="AG35" s="963"/>
      <c r="AH35" s="963"/>
      <c r="AI35" s="963"/>
      <c r="AJ35" s="960" t="s">
        <v>156</v>
      </c>
      <c r="AK35" s="959"/>
      <c r="AL35" s="959"/>
      <c r="AM35" s="965"/>
      <c r="AN35" s="962"/>
      <c r="AO35" s="960" t="str">
        <f t="shared" ref="AO35:AO66" ca="1" si="9">IF(ISBLANK(AA35),"",IF(AA35&gt;=TODAY(),"VIGENTE","MUERTO"))</f>
        <v>MUERTO</v>
      </c>
      <c r="AP35" s="966">
        <v>5</v>
      </c>
      <c r="AQ35" s="960"/>
      <c r="AR35" s="960" t="s">
        <v>333</v>
      </c>
      <c r="AS35" s="960"/>
      <c r="AT35" s="960"/>
      <c r="AU35" s="967"/>
      <c r="AV35" s="965"/>
      <c r="AW35" s="959"/>
      <c r="AX35" s="968"/>
      <c r="AY35" s="965"/>
      <c r="AZ35" s="959"/>
      <c r="BA35" s="959" t="e">
        <f>VLOOKUP(I35,'[1] RFC'!$1:$1048576,2,0)</f>
        <v>#N/A</v>
      </c>
      <c r="BB35" s="969">
        <v>43131</v>
      </c>
      <c r="BC35" s="969">
        <v>43161</v>
      </c>
      <c r="BD35" s="969">
        <v>43161</v>
      </c>
      <c r="BE35" s="970" t="s">
        <v>160</v>
      </c>
      <c r="BF35" s="969" t="s">
        <v>161</v>
      </c>
      <c r="BG35" s="969" t="s">
        <v>161</v>
      </c>
      <c r="BH35" s="971" t="e">
        <f>NETWORKDAYS(BE35,BF35,#REF!)</f>
        <v>#VALUE!</v>
      </c>
      <c r="BI35" s="969" t="s">
        <v>161</v>
      </c>
      <c r="BJ35" s="969" t="s">
        <v>161</v>
      </c>
      <c r="BK35" s="969" t="s">
        <v>161</v>
      </c>
      <c r="BL35" s="969">
        <v>43215</v>
      </c>
      <c r="BM35" s="969">
        <v>43215</v>
      </c>
      <c r="BN35" s="969">
        <v>43209</v>
      </c>
      <c r="BO35" s="972" t="s">
        <v>205</v>
      </c>
      <c r="BP35" s="970">
        <v>43215</v>
      </c>
      <c r="BQ35" s="974"/>
    </row>
    <row r="36" spans="1:69" s="591" customFormat="1" ht="60" x14ac:dyDescent="0.25">
      <c r="A36" s="959" t="s">
        <v>464</v>
      </c>
      <c r="B36" s="960">
        <v>34</v>
      </c>
      <c r="C36" s="959" t="s">
        <v>225</v>
      </c>
      <c r="D36" s="959" t="s">
        <v>445</v>
      </c>
      <c r="E36" s="4" t="s">
        <v>173</v>
      </c>
      <c r="F36" s="960" t="s">
        <v>174</v>
      </c>
      <c r="G36" s="567"/>
      <c r="H36" s="960" t="s">
        <v>175</v>
      </c>
      <c r="I36" s="275"/>
      <c r="J36" s="590" t="s">
        <v>465</v>
      </c>
      <c r="K36" s="590" t="s">
        <v>466</v>
      </c>
      <c r="L36" s="590" t="s">
        <v>467</v>
      </c>
      <c r="M36" s="375" t="str">
        <f t="shared" si="7"/>
        <v>José Antonio Medina Gutiérrez</v>
      </c>
      <c r="N36" s="959" t="s">
        <v>270</v>
      </c>
      <c r="O36" s="959" t="s">
        <v>271</v>
      </c>
      <c r="P36" s="959" t="s">
        <v>468</v>
      </c>
      <c r="Q36" s="962">
        <v>485186.38</v>
      </c>
      <c r="R36" s="962">
        <f t="shared" si="6"/>
        <v>77629.820800000001</v>
      </c>
      <c r="S36" s="384">
        <f t="shared" si="3"/>
        <v>562816.20079999999</v>
      </c>
      <c r="T36" s="385">
        <v>194074.55</v>
      </c>
      <c r="U36" s="384">
        <f t="shared" si="5"/>
        <v>225126.478</v>
      </c>
      <c r="V36" s="962">
        <f t="shared" si="8"/>
        <v>562816.20079999999</v>
      </c>
      <c r="W36" s="963" t="s">
        <v>156</v>
      </c>
      <c r="X36" s="964">
        <v>43167</v>
      </c>
      <c r="Y36" s="960" t="s">
        <v>234</v>
      </c>
      <c r="Z36" s="964">
        <v>43168</v>
      </c>
      <c r="AA36" s="964">
        <v>43465</v>
      </c>
      <c r="AB36" s="959"/>
      <c r="AC36" s="959"/>
      <c r="AD36" s="960"/>
      <c r="AE36" s="959" t="s">
        <v>372</v>
      </c>
      <c r="AF36" s="963"/>
      <c r="AG36" s="963"/>
      <c r="AH36" s="963"/>
      <c r="AI36" s="963"/>
      <c r="AJ36" s="960" t="s">
        <v>156</v>
      </c>
      <c r="AK36" s="971" t="s">
        <v>469</v>
      </c>
      <c r="AL36" s="959" t="s">
        <v>470</v>
      </c>
      <c r="AM36" s="964">
        <v>43272</v>
      </c>
      <c r="AN36" s="962">
        <v>0</v>
      </c>
      <c r="AO36" s="960" t="str">
        <f t="shared" ca="1" si="9"/>
        <v>MUERTO</v>
      </c>
      <c r="AP36" s="960">
        <v>4</v>
      </c>
      <c r="AQ36" s="966">
        <v>7</v>
      </c>
      <c r="AR36" s="960" t="s">
        <v>234</v>
      </c>
      <c r="AS36" s="960"/>
      <c r="AT36" s="960"/>
      <c r="AU36" s="967"/>
      <c r="AV36" s="965"/>
      <c r="AW36" s="959"/>
      <c r="AX36" s="968"/>
      <c r="AY36" s="965"/>
      <c r="AZ36" s="959"/>
      <c r="BA36" s="959" t="e">
        <f>VLOOKUP(I36,'[1] RFC'!$1:$1048576,2,0)</f>
        <v>#N/A</v>
      </c>
      <c r="BB36" s="969">
        <v>43160</v>
      </c>
      <c r="BC36" s="969">
        <v>43165</v>
      </c>
      <c r="BD36" s="969">
        <v>43172</v>
      </c>
      <c r="BE36" s="970">
        <v>43187</v>
      </c>
      <c r="BF36" s="969">
        <v>43244</v>
      </c>
      <c r="BG36" s="969">
        <v>43244</v>
      </c>
      <c r="BH36" s="971" t="e">
        <f>NETWORKDAYS(BE36,BF36,#REF!)</f>
        <v>#REF!</v>
      </c>
      <c r="BI36" s="969">
        <v>43245</v>
      </c>
      <c r="BJ36" s="969">
        <v>43250</v>
      </c>
      <c r="BK36" s="969" t="s">
        <v>161</v>
      </c>
      <c r="BL36" s="969">
        <v>43257</v>
      </c>
      <c r="BM36" s="969">
        <v>43241</v>
      </c>
      <c r="BN36" s="969">
        <v>43207</v>
      </c>
      <c r="BO36" s="972">
        <v>43244</v>
      </c>
      <c r="BP36" s="970">
        <v>43238</v>
      </c>
      <c r="BQ36" s="974"/>
    </row>
    <row r="37" spans="1:69" s="592" customFormat="1" ht="195" x14ac:dyDescent="0.25">
      <c r="A37" s="959" t="s">
        <v>471</v>
      </c>
      <c r="B37" s="960">
        <v>35</v>
      </c>
      <c r="C37" s="959" t="s">
        <v>149</v>
      </c>
      <c r="D37" s="959" t="s">
        <v>360</v>
      </c>
      <c r="E37" s="567" t="s">
        <v>163</v>
      </c>
      <c r="F37" s="960" t="s">
        <v>312</v>
      </c>
      <c r="G37" s="567" t="s">
        <v>163</v>
      </c>
      <c r="H37" s="960" t="s">
        <v>313</v>
      </c>
      <c r="I37" s="275" t="s">
        <v>415</v>
      </c>
      <c r="J37" s="590"/>
      <c r="K37" s="590"/>
      <c r="L37" s="590"/>
      <c r="M37" s="375" t="str">
        <f t="shared" si="7"/>
        <v xml:space="preserve">Johnson Controls Be Operations México, S. de R.L. de C.V.  </v>
      </c>
      <c r="N37" s="959" t="s">
        <v>198</v>
      </c>
      <c r="O37" s="959" t="s">
        <v>416</v>
      </c>
      <c r="P37" s="959" t="s">
        <v>472</v>
      </c>
      <c r="Q37" s="962">
        <v>4200000</v>
      </c>
      <c r="R37" s="962">
        <f t="shared" si="6"/>
        <v>672000</v>
      </c>
      <c r="S37" s="384">
        <f t="shared" si="3"/>
        <v>4872000</v>
      </c>
      <c r="T37" s="385">
        <v>3677593.2</v>
      </c>
      <c r="U37" s="384">
        <f t="shared" si="5"/>
        <v>4266008.1119999997</v>
      </c>
      <c r="V37" s="962">
        <f t="shared" si="8"/>
        <v>5725201.6200000001</v>
      </c>
      <c r="W37" s="963" t="s">
        <v>156</v>
      </c>
      <c r="X37" s="964">
        <v>43168</v>
      </c>
      <c r="Y37" s="960" t="s">
        <v>234</v>
      </c>
      <c r="Z37" s="964">
        <v>43160</v>
      </c>
      <c r="AA37" s="964">
        <v>43555</v>
      </c>
      <c r="AB37" s="964"/>
      <c r="AC37" s="959"/>
      <c r="AD37" s="960"/>
      <c r="AE37" s="959" t="s">
        <v>318</v>
      </c>
      <c r="AF37" s="963" t="s">
        <v>473</v>
      </c>
      <c r="AG37" s="963">
        <v>4200000</v>
      </c>
      <c r="AH37" s="963"/>
      <c r="AI37" s="963"/>
      <c r="AJ37" s="960" t="s">
        <v>183</v>
      </c>
      <c r="AK37" s="959" t="s">
        <v>474</v>
      </c>
      <c r="AL37" s="959" t="s">
        <v>475</v>
      </c>
      <c r="AM37" s="965" t="s">
        <v>420</v>
      </c>
      <c r="AN37" s="962">
        <v>853201.62</v>
      </c>
      <c r="AO37" s="960" t="str">
        <f t="shared" ca="1" si="9"/>
        <v>MUERTO</v>
      </c>
      <c r="AP37" s="960">
        <v>4</v>
      </c>
      <c r="AQ37" s="960"/>
      <c r="AR37" s="960" t="s">
        <v>234</v>
      </c>
      <c r="AS37" s="960"/>
      <c r="AT37" s="960"/>
      <c r="AU37" s="967"/>
      <c r="AV37" s="965"/>
      <c r="AW37" s="959"/>
      <c r="AX37" s="968"/>
      <c r="AY37" s="965"/>
      <c r="AZ37" s="959"/>
      <c r="BA37" s="959" t="str">
        <f>VLOOKUP(I37,'[1] RFC'!$1:$1048576,2,0)</f>
        <v>JCB100702TQ1</v>
      </c>
      <c r="BB37" s="969">
        <v>43160</v>
      </c>
      <c r="BC37" s="969">
        <v>43166</v>
      </c>
      <c r="BD37" s="969">
        <v>43173</v>
      </c>
      <c r="BE37" s="970">
        <v>43180</v>
      </c>
      <c r="BF37" s="969">
        <v>43236</v>
      </c>
      <c r="BG37" s="970" t="s">
        <v>476</v>
      </c>
      <c r="BH37" s="971" t="e">
        <f>NETWORKDAYS(BE37,BF37,#REF!)</f>
        <v>#REF!</v>
      </c>
      <c r="BI37" s="970" t="s">
        <v>477</v>
      </c>
      <c r="BJ37" s="970" t="s">
        <v>478</v>
      </c>
      <c r="BK37" s="969" t="s">
        <v>479</v>
      </c>
      <c r="BL37" s="969">
        <v>43262</v>
      </c>
      <c r="BM37" s="969">
        <v>43210</v>
      </c>
      <c r="BN37" s="969">
        <v>43203</v>
      </c>
      <c r="BO37" s="972">
        <v>43206</v>
      </c>
      <c r="BP37" s="970">
        <v>43208</v>
      </c>
      <c r="BQ37" s="974"/>
    </row>
    <row r="38" spans="1:69" s="592" customFormat="1" ht="45" x14ac:dyDescent="0.25">
      <c r="A38" s="959" t="s">
        <v>480</v>
      </c>
      <c r="B38" s="960">
        <v>36</v>
      </c>
      <c r="C38" s="959" t="s">
        <v>225</v>
      </c>
      <c r="D38" s="959" t="s">
        <v>445</v>
      </c>
      <c r="E38" s="4" t="s">
        <v>173</v>
      </c>
      <c r="F38" s="960" t="s">
        <v>174</v>
      </c>
      <c r="G38" s="567"/>
      <c r="H38" s="960" t="s">
        <v>175</v>
      </c>
      <c r="I38" s="275" t="s">
        <v>481</v>
      </c>
      <c r="J38" s="590"/>
      <c r="K38" s="590"/>
      <c r="L38" s="590"/>
      <c r="M38" s="375" t="str">
        <f t="shared" si="7"/>
        <v xml:space="preserve">Comercializadora la Acción, S.A. de C.V.  </v>
      </c>
      <c r="N38" s="959" t="s">
        <v>270</v>
      </c>
      <c r="O38" s="959" t="s">
        <v>271</v>
      </c>
      <c r="P38" s="959" t="s">
        <v>482</v>
      </c>
      <c r="Q38" s="962">
        <v>112107.39</v>
      </c>
      <c r="R38" s="962">
        <f t="shared" si="6"/>
        <v>17937.182400000002</v>
      </c>
      <c r="S38" s="384">
        <f t="shared" si="3"/>
        <v>130044.5724</v>
      </c>
      <c r="T38" s="385">
        <v>44842.96</v>
      </c>
      <c r="U38" s="384">
        <f t="shared" si="5"/>
        <v>52017.833599999998</v>
      </c>
      <c r="V38" s="962">
        <f t="shared" si="8"/>
        <v>130044.5724</v>
      </c>
      <c r="W38" s="963" t="s">
        <v>156</v>
      </c>
      <c r="X38" s="964">
        <v>43168</v>
      </c>
      <c r="Y38" s="960" t="s">
        <v>234</v>
      </c>
      <c r="Z38" s="964">
        <v>43168</v>
      </c>
      <c r="AA38" s="964">
        <v>43465</v>
      </c>
      <c r="AB38" s="959"/>
      <c r="AC38" s="959"/>
      <c r="AD38" s="960"/>
      <c r="AE38" s="959" t="s">
        <v>372</v>
      </c>
      <c r="AF38" s="963">
        <v>16816.11</v>
      </c>
      <c r="AG38" s="963"/>
      <c r="AH38" s="963"/>
      <c r="AI38" s="963"/>
      <c r="AJ38" s="960" t="s">
        <v>183</v>
      </c>
      <c r="AK38" s="959"/>
      <c r="AL38" s="959"/>
      <c r="AM38" s="965"/>
      <c r="AN38" s="962"/>
      <c r="AO38" s="960" t="str">
        <f t="shared" ca="1" si="9"/>
        <v>MUERTO</v>
      </c>
      <c r="AP38" s="960">
        <v>4</v>
      </c>
      <c r="AQ38" s="960"/>
      <c r="AR38" s="960" t="s">
        <v>234</v>
      </c>
      <c r="AS38" s="960"/>
      <c r="AT38" s="960"/>
      <c r="AU38" s="967"/>
      <c r="AV38" s="965"/>
      <c r="AW38" s="959"/>
      <c r="AX38" s="968"/>
      <c r="AY38" s="965"/>
      <c r="AZ38" s="959"/>
      <c r="BA38" s="959" t="str">
        <f>VLOOKUP(I38,'[1] RFC'!$1:$1048576,2,0)</f>
        <v>CAC1402058H4</v>
      </c>
      <c r="BB38" s="969">
        <v>43164</v>
      </c>
      <c r="BC38" s="969">
        <v>43165</v>
      </c>
      <c r="BD38" s="969">
        <v>43175</v>
      </c>
      <c r="BE38" s="970">
        <v>43175</v>
      </c>
      <c r="BF38" s="969">
        <v>43243</v>
      </c>
      <c r="BG38" s="969">
        <v>43243</v>
      </c>
      <c r="BH38" s="971" t="e">
        <f>NETWORKDAYS(BE38,BF38,#REF!)</f>
        <v>#REF!</v>
      </c>
      <c r="BI38" s="969">
        <v>43243</v>
      </c>
      <c r="BJ38" s="969">
        <v>43248</v>
      </c>
      <c r="BK38" s="969" t="s">
        <v>161</v>
      </c>
      <c r="BL38" s="969">
        <v>43249</v>
      </c>
      <c r="BM38" s="969">
        <v>43202</v>
      </c>
      <c r="BN38" s="969">
        <v>43192</v>
      </c>
      <c r="BO38" s="972">
        <v>43248</v>
      </c>
      <c r="BP38" s="970">
        <v>43201</v>
      </c>
      <c r="BQ38" s="974"/>
    </row>
    <row r="39" spans="1:69" s="591" customFormat="1" ht="75" x14ac:dyDescent="0.25">
      <c r="A39" s="959" t="s">
        <v>483</v>
      </c>
      <c r="B39" s="960">
        <v>37</v>
      </c>
      <c r="C39" s="959" t="s">
        <v>149</v>
      </c>
      <c r="D39" s="959" t="s">
        <v>484</v>
      </c>
      <c r="E39" s="567" t="s">
        <v>163</v>
      </c>
      <c r="F39" s="960" t="s">
        <v>485</v>
      </c>
      <c r="G39" s="567" t="s">
        <v>163</v>
      </c>
      <c r="H39" s="960" t="s">
        <v>427</v>
      </c>
      <c r="I39" s="275"/>
      <c r="J39" s="590" t="s">
        <v>486</v>
      </c>
      <c r="K39" s="590" t="s">
        <v>487</v>
      </c>
      <c r="L39" s="590" t="s">
        <v>467</v>
      </c>
      <c r="M39" s="375" t="str">
        <f t="shared" si="7"/>
        <v>Leonardo Antonio Curzio Gutiérrez</v>
      </c>
      <c r="N39" s="959" t="s">
        <v>220</v>
      </c>
      <c r="O39" s="959" t="s">
        <v>488</v>
      </c>
      <c r="P39" s="959" t="s">
        <v>489</v>
      </c>
      <c r="Q39" s="962">
        <v>472500</v>
      </c>
      <c r="R39" s="962">
        <f t="shared" si="6"/>
        <v>75600</v>
      </c>
      <c r="S39" s="384">
        <f t="shared" si="3"/>
        <v>548100</v>
      </c>
      <c r="T39" s="385">
        <v>283500</v>
      </c>
      <c r="U39" s="384">
        <f t="shared" si="5"/>
        <v>328860</v>
      </c>
      <c r="V39" s="962">
        <f t="shared" si="8"/>
        <v>548100</v>
      </c>
      <c r="W39" s="963" t="s">
        <v>156</v>
      </c>
      <c r="X39" s="964">
        <v>43179</v>
      </c>
      <c r="Y39" s="960" t="s">
        <v>333</v>
      </c>
      <c r="Z39" s="964">
        <v>43111</v>
      </c>
      <c r="AA39" s="964">
        <v>43465</v>
      </c>
      <c r="AB39" s="959"/>
      <c r="AC39" s="959"/>
      <c r="AD39" s="960"/>
      <c r="AE39" s="959" t="s">
        <v>161</v>
      </c>
      <c r="AF39" s="963"/>
      <c r="AG39" s="963"/>
      <c r="AH39" s="963"/>
      <c r="AI39" s="963"/>
      <c r="AJ39" s="960" t="s">
        <v>161</v>
      </c>
      <c r="AK39" s="959"/>
      <c r="AL39" s="959"/>
      <c r="AM39" s="965"/>
      <c r="AN39" s="962"/>
      <c r="AO39" s="960" t="str">
        <f t="shared" ca="1" si="9"/>
        <v>MUERTO</v>
      </c>
      <c r="AP39" s="966">
        <v>7</v>
      </c>
      <c r="AQ39" s="960"/>
      <c r="AR39" s="960" t="s">
        <v>333</v>
      </c>
      <c r="AS39" s="960"/>
      <c r="AT39" s="960"/>
      <c r="AU39" s="967"/>
      <c r="AV39" s="965"/>
      <c r="AW39" s="959"/>
      <c r="AX39" s="968"/>
      <c r="AY39" s="965"/>
      <c r="AZ39" s="959"/>
      <c r="BA39" s="959" t="e">
        <f>VLOOKUP(I39,'[1] RFC'!$1:$1048576,2,0)</f>
        <v>#N/A</v>
      </c>
      <c r="BB39" s="969">
        <v>43164</v>
      </c>
      <c r="BC39" s="969">
        <v>43174</v>
      </c>
      <c r="BD39" s="969">
        <v>43182</v>
      </c>
      <c r="BE39" s="970" t="s">
        <v>160</v>
      </c>
      <c r="BF39" s="969" t="s">
        <v>161</v>
      </c>
      <c r="BG39" s="969" t="s">
        <v>161</v>
      </c>
      <c r="BH39" s="971" t="e">
        <f>NETWORKDAYS(BE39,BF39,#REF!)</f>
        <v>#VALUE!</v>
      </c>
      <c r="BI39" s="969" t="s">
        <v>161</v>
      </c>
      <c r="BJ39" s="969" t="s">
        <v>161</v>
      </c>
      <c r="BK39" s="969" t="s">
        <v>161</v>
      </c>
      <c r="BL39" s="969">
        <v>43202</v>
      </c>
      <c r="BM39" s="969">
        <v>43202</v>
      </c>
      <c r="BN39" s="969">
        <v>43187</v>
      </c>
      <c r="BO39" s="972" t="s">
        <v>205</v>
      </c>
      <c r="BP39" s="970">
        <v>43201</v>
      </c>
      <c r="BQ39" s="974"/>
    </row>
    <row r="40" spans="1:69" s="591" customFormat="1" ht="75" x14ac:dyDescent="0.25">
      <c r="A40" s="959" t="s">
        <v>490</v>
      </c>
      <c r="B40" s="960">
        <v>38</v>
      </c>
      <c r="C40" s="959" t="s">
        <v>149</v>
      </c>
      <c r="D40" s="959" t="s">
        <v>484</v>
      </c>
      <c r="E40" s="567" t="s">
        <v>163</v>
      </c>
      <c r="F40" s="960" t="s">
        <v>491</v>
      </c>
      <c r="G40" s="567" t="s">
        <v>163</v>
      </c>
      <c r="H40" s="960" t="s">
        <v>427</v>
      </c>
      <c r="I40" s="275"/>
      <c r="J40" s="590" t="s">
        <v>492</v>
      </c>
      <c r="K40" s="590" t="s">
        <v>493</v>
      </c>
      <c r="L40" s="590" t="s">
        <v>494</v>
      </c>
      <c r="M40" s="375" t="str">
        <f t="shared" si="7"/>
        <v>Javier Solórzano Zinser</v>
      </c>
      <c r="N40" s="959" t="s">
        <v>220</v>
      </c>
      <c r="O40" s="959" t="s">
        <v>488</v>
      </c>
      <c r="P40" s="959" t="s">
        <v>495</v>
      </c>
      <c r="Q40" s="962">
        <v>611000</v>
      </c>
      <c r="R40" s="962">
        <f t="shared" si="6"/>
        <v>97760</v>
      </c>
      <c r="S40" s="384">
        <f t="shared" si="3"/>
        <v>708760</v>
      </c>
      <c r="T40" s="385">
        <v>364000</v>
      </c>
      <c r="U40" s="384">
        <f t="shared" si="5"/>
        <v>422240</v>
      </c>
      <c r="V40" s="962">
        <f t="shared" si="8"/>
        <v>708760</v>
      </c>
      <c r="W40" s="963" t="s">
        <v>156</v>
      </c>
      <c r="X40" s="964">
        <v>43179</v>
      </c>
      <c r="Y40" s="960" t="s">
        <v>234</v>
      </c>
      <c r="Z40" s="964">
        <v>43111</v>
      </c>
      <c r="AA40" s="964">
        <v>43465</v>
      </c>
      <c r="AB40" s="959"/>
      <c r="AC40" s="959"/>
      <c r="AD40" s="960"/>
      <c r="AE40" s="959" t="s">
        <v>161</v>
      </c>
      <c r="AF40" s="963"/>
      <c r="AG40" s="963"/>
      <c r="AH40" s="963"/>
      <c r="AI40" s="963"/>
      <c r="AJ40" s="960"/>
      <c r="AK40" s="959"/>
      <c r="AL40" s="959"/>
      <c r="AM40" s="965"/>
      <c r="AN40" s="962"/>
      <c r="AO40" s="960" t="str">
        <f t="shared" ca="1" si="9"/>
        <v>MUERTO</v>
      </c>
      <c r="AP40" s="966">
        <v>7</v>
      </c>
      <c r="AQ40" s="960"/>
      <c r="AR40" s="960" t="s">
        <v>496</v>
      </c>
      <c r="AS40" s="960"/>
      <c r="AT40" s="960"/>
      <c r="AU40" s="967"/>
      <c r="AV40" s="965"/>
      <c r="AW40" s="959"/>
      <c r="AX40" s="968"/>
      <c r="AY40" s="965"/>
      <c r="AZ40" s="959"/>
      <c r="BA40" s="959" t="e">
        <f>VLOOKUP(I40,'[1] RFC'!$1:$1048576,2,0)</f>
        <v>#N/A</v>
      </c>
      <c r="BB40" s="969" t="s">
        <v>497</v>
      </c>
      <c r="BC40" s="969">
        <v>43174</v>
      </c>
      <c r="BD40" s="969">
        <v>43182</v>
      </c>
      <c r="BE40" s="970" t="s">
        <v>160</v>
      </c>
      <c r="BF40" s="969" t="s">
        <v>161</v>
      </c>
      <c r="BG40" s="969" t="s">
        <v>161</v>
      </c>
      <c r="BH40" s="971" t="e">
        <f>NETWORKDAYS(BE40,BF40,#REF!)</f>
        <v>#VALUE!</v>
      </c>
      <c r="BI40" s="969" t="s">
        <v>161</v>
      </c>
      <c r="BJ40" s="969" t="s">
        <v>161</v>
      </c>
      <c r="BK40" s="969" t="s">
        <v>161</v>
      </c>
      <c r="BL40" s="969">
        <v>43266</v>
      </c>
      <c r="BM40" s="969">
        <v>43273</v>
      </c>
      <c r="BN40" s="969">
        <v>43255</v>
      </c>
      <c r="BO40" s="972">
        <v>43292</v>
      </c>
      <c r="BP40" s="970">
        <v>43272</v>
      </c>
      <c r="BQ40" s="974"/>
    </row>
    <row r="41" spans="1:69" s="592" customFormat="1" ht="75" x14ac:dyDescent="0.25">
      <c r="A41" s="959" t="s">
        <v>498</v>
      </c>
      <c r="B41" s="960">
        <v>39</v>
      </c>
      <c r="C41" s="959" t="s">
        <v>149</v>
      </c>
      <c r="D41" s="959" t="s">
        <v>484</v>
      </c>
      <c r="E41" s="567" t="s">
        <v>163</v>
      </c>
      <c r="F41" s="960" t="s">
        <v>485</v>
      </c>
      <c r="G41" s="567" t="s">
        <v>163</v>
      </c>
      <c r="H41" s="960" t="s">
        <v>427</v>
      </c>
      <c r="I41" s="275"/>
      <c r="J41" s="590" t="s">
        <v>499</v>
      </c>
      <c r="K41" s="590" t="s">
        <v>500</v>
      </c>
      <c r="L41" s="590" t="s">
        <v>501</v>
      </c>
      <c r="M41" s="375" t="str">
        <f t="shared" si="7"/>
        <v>Verónica Ortíz Ortega</v>
      </c>
      <c r="N41" s="959" t="s">
        <v>220</v>
      </c>
      <c r="O41" s="959" t="s">
        <v>488</v>
      </c>
      <c r="P41" s="959" t="s">
        <v>489</v>
      </c>
      <c r="Q41" s="962">
        <v>472500</v>
      </c>
      <c r="R41" s="962">
        <f t="shared" si="6"/>
        <v>75600</v>
      </c>
      <c r="S41" s="384">
        <f t="shared" si="3"/>
        <v>548100</v>
      </c>
      <c r="T41" s="385">
        <v>283500</v>
      </c>
      <c r="U41" s="384">
        <f t="shared" si="5"/>
        <v>328860</v>
      </c>
      <c r="V41" s="962">
        <f t="shared" si="8"/>
        <v>548100</v>
      </c>
      <c r="W41" s="963" t="s">
        <v>156</v>
      </c>
      <c r="X41" s="964">
        <v>43179</v>
      </c>
      <c r="Y41" s="960" t="s">
        <v>333</v>
      </c>
      <c r="Z41" s="964">
        <v>43111</v>
      </c>
      <c r="AA41" s="964">
        <v>43465</v>
      </c>
      <c r="AB41" s="959"/>
      <c r="AC41" s="959"/>
      <c r="AD41" s="960"/>
      <c r="AE41" s="959" t="s">
        <v>161</v>
      </c>
      <c r="AF41" s="963"/>
      <c r="AG41" s="963"/>
      <c r="AH41" s="963"/>
      <c r="AI41" s="963"/>
      <c r="AJ41" s="960" t="s">
        <v>161</v>
      </c>
      <c r="AK41" s="959"/>
      <c r="AL41" s="959"/>
      <c r="AM41" s="965"/>
      <c r="AN41" s="962"/>
      <c r="AO41" s="960" t="str">
        <f t="shared" ca="1" si="9"/>
        <v>MUERTO</v>
      </c>
      <c r="AP41" s="966">
        <v>7</v>
      </c>
      <c r="AQ41" s="960"/>
      <c r="AR41" s="960" t="s">
        <v>333</v>
      </c>
      <c r="AS41" s="960"/>
      <c r="AT41" s="960"/>
      <c r="AU41" s="967"/>
      <c r="AV41" s="965"/>
      <c r="AW41" s="959"/>
      <c r="AX41" s="968"/>
      <c r="AY41" s="965"/>
      <c r="AZ41" s="959"/>
      <c r="BA41" s="959" t="e">
        <f>VLOOKUP(I41,'[1] RFC'!$1:$1048576,2,0)</f>
        <v>#N/A</v>
      </c>
      <c r="BB41" s="969">
        <v>43111</v>
      </c>
      <c r="BC41" s="969">
        <v>43174</v>
      </c>
      <c r="BD41" s="969">
        <v>43182</v>
      </c>
      <c r="BE41" s="970" t="s">
        <v>160</v>
      </c>
      <c r="BF41" s="969" t="s">
        <v>161</v>
      </c>
      <c r="BG41" s="969" t="s">
        <v>161</v>
      </c>
      <c r="BH41" s="971" t="e">
        <f>NETWORKDAYS(BE41,BF41,#REF!)</f>
        <v>#VALUE!</v>
      </c>
      <c r="BI41" s="969" t="s">
        <v>161</v>
      </c>
      <c r="BJ41" s="969" t="s">
        <v>161</v>
      </c>
      <c r="BK41" s="969" t="s">
        <v>161</v>
      </c>
      <c r="BL41" s="969">
        <v>43202</v>
      </c>
      <c r="BM41" s="969">
        <v>43202</v>
      </c>
      <c r="BN41" s="969">
        <v>43202</v>
      </c>
      <c r="BO41" s="972">
        <v>43181</v>
      </c>
      <c r="BP41" s="970">
        <v>43201</v>
      </c>
      <c r="BQ41" s="974"/>
    </row>
    <row r="42" spans="1:69" s="592" customFormat="1" ht="75" x14ac:dyDescent="0.25">
      <c r="A42" s="959" t="s">
        <v>502</v>
      </c>
      <c r="B42" s="960">
        <v>40</v>
      </c>
      <c r="C42" s="959" t="s">
        <v>149</v>
      </c>
      <c r="D42" s="959" t="s">
        <v>484</v>
      </c>
      <c r="E42" s="567" t="s">
        <v>163</v>
      </c>
      <c r="F42" s="960" t="s">
        <v>485</v>
      </c>
      <c r="G42" s="567" t="s">
        <v>163</v>
      </c>
      <c r="H42" s="960" t="s">
        <v>427</v>
      </c>
      <c r="I42" s="275"/>
      <c r="J42" s="590" t="s">
        <v>503</v>
      </c>
      <c r="K42" s="590" t="s">
        <v>504</v>
      </c>
      <c r="L42" s="590" t="s">
        <v>505</v>
      </c>
      <c r="M42" s="375" t="str">
        <f t="shared" si="7"/>
        <v>César Iván Astudillo Reyes</v>
      </c>
      <c r="N42" s="959" t="s">
        <v>220</v>
      </c>
      <c r="O42" s="959" t="s">
        <v>488</v>
      </c>
      <c r="P42" s="959" t="s">
        <v>506</v>
      </c>
      <c r="Q42" s="962">
        <v>260000</v>
      </c>
      <c r="R42" s="962">
        <f t="shared" si="6"/>
        <v>41600</v>
      </c>
      <c r="S42" s="384">
        <f t="shared" si="3"/>
        <v>301600</v>
      </c>
      <c r="T42" s="385">
        <v>160000</v>
      </c>
      <c r="U42" s="384">
        <f t="shared" si="5"/>
        <v>185600</v>
      </c>
      <c r="V42" s="962">
        <f t="shared" si="8"/>
        <v>301600</v>
      </c>
      <c r="W42" s="963" t="s">
        <v>156</v>
      </c>
      <c r="X42" s="964">
        <v>43179</v>
      </c>
      <c r="Y42" s="960" t="s">
        <v>333</v>
      </c>
      <c r="Z42" s="964">
        <v>43111</v>
      </c>
      <c r="AA42" s="964">
        <v>43465</v>
      </c>
      <c r="AB42" s="959"/>
      <c r="AC42" s="959"/>
      <c r="AD42" s="960"/>
      <c r="AE42" s="959" t="s">
        <v>161</v>
      </c>
      <c r="AF42" s="963"/>
      <c r="AG42" s="963"/>
      <c r="AH42" s="963"/>
      <c r="AI42" s="963"/>
      <c r="AJ42" s="960" t="s">
        <v>161</v>
      </c>
      <c r="AK42" s="959"/>
      <c r="AL42" s="959"/>
      <c r="AM42" s="965"/>
      <c r="AN42" s="962"/>
      <c r="AO42" s="960" t="str">
        <f t="shared" ca="1" si="9"/>
        <v>MUERTO</v>
      </c>
      <c r="AP42" s="966">
        <v>7</v>
      </c>
      <c r="AQ42" s="960"/>
      <c r="AR42" s="960" t="s">
        <v>333</v>
      </c>
      <c r="AS42" s="960"/>
      <c r="AT42" s="960"/>
      <c r="AU42" s="967"/>
      <c r="AV42" s="965"/>
      <c r="AW42" s="959"/>
      <c r="AX42" s="968"/>
      <c r="AY42" s="965"/>
      <c r="AZ42" s="959"/>
      <c r="BA42" s="959" t="e">
        <f>VLOOKUP(I42,'[1] RFC'!$1:$1048576,2,0)</f>
        <v>#N/A</v>
      </c>
      <c r="BB42" s="969">
        <v>43111</v>
      </c>
      <c r="BC42" s="969">
        <v>43174</v>
      </c>
      <c r="BD42" s="969">
        <v>43182</v>
      </c>
      <c r="BE42" s="970" t="s">
        <v>160</v>
      </c>
      <c r="BF42" s="969" t="s">
        <v>161</v>
      </c>
      <c r="BG42" s="969" t="s">
        <v>161</v>
      </c>
      <c r="BH42" s="971" t="e">
        <f>NETWORKDAYS(BE42,BF42,#REF!)</f>
        <v>#VALUE!</v>
      </c>
      <c r="BI42" s="969" t="s">
        <v>161</v>
      </c>
      <c r="BJ42" s="969" t="s">
        <v>161</v>
      </c>
      <c r="BK42" s="969" t="s">
        <v>161</v>
      </c>
      <c r="BL42" s="969">
        <v>43202</v>
      </c>
      <c r="BM42" s="969">
        <v>43202</v>
      </c>
      <c r="BN42" s="969">
        <v>43202</v>
      </c>
      <c r="BO42" s="972" t="s">
        <v>205</v>
      </c>
      <c r="BP42" s="970">
        <v>43201</v>
      </c>
      <c r="BQ42" s="974"/>
    </row>
    <row r="43" spans="1:69" s="591" customFormat="1" ht="45" x14ac:dyDescent="0.25">
      <c r="A43" s="959" t="s">
        <v>507</v>
      </c>
      <c r="B43" s="960">
        <v>41</v>
      </c>
      <c r="C43" s="959" t="s">
        <v>225</v>
      </c>
      <c r="D43" s="959" t="s">
        <v>508</v>
      </c>
      <c r="E43" s="4" t="s">
        <v>173</v>
      </c>
      <c r="F43" s="960" t="s">
        <v>174</v>
      </c>
      <c r="G43" s="567"/>
      <c r="H43" s="960" t="s">
        <v>175</v>
      </c>
      <c r="I43" s="275"/>
      <c r="J43" s="590" t="s">
        <v>392</v>
      </c>
      <c r="K43" s="590" t="s">
        <v>393</v>
      </c>
      <c r="L43" s="590" t="s">
        <v>394</v>
      </c>
      <c r="M43" s="375" t="str">
        <f t="shared" si="7"/>
        <v>Roberto Martínez Castro</v>
      </c>
      <c r="N43" s="959" t="s">
        <v>270</v>
      </c>
      <c r="O43" s="959" t="s">
        <v>271</v>
      </c>
      <c r="P43" s="959" t="s">
        <v>509</v>
      </c>
      <c r="Q43" s="962">
        <v>402835.15</v>
      </c>
      <c r="R43" s="962">
        <f t="shared" si="6"/>
        <v>64453.624000000003</v>
      </c>
      <c r="S43" s="384">
        <f t="shared" si="3"/>
        <v>467288.77400000003</v>
      </c>
      <c r="T43" s="385">
        <v>161134.06</v>
      </c>
      <c r="U43" s="384">
        <f t="shared" si="5"/>
        <v>186915.50959999999</v>
      </c>
      <c r="V43" s="962">
        <f t="shared" si="8"/>
        <v>467288.77400000003</v>
      </c>
      <c r="W43" s="963" t="s">
        <v>156</v>
      </c>
      <c r="X43" s="964">
        <v>43185</v>
      </c>
      <c r="Y43" s="960" t="s">
        <v>234</v>
      </c>
      <c r="Z43" s="964">
        <v>43185</v>
      </c>
      <c r="AA43" s="964">
        <v>43465</v>
      </c>
      <c r="AB43" s="959"/>
      <c r="AC43" s="959"/>
      <c r="AD43" s="960"/>
      <c r="AE43" s="959" t="s">
        <v>372</v>
      </c>
      <c r="AF43" s="963">
        <v>60425.279999999999</v>
      </c>
      <c r="AG43" s="963"/>
      <c r="AH43" s="963"/>
      <c r="AI43" s="963"/>
      <c r="AJ43" s="960" t="s">
        <v>156</v>
      </c>
      <c r="AK43" s="959"/>
      <c r="AL43" s="959"/>
      <c r="AM43" s="965"/>
      <c r="AN43" s="962"/>
      <c r="AO43" s="960" t="str">
        <f t="shared" ca="1" si="9"/>
        <v>MUERTO</v>
      </c>
      <c r="AP43" s="960">
        <v>4</v>
      </c>
      <c r="AQ43" s="960"/>
      <c r="AR43" s="960" t="s">
        <v>234</v>
      </c>
      <c r="AS43" s="960"/>
      <c r="AT43" s="960"/>
      <c r="AU43" s="967"/>
      <c r="AV43" s="965"/>
      <c r="AW43" s="959"/>
      <c r="AX43" s="968"/>
      <c r="AY43" s="965"/>
      <c r="AZ43" s="959"/>
      <c r="BA43" s="959" t="e">
        <f>VLOOKUP(I43,'[1] RFC'!$1:$1048576,2,0)</f>
        <v>#N/A</v>
      </c>
      <c r="BB43" s="969">
        <v>43179</v>
      </c>
      <c r="BC43" s="969">
        <v>43181</v>
      </c>
      <c r="BD43" s="969">
        <v>43187</v>
      </c>
      <c r="BE43" s="970">
        <v>43193</v>
      </c>
      <c r="BF43" s="969">
        <v>43201</v>
      </c>
      <c r="BG43" s="969">
        <v>43201</v>
      </c>
      <c r="BH43" s="971" t="e">
        <f>NETWORKDAYS(BE43,BF43,#REF!)</f>
        <v>#REF!</v>
      </c>
      <c r="BI43" s="969">
        <v>43201</v>
      </c>
      <c r="BJ43" s="969">
        <v>43206</v>
      </c>
      <c r="BK43" s="969" t="s">
        <v>161</v>
      </c>
      <c r="BL43" s="969">
        <v>43210</v>
      </c>
      <c r="BM43" s="969">
        <v>43210</v>
      </c>
      <c r="BN43" s="969">
        <v>43201</v>
      </c>
      <c r="BO43" s="972">
        <v>43208</v>
      </c>
      <c r="BP43" s="970">
        <v>43208</v>
      </c>
      <c r="BQ43" s="974"/>
    </row>
    <row r="44" spans="1:69" s="591" customFormat="1" ht="75" x14ac:dyDescent="0.25">
      <c r="A44" s="959" t="s">
        <v>510</v>
      </c>
      <c r="B44" s="960">
        <v>42</v>
      </c>
      <c r="C44" s="959" t="s">
        <v>225</v>
      </c>
      <c r="D44" s="959" t="s">
        <v>508</v>
      </c>
      <c r="E44" s="4" t="s">
        <v>173</v>
      </c>
      <c r="F44" s="960" t="s">
        <v>174</v>
      </c>
      <c r="G44" s="567"/>
      <c r="H44" s="960" t="s">
        <v>175</v>
      </c>
      <c r="I44" s="275" t="s">
        <v>511</v>
      </c>
      <c r="J44" s="590"/>
      <c r="K44" s="590"/>
      <c r="L44" s="590"/>
      <c r="M44" s="375" t="str">
        <f t="shared" si="7"/>
        <v xml:space="preserve">Cicovisa, S.A. de C.V.  </v>
      </c>
      <c r="N44" s="959" t="s">
        <v>270</v>
      </c>
      <c r="O44" s="959" t="s">
        <v>271</v>
      </c>
      <c r="P44" s="959" t="s">
        <v>512</v>
      </c>
      <c r="Q44" s="962">
        <v>16761645.35</v>
      </c>
      <c r="R44" s="962">
        <f t="shared" si="6"/>
        <v>2681863.2560000001</v>
      </c>
      <c r="S44" s="384">
        <f t="shared" si="3"/>
        <v>19443508.605999999</v>
      </c>
      <c r="T44" s="385">
        <v>6704678.1299999999</v>
      </c>
      <c r="U44" s="384">
        <f t="shared" si="5"/>
        <v>7777426.6307999995</v>
      </c>
      <c r="V44" s="962">
        <f t="shared" si="8"/>
        <v>19443508.605999999</v>
      </c>
      <c r="W44" s="963" t="s">
        <v>156</v>
      </c>
      <c r="X44" s="964">
        <v>43185</v>
      </c>
      <c r="Y44" s="960" t="s">
        <v>234</v>
      </c>
      <c r="Z44" s="964">
        <v>43185</v>
      </c>
      <c r="AA44" s="964">
        <v>43465</v>
      </c>
      <c r="AB44" s="959"/>
      <c r="AC44" s="959"/>
      <c r="AD44" s="960"/>
      <c r="AE44" s="959" t="s">
        <v>372</v>
      </c>
      <c r="AF44" s="963">
        <v>2514246.7999999998</v>
      </c>
      <c r="AG44" s="963"/>
      <c r="AH44" s="963"/>
      <c r="AI44" s="963"/>
      <c r="AJ44" s="960" t="s">
        <v>183</v>
      </c>
      <c r="AK44" s="959" t="s">
        <v>513</v>
      </c>
      <c r="AL44" s="959" t="s">
        <v>514</v>
      </c>
      <c r="AM44" s="965">
        <v>43264</v>
      </c>
      <c r="AN44" s="962">
        <v>0</v>
      </c>
      <c r="AO44" s="960" t="str">
        <f t="shared" ca="1" si="9"/>
        <v>MUERTO</v>
      </c>
      <c r="AP44" s="960">
        <v>4</v>
      </c>
      <c r="AQ44" s="966">
        <v>7</v>
      </c>
      <c r="AR44" s="960" t="s">
        <v>234</v>
      </c>
      <c r="AS44" s="960"/>
      <c r="AT44" s="960"/>
      <c r="AU44" s="967"/>
      <c r="AV44" s="965"/>
      <c r="AW44" s="959"/>
      <c r="AX44" s="968"/>
      <c r="AY44" s="965"/>
      <c r="AZ44" s="959"/>
      <c r="BA44" s="959" t="str">
        <f>VLOOKUP(I44,'[1] RFC'!$1:$1048576,2,0)</f>
        <v>CIC8308165A4</v>
      </c>
      <c r="BB44" s="969">
        <v>43179</v>
      </c>
      <c r="BC44" s="969">
        <v>43181</v>
      </c>
      <c r="BD44" s="969">
        <v>43187</v>
      </c>
      <c r="BE44" s="970">
        <v>43195</v>
      </c>
      <c r="BF44" s="969">
        <v>43209</v>
      </c>
      <c r="BG44" s="969">
        <v>43209</v>
      </c>
      <c r="BH44" s="971" t="e">
        <f>NETWORKDAYS(BE44,BF44,#REF!)</f>
        <v>#REF!</v>
      </c>
      <c r="BI44" s="969">
        <v>43210</v>
      </c>
      <c r="BJ44" s="969">
        <v>43216</v>
      </c>
      <c r="BK44" s="969" t="s">
        <v>161</v>
      </c>
      <c r="BL44" s="969">
        <v>43220</v>
      </c>
      <c r="BM44" s="969">
        <v>43210</v>
      </c>
      <c r="BN44" s="969">
        <v>43208</v>
      </c>
      <c r="BO44" s="972">
        <v>43209</v>
      </c>
      <c r="BP44" s="970">
        <v>43208</v>
      </c>
      <c r="BQ44" s="974"/>
    </row>
    <row r="45" spans="1:69" s="591" customFormat="1" ht="45" x14ac:dyDescent="0.25">
      <c r="A45" s="959" t="s">
        <v>515</v>
      </c>
      <c r="B45" s="960">
        <v>43</v>
      </c>
      <c r="C45" s="959" t="s">
        <v>225</v>
      </c>
      <c r="D45" s="959" t="s">
        <v>508</v>
      </c>
      <c r="E45" s="4" t="s">
        <v>173</v>
      </c>
      <c r="F45" s="960" t="s">
        <v>174</v>
      </c>
      <c r="G45" s="567"/>
      <c r="H45" s="960" t="s">
        <v>175</v>
      </c>
      <c r="I45" s="275" t="s">
        <v>516</v>
      </c>
      <c r="J45" s="590"/>
      <c r="K45" s="590"/>
      <c r="L45" s="590"/>
      <c r="M45" s="375" t="str">
        <f t="shared" si="7"/>
        <v xml:space="preserve">Gastelum IX, S.A. de C.V.  </v>
      </c>
      <c r="N45" s="959" t="s">
        <v>270</v>
      </c>
      <c r="O45" s="959" t="s">
        <v>271</v>
      </c>
      <c r="P45" s="959" t="s">
        <v>517</v>
      </c>
      <c r="Q45" s="962">
        <v>57142.8</v>
      </c>
      <c r="R45" s="962">
        <f t="shared" si="6"/>
        <v>9142.848</v>
      </c>
      <c r="S45" s="384">
        <f t="shared" si="3"/>
        <v>66285.648000000001</v>
      </c>
      <c r="T45" s="385">
        <v>22857.119999999999</v>
      </c>
      <c r="U45" s="384">
        <f t="shared" si="5"/>
        <v>26514.2592</v>
      </c>
      <c r="V45" s="962">
        <f t="shared" si="8"/>
        <v>66285.648000000001</v>
      </c>
      <c r="W45" s="963" t="s">
        <v>156</v>
      </c>
      <c r="X45" s="964">
        <v>43185</v>
      </c>
      <c r="Y45" s="960" t="s">
        <v>234</v>
      </c>
      <c r="Z45" s="964">
        <v>43185</v>
      </c>
      <c r="AA45" s="964">
        <v>43465</v>
      </c>
      <c r="AB45" s="959"/>
      <c r="AC45" s="959"/>
      <c r="AD45" s="960"/>
      <c r="AE45" s="959" t="s">
        <v>372</v>
      </c>
      <c r="AF45" s="963">
        <v>8571.42</v>
      </c>
      <c r="AG45" s="963"/>
      <c r="AH45" s="963"/>
      <c r="AI45" s="963"/>
      <c r="AJ45" s="960" t="s">
        <v>183</v>
      </c>
      <c r="AK45" s="959"/>
      <c r="AL45" s="959"/>
      <c r="AM45" s="965"/>
      <c r="AN45" s="962"/>
      <c r="AO45" s="960" t="str">
        <f t="shared" ca="1" si="9"/>
        <v>MUERTO</v>
      </c>
      <c r="AP45" s="960">
        <v>4</v>
      </c>
      <c r="AQ45" s="960"/>
      <c r="AR45" s="960" t="s">
        <v>234</v>
      </c>
      <c r="AS45" s="960"/>
      <c r="AT45" s="960"/>
      <c r="AU45" s="967"/>
      <c r="AV45" s="965"/>
      <c r="AW45" s="959"/>
      <c r="AX45" s="968"/>
      <c r="AY45" s="965"/>
      <c r="AZ45" s="959"/>
      <c r="BA45" s="959" t="str">
        <f>VLOOKUP(I45,'[1] RFC'!$1:$1048576,2,0)</f>
        <v>GIX151118RT9</v>
      </c>
      <c r="BB45" s="969">
        <v>43179</v>
      </c>
      <c r="BC45" s="969">
        <v>43181</v>
      </c>
      <c r="BD45" s="969">
        <v>43187</v>
      </c>
      <c r="BE45" s="970">
        <v>43192</v>
      </c>
      <c r="BF45" s="462">
        <v>43203</v>
      </c>
      <c r="BG45" s="969">
        <v>43203</v>
      </c>
      <c r="BH45" s="971" t="e">
        <f>NETWORKDAYS(BE45,BF45,#REF!)</f>
        <v>#REF!</v>
      </c>
      <c r="BI45" s="969">
        <v>43206</v>
      </c>
      <c r="BJ45" s="969">
        <v>43210</v>
      </c>
      <c r="BK45" s="969" t="s">
        <v>161</v>
      </c>
      <c r="BL45" s="969">
        <v>43214</v>
      </c>
      <c r="BM45" s="969">
        <v>43210</v>
      </c>
      <c r="BN45" s="969">
        <v>43208</v>
      </c>
      <c r="BO45" s="972">
        <v>43229</v>
      </c>
      <c r="BP45" s="970">
        <v>43208</v>
      </c>
      <c r="BQ45" s="974"/>
    </row>
    <row r="46" spans="1:69" s="591" customFormat="1" ht="45" x14ac:dyDescent="0.25">
      <c r="A46" s="959" t="s">
        <v>518</v>
      </c>
      <c r="B46" s="960">
        <v>44</v>
      </c>
      <c r="C46" s="959" t="s">
        <v>225</v>
      </c>
      <c r="D46" s="959" t="s">
        <v>508</v>
      </c>
      <c r="E46" s="4" t="s">
        <v>173</v>
      </c>
      <c r="F46" s="960" t="s">
        <v>174</v>
      </c>
      <c r="G46" s="567"/>
      <c r="H46" s="960" t="s">
        <v>175</v>
      </c>
      <c r="I46" s="275" t="s">
        <v>519</v>
      </c>
      <c r="J46" s="590"/>
      <c r="K46" s="590"/>
      <c r="L46" s="590"/>
      <c r="M46" s="375" t="str">
        <f t="shared" si="7"/>
        <v xml:space="preserve">Cosmopapel, S.A. de C.V.  </v>
      </c>
      <c r="N46" s="959" t="s">
        <v>270</v>
      </c>
      <c r="O46" s="959" t="s">
        <v>271</v>
      </c>
      <c r="P46" s="959" t="s">
        <v>520</v>
      </c>
      <c r="Q46" s="962">
        <v>2593065.2200000002</v>
      </c>
      <c r="R46" s="962">
        <f t="shared" si="6"/>
        <v>414890.43520000007</v>
      </c>
      <c r="S46" s="384">
        <f t="shared" si="3"/>
        <v>3007955.6552000004</v>
      </c>
      <c r="T46" s="385">
        <v>1037226.09</v>
      </c>
      <c r="U46" s="384">
        <f t="shared" si="5"/>
        <v>1203182.2644</v>
      </c>
      <c r="V46" s="962">
        <f t="shared" si="8"/>
        <v>3007955.6552000004</v>
      </c>
      <c r="W46" s="963" t="s">
        <v>156</v>
      </c>
      <c r="X46" s="964">
        <v>43185</v>
      </c>
      <c r="Y46" s="960" t="s">
        <v>234</v>
      </c>
      <c r="Z46" s="964">
        <v>43185</v>
      </c>
      <c r="AA46" s="964">
        <v>43465</v>
      </c>
      <c r="AB46" s="959"/>
      <c r="AC46" s="959"/>
      <c r="AD46" s="960"/>
      <c r="AE46" s="959" t="s">
        <v>372</v>
      </c>
      <c r="AF46" s="963">
        <v>388959.78</v>
      </c>
      <c r="AG46" s="963"/>
      <c r="AH46" s="963"/>
      <c r="AI46" s="963"/>
      <c r="AJ46" s="960" t="s">
        <v>183</v>
      </c>
      <c r="AK46" s="959"/>
      <c r="AL46" s="959"/>
      <c r="AM46" s="965"/>
      <c r="AN46" s="962"/>
      <c r="AO46" s="960" t="str">
        <f t="shared" ca="1" si="9"/>
        <v>MUERTO</v>
      </c>
      <c r="AP46" s="960">
        <v>4</v>
      </c>
      <c r="AQ46" s="960"/>
      <c r="AR46" s="960" t="s">
        <v>234</v>
      </c>
      <c r="AS46" s="960"/>
      <c r="AT46" s="960"/>
      <c r="AU46" s="967"/>
      <c r="AV46" s="965"/>
      <c r="AW46" s="959"/>
      <c r="AX46" s="968"/>
      <c r="AY46" s="965"/>
      <c r="AZ46" s="959"/>
      <c r="BA46" s="959" t="str">
        <f>VLOOKUP(I46,'[1] RFC'!$1:$1048576,2,0)</f>
        <v>COS060209D57</v>
      </c>
      <c r="BB46" s="969">
        <v>43173</v>
      </c>
      <c r="BC46" s="969">
        <v>43181</v>
      </c>
      <c r="BD46" s="969">
        <v>43187</v>
      </c>
      <c r="BE46" s="970">
        <v>43194</v>
      </c>
      <c r="BF46" s="969">
        <v>43208</v>
      </c>
      <c r="BG46" s="969">
        <v>43208</v>
      </c>
      <c r="BH46" s="971" t="e">
        <f>NETWORKDAYS(BE46,BF46,#REF!)</f>
        <v>#REF!</v>
      </c>
      <c r="BI46" s="969">
        <v>43208</v>
      </c>
      <c r="BJ46" s="969">
        <v>43216</v>
      </c>
      <c r="BK46" s="969" t="s">
        <v>161</v>
      </c>
      <c r="BL46" s="969">
        <v>43220</v>
      </c>
      <c r="BM46" s="969">
        <v>43210</v>
      </c>
      <c r="BN46" s="969">
        <v>43208</v>
      </c>
      <c r="BO46" s="972">
        <v>43208</v>
      </c>
      <c r="BP46" s="970">
        <v>43208</v>
      </c>
      <c r="BQ46" s="974"/>
    </row>
    <row r="47" spans="1:69" s="592" customFormat="1" ht="45" x14ac:dyDescent="0.25">
      <c r="A47" s="959" t="s">
        <v>521</v>
      </c>
      <c r="B47" s="960">
        <v>45</v>
      </c>
      <c r="C47" s="959" t="s">
        <v>225</v>
      </c>
      <c r="D47" s="959" t="s">
        <v>508</v>
      </c>
      <c r="E47" s="4" t="s">
        <v>173</v>
      </c>
      <c r="F47" s="960" t="s">
        <v>174</v>
      </c>
      <c r="G47" s="567"/>
      <c r="H47" s="960" t="s">
        <v>175</v>
      </c>
      <c r="I47" s="275" t="s">
        <v>522</v>
      </c>
      <c r="J47" s="590"/>
      <c r="K47" s="590"/>
      <c r="L47" s="590"/>
      <c r="M47" s="375" t="str">
        <f t="shared" si="7"/>
        <v xml:space="preserve">Papelera Anzures, S.A. de C.V.  </v>
      </c>
      <c r="N47" s="959" t="s">
        <v>270</v>
      </c>
      <c r="O47" s="959" t="s">
        <v>271</v>
      </c>
      <c r="P47" s="959" t="s">
        <v>523</v>
      </c>
      <c r="Q47" s="962">
        <v>3397657.43</v>
      </c>
      <c r="R47" s="962">
        <f t="shared" si="6"/>
        <v>543625.1888</v>
      </c>
      <c r="S47" s="384">
        <f t="shared" si="3"/>
        <v>3941282.6188000003</v>
      </c>
      <c r="T47" s="385">
        <v>1359062.96</v>
      </c>
      <c r="U47" s="384">
        <f t="shared" si="5"/>
        <v>1576513.0336</v>
      </c>
      <c r="V47" s="962">
        <f t="shared" si="8"/>
        <v>3941282.6188000003</v>
      </c>
      <c r="W47" s="963" t="s">
        <v>156</v>
      </c>
      <c r="X47" s="964">
        <v>43185</v>
      </c>
      <c r="Y47" s="960" t="s">
        <v>234</v>
      </c>
      <c r="Z47" s="964">
        <v>43185</v>
      </c>
      <c r="AA47" s="964">
        <v>43465</v>
      </c>
      <c r="AB47" s="959"/>
      <c r="AC47" s="959"/>
      <c r="AD47" s="960"/>
      <c r="AE47" s="959" t="s">
        <v>372</v>
      </c>
      <c r="AF47" s="963">
        <v>509648.61</v>
      </c>
      <c r="AG47" s="963"/>
      <c r="AH47" s="963"/>
      <c r="AI47" s="963"/>
      <c r="AJ47" s="960" t="s">
        <v>156</v>
      </c>
      <c r="AK47" s="959" t="s">
        <v>524</v>
      </c>
      <c r="AL47" s="959" t="s">
        <v>525</v>
      </c>
      <c r="AM47" s="965">
        <v>43272</v>
      </c>
      <c r="AN47" s="962">
        <v>0</v>
      </c>
      <c r="AO47" s="960" t="str">
        <f t="shared" ca="1" si="9"/>
        <v>MUERTO</v>
      </c>
      <c r="AP47" s="960">
        <v>4</v>
      </c>
      <c r="AQ47" s="966">
        <v>7</v>
      </c>
      <c r="AR47" s="960" t="s">
        <v>234</v>
      </c>
      <c r="AS47" s="960"/>
      <c r="AT47" s="960"/>
      <c r="AU47" s="967"/>
      <c r="AV47" s="965"/>
      <c r="AW47" s="959"/>
      <c r="AX47" s="968"/>
      <c r="AY47" s="965"/>
      <c r="AZ47" s="959"/>
      <c r="BA47" s="959" t="str">
        <f>VLOOKUP(I47,'[1] RFC'!$1:$1048576,2,0)</f>
        <v>PAN910613PB0</v>
      </c>
      <c r="BB47" s="969">
        <v>43179</v>
      </c>
      <c r="BC47" s="969">
        <v>43181</v>
      </c>
      <c r="BD47" s="969">
        <v>43187</v>
      </c>
      <c r="BE47" s="970">
        <v>43194</v>
      </c>
      <c r="BF47" s="969">
        <v>43201</v>
      </c>
      <c r="BG47" s="969">
        <v>43201</v>
      </c>
      <c r="BH47" s="971" t="e">
        <f>NETWORKDAYS(BE47,BF47,#REF!)</f>
        <v>#REF!</v>
      </c>
      <c r="BI47" s="969">
        <v>43202</v>
      </c>
      <c r="BJ47" s="969">
        <v>43206</v>
      </c>
      <c r="BK47" s="969" t="s">
        <v>161</v>
      </c>
      <c r="BL47" s="969">
        <v>43210</v>
      </c>
      <c r="BM47" s="969">
        <v>43210</v>
      </c>
      <c r="BN47" s="969">
        <v>43208</v>
      </c>
      <c r="BO47" s="972">
        <v>43228</v>
      </c>
      <c r="BP47" s="970">
        <v>43208</v>
      </c>
      <c r="BQ47" s="974"/>
    </row>
    <row r="48" spans="1:69" s="592" customFormat="1" ht="45" x14ac:dyDescent="0.25">
      <c r="A48" s="959" t="s">
        <v>526</v>
      </c>
      <c r="B48" s="960">
        <v>46</v>
      </c>
      <c r="C48" s="959" t="s">
        <v>225</v>
      </c>
      <c r="D48" s="959" t="s">
        <v>527</v>
      </c>
      <c r="E48" s="4" t="s">
        <v>173</v>
      </c>
      <c r="F48" s="960" t="s">
        <v>174</v>
      </c>
      <c r="G48" s="567"/>
      <c r="H48" s="960" t="s">
        <v>175</v>
      </c>
      <c r="I48" s="275" t="s">
        <v>528</v>
      </c>
      <c r="J48" s="590"/>
      <c r="K48" s="590"/>
      <c r="L48" s="590"/>
      <c r="M48" s="375" t="str">
        <f t="shared" si="7"/>
        <v xml:space="preserve">Café 1810, S.A. de C.V.  </v>
      </c>
      <c r="N48" s="959" t="s">
        <v>270</v>
      </c>
      <c r="O48" s="959" t="s">
        <v>271</v>
      </c>
      <c r="P48" s="959" t="s">
        <v>529</v>
      </c>
      <c r="Q48" s="962">
        <v>1596153.73</v>
      </c>
      <c r="R48" s="962">
        <v>0</v>
      </c>
      <c r="S48" s="384">
        <f t="shared" si="3"/>
        <v>1596153.73</v>
      </c>
      <c r="T48" s="385">
        <v>638461.48</v>
      </c>
      <c r="U48" s="384">
        <v>638461.48</v>
      </c>
      <c r="V48" s="962">
        <f t="shared" si="8"/>
        <v>1596153.73</v>
      </c>
      <c r="W48" s="963" t="s">
        <v>156</v>
      </c>
      <c r="X48" s="964">
        <v>43186</v>
      </c>
      <c r="Y48" s="960" t="s">
        <v>234</v>
      </c>
      <c r="Z48" s="964">
        <v>43192</v>
      </c>
      <c r="AA48" s="964">
        <v>43465</v>
      </c>
      <c r="AB48" s="959"/>
      <c r="AC48" s="959"/>
      <c r="AD48" s="960"/>
      <c r="AE48" s="959" t="s">
        <v>372</v>
      </c>
      <c r="AF48" s="963">
        <v>239423.06</v>
      </c>
      <c r="AG48" s="963"/>
      <c r="AH48" s="963"/>
      <c r="AI48" s="963"/>
      <c r="AJ48" s="960" t="s">
        <v>183</v>
      </c>
      <c r="AK48" s="959"/>
      <c r="AL48" s="959"/>
      <c r="AM48" s="965"/>
      <c r="AN48" s="962"/>
      <c r="AO48" s="960" t="str">
        <f t="shared" ca="1" si="9"/>
        <v>MUERTO</v>
      </c>
      <c r="AP48" s="966">
        <v>5</v>
      </c>
      <c r="AQ48" s="960"/>
      <c r="AR48" s="960" t="s">
        <v>234</v>
      </c>
      <c r="AS48" s="960"/>
      <c r="AT48" s="960"/>
      <c r="AU48" s="967"/>
      <c r="AV48" s="965"/>
      <c r="AW48" s="959"/>
      <c r="AX48" s="968"/>
      <c r="AY48" s="965"/>
      <c r="AZ48" s="959"/>
      <c r="BA48" s="959" t="str">
        <f>VLOOKUP(I48,'[1] RFC'!$1:$1048576,2,0)</f>
        <v>CMO111004CI3</v>
      </c>
      <c r="BB48" s="969">
        <v>43181</v>
      </c>
      <c r="BC48" s="969">
        <v>43185</v>
      </c>
      <c r="BD48" s="969">
        <v>43187</v>
      </c>
      <c r="BE48" s="970">
        <v>43195</v>
      </c>
      <c r="BF48" s="969">
        <v>43217</v>
      </c>
      <c r="BG48" s="969">
        <v>43217</v>
      </c>
      <c r="BH48" s="971" t="e">
        <f>NETWORKDAYS(BE48,BF48,#REF!)</f>
        <v>#REF!</v>
      </c>
      <c r="BI48" s="969">
        <v>43220</v>
      </c>
      <c r="BJ48" s="969">
        <v>43224</v>
      </c>
      <c r="BK48" s="969" t="s">
        <v>161</v>
      </c>
      <c r="BL48" s="969">
        <v>43227</v>
      </c>
      <c r="BM48" s="969">
        <v>43210</v>
      </c>
      <c r="BN48" s="969">
        <v>43208</v>
      </c>
      <c r="BO48" s="972">
        <v>43286</v>
      </c>
      <c r="BP48" s="970">
        <v>43208</v>
      </c>
      <c r="BQ48" s="974"/>
    </row>
    <row r="49" spans="1:69" s="592" customFormat="1" ht="105" x14ac:dyDescent="0.25">
      <c r="A49" s="959" t="s">
        <v>530</v>
      </c>
      <c r="B49" s="960">
        <v>47</v>
      </c>
      <c r="C49" s="959" t="s">
        <v>225</v>
      </c>
      <c r="D49" s="959" t="s">
        <v>527</v>
      </c>
      <c r="E49" s="4" t="s">
        <v>173</v>
      </c>
      <c r="F49" s="960" t="s">
        <v>174</v>
      </c>
      <c r="G49" s="567"/>
      <c r="H49" s="960" t="s">
        <v>175</v>
      </c>
      <c r="I49" s="275" t="s">
        <v>531</v>
      </c>
      <c r="J49" s="590"/>
      <c r="K49" s="590"/>
      <c r="L49" s="590"/>
      <c r="M49" s="375" t="str">
        <f t="shared" si="7"/>
        <v xml:space="preserve">FARVISAN Insumos Institucionales, S.A. de C.V.  </v>
      </c>
      <c r="N49" s="959" t="s">
        <v>532</v>
      </c>
      <c r="O49" s="959" t="s">
        <v>271</v>
      </c>
      <c r="P49" s="959" t="s">
        <v>533</v>
      </c>
      <c r="Q49" s="962">
        <v>4143434.14</v>
      </c>
      <c r="R49" s="962">
        <f>Q49*0.16</f>
        <v>662949.46240000008</v>
      </c>
      <c r="S49" s="384">
        <f t="shared" si="3"/>
        <v>4806383.6024000002</v>
      </c>
      <c r="T49" s="385">
        <v>717373.66</v>
      </c>
      <c r="U49" s="384">
        <f>(T49*0.16)+(T49)</f>
        <v>832153.44559999998</v>
      </c>
      <c r="V49" s="962">
        <f t="shared" si="8"/>
        <v>5560383.6024000002</v>
      </c>
      <c r="W49" s="963" t="s">
        <v>156</v>
      </c>
      <c r="X49" s="964">
        <v>43187</v>
      </c>
      <c r="Y49" s="960" t="s">
        <v>234</v>
      </c>
      <c r="Z49" s="964">
        <v>43192</v>
      </c>
      <c r="AA49" s="964">
        <v>43524</v>
      </c>
      <c r="AB49" s="959"/>
      <c r="AC49" s="959"/>
      <c r="AD49" s="960"/>
      <c r="AE49" s="959" t="s">
        <v>372</v>
      </c>
      <c r="AF49" s="963">
        <v>621515.12</v>
      </c>
      <c r="AG49" s="963"/>
      <c r="AH49" s="963"/>
      <c r="AI49" s="963"/>
      <c r="AJ49" s="960" t="s">
        <v>156</v>
      </c>
      <c r="AK49" s="959" t="s">
        <v>534</v>
      </c>
      <c r="AL49" s="959" t="s">
        <v>535</v>
      </c>
      <c r="AM49" s="965">
        <v>43476</v>
      </c>
      <c r="AN49" s="962">
        <v>754000</v>
      </c>
      <c r="AO49" s="960" t="str">
        <f t="shared" ca="1" si="9"/>
        <v>MUERTO</v>
      </c>
      <c r="AP49" s="966">
        <v>5</v>
      </c>
      <c r="AQ49" s="960"/>
      <c r="AR49" s="960" t="s">
        <v>234</v>
      </c>
      <c r="AS49" s="960"/>
      <c r="AT49" s="960"/>
      <c r="AU49" s="967"/>
      <c r="AV49" s="965"/>
      <c r="AW49" s="959"/>
      <c r="AX49" s="968"/>
      <c r="AY49" s="965"/>
      <c r="AZ49" s="959"/>
      <c r="BA49" s="959" t="str">
        <f>VLOOKUP(I49,'[1] RFC'!$1:$1048576,2,0)</f>
        <v>FII110204978</v>
      </c>
      <c r="BB49" s="969">
        <v>43179</v>
      </c>
      <c r="BC49" s="969">
        <v>43185</v>
      </c>
      <c r="BD49" s="969">
        <v>43195</v>
      </c>
      <c r="BE49" s="970">
        <v>43194</v>
      </c>
      <c r="BF49" s="969">
        <v>43201</v>
      </c>
      <c r="BG49" s="969">
        <v>43201</v>
      </c>
      <c r="BH49" s="971" t="e">
        <f>NETWORKDAYS(BE49,BF49,#REF!)</f>
        <v>#REF!</v>
      </c>
      <c r="BI49" s="969">
        <v>43202</v>
      </c>
      <c r="BJ49" s="969">
        <v>43206</v>
      </c>
      <c r="BK49" s="969" t="s">
        <v>161</v>
      </c>
      <c r="BL49" s="969">
        <v>43210</v>
      </c>
      <c r="BM49" s="969">
        <v>43210</v>
      </c>
      <c r="BN49" s="969">
        <v>43202</v>
      </c>
      <c r="BO49" s="972">
        <v>43208</v>
      </c>
      <c r="BP49" s="970">
        <v>43208</v>
      </c>
      <c r="BQ49" s="974"/>
    </row>
    <row r="50" spans="1:69" s="592" customFormat="1" ht="120" x14ac:dyDescent="0.25">
      <c r="A50" s="959" t="s">
        <v>536</v>
      </c>
      <c r="B50" s="960">
        <v>48</v>
      </c>
      <c r="C50" s="959" t="s">
        <v>225</v>
      </c>
      <c r="D50" s="959" t="s">
        <v>537</v>
      </c>
      <c r="E50" s="567" t="s">
        <v>163</v>
      </c>
      <c r="F50" s="960" t="s">
        <v>237</v>
      </c>
      <c r="G50" s="567" t="s">
        <v>163</v>
      </c>
      <c r="H50" s="960" t="s">
        <v>238</v>
      </c>
      <c r="I50" s="275"/>
      <c r="J50" s="590" t="s">
        <v>538</v>
      </c>
      <c r="K50" s="590" t="s">
        <v>539</v>
      </c>
      <c r="L50" s="590" t="s">
        <v>454</v>
      </c>
      <c r="M50" s="375" t="str">
        <f t="shared" si="7"/>
        <v>Andrés Martín Aguilar Flores</v>
      </c>
      <c r="N50" s="959" t="s">
        <v>328</v>
      </c>
      <c r="O50" s="959" t="s">
        <v>329</v>
      </c>
      <c r="P50" s="959" t="s">
        <v>540</v>
      </c>
      <c r="Q50" s="962">
        <v>851000.72</v>
      </c>
      <c r="R50" s="962">
        <f>Q50*0.16</f>
        <v>136160.1152</v>
      </c>
      <c r="S50" s="384">
        <f t="shared" si="3"/>
        <v>987160.83519999997</v>
      </c>
      <c r="T50" s="385">
        <v>340400.28</v>
      </c>
      <c r="U50" s="384">
        <f>(T50*0.16)+(T50)</f>
        <v>394864.32480000006</v>
      </c>
      <c r="V50" s="962">
        <f t="shared" si="8"/>
        <v>1119367.6952</v>
      </c>
      <c r="W50" s="963" t="s">
        <v>156</v>
      </c>
      <c r="X50" s="964">
        <v>43186</v>
      </c>
      <c r="Y50" s="960" t="s">
        <v>234</v>
      </c>
      <c r="Z50" s="964">
        <v>43192</v>
      </c>
      <c r="AA50" s="964">
        <v>43524</v>
      </c>
      <c r="AB50" s="959"/>
      <c r="AC50" s="959"/>
      <c r="AD50" s="960"/>
      <c r="AE50" s="959" t="s">
        <v>372</v>
      </c>
      <c r="AF50" s="963">
        <v>127650.11</v>
      </c>
      <c r="AG50" s="963"/>
      <c r="AH50" s="963"/>
      <c r="AI50" s="963"/>
      <c r="AJ50" s="960" t="s">
        <v>183</v>
      </c>
      <c r="AK50" s="959" t="s">
        <v>541</v>
      </c>
      <c r="AL50" s="959" t="s">
        <v>542</v>
      </c>
      <c r="AM50" s="965" t="s">
        <v>543</v>
      </c>
      <c r="AN50" s="962">
        <v>132206.85999999999</v>
      </c>
      <c r="AO50" s="960" t="str">
        <f t="shared" ca="1" si="9"/>
        <v>MUERTO</v>
      </c>
      <c r="AP50" s="966">
        <v>5</v>
      </c>
      <c r="AQ50" s="966">
        <v>9</v>
      </c>
      <c r="AR50" s="960" t="s">
        <v>234</v>
      </c>
      <c r="AS50" s="960"/>
      <c r="AT50" s="960"/>
      <c r="AU50" s="967"/>
      <c r="AV50" s="965"/>
      <c r="AW50" s="959"/>
      <c r="AX50" s="968"/>
      <c r="AY50" s="965"/>
      <c r="AZ50" s="959"/>
      <c r="BA50" s="959" t="e">
        <f>VLOOKUP(I50,'[1] RFC'!$1:$1048576,2,0)</f>
        <v>#N/A</v>
      </c>
      <c r="BB50" s="969">
        <v>43181</v>
      </c>
      <c r="BC50" s="969">
        <v>43185</v>
      </c>
      <c r="BD50" s="969">
        <v>43195</v>
      </c>
      <c r="BE50" s="970">
        <v>43196</v>
      </c>
      <c r="BF50" s="969">
        <v>43209</v>
      </c>
      <c r="BG50" s="969">
        <v>43209</v>
      </c>
      <c r="BH50" s="971" t="e">
        <f>NETWORKDAYS(BE50,BF50,#REF!)</f>
        <v>#REF!</v>
      </c>
      <c r="BI50" s="969">
        <v>43209</v>
      </c>
      <c r="BJ50" s="969">
        <v>43216</v>
      </c>
      <c r="BK50" s="969" t="s">
        <v>161</v>
      </c>
      <c r="BL50" s="969">
        <v>43227</v>
      </c>
      <c r="BM50" s="969">
        <v>43227</v>
      </c>
      <c r="BN50" s="969">
        <v>43220</v>
      </c>
      <c r="BO50" s="972">
        <v>43392</v>
      </c>
      <c r="BP50" s="970">
        <v>43224</v>
      </c>
      <c r="BQ50" s="974"/>
    </row>
    <row r="51" spans="1:69" s="591" customFormat="1" ht="60" x14ac:dyDescent="0.25">
      <c r="A51" s="959" t="s">
        <v>544</v>
      </c>
      <c r="B51" s="960">
        <v>49</v>
      </c>
      <c r="C51" s="959" t="s">
        <v>149</v>
      </c>
      <c r="D51" s="959"/>
      <c r="E51" s="567" t="s">
        <v>163</v>
      </c>
      <c r="F51" s="960" t="s">
        <v>545</v>
      </c>
      <c r="G51" s="960" t="s">
        <v>546</v>
      </c>
      <c r="H51" s="960" t="s">
        <v>546</v>
      </c>
      <c r="I51" s="275" t="s">
        <v>547</v>
      </c>
      <c r="J51" s="590"/>
      <c r="K51" s="590"/>
      <c r="L51" s="590"/>
      <c r="M51" s="375" t="str">
        <f t="shared" si="7"/>
        <v xml:space="preserve">Diseño y Construcción Activos, S.A. de C.V.  </v>
      </c>
      <c r="N51" s="959" t="s">
        <v>198</v>
      </c>
      <c r="O51" s="959" t="s">
        <v>352</v>
      </c>
      <c r="P51" s="959" t="s">
        <v>548</v>
      </c>
      <c r="Q51" s="962">
        <v>398500</v>
      </c>
      <c r="R51" s="962">
        <f>Q51*0.16</f>
        <v>63760</v>
      </c>
      <c r="S51" s="384">
        <f t="shared" si="3"/>
        <v>462260</v>
      </c>
      <c r="T51" s="385" t="s">
        <v>161</v>
      </c>
      <c r="U51" s="384" t="e">
        <f>(T51*0.16)+(T51)</f>
        <v>#VALUE!</v>
      </c>
      <c r="V51" s="962">
        <f t="shared" si="8"/>
        <v>462260</v>
      </c>
      <c r="W51" s="963" t="s">
        <v>156</v>
      </c>
      <c r="X51" s="964">
        <v>43186</v>
      </c>
      <c r="Y51" s="960" t="s">
        <v>234</v>
      </c>
      <c r="Z51" s="964">
        <v>43186</v>
      </c>
      <c r="AA51" s="964">
        <v>43206</v>
      </c>
      <c r="AB51" s="959"/>
      <c r="AC51" s="959"/>
      <c r="AD51" s="960"/>
      <c r="AE51" s="959" t="s">
        <v>372</v>
      </c>
      <c r="AF51" s="963">
        <v>59775</v>
      </c>
      <c r="AG51" s="963"/>
      <c r="AH51" s="963"/>
      <c r="AI51" s="963"/>
      <c r="AJ51" s="960" t="s">
        <v>183</v>
      </c>
      <c r="AK51" s="959"/>
      <c r="AL51" s="959"/>
      <c r="AM51" s="965"/>
      <c r="AN51" s="962"/>
      <c r="AO51" s="960" t="str">
        <f t="shared" ca="1" si="9"/>
        <v>MUERTO</v>
      </c>
      <c r="AP51" s="966">
        <v>5</v>
      </c>
      <c r="AQ51" s="960"/>
      <c r="AR51" s="960" t="s">
        <v>333</v>
      </c>
      <c r="AS51" s="960"/>
      <c r="AT51" s="960"/>
      <c r="AU51" s="967"/>
      <c r="AV51" s="965"/>
      <c r="AW51" s="959"/>
      <c r="AX51" s="968"/>
      <c r="AY51" s="965"/>
      <c r="AZ51" s="959"/>
      <c r="BA51" s="959" t="str">
        <f>VLOOKUP(I51,'[1] RFC'!$1:$1048576,2,0)</f>
        <v>DCA061027CZ8</v>
      </c>
      <c r="BB51" s="969">
        <v>43186</v>
      </c>
      <c r="BC51" s="969">
        <v>43186</v>
      </c>
      <c r="BD51" s="969">
        <v>43186</v>
      </c>
      <c r="BE51" s="970">
        <v>43206</v>
      </c>
      <c r="BF51" s="969">
        <v>43220</v>
      </c>
      <c r="BG51" s="969">
        <v>43220</v>
      </c>
      <c r="BH51" s="971" t="e">
        <f>NETWORKDAYS(BE51,BF51,#REF!)</f>
        <v>#REF!</v>
      </c>
      <c r="BI51" s="969">
        <v>43222</v>
      </c>
      <c r="BJ51" s="969">
        <v>43227</v>
      </c>
      <c r="BK51" s="969" t="s">
        <v>161</v>
      </c>
      <c r="BL51" s="969">
        <v>43229</v>
      </c>
      <c r="BM51" s="969">
        <v>43220</v>
      </c>
      <c r="BN51" s="969">
        <v>43217</v>
      </c>
      <c r="BO51" s="972">
        <v>43222</v>
      </c>
      <c r="BP51" s="970">
        <v>43217</v>
      </c>
      <c r="BQ51" s="974"/>
    </row>
    <row r="52" spans="1:69" s="591" customFormat="1" ht="75" x14ac:dyDescent="0.25">
      <c r="A52" s="959" t="s">
        <v>549</v>
      </c>
      <c r="B52" s="960">
        <v>50</v>
      </c>
      <c r="C52" s="959" t="s">
        <v>149</v>
      </c>
      <c r="D52" s="959"/>
      <c r="E52" s="567" t="s">
        <v>163</v>
      </c>
      <c r="F52" s="960" t="s">
        <v>545</v>
      </c>
      <c r="G52" s="960" t="s">
        <v>546</v>
      </c>
      <c r="H52" s="960" t="s">
        <v>546</v>
      </c>
      <c r="I52" s="275" t="s">
        <v>550</v>
      </c>
      <c r="J52" s="590"/>
      <c r="K52" s="590"/>
      <c r="L52" s="590"/>
      <c r="M52" s="375" t="str">
        <f t="shared" si="7"/>
        <v xml:space="preserve">Rincón Méndez Construcciones, S.A. de C.V.  </v>
      </c>
      <c r="N52" s="959" t="s">
        <v>198</v>
      </c>
      <c r="O52" s="959" t="s">
        <v>352</v>
      </c>
      <c r="P52" s="959" t="s">
        <v>551</v>
      </c>
      <c r="Q52" s="962">
        <v>335250.75</v>
      </c>
      <c r="R52" s="962">
        <f>Q52*0.16</f>
        <v>53640.12</v>
      </c>
      <c r="S52" s="384">
        <f t="shared" si="3"/>
        <v>388890.87</v>
      </c>
      <c r="T52" s="385">
        <v>0</v>
      </c>
      <c r="U52" s="384">
        <f>(T52*0.16)+(T52)</f>
        <v>0</v>
      </c>
      <c r="V52" s="962">
        <f t="shared" si="8"/>
        <v>388890.87</v>
      </c>
      <c r="W52" s="963" t="s">
        <v>156</v>
      </c>
      <c r="X52" s="964">
        <v>43186</v>
      </c>
      <c r="Y52" s="960" t="s">
        <v>234</v>
      </c>
      <c r="Z52" s="964">
        <v>43186</v>
      </c>
      <c r="AA52" s="964">
        <v>43206</v>
      </c>
      <c r="AB52" s="959"/>
      <c r="AC52" s="959"/>
      <c r="AD52" s="960"/>
      <c r="AE52" s="959" t="s">
        <v>372</v>
      </c>
      <c r="AF52" s="460">
        <v>50287.61</v>
      </c>
      <c r="AG52" s="460"/>
      <c r="AH52" s="460"/>
      <c r="AI52" s="460"/>
      <c r="AJ52" s="960" t="s">
        <v>156</v>
      </c>
      <c r="AK52" s="959"/>
      <c r="AL52" s="959"/>
      <c r="AM52" s="965"/>
      <c r="AN52" s="962"/>
      <c r="AO52" s="960" t="str">
        <f t="shared" ca="1" si="9"/>
        <v>MUERTO</v>
      </c>
      <c r="AP52" s="960">
        <v>6</v>
      </c>
      <c r="AQ52" s="960"/>
      <c r="AR52" s="960" t="s">
        <v>333</v>
      </c>
      <c r="AS52" s="960"/>
      <c r="AT52" s="960"/>
      <c r="AU52" s="967"/>
      <c r="AV52" s="965"/>
      <c r="AW52" s="959"/>
      <c r="AX52" s="968"/>
      <c r="AY52" s="965"/>
      <c r="AZ52" s="959"/>
      <c r="BA52" s="959" t="str">
        <f>VLOOKUP(I52,'[1] RFC'!$1:$1048576,2,0)</f>
        <v>RMC160914FT3</v>
      </c>
      <c r="BB52" s="969">
        <v>43186</v>
      </c>
      <c r="BC52" s="969">
        <v>43186</v>
      </c>
      <c r="BD52" s="969">
        <v>43186</v>
      </c>
      <c r="BE52" s="970">
        <v>43203</v>
      </c>
      <c r="BF52" s="969">
        <v>43216</v>
      </c>
      <c r="BG52" s="969">
        <v>43216</v>
      </c>
      <c r="BH52" s="971" t="e">
        <f>NETWORKDAYS(BE52,BF52,#REF!)</f>
        <v>#REF!</v>
      </c>
      <c r="BI52" s="969">
        <v>43216</v>
      </c>
      <c r="BJ52" s="969">
        <v>43222</v>
      </c>
      <c r="BK52" s="969" t="s">
        <v>161</v>
      </c>
      <c r="BL52" s="969">
        <v>43223</v>
      </c>
      <c r="BM52" s="969">
        <v>43220</v>
      </c>
      <c r="BN52" s="969">
        <v>43217</v>
      </c>
      <c r="BO52" s="972">
        <v>43283</v>
      </c>
      <c r="BP52" s="970">
        <v>43217</v>
      </c>
      <c r="BQ52" s="974"/>
    </row>
    <row r="53" spans="1:69" s="592" customFormat="1" ht="75" x14ac:dyDescent="0.25">
      <c r="A53" s="959" t="s">
        <v>552</v>
      </c>
      <c r="B53" s="960">
        <v>51</v>
      </c>
      <c r="C53" s="959" t="s">
        <v>225</v>
      </c>
      <c r="D53" s="959"/>
      <c r="E53" s="959" t="s">
        <v>163</v>
      </c>
      <c r="F53" s="960" t="s">
        <v>553</v>
      </c>
      <c r="G53" s="567" t="s">
        <v>163</v>
      </c>
      <c r="H53" s="960" t="s">
        <v>554</v>
      </c>
      <c r="I53" s="275" t="s">
        <v>555</v>
      </c>
      <c r="J53" s="590"/>
      <c r="K53" s="590"/>
      <c r="L53" s="590"/>
      <c r="M53" s="375" t="str">
        <f t="shared" si="7"/>
        <v xml:space="preserve">Edenred México, S.A. de C.V.  </v>
      </c>
      <c r="N53" s="959" t="s">
        <v>556</v>
      </c>
      <c r="O53" s="959" t="s">
        <v>557</v>
      </c>
      <c r="P53" s="959" t="s">
        <v>558</v>
      </c>
      <c r="Q53" s="962">
        <v>1500000</v>
      </c>
      <c r="R53" s="962">
        <v>34800</v>
      </c>
      <c r="S53" s="384">
        <v>1534800</v>
      </c>
      <c r="T53" s="385">
        <v>500000</v>
      </c>
      <c r="U53" s="384">
        <v>511600</v>
      </c>
      <c r="V53" s="962">
        <f t="shared" si="8"/>
        <v>1534800</v>
      </c>
      <c r="W53" s="963" t="s">
        <v>156</v>
      </c>
      <c r="X53" s="964">
        <v>43192</v>
      </c>
      <c r="Y53" s="960" t="s">
        <v>333</v>
      </c>
      <c r="Z53" s="964">
        <v>43191</v>
      </c>
      <c r="AA53" s="964">
        <v>43251</v>
      </c>
      <c r="AB53" s="959"/>
      <c r="AC53" s="959"/>
      <c r="AD53" s="960"/>
      <c r="AE53" s="959" t="s">
        <v>372</v>
      </c>
      <c r="AF53" s="963">
        <v>230220</v>
      </c>
      <c r="AG53" s="963"/>
      <c r="AH53" s="963"/>
      <c r="AI53" s="963"/>
      <c r="AJ53" s="960" t="s">
        <v>183</v>
      </c>
      <c r="AK53" s="959"/>
      <c r="AL53" s="959"/>
      <c r="AM53" s="965"/>
      <c r="AN53" s="962"/>
      <c r="AO53" s="960" t="str">
        <f t="shared" ca="1" si="9"/>
        <v>MUERTO</v>
      </c>
      <c r="AP53" s="966">
        <v>5</v>
      </c>
      <c r="AQ53" s="960"/>
      <c r="AR53" s="960" t="s">
        <v>559</v>
      </c>
      <c r="AS53" s="960"/>
      <c r="AT53" s="960"/>
      <c r="AU53" s="967"/>
      <c r="AV53" s="965"/>
      <c r="AW53" s="959"/>
      <c r="AX53" s="968"/>
      <c r="AY53" s="965"/>
      <c r="AZ53" s="959"/>
      <c r="BA53" s="959" t="str">
        <f>VLOOKUP(I53,'[1] RFC'!$1:$1048576,2,0)</f>
        <v>ASE930924SS7</v>
      </c>
      <c r="BB53" s="969">
        <v>43186</v>
      </c>
      <c r="BC53" s="969">
        <v>43187</v>
      </c>
      <c r="BD53" s="969">
        <v>43192</v>
      </c>
      <c r="BE53" s="970">
        <v>43269</v>
      </c>
      <c r="BF53" s="969">
        <v>43293</v>
      </c>
      <c r="BG53" s="969">
        <v>43293</v>
      </c>
      <c r="BH53" s="971" t="e">
        <f>NETWORKDAYS(BE53,BF53,#REF!)</f>
        <v>#REF!</v>
      </c>
      <c r="BI53" s="969">
        <v>43294</v>
      </c>
      <c r="BJ53" s="969">
        <v>43299</v>
      </c>
      <c r="BK53" s="969" t="s">
        <v>161</v>
      </c>
      <c r="BL53" s="969">
        <v>43321</v>
      </c>
      <c r="BM53" s="969">
        <v>43321</v>
      </c>
      <c r="BN53" s="969">
        <v>43321</v>
      </c>
      <c r="BO53" s="972">
        <v>43299</v>
      </c>
      <c r="BP53" s="970">
        <v>43320</v>
      </c>
      <c r="BQ53" s="974"/>
    </row>
    <row r="54" spans="1:69" s="591" customFormat="1" ht="60" x14ac:dyDescent="0.25">
      <c r="A54" s="959" t="s">
        <v>560</v>
      </c>
      <c r="B54" s="960">
        <v>52</v>
      </c>
      <c r="C54" s="959" t="s">
        <v>149</v>
      </c>
      <c r="D54" s="959"/>
      <c r="E54" s="567" t="s">
        <v>163</v>
      </c>
      <c r="F54" s="960" t="s">
        <v>561</v>
      </c>
      <c r="G54" s="567" t="s">
        <v>163</v>
      </c>
      <c r="H54" s="960" t="s">
        <v>163</v>
      </c>
      <c r="I54" s="275" t="s">
        <v>562</v>
      </c>
      <c r="J54" s="590"/>
      <c r="K54" s="590"/>
      <c r="L54" s="590"/>
      <c r="M54" s="375" t="str">
        <f t="shared" si="7"/>
        <v xml:space="preserve">Tecnologías Digitales Alternas de México, S. de R.L. de C.V.  </v>
      </c>
      <c r="N54" s="959" t="s">
        <v>209</v>
      </c>
      <c r="O54" s="959" t="s">
        <v>210</v>
      </c>
      <c r="P54" s="959" t="s">
        <v>563</v>
      </c>
      <c r="Q54" s="962">
        <v>13351500</v>
      </c>
      <c r="R54" s="962">
        <f t="shared" ref="R54:R77" si="10">Q54*0.16</f>
        <v>2136240</v>
      </c>
      <c r="S54" s="384">
        <f t="shared" ref="S54:S85" si="11">Q54+R54</f>
        <v>15487740</v>
      </c>
      <c r="T54" s="385">
        <v>0</v>
      </c>
      <c r="U54" s="384">
        <f t="shared" ref="U54:U101" si="12">(T54*0.16)+(T54)</f>
        <v>0</v>
      </c>
      <c r="V54" s="962">
        <f t="shared" si="8"/>
        <v>15487740</v>
      </c>
      <c r="W54" s="963" t="s">
        <v>156</v>
      </c>
      <c r="X54" s="964">
        <v>43191</v>
      </c>
      <c r="Y54" s="960" t="s">
        <v>333</v>
      </c>
      <c r="Z54" s="964">
        <v>43191</v>
      </c>
      <c r="AA54" s="964">
        <v>43465</v>
      </c>
      <c r="AB54" s="959"/>
      <c r="AC54" s="959"/>
      <c r="AD54" s="960"/>
      <c r="AE54" s="959" t="s">
        <v>564</v>
      </c>
      <c r="AF54" s="963">
        <v>2002725</v>
      </c>
      <c r="AG54" s="963">
        <v>1335150</v>
      </c>
      <c r="AH54" s="963"/>
      <c r="AI54" s="963"/>
      <c r="AJ54" s="960" t="s">
        <v>183</v>
      </c>
      <c r="AK54" s="959"/>
      <c r="AL54" s="959"/>
      <c r="AM54" s="965"/>
      <c r="AN54" s="962"/>
      <c r="AO54" s="960" t="str">
        <f t="shared" ca="1" si="9"/>
        <v>MUERTO</v>
      </c>
      <c r="AP54" s="966">
        <v>5</v>
      </c>
      <c r="AQ54" s="960"/>
      <c r="AR54" s="960" t="s">
        <v>333</v>
      </c>
      <c r="AS54" s="960"/>
      <c r="AT54" s="960"/>
      <c r="AU54" s="967"/>
      <c r="AV54" s="965"/>
      <c r="AW54" s="959"/>
      <c r="AX54" s="968"/>
      <c r="AY54" s="965"/>
      <c r="AZ54" s="959"/>
      <c r="BA54" s="959" t="str">
        <f>VLOOKUP(I54,'[1] RFC'!$1:$1048576,2,0)</f>
        <v>TDA100816147</v>
      </c>
      <c r="BB54" s="969">
        <v>43181</v>
      </c>
      <c r="BC54" s="969">
        <v>43187</v>
      </c>
      <c r="BD54" s="969">
        <v>43192</v>
      </c>
      <c r="BE54" s="970">
        <v>43217</v>
      </c>
      <c r="BF54" s="969">
        <v>43293</v>
      </c>
      <c r="BG54" s="970" t="s">
        <v>565</v>
      </c>
      <c r="BH54" s="971" t="e">
        <f>NETWORKDAYS(BE54,BF54,#REF!)</f>
        <v>#REF!</v>
      </c>
      <c r="BI54" s="970" t="s">
        <v>565</v>
      </c>
      <c r="BJ54" s="970" t="s">
        <v>566</v>
      </c>
      <c r="BK54" s="969" t="s">
        <v>161</v>
      </c>
      <c r="BL54" s="969">
        <v>43328</v>
      </c>
      <c r="BM54" s="969">
        <v>43229</v>
      </c>
      <c r="BN54" s="969">
        <v>43223</v>
      </c>
      <c r="BO54" s="972">
        <v>43293</v>
      </c>
      <c r="BP54" s="970" t="s">
        <v>186</v>
      </c>
      <c r="BQ54" s="974"/>
    </row>
    <row r="55" spans="1:69" s="591" customFormat="1" ht="165" x14ac:dyDescent="0.25">
      <c r="A55" s="959" t="s">
        <v>567</v>
      </c>
      <c r="B55" s="960">
        <v>53</v>
      </c>
      <c r="C55" s="959" t="s">
        <v>149</v>
      </c>
      <c r="D55" s="959" t="s">
        <v>360</v>
      </c>
      <c r="E55" s="567" t="s">
        <v>163</v>
      </c>
      <c r="F55" s="960" t="s">
        <v>568</v>
      </c>
      <c r="G55" s="567" t="s">
        <v>163</v>
      </c>
      <c r="H55" s="960" t="s">
        <v>313</v>
      </c>
      <c r="I55" s="275" t="s">
        <v>569</v>
      </c>
      <c r="J55" s="590"/>
      <c r="K55" s="590"/>
      <c r="L55" s="590"/>
      <c r="M55" s="375" t="str">
        <f t="shared" si="7"/>
        <v xml:space="preserve">Audio Video &amp; Control, S.A. de C.V.  </v>
      </c>
      <c r="N55" s="959" t="s">
        <v>190</v>
      </c>
      <c r="O55" s="959" t="s">
        <v>190</v>
      </c>
      <c r="P55" s="959" t="s">
        <v>570</v>
      </c>
      <c r="Q55" s="962">
        <v>596700</v>
      </c>
      <c r="R55" s="962">
        <f t="shared" si="10"/>
        <v>95472</v>
      </c>
      <c r="S55" s="384">
        <f t="shared" si="11"/>
        <v>692172</v>
      </c>
      <c r="T55" s="385">
        <v>459000</v>
      </c>
      <c r="U55" s="384">
        <f t="shared" si="12"/>
        <v>532440</v>
      </c>
      <c r="V55" s="962">
        <f t="shared" si="8"/>
        <v>692172</v>
      </c>
      <c r="W55" s="963" t="s">
        <v>156</v>
      </c>
      <c r="X55" s="964">
        <v>43194</v>
      </c>
      <c r="Y55" s="960" t="s">
        <v>333</v>
      </c>
      <c r="Z55" s="964">
        <v>43191</v>
      </c>
      <c r="AA55" s="964">
        <v>43465</v>
      </c>
      <c r="AB55" s="959"/>
      <c r="AC55" s="959"/>
      <c r="AD55" s="960"/>
      <c r="AE55" s="959" t="s">
        <v>571</v>
      </c>
      <c r="AF55" s="963">
        <v>89505</v>
      </c>
      <c r="AG55" s="963">
        <v>119340</v>
      </c>
      <c r="AH55" s="963"/>
      <c r="AI55" s="963"/>
      <c r="AJ55" s="960" t="s">
        <v>183</v>
      </c>
      <c r="AK55" s="959"/>
      <c r="AL55" s="959"/>
      <c r="AM55" s="965"/>
      <c r="AN55" s="962"/>
      <c r="AO55" s="960" t="str">
        <f t="shared" ca="1" si="9"/>
        <v>MUERTO</v>
      </c>
      <c r="AP55" s="966">
        <v>5</v>
      </c>
      <c r="AQ55" s="960"/>
      <c r="AR55" s="960" t="s">
        <v>333</v>
      </c>
      <c r="AS55" s="960"/>
      <c r="AT55" s="960"/>
      <c r="AU55" s="967"/>
      <c r="AV55" s="965"/>
      <c r="AW55" s="959"/>
      <c r="AX55" s="968"/>
      <c r="AY55" s="965"/>
      <c r="AZ55" s="959"/>
      <c r="BA55" s="959" t="str">
        <f>VLOOKUP(I55,'[1] RFC'!$1:$1048576,2,0)</f>
        <v>AV&amp;060117UX0</v>
      </c>
      <c r="BB55" s="969">
        <v>43194</v>
      </c>
      <c r="BC55" s="969">
        <v>43194</v>
      </c>
      <c r="BD55" s="969">
        <v>43196</v>
      </c>
      <c r="BE55" s="970">
        <v>43209</v>
      </c>
      <c r="BF55" s="969">
        <v>43227</v>
      </c>
      <c r="BG55" s="970" t="s">
        <v>572</v>
      </c>
      <c r="BH55" s="971" t="e">
        <f>NETWORKDAYS(BE55,BF55,#REF!)</f>
        <v>#REF!</v>
      </c>
      <c r="BI55" s="970" t="s">
        <v>573</v>
      </c>
      <c r="BJ55" s="970" t="s">
        <v>574</v>
      </c>
      <c r="BK55" s="970" t="s">
        <v>575</v>
      </c>
      <c r="BL55" s="969">
        <v>43273</v>
      </c>
      <c r="BM55" s="969">
        <v>43220</v>
      </c>
      <c r="BN55" s="969">
        <v>43213</v>
      </c>
      <c r="BO55" s="972">
        <v>43216</v>
      </c>
      <c r="BP55" s="970" t="s">
        <v>186</v>
      </c>
      <c r="BQ55" s="974"/>
    </row>
    <row r="56" spans="1:69" s="591" customFormat="1" ht="165" x14ac:dyDescent="0.25">
      <c r="A56" s="959" t="s">
        <v>576</v>
      </c>
      <c r="B56" s="960">
        <v>54</v>
      </c>
      <c r="C56" s="959" t="s">
        <v>149</v>
      </c>
      <c r="D56" s="959" t="s">
        <v>360</v>
      </c>
      <c r="E56" s="567" t="s">
        <v>163</v>
      </c>
      <c r="F56" s="960" t="s">
        <v>568</v>
      </c>
      <c r="G56" s="567" t="s">
        <v>163</v>
      </c>
      <c r="H56" s="960" t="s">
        <v>313</v>
      </c>
      <c r="I56" s="275" t="s">
        <v>569</v>
      </c>
      <c r="J56" s="590"/>
      <c r="K56" s="590"/>
      <c r="L56" s="590"/>
      <c r="M56" s="375" t="str">
        <f t="shared" si="7"/>
        <v xml:space="preserve">Audio Video &amp; Control, S.A. de C.V.  </v>
      </c>
      <c r="N56" s="959" t="s">
        <v>190</v>
      </c>
      <c r="O56" s="959" t="s">
        <v>190</v>
      </c>
      <c r="P56" s="959" t="s">
        <v>577</v>
      </c>
      <c r="Q56" s="962">
        <v>2458404</v>
      </c>
      <c r="R56" s="962">
        <f t="shared" si="10"/>
        <v>393344.64</v>
      </c>
      <c r="S56" s="384">
        <f t="shared" si="11"/>
        <v>2851748.64</v>
      </c>
      <c r="T56" s="385">
        <v>1891080</v>
      </c>
      <c r="U56" s="384">
        <f t="shared" si="12"/>
        <v>2193652.7999999998</v>
      </c>
      <c r="V56" s="962">
        <f t="shared" si="8"/>
        <v>2851748.64</v>
      </c>
      <c r="W56" s="963" t="s">
        <v>156</v>
      </c>
      <c r="X56" s="964">
        <v>43194</v>
      </c>
      <c r="Y56" s="960" t="s">
        <v>333</v>
      </c>
      <c r="Z56" s="964">
        <v>43191</v>
      </c>
      <c r="AA56" s="964">
        <v>43465</v>
      </c>
      <c r="AB56" s="959"/>
      <c r="AC56" s="959"/>
      <c r="AD56" s="960"/>
      <c r="AE56" s="959" t="s">
        <v>571</v>
      </c>
      <c r="AF56" s="963">
        <v>368760.6</v>
      </c>
      <c r="AG56" s="963">
        <v>491680.8</v>
      </c>
      <c r="AH56" s="963"/>
      <c r="AI56" s="963"/>
      <c r="AJ56" s="960" t="s">
        <v>183</v>
      </c>
      <c r="AK56" s="959"/>
      <c r="AL56" s="959"/>
      <c r="AM56" s="965"/>
      <c r="AN56" s="962"/>
      <c r="AO56" s="960" t="str">
        <f t="shared" ca="1" si="9"/>
        <v>MUERTO</v>
      </c>
      <c r="AP56" s="966">
        <v>5</v>
      </c>
      <c r="AQ56" s="960"/>
      <c r="AR56" s="960" t="s">
        <v>333</v>
      </c>
      <c r="AS56" s="960"/>
      <c r="AT56" s="960"/>
      <c r="AU56" s="967"/>
      <c r="AV56" s="965"/>
      <c r="AW56" s="959"/>
      <c r="AX56" s="968"/>
      <c r="AY56" s="965"/>
      <c r="AZ56" s="959"/>
      <c r="BA56" s="959" t="str">
        <f>VLOOKUP(I56,'[1] RFC'!$1:$1048576,2,0)</f>
        <v>AV&amp;060117UX0</v>
      </c>
      <c r="BB56" s="969">
        <v>43194</v>
      </c>
      <c r="BC56" s="969">
        <v>43194</v>
      </c>
      <c r="BD56" s="969">
        <v>43196</v>
      </c>
      <c r="BE56" s="970">
        <v>43209</v>
      </c>
      <c r="BF56" s="969">
        <v>43227</v>
      </c>
      <c r="BG56" s="970" t="s">
        <v>572</v>
      </c>
      <c r="BH56" s="971" t="e">
        <f>NETWORKDAYS(BE56,BF56,#REF!)</f>
        <v>#REF!</v>
      </c>
      <c r="BI56" s="970" t="s">
        <v>573</v>
      </c>
      <c r="BJ56" s="970" t="s">
        <v>574</v>
      </c>
      <c r="BK56" s="970" t="s">
        <v>575</v>
      </c>
      <c r="BL56" s="969">
        <v>43273</v>
      </c>
      <c r="BM56" s="969">
        <v>43220</v>
      </c>
      <c r="BN56" s="969">
        <v>43213</v>
      </c>
      <c r="BO56" s="972">
        <v>43216</v>
      </c>
      <c r="BP56" s="970" t="s">
        <v>186</v>
      </c>
      <c r="BQ56" s="974"/>
    </row>
    <row r="57" spans="1:69" s="591" customFormat="1" ht="75" x14ac:dyDescent="0.25">
      <c r="A57" s="959" t="s">
        <v>578</v>
      </c>
      <c r="B57" s="960">
        <v>55</v>
      </c>
      <c r="C57" s="959" t="s">
        <v>149</v>
      </c>
      <c r="D57" s="959" t="s">
        <v>579</v>
      </c>
      <c r="E57" s="567" t="s">
        <v>163</v>
      </c>
      <c r="F57" s="960" t="s">
        <v>568</v>
      </c>
      <c r="G57" s="567" t="s">
        <v>163</v>
      </c>
      <c r="H57" s="960" t="s">
        <v>313</v>
      </c>
      <c r="I57" s="275" t="s">
        <v>569</v>
      </c>
      <c r="J57" s="590"/>
      <c r="K57" s="590"/>
      <c r="L57" s="590"/>
      <c r="M57" s="375" t="str">
        <f t="shared" si="7"/>
        <v xml:space="preserve">Audio Video &amp; Control, S.A. de C.V.  </v>
      </c>
      <c r="N57" s="959" t="s">
        <v>315</v>
      </c>
      <c r="O57" s="959" t="s">
        <v>580</v>
      </c>
      <c r="P57" s="959" t="s">
        <v>581</v>
      </c>
      <c r="Q57" s="962">
        <v>575850</v>
      </c>
      <c r="R57" s="962">
        <f t="shared" si="10"/>
        <v>92136</v>
      </c>
      <c r="S57" s="384">
        <f t="shared" si="11"/>
        <v>667986</v>
      </c>
      <c r="T57" s="385">
        <v>486000</v>
      </c>
      <c r="U57" s="384">
        <f t="shared" si="12"/>
        <v>563760</v>
      </c>
      <c r="V57" s="962">
        <f t="shared" si="8"/>
        <v>667986</v>
      </c>
      <c r="W57" s="963" t="s">
        <v>156</v>
      </c>
      <c r="X57" s="964">
        <v>43194</v>
      </c>
      <c r="Y57" s="960" t="s">
        <v>333</v>
      </c>
      <c r="Z57" s="964">
        <v>43191</v>
      </c>
      <c r="AA57" s="964">
        <v>43465</v>
      </c>
      <c r="AB57" s="959"/>
      <c r="AC57" s="959"/>
      <c r="AD57" s="960"/>
      <c r="AE57" s="959" t="s">
        <v>582</v>
      </c>
      <c r="AF57" s="963">
        <v>86377.5</v>
      </c>
      <c r="AG57" s="963">
        <v>100000</v>
      </c>
      <c r="AH57" s="963"/>
      <c r="AI57" s="963"/>
      <c r="AJ57" s="960" t="s">
        <v>183</v>
      </c>
      <c r="AK57" s="959"/>
      <c r="AL57" s="959"/>
      <c r="AM57" s="965"/>
      <c r="AN57" s="962"/>
      <c r="AO57" s="960" t="str">
        <f t="shared" ca="1" si="9"/>
        <v>MUERTO</v>
      </c>
      <c r="AP57" s="966">
        <v>5</v>
      </c>
      <c r="AQ57" s="960"/>
      <c r="AR57" s="960" t="s">
        <v>333</v>
      </c>
      <c r="AS57" s="960"/>
      <c r="AT57" s="960"/>
      <c r="AU57" s="967"/>
      <c r="AV57" s="965"/>
      <c r="AW57" s="959"/>
      <c r="AX57" s="968"/>
      <c r="AY57" s="965"/>
      <c r="AZ57" s="959"/>
      <c r="BA57" s="959" t="str">
        <f>VLOOKUP(I57,'[1] RFC'!$1:$1048576,2,0)</f>
        <v>AV&amp;060117UX0</v>
      </c>
      <c r="BB57" s="969">
        <v>43194</v>
      </c>
      <c r="BC57" s="969">
        <v>43194</v>
      </c>
      <c r="BD57" s="969">
        <v>43194</v>
      </c>
      <c r="BE57" s="970">
        <v>43209</v>
      </c>
      <c r="BF57" s="969">
        <v>43264</v>
      </c>
      <c r="BG57" s="970" t="s">
        <v>583</v>
      </c>
      <c r="BH57" s="971" t="e">
        <f>NETWORKDAYS(BE57,BF57,#REF!)</f>
        <v>#REF!</v>
      </c>
      <c r="BI57" s="970" t="s">
        <v>583</v>
      </c>
      <c r="BJ57" s="970" t="s">
        <v>584</v>
      </c>
      <c r="BK57" s="969" t="s">
        <v>161</v>
      </c>
      <c r="BL57" s="969">
        <v>43306</v>
      </c>
      <c r="BM57" s="969">
        <v>43231</v>
      </c>
      <c r="BN57" s="969">
        <v>43227</v>
      </c>
      <c r="BO57" s="972">
        <v>43237</v>
      </c>
      <c r="BP57" s="970">
        <v>43230</v>
      </c>
      <c r="BQ57" s="974"/>
    </row>
    <row r="58" spans="1:69" s="591" customFormat="1" ht="75" x14ac:dyDescent="0.25">
      <c r="A58" s="959" t="s">
        <v>585</v>
      </c>
      <c r="B58" s="960">
        <v>56</v>
      </c>
      <c r="C58" s="959" t="s">
        <v>149</v>
      </c>
      <c r="D58" s="959" t="s">
        <v>586</v>
      </c>
      <c r="E58" s="4" t="s">
        <v>173</v>
      </c>
      <c r="F58" s="960" t="s">
        <v>326</v>
      </c>
      <c r="G58" s="567"/>
      <c r="H58" s="960" t="s">
        <v>175</v>
      </c>
      <c r="I58" s="275" t="s">
        <v>587</v>
      </c>
      <c r="J58" s="590"/>
      <c r="K58" s="590"/>
      <c r="L58" s="590"/>
      <c r="M58" s="375" t="str">
        <f t="shared" si="7"/>
        <v xml:space="preserve">Estructuras Digitales de México Comercializadora, S.A. de C.V.  </v>
      </c>
      <c r="N58" s="959" t="s">
        <v>209</v>
      </c>
      <c r="O58" s="959" t="s">
        <v>210</v>
      </c>
      <c r="P58" s="959" t="s">
        <v>588</v>
      </c>
      <c r="Q58" s="962">
        <v>1293103.45</v>
      </c>
      <c r="R58" s="962">
        <f t="shared" si="10"/>
        <v>206896.552</v>
      </c>
      <c r="S58" s="384">
        <f t="shared" si="11"/>
        <v>1500000.0019999999</v>
      </c>
      <c r="T58" s="385">
        <v>500000</v>
      </c>
      <c r="U58" s="384">
        <f t="shared" si="12"/>
        <v>580000</v>
      </c>
      <c r="V58" s="962">
        <f t="shared" si="8"/>
        <v>1875000.0019999999</v>
      </c>
      <c r="W58" s="963" t="s">
        <v>156</v>
      </c>
      <c r="X58" s="964">
        <v>43201</v>
      </c>
      <c r="Y58" s="960" t="s">
        <v>333</v>
      </c>
      <c r="Z58" s="964">
        <v>43213</v>
      </c>
      <c r="AA58" s="964">
        <v>43465</v>
      </c>
      <c r="AB58" s="959"/>
      <c r="AC58" s="959"/>
      <c r="AD58" s="960"/>
      <c r="AE58" s="959" t="s">
        <v>564</v>
      </c>
      <c r="AF58" s="963">
        <v>193965.51</v>
      </c>
      <c r="AG58" s="963">
        <v>129310.35</v>
      </c>
      <c r="AH58" s="963"/>
      <c r="AI58" s="963"/>
      <c r="AJ58" s="960" t="s">
        <v>183</v>
      </c>
      <c r="AK58" s="959" t="s">
        <v>589</v>
      </c>
      <c r="AL58" s="959" t="s">
        <v>590</v>
      </c>
      <c r="AM58" s="965">
        <v>43398</v>
      </c>
      <c r="AN58" s="962">
        <v>375000</v>
      </c>
      <c r="AO58" s="960" t="str">
        <f t="shared" ca="1" si="9"/>
        <v>MUERTO</v>
      </c>
      <c r="AP58" s="966">
        <v>5</v>
      </c>
      <c r="AQ58" s="960">
        <v>11</v>
      </c>
      <c r="AR58" s="960" t="s">
        <v>333</v>
      </c>
      <c r="AS58" s="960"/>
      <c r="AT58" s="960"/>
      <c r="AU58" s="967"/>
      <c r="AV58" s="965"/>
      <c r="AW58" s="959"/>
      <c r="AX58" s="968"/>
      <c r="AY58" s="965"/>
      <c r="AZ58" s="959"/>
      <c r="BA58" s="959" t="str">
        <f>VLOOKUP(I58,'[1] RFC'!$1:$1048576,2,0)</f>
        <v>EDM090610E77</v>
      </c>
      <c r="BB58" s="969">
        <v>43194</v>
      </c>
      <c r="BC58" s="969">
        <v>43200</v>
      </c>
      <c r="BD58" s="969">
        <v>43207</v>
      </c>
      <c r="BE58" s="970">
        <v>43209</v>
      </c>
      <c r="BF58" s="969">
        <v>43272</v>
      </c>
      <c r="BG58" s="970" t="s">
        <v>591</v>
      </c>
      <c r="BH58" s="971" t="e">
        <f>NETWORKDAYS(BE58,BF58,#REF!)</f>
        <v>#REF!</v>
      </c>
      <c r="BI58" s="970" t="s">
        <v>591</v>
      </c>
      <c r="BJ58" s="970" t="s">
        <v>592</v>
      </c>
      <c r="BK58" s="969" t="s">
        <v>161</v>
      </c>
      <c r="BL58" s="969">
        <v>43283</v>
      </c>
      <c r="BM58" s="969">
        <v>43220</v>
      </c>
      <c r="BN58" s="969">
        <v>43220</v>
      </c>
      <c r="BO58" s="972">
        <v>43272</v>
      </c>
      <c r="BP58" s="970" t="s">
        <v>186</v>
      </c>
      <c r="BQ58" s="974"/>
    </row>
    <row r="59" spans="1:69" s="591" customFormat="1" ht="240" x14ac:dyDescent="0.25">
      <c r="A59" s="959" t="s">
        <v>593</v>
      </c>
      <c r="B59" s="960">
        <v>57</v>
      </c>
      <c r="C59" s="959" t="s">
        <v>225</v>
      </c>
      <c r="D59" s="959" t="s">
        <v>594</v>
      </c>
      <c r="E59" s="959" t="s">
        <v>151</v>
      </c>
      <c r="F59" s="960" t="s">
        <v>152</v>
      </c>
      <c r="G59" s="567"/>
      <c r="H59" s="960" t="s">
        <v>151</v>
      </c>
      <c r="I59" s="275"/>
      <c r="J59" s="590" t="s">
        <v>452</v>
      </c>
      <c r="K59" s="590" t="s">
        <v>453</v>
      </c>
      <c r="L59" s="590" t="s">
        <v>454</v>
      </c>
      <c r="M59" s="375" t="str">
        <f t="shared" si="7"/>
        <v>Claudia Ángelica López Flores</v>
      </c>
      <c r="N59" s="959" t="s">
        <v>301</v>
      </c>
      <c r="O59" s="959" t="s">
        <v>302</v>
      </c>
      <c r="P59" s="959" t="s">
        <v>595</v>
      </c>
      <c r="Q59" s="962">
        <v>687831.62</v>
      </c>
      <c r="R59" s="962">
        <f t="shared" si="10"/>
        <v>110053.0592</v>
      </c>
      <c r="S59" s="384">
        <f t="shared" si="11"/>
        <v>797884.67920000001</v>
      </c>
      <c r="T59" s="385">
        <v>275132.65000000002</v>
      </c>
      <c r="U59" s="384">
        <f t="shared" si="12"/>
        <v>319153.87400000001</v>
      </c>
      <c r="V59" s="962">
        <f t="shared" si="8"/>
        <v>957461.59920000006</v>
      </c>
      <c r="W59" s="963" t="s">
        <v>156</v>
      </c>
      <c r="X59" s="964">
        <v>43206</v>
      </c>
      <c r="Y59" s="960" t="s">
        <v>333</v>
      </c>
      <c r="Z59" s="964">
        <v>43213</v>
      </c>
      <c r="AA59" s="964">
        <v>43555</v>
      </c>
      <c r="AB59" s="959"/>
      <c r="AC59" s="959"/>
      <c r="AD59" s="960"/>
      <c r="AE59" s="959" t="s">
        <v>182</v>
      </c>
      <c r="AF59" s="963">
        <v>103174.74</v>
      </c>
      <c r="AG59" s="963"/>
      <c r="AH59" s="963"/>
      <c r="AI59" s="963"/>
      <c r="AJ59" s="960" t="s">
        <v>183</v>
      </c>
      <c r="AK59" s="959" t="s">
        <v>596</v>
      </c>
      <c r="AL59" s="959" t="s">
        <v>412</v>
      </c>
      <c r="AM59" s="965" t="s">
        <v>597</v>
      </c>
      <c r="AN59" s="962">
        <v>159576.92000000001</v>
      </c>
      <c r="AO59" s="960" t="str">
        <f t="shared" ca="1" si="9"/>
        <v>MUERTO</v>
      </c>
      <c r="AP59" s="966">
        <v>5</v>
      </c>
      <c r="AQ59" s="960"/>
      <c r="AR59" s="960" t="s">
        <v>333</v>
      </c>
      <c r="AS59" s="960"/>
      <c r="AT59" s="960"/>
      <c r="AU59" s="967"/>
      <c r="AV59" s="965"/>
      <c r="AW59" s="959"/>
      <c r="AX59" s="968"/>
      <c r="AY59" s="965"/>
      <c r="AZ59" s="959"/>
      <c r="BA59" s="959" t="e">
        <f>VLOOKUP(I59,'[1] RFC'!$1:$1048576,2,0)</f>
        <v>#N/A</v>
      </c>
      <c r="BB59" s="969">
        <v>43196</v>
      </c>
      <c r="BC59" s="969">
        <v>43202</v>
      </c>
      <c r="BD59" s="969">
        <v>43214</v>
      </c>
      <c r="BE59" s="970">
        <v>43235</v>
      </c>
      <c r="BF59" s="969">
        <v>43259</v>
      </c>
      <c r="BG59" s="969">
        <v>43259</v>
      </c>
      <c r="BH59" s="971" t="e">
        <f>NETWORKDAYS(BE59,BF59,#REF!)</f>
        <v>#REF!</v>
      </c>
      <c r="BI59" s="969">
        <v>43259</v>
      </c>
      <c r="BJ59" s="969">
        <v>43265</v>
      </c>
      <c r="BK59" s="969" t="s">
        <v>161</v>
      </c>
      <c r="BL59" s="969">
        <v>43271</v>
      </c>
      <c r="BM59" s="969">
        <v>43245</v>
      </c>
      <c r="BN59" s="969">
        <v>43228</v>
      </c>
      <c r="BO59" s="972">
        <v>43257</v>
      </c>
      <c r="BP59" s="970">
        <v>43244</v>
      </c>
      <c r="BQ59" s="974"/>
    </row>
    <row r="60" spans="1:69" s="591" customFormat="1" ht="105" x14ac:dyDescent="0.25">
      <c r="A60" s="959" t="s">
        <v>598</v>
      </c>
      <c r="B60" s="960">
        <v>58</v>
      </c>
      <c r="C60" s="959" t="s">
        <v>149</v>
      </c>
      <c r="D60" s="959" t="s">
        <v>599</v>
      </c>
      <c r="E60" s="567" t="s">
        <v>163</v>
      </c>
      <c r="F60" s="960" t="s">
        <v>312</v>
      </c>
      <c r="G60" s="567" t="s">
        <v>163</v>
      </c>
      <c r="H60" s="960" t="s">
        <v>313</v>
      </c>
      <c r="I60" s="275" t="s">
        <v>600</v>
      </c>
      <c r="J60" s="590"/>
      <c r="K60" s="590"/>
      <c r="L60" s="590"/>
      <c r="M60" s="375" t="str">
        <f t="shared" si="7"/>
        <v xml:space="preserve">Incluir-T, S.A. de C.V.  </v>
      </c>
      <c r="N60" s="959" t="s">
        <v>601</v>
      </c>
      <c r="O60" s="959" t="s">
        <v>602</v>
      </c>
      <c r="P60" s="959" t="s">
        <v>603</v>
      </c>
      <c r="Q60" s="962">
        <v>237500</v>
      </c>
      <c r="R60" s="962">
        <f t="shared" si="10"/>
        <v>38000</v>
      </c>
      <c r="S60" s="384">
        <f t="shared" si="11"/>
        <v>275500</v>
      </c>
      <c r="T60" s="385">
        <v>0</v>
      </c>
      <c r="U60" s="384">
        <f t="shared" si="12"/>
        <v>0</v>
      </c>
      <c r="V60" s="962">
        <f t="shared" si="8"/>
        <v>340323.53</v>
      </c>
      <c r="W60" s="963" t="s">
        <v>156</v>
      </c>
      <c r="X60" s="964">
        <v>43213</v>
      </c>
      <c r="Y60" s="960" t="s">
        <v>333</v>
      </c>
      <c r="Z60" s="964">
        <v>43205</v>
      </c>
      <c r="AA60" s="964">
        <v>43524</v>
      </c>
      <c r="AB60" s="959"/>
      <c r="AC60" s="959"/>
      <c r="AD60" s="960"/>
      <c r="AE60" s="959" t="s">
        <v>182</v>
      </c>
      <c r="AF60" s="963">
        <v>35625</v>
      </c>
      <c r="AG60" s="963"/>
      <c r="AH60" s="963"/>
      <c r="AI60" s="963"/>
      <c r="AJ60" s="960" t="s">
        <v>183</v>
      </c>
      <c r="AK60" s="959" t="s">
        <v>604</v>
      </c>
      <c r="AL60" s="959" t="s">
        <v>605</v>
      </c>
      <c r="AM60" s="965">
        <v>43474</v>
      </c>
      <c r="AN60" s="962">
        <v>64823.53</v>
      </c>
      <c r="AO60" s="960" t="str">
        <f t="shared" ca="1" si="9"/>
        <v>MUERTO</v>
      </c>
      <c r="AP60" s="966">
        <v>5</v>
      </c>
      <c r="AQ60" s="960"/>
      <c r="AR60" s="960" t="s">
        <v>333</v>
      </c>
      <c r="AS60" s="960"/>
      <c r="AT60" s="960"/>
      <c r="AU60" s="967"/>
      <c r="AV60" s="965"/>
      <c r="AW60" s="959"/>
      <c r="AX60" s="968"/>
      <c r="AY60" s="965"/>
      <c r="AZ60" s="959"/>
      <c r="BA60" s="959" t="str">
        <f>VLOOKUP(I60,'[1] RFC'!$1:$1048576,2,0)</f>
        <v>INC141210UN2</v>
      </c>
      <c r="BB60" s="969">
        <v>43202</v>
      </c>
      <c r="BC60" s="969">
        <v>43208</v>
      </c>
      <c r="BD60" s="969">
        <v>43217</v>
      </c>
      <c r="BE60" s="970">
        <v>43223</v>
      </c>
      <c r="BF60" s="969">
        <v>43236</v>
      </c>
      <c r="BG60" s="969">
        <v>43236</v>
      </c>
      <c r="BH60" s="971" t="e">
        <f>NETWORKDAYS(BE60,BF60,#REF!)</f>
        <v>#REF!</v>
      </c>
      <c r="BI60" s="969">
        <v>43236</v>
      </c>
      <c r="BJ60" s="969">
        <v>43243</v>
      </c>
      <c r="BK60" s="969" t="s">
        <v>161</v>
      </c>
      <c r="BL60" s="969">
        <v>43245</v>
      </c>
      <c r="BM60" s="969">
        <v>43243</v>
      </c>
      <c r="BN60" s="969">
        <v>43243</v>
      </c>
      <c r="BO60" s="972">
        <v>43243</v>
      </c>
      <c r="BP60" s="970">
        <v>43242</v>
      </c>
      <c r="BQ60" s="974"/>
    </row>
    <row r="61" spans="1:69" s="591" customFormat="1" ht="45" x14ac:dyDescent="0.25">
      <c r="A61" s="959" t="s">
        <v>606</v>
      </c>
      <c r="B61" s="960">
        <v>59</v>
      </c>
      <c r="C61" s="959" t="s">
        <v>149</v>
      </c>
      <c r="D61" s="959"/>
      <c r="E61" s="567" t="s">
        <v>163</v>
      </c>
      <c r="F61" s="960" t="s">
        <v>607</v>
      </c>
      <c r="G61" s="567" t="s">
        <v>163</v>
      </c>
      <c r="H61" s="960" t="s">
        <v>608</v>
      </c>
      <c r="I61" s="275" t="s">
        <v>609</v>
      </c>
      <c r="J61" s="590"/>
      <c r="K61" s="590"/>
      <c r="L61" s="590"/>
      <c r="M61" s="375" t="str">
        <f t="shared" si="7"/>
        <v xml:space="preserve">Vivaza Asesoría de Negocios, S.C.   </v>
      </c>
      <c r="N61" s="959" t="s">
        <v>431</v>
      </c>
      <c r="O61" s="959" t="s">
        <v>431</v>
      </c>
      <c r="P61" s="959" t="s">
        <v>610</v>
      </c>
      <c r="Q61" s="962">
        <v>1444291</v>
      </c>
      <c r="R61" s="962">
        <f t="shared" si="10"/>
        <v>231086.56</v>
      </c>
      <c r="S61" s="384">
        <f t="shared" si="11"/>
        <v>1675377.56</v>
      </c>
      <c r="T61" s="385">
        <v>0</v>
      </c>
      <c r="U61" s="384">
        <f t="shared" si="12"/>
        <v>0</v>
      </c>
      <c r="V61" s="962">
        <f t="shared" si="8"/>
        <v>1675377.56</v>
      </c>
      <c r="W61" s="963" t="s">
        <v>156</v>
      </c>
      <c r="X61" s="964">
        <v>43214</v>
      </c>
      <c r="Y61" s="960" t="s">
        <v>333</v>
      </c>
      <c r="Z61" s="964">
        <v>43213</v>
      </c>
      <c r="AA61" s="964">
        <v>43327</v>
      </c>
      <c r="AB61" s="959"/>
      <c r="AC61" s="959"/>
      <c r="AD61" s="960"/>
      <c r="AE61" s="959" t="s">
        <v>182</v>
      </c>
      <c r="AF61" s="963">
        <v>161637.93</v>
      </c>
      <c r="AG61" s="963"/>
      <c r="AH61" s="963"/>
      <c r="AI61" s="963"/>
      <c r="AJ61" s="960" t="s">
        <v>183</v>
      </c>
      <c r="AK61" s="959"/>
      <c r="AL61" s="959"/>
      <c r="AM61" s="965"/>
      <c r="AN61" s="962"/>
      <c r="AO61" s="960" t="str">
        <f t="shared" ca="1" si="9"/>
        <v>MUERTO</v>
      </c>
      <c r="AP61" s="966">
        <v>5</v>
      </c>
      <c r="AQ61" s="960"/>
      <c r="AR61" s="960" t="s">
        <v>333</v>
      </c>
      <c r="AS61" s="960"/>
      <c r="AT61" s="960"/>
      <c r="AU61" s="967"/>
      <c r="AV61" s="965"/>
      <c r="AW61" s="959"/>
      <c r="AX61" s="968"/>
      <c r="AY61" s="965"/>
      <c r="AZ61" s="959"/>
      <c r="BA61" s="959" t="str">
        <f>VLOOKUP(I61,'[1] RFC'!$1:$1048576,2,0)</f>
        <v>VAN120928ID2</v>
      </c>
      <c r="BB61" s="969">
        <v>43209</v>
      </c>
      <c r="BC61" s="969">
        <v>43213</v>
      </c>
      <c r="BD61" s="969">
        <v>43222</v>
      </c>
      <c r="BE61" s="970">
        <v>43222</v>
      </c>
      <c r="BF61" s="969">
        <v>43234</v>
      </c>
      <c r="BG61" s="969">
        <v>43234</v>
      </c>
      <c r="BH61" s="971" t="e">
        <f>NETWORKDAYS(BE61,BF61,#REF!)</f>
        <v>#REF!</v>
      </c>
      <c r="BI61" s="969">
        <v>43234</v>
      </c>
      <c r="BJ61" s="969">
        <v>43237</v>
      </c>
      <c r="BK61" s="969" t="s">
        <v>161</v>
      </c>
      <c r="BL61" s="969">
        <v>43241</v>
      </c>
      <c r="BM61" s="969">
        <v>43231</v>
      </c>
      <c r="BN61" s="969">
        <v>43231</v>
      </c>
      <c r="BO61" s="972">
        <v>43230</v>
      </c>
      <c r="BP61" s="970">
        <v>43230</v>
      </c>
      <c r="BQ61" s="974"/>
    </row>
    <row r="62" spans="1:69" s="591" customFormat="1" ht="90" x14ac:dyDescent="0.25">
      <c r="A62" s="959" t="s">
        <v>611</v>
      </c>
      <c r="B62" s="960">
        <v>60</v>
      </c>
      <c r="C62" s="959" t="s">
        <v>225</v>
      </c>
      <c r="D62" s="959" t="s">
        <v>612</v>
      </c>
      <c r="E62" s="567" t="s">
        <v>163</v>
      </c>
      <c r="F62" s="960" t="s">
        <v>607</v>
      </c>
      <c r="G62" s="567" t="s">
        <v>163</v>
      </c>
      <c r="H62" s="960" t="s">
        <v>608</v>
      </c>
      <c r="I62" s="275" t="s">
        <v>613</v>
      </c>
      <c r="J62" s="590"/>
      <c r="K62" s="590"/>
      <c r="L62" s="590"/>
      <c r="M62" s="375" t="str">
        <f t="shared" si="7"/>
        <v xml:space="preserve">Martínez Barranco, S.A. de C.V.  </v>
      </c>
      <c r="N62" s="959" t="s">
        <v>614</v>
      </c>
      <c r="O62" s="959" t="s">
        <v>329</v>
      </c>
      <c r="P62" s="959" t="s">
        <v>615</v>
      </c>
      <c r="Q62" s="962">
        <v>1077586.2</v>
      </c>
      <c r="R62" s="962">
        <f t="shared" si="10"/>
        <v>172413.79199999999</v>
      </c>
      <c r="S62" s="384">
        <f t="shared" si="11"/>
        <v>1249999.9919999999</v>
      </c>
      <c r="T62" s="385">
        <v>431034.48</v>
      </c>
      <c r="U62" s="384">
        <f t="shared" si="12"/>
        <v>499999.99679999996</v>
      </c>
      <c r="V62" s="962">
        <f t="shared" si="8"/>
        <v>1249999.9919999999</v>
      </c>
      <c r="W62" s="963" t="s">
        <v>156</v>
      </c>
      <c r="X62" s="964">
        <v>43215</v>
      </c>
      <c r="Y62" s="960" t="s">
        <v>333</v>
      </c>
      <c r="Z62" s="964">
        <v>43210</v>
      </c>
      <c r="AA62" s="964">
        <v>43524</v>
      </c>
      <c r="AB62" s="959"/>
      <c r="AC62" s="959"/>
      <c r="AD62" s="960"/>
      <c r="AE62" s="959" t="s">
        <v>182</v>
      </c>
      <c r="AF62" s="963">
        <v>216643.65</v>
      </c>
      <c r="AG62" s="963"/>
      <c r="AH62" s="963"/>
      <c r="AI62" s="963"/>
      <c r="AJ62" s="960" t="s">
        <v>183</v>
      </c>
      <c r="AK62" s="959" t="s">
        <v>616</v>
      </c>
      <c r="AL62" s="959" t="s">
        <v>617</v>
      </c>
      <c r="AM62" s="965">
        <v>43452</v>
      </c>
      <c r="AN62" s="962">
        <v>0</v>
      </c>
      <c r="AO62" s="960" t="str">
        <f t="shared" ca="1" si="9"/>
        <v>MUERTO</v>
      </c>
      <c r="AP62" s="966">
        <v>5</v>
      </c>
      <c r="AQ62" s="960"/>
      <c r="AR62" s="960" t="s">
        <v>333</v>
      </c>
      <c r="AS62" s="960"/>
      <c r="AT62" s="960"/>
      <c r="AU62" s="967"/>
      <c r="AV62" s="965"/>
      <c r="AW62" s="959"/>
      <c r="AX62" s="968"/>
      <c r="AY62" s="965"/>
      <c r="AZ62" s="959"/>
      <c r="BA62" s="959" t="str">
        <f>VLOOKUP(I62,'[1] RFC'!$1:$1048576,2,0)</f>
        <v>MBA960229SJ9</v>
      </c>
      <c r="BB62" s="969">
        <v>43196</v>
      </c>
      <c r="BC62" s="969">
        <v>43210</v>
      </c>
      <c r="BD62" s="969">
        <v>43220</v>
      </c>
      <c r="BE62" s="970">
        <v>43229</v>
      </c>
      <c r="BF62" s="969">
        <v>43235</v>
      </c>
      <c r="BG62" s="969">
        <v>43235</v>
      </c>
      <c r="BH62" s="971" t="e">
        <f>NETWORKDAYS(BE62,BF62,#REF!)</f>
        <v>#REF!</v>
      </c>
      <c r="BI62" s="969">
        <v>43235</v>
      </c>
      <c r="BJ62" s="969">
        <v>43237</v>
      </c>
      <c r="BK62" s="969" t="s">
        <v>161</v>
      </c>
      <c r="BL62" s="969">
        <v>43245</v>
      </c>
      <c r="BM62" s="969">
        <v>43245</v>
      </c>
      <c r="BN62" s="969">
        <v>43241</v>
      </c>
      <c r="BO62" s="972">
        <v>43241</v>
      </c>
      <c r="BP62" s="970">
        <v>43244</v>
      </c>
      <c r="BQ62" s="974"/>
    </row>
    <row r="63" spans="1:69" s="591" customFormat="1" ht="120" x14ac:dyDescent="0.25">
      <c r="A63" s="959" t="s">
        <v>618</v>
      </c>
      <c r="B63" s="960">
        <v>61</v>
      </c>
      <c r="C63" s="959" t="s">
        <v>149</v>
      </c>
      <c r="D63" s="959" t="s">
        <v>619</v>
      </c>
      <c r="E63" s="567" t="s">
        <v>163</v>
      </c>
      <c r="F63" s="960" t="s">
        <v>620</v>
      </c>
      <c r="G63" s="567" t="s">
        <v>163</v>
      </c>
      <c r="H63" s="960" t="s">
        <v>427</v>
      </c>
      <c r="I63" s="275" t="s">
        <v>621</v>
      </c>
      <c r="J63" s="590"/>
      <c r="K63" s="590"/>
      <c r="L63" s="590"/>
      <c r="M63" s="375" t="str">
        <f t="shared" si="7"/>
        <v xml:space="preserve">Información y Tecnología para Asuntos Públicos, S.C.  </v>
      </c>
      <c r="N63" s="959" t="s">
        <v>431</v>
      </c>
      <c r="O63" s="959" t="s">
        <v>431</v>
      </c>
      <c r="P63" s="959" t="s">
        <v>622</v>
      </c>
      <c r="Q63" s="962">
        <v>950000</v>
      </c>
      <c r="R63" s="962">
        <f t="shared" si="10"/>
        <v>152000</v>
      </c>
      <c r="S63" s="384">
        <f t="shared" si="11"/>
        <v>1102000</v>
      </c>
      <c r="T63" s="385">
        <v>0</v>
      </c>
      <c r="U63" s="384">
        <f t="shared" si="12"/>
        <v>0</v>
      </c>
      <c r="V63" s="962">
        <f t="shared" si="8"/>
        <v>1102000</v>
      </c>
      <c r="W63" s="963" t="s">
        <v>156</v>
      </c>
      <c r="X63" s="964">
        <v>43220</v>
      </c>
      <c r="Y63" s="960" t="s">
        <v>333</v>
      </c>
      <c r="Z63" s="964">
        <v>43216</v>
      </c>
      <c r="AA63" s="964">
        <v>43343</v>
      </c>
      <c r="AB63" s="959"/>
      <c r="AC63" s="959"/>
      <c r="AD63" s="960"/>
      <c r="AE63" s="959" t="s">
        <v>182</v>
      </c>
      <c r="AF63" s="963"/>
      <c r="AG63" s="963"/>
      <c r="AH63" s="963"/>
      <c r="AI63" s="963"/>
      <c r="AJ63" s="960" t="s">
        <v>156</v>
      </c>
      <c r="AK63" s="959"/>
      <c r="AL63" s="959"/>
      <c r="AM63" s="965"/>
      <c r="AN63" s="962"/>
      <c r="AO63" s="960" t="str">
        <f t="shared" ca="1" si="9"/>
        <v>MUERTO</v>
      </c>
      <c r="AP63" s="966">
        <v>5</v>
      </c>
      <c r="AQ63" s="960"/>
      <c r="AR63" s="960" t="s">
        <v>333</v>
      </c>
      <c r="AS63" s="960"/>
      <c r="AT63" s="960"/>
      <c r="AU63" s="967"/>
      <c r="AV63" s="965"/>
      <c r="AW63" s="959"/>
      <c r="AX63" s="968"/>
      <c r="AY63" s="965"/>
      <c r="AZ63" s="959"/>
      <c r="BA63" s="959" t="e">
        <f>VLOOKUP(I63,'[1] RFC'!$1:$1048576,2,0)</f>
        <v>#N/A</v>
      </c>
      <c r="BB63" s="969">
        <v>43210</v>
      </c>
      <c r="BC63" s="969">
        <v>43216</v>
      </c>
      <c r="BD63" s="969">
        <v>43223</v>
      </c>
      <c r="BE63" s="970">
        <v>43228</v>
      </c>
      <c r="BF63" s="969">
        <v>43242</v>
      </c>
      <c r="BG63" s="969">
        <v>43242</v>
      </c>
      <c r="BH63" s="971" t="e">
        <f>NETWORKDAYS(BE63,BF63,#REF!)</f>
        <v>#REF!</v>
      </c>
      <c r="BI63" s="969">
        <v>43242</v>
      </c>
      <c r="BJ63" s="969">
        <v>43248</v>
      </c>
      <c r="BK63" s="969" t="s">
        <v>161</v>
      </c>
      <c r="BL63" s="969">
        <v>43264</v>
      </c>
      <c r="BM63" s="969">
        <v>43264</v>
      </c>
      <c r="BN63" s="969">
        <v>43271</v>
      </c>
      <c r="BO63" s="972">
        <v>43350</v>
      </c>
      <c r="BP63" s="970">
        <v>43270</v>
      </c>
      <c r="BQ63" s="974"/>
    </row>
    <row r="64" spans="1:69" s="592" customFormat="1" ht="90" x14ac:dyDescent="0.25">
      <c r="A64" s="959" t="s">
        <v>623</v>
      </c>
      <c r="B64" s="960">
        <v>62</v>
      </c>
      <c r="C64" s="959" t="s">
        <v>225</v>
      </c>
      <c r="D64" s="959" t="s">
        <v>624</v>
      </c>
      <c r="E64" s="4" t="s">
        <v>173</v>
      </c>
      <c r="F64" s="960" t="s">
        <v>326</v>
      </c>
      <c r="G64" s="567"/>
      <c r="H64" s="960" t="s">
        <v>175</v>
      </c>
      <c r="I64" s="275" t="s">
        <v>625</v>
      </c>
      <c r="J64" s="590"/>
      <c r="K64" s="590"/>
      <c r="L64" s="590"/>
      <c r="M64" s="375" t="str">
        <f t="shared" si="7"/>
        <v xml:space="preserve">Videoservicios, S.A. de C.V.  </v>
      </c>
      <c r="N64" s="959" t="s">
        <v>220</v>
      </c>
      <c r="O64" s="959" t="s">
        <v>626</v>
      </c>
      <c r="P64" s="959" t="s">
        <v>627</v>
      </c>
      <c r="Q64" s="962">
        <v>1937740</v>
      </c>
      <c r="R64" s="962">
        <f t="shared" si="10"/>
        <v>310038.40000000002</v>
      </c>
      <c r="S64" s="384">
        <f t="shared" si="11"/>
        <v>2247778.4</v>
      </c>
      <c r="T64" s="385">
        <v>0</v>
      </c>
      <c r="U64" s="384">
        <f t="shared" si="12"/>
        <v>0</v>
      </c>
      <c r="V64" s="962">
        <f t="shared" si="8"/>
        <v>2809384.28</v>
      </c>
      <c r="W64" s="963" t="s">
        <v>156</v>
      </c>
      <c r="X64" s="964">
        <v>43222</v>
      </c>
      <c r="Y64" s="960" t="s">
        <v>559</v>
      </c>
      <c r="Z64" s="964">
        <v>43234</v>
      </c>
      <c r="AA64" s="964">
        <v>43449</v>
      </c>
      <c r="AB64" s="959"/>
      <c r="AC64" s="959"/>
      <c r="AD64" s="960"/>
      <c r="AE64" s="959" t="s">
        <v>182</v>
      </c>
      <c r="AF64" s="963">
        <v>290661</v>
      </c>
      <c r="AG64" s="963"/>
      <c r="AH64" s="963"/>
      <c r="AI64" s="963"/>
      <c r="AJ64" s="960" t="s">
        <v>183</v>
      </c>
      <c r="AK64" s="959" t="s">
        <v>628</v>
      </c>
      <c r="AL64" s="959" t="s">
        <v>629</v>
      </c>
      <c r="AM64" s="965">
        <v>43446</v>
      </c>
      <c r="AN64" s="962">
        <v>561605.88</v>
      </c>
      <c r="AO64" s="960" t="str">
        <f t="shared" ca="1" si="9"/>
        <v>MUERTO</v>
      </c>
      <c r="AP64" s="978">
        <v>6</v>
      </c>
      <c r="AQ64" s="960"/>
      <c r="AR64" s="960" t="s">
        <v>559</v>
      </c>
      <c r="AS64" s="960"/>
      <c r="AT64" s="960"/>
      <c r="AU64" s="967"/>
      <c r="AV64" s="965"/>
      <c r="AW64" s="959"/>
      <c r="AX64" s="968"/>
      <c r="AY64" s="965"/>
      <c r="AZ64" s="959"/>
      <c r="BA64" s="959" t="str">
        <f>VLOOKUP(I64,'[1] RFC'!$1:$1048576,2,0)</f>
        <v>VID850330QL2</v>
      </c>
      <c r="BB64" s="969">
        <v>43216</v>
      </c>
      <c r="BC64" s="969">
        <v>43220</v>
      </c>
      <c r="BD64" s="969">
        <v>43227</v>
      </c>
      <c r="BE64" s="970">
        <v>43228</v>
      </c>
      <c r="BF64" s="969">
        <v>43236</v>
      </c>
      <c r="BG64" s="969">
        <v>43236</v>
      </c>
      <c r="BH64" s="971" t="e">
        <f>NETWORKDAYS(BE64,BF64,#REF!)</f>
        <v>#REF!</v>
      </c>
      <c r="BI64" s="969">
        <v>43236</v>
      </c>
      <c r="BJ64" s="969">
        <v>43243</v>
      </c>
      <c r="BK64" s="969" t="s">
        <v>161</v>
      </c>
      <c r="BL64" s="969">
        <v>43245</v>
      </c>
      <c r="BM64" s="969">
        <v>43237</v>
      </c>
      <c r="BN64" s="969">
        <v>43237</v>
      </c>
      <c r="BO64" s="972">
        <v>43236</v>
      </c>
      <c r="BP64" s="970">
        <v>43236</v>
      </c>
      <c r="BQ64" s="974"/>
    </row>
    <row r="65" spans="1:69" s="592" customFormat="1" ht="45" x14ac:dyDescent="0.25">
      <c r="A65" s="959" t="s">
        <v>630</v>
      </c>
      <c r="B65" s="960">
        <v>63</v>
      </c>
      <c r="C65" s="959" t="s">
        <v>225</v>
      </c>
      <c r="D65" s="959" t="s">
        <v>624</v>
      </c>
      <c r="E65" s="4" t="s">
        <v>173</v>
      </c>
      <c r="F65" s="960" t="s">
        <v>326</v>
      </c>
      <c r="G65" s="567"/>
      <c r="H65" s="960" t="s">
        <v>175</v>
      </c>
      <c r="I65" s="275" t="s">
        <v>631</v>
      </c>
      <c r="J65" s="590"/>
      <c r="K65" s="590"/>
      <c r="L65" s="590"/>
      <c r="M65" s="375" t="str">
        <f t="shared" si="7"/>
        <v xml:space="preserve">Grupo Besh, S.A. de C.V.  </v>
      </c>
      <c r="N65" s="959" t="s">
        <v>220</v>
      </c>
      <c r="O65" s="959" t="s">
        <v>626</v>
      </c>
      <c r="P65" s="959" t="s">
        <v>632</v>
      </c>
      <c r="Q65" s="962">
        <v>83916</v>
      </c>
      <c r="R65" s="962">
        <f t="shared" si="10"/>
        <v>13426.56</v>
      </c>
      <c r="S65" s="384">
        <f t="shared" si="11"/>
        <v>97342.56</v>
      </c>
      <c r="T65" s="385">
        <v>0</v>
      </c>
      <c r="U65" s="384">
        <f t="shared" si="12"/>
        <v>0</v>
      </c>
      <c r="V65" s="962">
        <f t="shared" si="8"/>
        <v>97342.56</v>
      </c>
      <c r="W65" s="963" t="s">
        <v>156</v>
      </c>
      <c r="X65" s="964">
        <v>43222</v>
      </c>
      <c r="Y65" s="960" t="s">
        <v>559</v>
      </c>
      <c r="Z65" s="964">
        <v>43234</v>
      </c>
      <c r="AA65" s="964">
        <v>43434</v>
      </c>
      <c r="AB65" s="959"/>
      <c r="AC65" s="959"/>
      <c r="AD65" s="960"/>
      <c r="AE65" s="959" t="s">
        <v>182</v>
      </c>
      <c r="AF65" s="963">
        <v>12587.4</v>
      </c>
      <c r="AG65" s="963"/>
      <c r="AH65" s="963"/>
      <c r="AI65" s="963"/>
      <c r="AJ65" s="960" t="s">
        <v>183</v>
      </c>
      <c r="AK65" s="959"/>
      <c r="AL65" s="959"/>
      <c r="AM65" s="965"/>
      <c r="AN65" s="962"/>
      <c r="AO65" s="960" t="str">
        <f t="shared" ca="1" si="9"/>
        <v>MUERTO</v>
      </c>
      <c r="AP65" s="978">
        <v>6</v>
      </c>
      <c r="AQ65" s="960"/>
      <c r="AR65" s="960" t="s">
        <v>559</v>
      </c>
      <c r="AS65" s="960"/>
      <c r="AT65" s="960"/>
      <c r="AU65" s="967"/>
      <c r="AV65" s="965"/>
      <c r="AW65" s="959"/>
      <c r="AX65" s="968"/>
      <c r="AY65" s="965"/>
      <c r="AZ65" s="959"/>
      <c r="BA65" s="959" t="str">
        <f>VLOOKUP(I65,'[1] RFC'!$1:$1048576,2,0)</f>
        <v>GBE940526J33</v>
      </c>
      <c r="BB65" s="969">
        <v>43210</v>
      </c>
      <c r="BC65" s="969">
        <v>43216</v>
      </c>
      <c r="BD65" s="969">
        <v>43223</v>
      </c>
      <c r="BE65" s="970">
        <v>43228</v>
      </c>
      <c r="BF65" s="969">
        <v>43242</v>
      </c>
      <c r="BG65" s="969">
        <v>43242</v>
      </c>
      <c r="BH65" s="971" t="e">
        <f>NETWORKDAYS(BE65,BF65,#REF!)</f>
        <v>#REF!</v>
      </c>
      <c r="BI65" s="969">
        <v>43242</v>
      </c>
      <c r="BJ65" s="969">
        <v>43248</v>
      </c>
      <c r="BK65" s="969" t="s">
        <v>161</v>
      </c>
      <c r="BL65" s="969">
        <v>43264</v>
      </c>
      <c r="BM65" s="969">
        <v>43264</v>
      </c>
      <c r="BN65" s="969">
        <v>43271</v>
      </c>
      <c r="BO65" s="972">
        <v>43350</v>
      </c>
      <c r="BP65" s="970">
        <v>43270</v>
      </c>
      <c r="BQ65" s="974"/>
    </row>
    <row r="66" spans="1:69" s="591" customFormat="1" ht="60" x14ac:dyDescent="0.25">
      <c r="A66" s="959" t="s">
        <v>633</v>
      </c>
      <c r="B66" s="960">
        <v>64</v>
      </c>
      <c r="C66" s="959" t="s">
        <v>149</v>
      </c>
      <c r="D66" s="959" t="s">
        <v>634</v>
      </c>
      <c r="E66" s="567" t="s">
        <v>163</v>
      </c>
      <c r="F66" s="960" t="s">
        <v>635</v>
      </c>
      <c r="G66" s="567" t="s">
        <v>163</v>
      </c>
      <c r="H66" s="960" t="s">
        <v>608</v>
      </c>
      <c r="I66" s="275" t="s">
        <v>636</v>
      </c>
      <c r="J66" s="590"/>
      <c r="K66" s="590"/>
      <c r="L66" s="590"/>
      <c r="M66" s="375" t="str">
        <f t="shared" si="7"/>
        <v xml:space="preserve">Full Service de México, S.A. de C.V.  </v>
      </c>
      <c r="N66" s="959" t="s">
        <v>637</v>
      </c>
      <c r="O66" s="959" t="s">
        <v>638</v>
      </c>
      <c r="P66" s="959" t="s">
        <v>639</v>
      </c>
      <c r="Q66" s="962">
        <v>1120000</v>
      </c>
      <c r="R66" s="962">
        <f t="shared" si="10"/>
        <v>179200</v>
      </c>
      <c r="S66" s="384">
        <f t="shared" si="11"/>
        <v>1299200</v>
      </c>
      <c r="T66" s="385">
        <v>0</v>
      </c>
      <c r="U66" s="384">
        <f t="shared" si="12"/>
        <v>0</v>
      </c>
      <c r="V66" s="962">
        <f t="shared" si="8"/>
        <v>1299200</v>
      </c>
      <c r="W66" s="963" t="s">
        <v>156</v>
      </c>
      <c r="X66" s="964">
        <v>43222</v>
      </c>
      <c r="Y66" s="960" t="s">
        <v>559</v>
      </c>
      <c r="Z66" s="964">
        <v>43221</v>
      </c>
      <c r="AA66" s="964">
        <v>43465</v>
      </c>
      <c r="AB66" s="959"/>
      <c r="AC66" s="959"/>
      <c r="AD66" s="960"/>
      <c r="AE66" s="959" t="s">
        <v>564</v>
      </c>
      <c r="AF66" s="963">
        <v>168000</v>
      </c>
      <c r="AG66" s="963">
        <v>112000</v>
      </c>
      <c r="AH66" s="963"/>
      <c r="AI66" s="963"/>
      <c r="AJ66" s="960" t="s">
        <v>183</v>
      </c>
      <c r="AK66" s="959"/>
      <c r="AL66" s="959"/>
      <c r="AM66" s="965"/>
      <c r="AN66" s="962"/>
      <c r="AO66" s="960" t="str">
        <f t="shared" ca="1" si="9"/>
        <v>MUERTO</v>
      </c>
      <c r="AP66" s="978">
        <v>6</v>
      </c>
      <c r="AQ66" s="960"/>
      <c r="AR66" s="960" t="s">
        <v>559</v>
      </c>
      <c r="AS66" s="960"/>
      <c r="AT66" s="960"/>
      <c r="AU66" s="967"/>
      <c r="AV66" s="965"/>
      <c r="AW66" s="959"/>
      <c r="AX66" s="968"/>
      <c r="AY66" s="965"/>
      <c r="AZ66" s="959"/>
      <c r="BA66" s="959" t="str">
        <f>VLOOKUP(I66,'[1] RFC'!$1:$1048576,2,0)</f>
        <v>FSM9302165A5</v>
      </c>
      <c r="BB66" s="969">
        <v>43208</v>
      </c>
      <c r="BC66" s="969">
        <v>43220</v>
      </c>
      <c r="BD66" s="969">
        <v>43227</v>
      </c>
      <c r="BE66" s="970">
        <v>43227</v>
      </c>
      <c r="BF66" s="969">
        <v>43265</v>
      </c>
      <c r="BG66" s="970" t="s">
        <v>640</v>
      </c>
      <c r="BH66" s="971" t="e">
        <f>NETWORKDAYS(BE66,BF66,#REF!)</f>
        <v>#REF!</v>
      </c>
      <c r="BI66" s="970" t="s">
        <v>641</v>
      </c>
      <c r="BJ66" s="970" t="s">
        <v>642</v>
      </c>
      <c r="BK66" s="969" t="s">
        <v>161</v>
      </c>
      <c r="BL66" s="969">
        <v>43273</v>
      </c>
      <c r="BM66" s="969">
        <v>43249</v>
      </c>
      <c r="BN66" s="969">
        <v>43244</v>
      </c>
      <c r="BO66" s="972">
        <v>43265</v>
      </c>
      <c r="BP66" s="970">
        <v>43249</v>
      </c>
      <c r="BQ66" s="974"/>
    </row>
    <row r="67" spans="1:69" s="591" customFormat="1" ht="120" x14ac:dyDescent="0.25">
      <c r="A67" s="959" t="s">
        <v>643</v>
      </c>
      <c r="B67" s="960">
        <v>65</v>
      </c>
      <c r="C67" s="959" t="s">
        <v>149</v>
      </c>
      <c r="D67" s="959" t="s">
        <v>644</v>
      </c>
      <c r="E67" s="567" t="s">
        <v>163</v>
      </c>
      <c r="F67" s="960" t="s">
        <v>188</v>
      </c>
      <c r="G67" s="567" t="s">
        <v>163</v>
      </c>
      <c r="H67" s="960" t="s">
        <v>427</v>
      </c>
      <c r="I67" s="275" t="s">
        <v>645</v>
      </c>
      <c r="J67" s="590"/>
      <c r="K67" s="590"/>
      <c r="L67" s="590"/>
      <c r="M67" s="375" t="str">
        <f t="shared" ref="M67:M86" si="13">I67&amp;J67&amp;" "&amp;K67&amp;" "&amp;L67</f>
        <v xml:space="preserve">R3M Soluciones, S.A. de C.V.  </v>
      </c>
      <c r="N67" s="959" t="s">
        <v>646</v>
      </c>
      <c r="O67" s="959" t="s">
        <v>646</v>
      </c>
      <c r="P67" s="959" t="s">
        <v>647</v>
      </c>
      <c r="Q67" s="962">
        <v>2750000</v>
      </c>
      <c r="R67" s="962">
        <f t="shared" si="10"/>
        <v>440000</v>
      </c>
      <c r="S67" s="384">
        <f t="shared" si="11"/>
        <v>3190000</v>
      </c>
      <c r="T67" s="385">
        <v>0</v>
      </c>
      <c r="U67" s="384">
        <f t="shared" si="12"/>
        <v>0</v>
      </c>
      <c r="V67" s="962">
        <f t="shared" ref="V67:V98" si="14">S67+AN67</f>
        <v>3190000</v>
      </c>
      <c r="W67" s="963" t="s">
        <v>156</v>
      </c>
      <c r="X67" s="964">
        <v>43228</v>
      </c>
      <c r="Y67" s="964" t="s">
        <v>559</v>
      </c>
      <c r="Z67" s="964">
        <v>43221</v>
      </c>
      <c r="AA67" s="964">
        <v>43360</v>
      </c>
      <c r="AB67" s="959"/>
      <c r="AC67" s="959"/>
      <c r="AD67" s="960"/>
      <c r="AE67" s="959" t="s">
        <v>182</v>
      </c>
      <c r="AF67" s="963">
        <v>412500</v>
      </c>
      <c r="AG67" s="963"/>
      <c r="AH67" s="963"/>
      <c r="AI67" s="963"/>
      <c r="AJ67" s="960" t="s">
        <v>183</v>
      </c>
      <c r="AK67" s="959"/>
      <c r="AL67" s="959"/>
      <c r="AM67" s="965"/>
      <c r="AN67" s="962"/>
      <c r="AO67" s="960" t="str">
        <f t="shared" ref="AO67:AO98" ca="1" si="15">IF(ISBLANK(AA67),"",IF(AA67&gt;=TODAY(),"VIGENTE","MUERTO"))</f>
        <v>MUERTO</v>
      </c>
      <c r="AP67" s="978">
        <v>6</v>
      </c>
      <c r="AQ67" s="960"/>
      <c r="AR67" s="960" t="s">
        <v>559</v>
      </c>
      <c r="AS67" s="960"/>
      <c r="AT67" s="960"/>
      <c r="AU67" s="967"/>
      <c r="AV67" s="965"/>
      <c r="AW67" s="959"/>
      <c r="AX67" s="968"/>
      <c r="AY67" s="965"/>
      <c r="AZ67" s="959"/>
      <c r="BA67" s="959" t="str">
        <f>VLOOKUP(I67,'[1] RFC'!$1:$1048576,2,0)</f>
        <v>RSO110727BG3</v>
      </c>
      <c r="BB67" s="969">
        <v>43217</v>
      </c>
      <c r="BC67" s="969">
        <v>43224</v>
      </c>
      <c r="BD67" s="969">
        <v>43228</v>
      </c>
      <c r="BE67" s="970">
        <v>43244</v>
      </c>
      <c r="BF67" s="969">
        <v>43273</v>
      </c>
      <c r="BG67" s="969">
        <v>43273</v>
      </c>
      <c r="BH67" s="971" t="e">
        <f>NETWORKDAYS(BE67,BF67,#REF!)</f>
        <v>#REF!</v>
      </c>
      <c r="BI67" s="969">
        <v>43273</v>
      </c>
      <c r="BJ67" s="969">
        <v>43278</v>
      </c>
      <c r="BK67" s="969" t="s">
        <v>161</v>
      </c>
      <c r="BL67" s="969">
        <v>43279</v>
      </c>
      <c r="BM67" s="969">
        <v>43255</v>
      </c>
      <c r="BN67" s="969">
        <v>43257</v>
      </c>
      <c r="BO67" s="972">
        <v>43272</v>
      </c>
      <c r="BP67" s="970">
        <v>43255</v>
      </c>
      <c r="BQ67" s="974"/>
    </row>
    <row r="68" spans="1:69" s="591" customFormat="1" ht="90" x14ac:dyDescent="0.25">
      <c r="A68" s="959" t="s">
        <v>648</v>
      </c>
      <c r="B68" s="960">
        <v>66</v>
      </c>
      <c r="C68" s="959" t="s">
        <v>149</v>
      </c>
      <c r="D68" s="959" t="s">
        <v>649</v>
      </c>
      <c r="E68" s="567" t="s">
        <v>163</v>
      </c>
      <c r="F68" s="960" t="s">
        <v>188</v>
      </c>
      <c r="G68" s="567" t="s">
        <v>163</v>
      </c>
      <c r="H68" s="960" t="s">
        <v>427</v>
      </c>
      <c r="I68" s="275" t="s">
        <v>650</v>
      </c>
      <c r="J68" s="590"/>
      <c r="K68" s="590"/>
      <c r="L68" s="590"/>
      <c r="M68" s="375" t="str">
        <f t="shared" si="13"/>
        <v xml:space="preserve">Dalia Women, S.A.P.I. de C.V.  </v>
      </c>
      <c r="N68" s="959" t="s">
        <v>651</v>
      </c>
      <c r="O68" s="959" t="s">
        <v>651</v>
      </c>
      <c r="P68" s="959" t="s">
        <v>652</v>
      </c>
      <c r="Q68" s="962">
        <v>450000</v>
      </c>
      <c r="R68" s="962">
        <f t="shared" si="10"/>
        <v>72000</v>
      </c>
      <c r="S68" s="384">
        <f t="shared" si="11"/>
        <v>522000</v>
      </c>
      <c r="T68" s="385">
        <v>0</v>
      </c>
      <c r="U68" s="384">
        <f t="shared" si="12"/>
        <v>0</v>
      </c>
      <c r="V68" s="962">
        <f t="shared" si="14"/>
        <v>522000</v>
      </c>
      <c r="W68" s="963" t="s">
        <v>156</v>
      </c>
      <c r="X68" s="964">
        <v>43228</v>
      </c>
      <c r="Y68" s="964" t="s">
        <v>559</v>
      </c>
      <c r="Z68" s="964">
        <v>43221</v>
      </c>
      <c r="AA68" s="964">
        <v>43266</v>
      </c>
      <c r="AB68" s="959"/>
      <c r="AC68" s="959"/>
      <c r="AD68" s="960"/>
      <c r="AE68" s="959" t="s">
        <v>182</v>
      </c>
      <c r="AF68" s="963">
        <v>67500</v>
      </c>
      <c r="AG68" s="963"/>
      <c r="AH68" s="963"/>
      <c r="AI68" s="963"/>
      <c r="AJ68" s="960" t="s">
        <v>183</v>
      </c>
      <c r="AK68" s="959"/>
      <c r="AL68" s="959"/>
      <c r="AM68" s="965"/>
      <c r="AN68" s="962"/>
      <c r="AO68" s="960" t="str">
        <f t="shared" ca="1" si="15"/>
        <v>MUERTO</v>
      </c>
      <c r="AP68" s="978">
        <v>6</v>
      </c>
      <c r="AQ68" s="960"/>
      <c r="AR68" s="960" t="s">
        <v>559</v>
      </c>
      <c r="AS68" s="960"/>
      <c r="AT68" s="960"/>
      <c r="AU68" s="967"/>
      <c r="AV68" s="965"/>
      <c r="AW68" s="959"/>
      <c r="AX68" s="968"/>
      <c r="AY68" s="965"/>
      <c r="AZ68" s="959"/>
      <c r="BA68" s="959" t="str">
        <f>VLOOKUP(I68,'[1] RFC'!$1:$1048576,2,0)</f>
        <v>DWO170331HY1</v>
      </c>
      <c r="BB68" s="969">
        <v>43194</v>
      </c>
      <c r="BC68" s="969">
        <v>43224</v>
      </c>
      <c r="BD68" s="969">
        <v>43228</v>
      </c>
      <c r="BE68" s="970">
        <v>43244</v>
      </c>
      <c r="BF68" s="969">
        <v>43320</v>
      </c>
      <c r="BG68" s="969">
        <v>43320</v>
      </c>
      <c r="BH68" s="971" t="e">
        <f>NETWORKDAYS(BE68,BF68,#REF!)</f>
        <v>#REF!</v>
      </c>
      <c r="BI68" s="969">
        <v>43321</v>
      </c>
      <c r="BJ68" s="969">
        <v>43326</v>
      </c>
      <c r="BK68" s="969" t="s">
        <v>161</v>
      </c>
      <c r="BL68" s="969">
        <v>43328</v>
      </c>
      <c r="BM68" s="969">
        <v>43321</v>
      </c>
      <c r="BN68" s="969">
        <v>43314</v>
      </c>
      <c r="BO68" s="972">
        <v>43320</v>
      </c>
      <c r="BP68" s="970">
        <v>43320</v>
      </c>
      <c r="BQ68" s="974"/>
    </row>
    <row r="69" spans="1:69" s="592" customFormat="1" ht="240" x14ac:dyDescent="0.25">
      <c r="A69" s="959" t="s">
        <v>653</v>
      </c>
      <c r="B69" s="960">
        <v>67</v>
      </c>
      <c r="C69" s="959" t="s">
        <v>149</v>
      </c>
      <c r="D69" s="959" t="s">
        <v>654</v>
      </c>
      <c r="E69" s="567" t="s">
        <v>163</v>
      </c>
      <c r="F69" s="960" t="s">
        <v>607</v>
      </c>
      <c r="G69" s="567" t="s">
        <v>163</v>
      </c>
      <c r="H69" s="960" t="s">
        <v>608</v>
      </c>
      <c r="I69" s="275" t="s">
        <v>655</v>
      </c>
      <c r="J69" s="590"/>
      <c r="K69" s="590"/>
      <c r="L69" s="590"/>
      <c r="M69" s="375" t="str">
        <f t="shared" si="13"/>
        <v xml:space="preserve">Neixar Systems, S.A. de C.V.  </v>
      </c>
      <c r="N69" s="959" t="s">
        <v>656</v>
      </c>
      <c r="O69" s="959" t="s">
        <v>657</v>
      </c>
      <c r="P69" s="959" t="s">
        <v>658</v>
      </c>
      <c r="Q69" s="962">
        <v>2310000</v>
      </c>
      <c r="R69" s="962">
        <f t="shared" si="10"/>
        <v>369600</v>
      </c>
      <c r="S69" s="384">
        <f t="shared" si="11"/>
        <v>2679600</v>
      </c>
      <c r="T69" s="385">
        <v>0</v>
      </c>
      <c r="U69" s="384">
        <f t="shared" si="12"/>
        <v>0</v>
      </c>
      <c r="V69" s="962">
        <f t="shared" si="14"/>
        <v>2679600</v>
      </c>
      <c r="W69" s="963" t="s">
        <v>156</v>
      </c>
      <c r="X69" s="964">
        <v>43230</v>
      </c>
      <c r="Y69" s="964" t="s">
        <v>559</v>
      </c>
      <c r="Z69" s="964">
        <v>43227</v>
      </c>
      <c r="AA69" s="964">
        <v>43465</v>
      </c>
      <c r="AB69" s="959"/>
      <c r="AC69" s="959"/>
      <c r="AD69" s="960"/>
      <c r="AE69" s="959" t="s">
        <v>659</v>
      </c>
      <c r="AF69" s="963">
        <v>346500</v>
      </c>
      <c r="AG69" s="963">
        <v>231000</v>
      </c>
      <c r="AH69" s="963"/>
      <c r="AI69" s="963"/>
      <c r="AJ69" s="960" t="s">
        <v>183</v>
      </c>
      <c r="AK69" s="959"/>
      <c r="AL69" s="959"/>
      <c r="AM69" s="965"/>
      <c r="AN69" s="962"/>
      <c r="AO69" s="960" t="str">
        <f t="shared" ca="1" si="15"/>
        <v>MUERTO</v>
      </c>
      <c r="AP69" s="978">
        <v>6</v>
      </c>
      <c r="AQ69" s="960"/>
      <c r="AR69" s="960" t="s">
        <v>559</v>
      </c>
      <c r="AS69" s="960"/>
      <c r="AT69" s="960"/>
      <c r="AU69" s="967"/>
      <c r="AV69" s="965"/>
      <c r="AW69" s="959"/>
      <c r="AX69" s="968"/>
      <c r="AY69" s="965"/>
      <c r="AZ69" s="959"/>
      <c r="BA69" s="959" t="e">
        <f>VLOOKUP(I69,'[1] RFC'!$1:$1048576,2,0)</f>
        <v>#N/A</v>
      </c>
      <c r="BB69" s="969">
        <v>43217</v>
      </c>
      <c r="BC69" s="969">
        <v>43229</v>
      </c>
      <c r="BD69" s="969">
        <v>43235</v>
      </c>
      <c r="BE69" s="970">
        <v>43237</v>
      </c>
      <c r="BF69" s="969">
        <v>43266</v>
      </c>
      <c r="BG69" s="970" t="s">
        <v>660</v>
      </c>
      <c r="BH69" s="971" t="e">
        <f>NETWORKDAYS(BE69,BF69,#REF!)</f>
        <v>#REF!</v>
      </c>
      <c r="BI69" s="970" t="s">
        <v>661</v>
      </c>
      <c r="BJ69" s="970" t="s">
        <v>662</v>
      </c>
      <c r="BK69" s="970" t="s">
        <v>663</v>
      </c>
      <c r="BL69" s="969">
        <v>43301</v>
      </c>
      <c r="BM69" s="969">
        <v>43249</v>
      </c>
      <c r="BN69" s="969">
        <v>43249</v>
      </c>
      <c r="BO69" s="972">
        <v>43266</v>
      </c>
      <c r="BP69" s="970" t="s">
        <v>186</v>
      </c>
      <c r="BQ69" s="974"/>
    </row>
    <row r="70" spans="1:69" s="591" customFormat="1" ht="90" x14ac:dyDescent="0.25">
      <c r="A70" s="959" t="s">
        <v>664</v>
      </c>
      <c r="B70" s="960">
        <v>68</v>
      </c>
      <c r="C70" s="959" t="s">
        <v>225</v>
      </c>
      <c r="D70" s="959" t="s">
        <v>665</v>
      </c>
      <c r="E70" s="959" t="s">
        <v>151</v>
      </c>
      <c r="F70" s="960" t="s">
        <v>152</v>
      </c>
      <c r="G70" s="567"/>
      <c r="H70" s="960" t="s">
        <v>151</v>
      </c>
      <c r="I70" s="275" t="s">
        <v>666</v>
      </c>
      <c r="J70" s="590"/>
      <c r="K70" s="590"/>
      <c r="L70" s="590"/>
      <c r="M70" s="375" t="str">
        <f t="shared" si="13"/>
        <v xml:space="preserve">Nyr Tecnología, S.A. de C.V.  </v>
      </c>
      <c r="N70" s="959" t="s">
        <v>667</v>
      </c>
      <c r="O70" s="959" t="s">
        <v>668</v>
      </c>
      <c r="P70" s="959" t="s">
        <v>669</v>
      </c>
      <c r="Q70" s="962">
        <v>1000000</v>
      </c>
      <c r="R70" s="962">
        <f t="shared" si="10"/>
        <v>160000</v>
      </c>
      <c r="S70" s="384">
        <f t="shared" si="11"/>
        <v>1160000</v>
      </c>
      <c r="T70" s="385">
        <v>300000</v>
      </c>
      <c r="U70" s="384">
        <f t="shared" si="12"/>
        <v>348000</v>
      </c>
      <c r="V70" s="962">
        <f t="shared" si="14"/>
        <v>1160000</v>
      </c>
      <c r="W70" s="963" t="s">
        <v>156</v>
      </c>
      <c r="X70" s="964">
        <v>43234</v>
      </c>
      <c r="Y70" s="964" t="s">
        <v>559</v>
      </c>
      <c r="Z70" s="964">
        <v>43241</v>
      </c>
      <c r="AA70" s="964">
        <v>43465</v>
      </c>
      <c r="AB70" s="959"/>
      <c r="AC70" s="959"/>
      <c r="AD70" s="960"/>
      <c r="AE70" s="959" t="s">
        <v>182</v>
      </c>
      <c r="AF70" s="963">
        <v>150000</v>
      </c>
      <c r="AG70" s="963"/>
      <c r="AH70" s="963"/>
      <c r="AI70" s="963"/>
      <c r="AJ70" s="960" t="s">
        <v>183</v>
      </c>
      <c r="AK70" s="959"/>
      <c r="AL70" s="959"/>
      <c r="AM70" s="965"/>
      <c r="AN70" s="962"/>
      <c r="AO70" s="960" t="str">
        <f t="shared" ca="1" si="15"/>
        <v>MUERTO</v>
      </c>
      <c r="AP70" s="978">
        <v>6</v>
      </c>
      <c r="AQ70" s="960"/>
      <c r="AR70" s="960" t="s">
        <v>559</v>
      </c>
      <c r="AS70" s="960"/>
      <c r="AT70" s="960"/>
      <c r="AU70" s="967"/>
      <c r="AV70" s="965"/>
      <c r="AW70" s="959"/>
      <c r="AX70" s="968"/>
      <c r="AY70" s="965"/>
      <c r="AZ70" s="959"/>
      <c r="BA70" s="959" t="str">
        <f>VLOOKUP(I70,'[1] RFC'!$1:$1048576,2,0)</f>
        <v>NTE0602229T5</v>
      </c>
      <c r="BB70" s="969">
        <v>43223</v>
      </c>
      <c r="BC70" s="969">
        <v>43229</v>
      </c>
      <c r="BD70" s="969">
        <v>43237</v>
      </c>
      <c r="BE70" s="970">
        <v>43245</v>
      </c>
      <c r="BF70" s="969">
        <v>43245</v>
      </c>
      <c r="BG70" s="969">
        <v>43245</v>
      </c>
      <c r="BH70" s="971" t="e">
        <f>NETWORKDAYS(BE70,BF70,#REF!)</f>
        <v>#REF!</v>
      </c>
      <c r="BI70" s="969">
        <v>43248</v>
      </c>
      <c r="BJ70" s="969">
        <v>43251</v>
      </c>
      <c r="BK70" s="969" t="s">
        <v>161</v>
      </c>
      <c r="BL70" s="969">
        <v>43257</v>
      </c>
      <c r="BM70" s="969">
        <v>43257</v>
      </c>
      <c r="BN70" s="969">
        <v>43251</v>
      </c>
      <c r="BO70" s="972">
        <v>43257</v>
      </c>
      <c r="BP70" s="970" t="s">
        <v>186</v>
      </c>
      <c r="BQ70" s="974"/>
    </row>
    <row r="71" spans="1:69" s="592" customFormat="1" ht="90" x14ac:dyDescent="0.25">
      <c r="A71" s="959" t="s">
        <v>670</v>
      </c>
      <c r="B71" s="960">
        <v>69</v>
      </c>
      <c r="C71" s="959" t="s">
        <v>149</v>
      </c>
      <c r="D71" s="959" t="s">
        <v>671</v>
      </c>
      <c r="E71" s="567" t="s">
        <v>163</v>
      </c>
      <c r="F71" s="960" t="s">
        <v>426</v>
      </c>
      <c r="G71" s="567" t="s">
        <v>163</v>
      </c>
      <c r="H71" s="960" t="s">
        <v>427</v>
      </c>
      <c r="I71" s="275"/>
      <c r="J71" s="590" t="s">
        <v>672</v>
      </c>
      <c r="K71" s="590" t="s">
        <v>673</v>
      </c>
      <c r="L71" s="590" t="s">
        <v>674</v>
      </c>
      <c r="M71" s="375" t="str">
        <f t="shared" si="13"/>
        <v>Ruysdael Vivanco De Gyves</v>
      </c>
      <c r="N71" s="959" t="s">
        <v>675</v>
      </c>
      <c r="O71" s="959" t="s">
        <v>352</v>
      </c>
      <c r="P71" s="959" t="s">
        <v>676</v>
      </c>
      <c r="Q71" s="962">
        <v>410000</v>
      </c>
      <c r="R71" s="962">
        <f t="shared" si="10"/>
        <v>65600</v>
      </c>
      <c r="S71" s="384">
        <f t="shared" si="11"/>
        <v>475600</v>
      </c>
      <c r="T71" s="385">
        <v>0</v>
      </c>
      <c r="U71" s="384">
        <f t="shared" si="12"/>
        <v>0</v>
      </c>
      <c r="V71" s="962">
        <f t="shared" si="14"/>
        <v>475600</v>
      </c>
      <c r="W71" s="963" t="s">
        <v>156</v>
      </c>
      <c r="X71" s="964">
        <v>43234</v>
      </c>
      <c r="Y71" s="960" t="s">
        <v>559</v>
      </c>
      <c r="Z71" s="964">
        <v>43234</v>
      </c>
      <c r="AA71" s="964">
        <v>43258</v>
      </c>
      <c r="AB71" s="959"/>
      <c r="AC71" s="959"/>
      <c r="AD71" s="960"/>
      <c r="AE71" s="959" t="s">
        <v>182</v>
      </c>
      <c r="AF71" s="963">
        <v>61500</v>
      </c>
      <c r="AG71" s="963"/>
      <c r="AH71" s="963"/>
      <c r="AI71" s="963"/>
      <c r="AJ71" s="960" t="s">
        <v>183</v>
      </c>
      <c r="AK71" s="959"/>
      <c r="AL71" s="959"/>
      <c r="AM71" s="965"/>
      <c r="AN71" s="962"/>
      <c r="AO71" s="960" t="str">
        <f t="shared" ca="1" si="15"/>
        <v>MUERTO</v>
      </c>
      <c r="AP71" s="978">
        <v>6</v>
      </c>
      <c r="AQ71" s="960"/>
      <c r="AR71" s="960" t="s">
        <v>559</v>
      </c>
      <c r="AS71" s="960"/>
      <c r="AT71" s="960"/>
      <c r="AU71" s="967"/>
      <c r="AV71" s="965"/>
      <c r="AW71" s="959"/>
      <c r="AX71" s="968"/>
      <c r="AY71" s="965"/>
      <c r="AZ71" s="959"/>
      <c r="BA71" s="959" t="e">
        <f>VLOOKUP(I71,'[1] RFC'!$1:$1048576,2,0)</f>
        <v>#N/A</v>
      </c>
      <c r="BB71" s="969">
        <v>43228</v>
      </c>
      <c r="BC71" s="969">
        <v>43234</v>
      </c>
      <c r="BD71" s="969">
        <v>43235</v>
      </c>
      <c r="BE71" s="970">
        <v>43237</v>
      </c>
      <c r="BF71" s="969">
        <v>43249</v>
      </c>
      <c r="BG71" s="969">
        <v>43249</v>
      </c>
      <c r="BH71" s="971" t="e">
        <f>NETWORKDAYS(BE71,BF71,#REF!)</f>
        <v>#REF!</v>
      </c>
      <c r="BI71" s="969">
        <v>43249</v>
      </c>
      <c r="BJ71" s="969">
        <v>43255</v>
      </c>
      <c r="BK71" s="969" t="s">
        <v>161</v>
      </c>
      <c r="BL71" s="969">
        <v>43257</v>
      </c>
      <c r="BM71" s="969">
        <v>43257</v>
      </c>
      <c r="BN71" s="969">
        <v>43256</v>
      </c>
      <c r="BO71" s="972" t="s">
        <v>205</v>
      </c>
      <c r="BP71" s="970">
        <v>43256</v>
      </c>
      <c r="BQ71" s="974"/>
    </row>
    <row r="72" spans="1:69" s="591" customFormat="1" ht="75" x14ac:dyDescent="0.25">
      <c r="A72" s="959" t="s">
        <v>677</v>
      </c>
      <c r="B72" s="960">
        <v>70</v>
      </c>
      <c r="C72" s="959" t="s">
        <v>225</v>
      </c>
      <c r="D72" s="959" t="s">
        <v>678</v>
      </c>
      <c r="E72" s="567" t="s">
        <v>163</v>
      </c>
      <c r="F72" s="960" t="s">
        <v>237</v>
      </c>
      <c r="G72" s="567" t="s">
        <v>163</v>
      </c>
      <c r="H72" s="960" t="s">
        <v>238</v>
      </c>
      <c r="I72" s="275" t="s">
        <v>679</v>
      </c>
      <c r="J72" s="590"/>
      <c r="K72" s="590"/>
      <c r="L72" s="590"/>
      <c r="M72" s="375" t="str">
        <f t="shared" si="13"/>
        <v xml:space="preserve">Mr. Limpieza, S.A. de C.V.  </v>
      </c>
      <c r="N72" s="959" t="s">
        <v>198</v>
      </c>
      <c r="O72" s="959" t="s">
        <v>199</v>
      </c>
      <c r="P72" s="959" t="s">
        <v>680</v>
      </c>
      <c r="Q72" s="962">
        <v>496582.76</v>
      </c>
      <c r="R72" s="962">
        <f t="shared" si="10"/>
        <v>79453.241600000008</v>
      </c>
      <c r="S72" s="384">
        <f t="shared" si="11"/>
        <v>576036.00160000008</v>
      </c>
      <c r="T72" s="385">
        <v>198633.1</v>
      </c>
      <c r="U72" s="384">
        <f t="shared" si="12"/>
        <v>230414.39600000001</v>
      </c>
      <c r="V72" s="962">
        <f t="shared" si="14"/>
        <v>576036.00160000008</v>
      </c>
      <c r="W72" s="963" t="s">
        <v>156</v>
      </c>
      <c r="X72" s="964">
        <v>43237</v>
      </c>
      <c r="Y72" s="960" t="s">
        <v>559</v>
      </c>
      <c r="Z72" s="964">
        <v>43237</v>
      </c>
      <c r="AA72" s="964">
        <v>43465</v>
      </c>
      <c r="AB72" s="959"/>
      <c r="AC72" s="959"/>
      <c r="AD72" s="960"/>
      <c r="AE72" s="959" t="s">
        <v>182</v>
      </c>
      <c r="AF72" s="963">
        <v>74487.41</v>
      </c>
      <c r="AG72" s="963"/>
      <c r="AH72" s="963"/>
      <c r="AI72" s="963"/>
      <c r="AJ72" s="960" t="s">
        <v>183</v>
      </c>
      <c r="AK72" s="959" t="s">
        <v>681</v>
      </c>
      <c r="AL72" s="959" t="s">
        <v>682</v>
      </c>
      <c r="AM72" s="965">
        <v>43472</v>
      </c>
      <c r="AN72" s="962">
        <v>0</v>
      </c>
      <c r="AO72" s="960" t="str">
        <f t="shared" ca="1" si="15"/>
        <v>MUERTO</v>
      </c>
      <c r="AP72" s="978">
        <v>6</v>
      </c>
      <c r="AQ72" s="960"/>
      <c r="AR72" s="960" t="s">
        <v>559</v>
      </c>
      <c r="AS72" s="960"/>
      <c r="AT72" s="960"/>
      <c r="AU72" s="967"/>
      <c r="AV72" s="965"/>
      <c r="AW72" s="959"/>
      <c r="AX72" s="968"/>
      <c r="AY72" s="965"/>
      <c r="AZ72" s="959"/>
      <c r="BA72" s="959" t="str">
        <f>VLOOKUP(I72,'[1] RFC'!$1:$1048576,2,0)</f>
        <v>MLI0610289M7</v>
      </c>
      <c r="BB72" s="969">
        <v>43229</v>
      </c>
      <c r="BC72" s="969">
        <v>43236</v>
      </c>
      <c r="BD72" s="969">
        <v>43243</v>
      </c>
      <c r="BE72" s="970">
        <v>43256</v>
      </c>
      <c r="BF72" s="969">
        <v>43258</v>
      </c>
      <c r="BG72" s="969">
        <v>43258</v>
      </c>
      <c r="BH72" s="971" t="e">
        <f>NETWORKDAYS(BE72,BF72,#REF!)</f>
        <v>#REF!</v>
      </c>
      <c r="BI72" s="969">
        <v>43258</v>
      </c>
      <c r="BJ72" s="969">
        <v>43263</v>
      </c>
      <c r="BK72" s="969" t="s">
        <v>161</v>
      </c>
      <c r="BL72" s="969">
        <v>43271</v>
      </c>
      <c r="BM72" s="969">
        <v>43271</v>
      </c>
      <c r="BN72" s="969">
        <v>43257</v>
      </c>
      <c r="BO72" s="972">
        <v>43273</v>
      </c>
      <c r="BP72" s="970">
        <v>43270</v>
      </c>
      <c r="BQ72" s="974"/>
    </row>
    <row r="73" spans="1:69" s="591" customFormat="1" ht="120" x14ac:dyDescent="0.25">
      <c r="A73" s="959" t="s">
        <v>683</v>
      </c>
      <c r="B73" s="960">
        <v>71</v>
      </c>
      <c r="C73" s="959" t="s">
        <v>225</v>
      </c>
      <c r="D73" s="959" t="s">
        <v>684</v>
      </c>
      <c r="E73" s="959" t="s">
        <v>151</v>
      </c>
      <c r="F73" s="960" t="s">
        <v>152</v>
      </c>
      <c r="G73" s="567"/>
      <c r="H73" s="960" t="s">
        <v>151</v>
      </c>
      <c r="I73" s="275" t="s">
        <v>685</v>
      </c>
      <c r="J73" s="590"/>
      <c r="K73" s="590"/>
      <c r="L73" s="590"/>
      <c r="M73" s="375" t="str">
        <f t="shared" si="13"/>
        <v xml:space="preserve">Jasev Computación, S.A. de C.V.  </v>
      </c>
      <c r="N73" s="959" t="s">
        <v>667</v>
      </c>
      <c r="O73" s="959" t="s">
        <v>668</v>
      </c>
      <c r="P73" s="959" t="s">
        <v>686</v>
      </c>
      <c r="Q73" s="962">
        <v>800000</v>
      </c>
      <c r="R73" s="962">
        <f t="shared" si="10"/>
        <v>128000</v>
      </c>
      <c r="S73" s="384">
        <f t="shared" si="11"/>
        <v>928000</v>
      </c>
      <c r="T73" s="385">
        <v>300000</v>
      </c>
      <c r="U73" s="384">
        <f t="shared" si="12"/>
        <v>348000</v>
      </c>
      <c r="V73" s="962">
        <f t="shared" si="14"/>
        <v>1160000</v>
      </c>
      <c r="W73" s="963" t="s">
        <v>156</v>
      </c>
      <c r="X73" s="964">
        <v>43237</v>
      </c>
      <c r="Y73" s="960" t="s">
        <v>559</v>
      </c>
      <c r="Z73" s="964">
        <v>43242</v>
      </c>
      <c r="AA73" s="964">
        <v>43524</v>
      </c>
      <c r="AB73" s="959"/>
      <c r="AC73" s="959"/>
      <c r="AD73" s="960"/>
      <c r="AE73" s="959" t="s">
        <v>182</v>
      </c>
      <c r="AF73" s="963">
        <v>120000</v>
      </c>
      <c r="AG73" s="963"/>
      <c r="AH73" s="963"/>
      <c r="AI73" s="963"/>
      <c r="AJ73" s="960" t="s">
        <v>183</v>
      </c>
      <c r="AK73" s="959" t="s">
        <v>687</v>
      </c>
      <c r="AL73" s="959" t="s">
        <v>688</v>
      </c>
      <c r="AM73" s="965">
        <v>43468</v>
      </c>
      <c r="AN73" s="962">
        <v>232000</v>
      </c>
      <c r="AO73" s="960" t="str">
        <f t="shared" ca="1" si="15"/>
        <v>MUERTO</v>
      </c>
      <c r="AP73" s="978">
        <v>6</v>
      </c>
      <c r="AQ73" s="960"/>
      <c r="AR73" s="960" t="s">
        <v>559</v>
      </c>
      <c r="AS73" s="960"/>
      <c r="AT73" s="960"/>
      <c r="AU73" s="967"/>
      <c r="AV73" s="965"/>
      <c r="AW73" s="959"/>
      <c r="AX73" s="968"/>
      <c r="AY73" s="965"/>
      <c r="AZ73" s="959"/>
      <c r="BA73" s="959" t="str">
        <f>VLOOKUP(I73,'[1] RFC'!$1:$1048576,2,0)</f>
        <v>JCO931215CI8</v>
      </c>
      <c r="BB73" s="969">
        <v>43224</v>
      </c>
      <c r="BC73" s="969">
        <v>43236</v>
      </c>
      <c r="BD73" s="969">
        <v>43243</v>
      </c>
      <c r="BE73" s="970">
        <v>43250</v>
      </c>
      <c r="BF73" s="969">
        <v>43276</v>
      </c>
      <c r="BG73" s="969">
        <v>43276</v>
      </c>
      <c r="BH73" s="971" t="e">
        <f>NETWORKDAYS(BE73,BF73,#REF!)</f>
        <v>#REF!</v>
      </c>
      <c r="BI73" s="969">
        <v>43277</v>
      </c>
      <c r="BJ73" s="969">
        <v>43285</v>
      </c>
      <c r="BK73" s="969" t="s">
        <v>161</v>
      </c>
      <c r="BL73" s="969">
        <v>43287</v>
      </c>
      <c r="BM73" s="969">
        <v>43257</v>
      </c>
      <c r="BN73" s="969">
        <v>43251</v>
      </c>
      <c r="BO73" s="972">
        <v>43276</v>
      </c>
      <c r="BP73" s="970" t="s">
        <v>186</v>
      </c>
      <c r="BQ73" s="974"/>
    </row>
    <row r="74" spans="1:69" s="592" customFormat="1" ht="60" x14ac:dyDescent="0.25">
      <c r="A74" s="959" t="s">
        <v>689</v>
      </c>
      <c r="B74" s="960">
        <v>72</v>
      </c>
      <c r="C74" s="959" t="s">
        <v>149</v>
      </c>
      <c r="D74" s="959" t="s">
        <v>690</v>
      </c>
      <c r="E74" s="567" t="s">
        <v>163</v>
      </c>
      <c r="F74" s="960" t="s">
        <v>691</v>
      </c>
      <c r="G74" s="567" t="s">
        <v>163</v>
      </c>
      <c r="H74" s="960" t="s">
        <v>313</v>
      </c>
      <c r="I74" s="275" t="s">
        <v>692</v>
      </c>
      <c r="J74" s="590"/>
      <c r="K74" s="590"/>
      <c r="L74" s="590"/>
      <c r="M74" s="375" t="str">
        <f t="shared" si="13"/>
        <v xml:space="preserve">Información Segura, S.A. de C.V.  </v>
      </c>
      <c r="N74" s="959" t="s">
        <v>693</v>
      </c>
      <c r="O74" s="959" t="s">
        <v>694</v>
      </c>
      <c r="P74" s="959" t="s">
        <v>695</v>
      </c>
      <c r="Q74" s="962">
        <v>992246.35</v>
      </c>
      <c r="R74" s="962">
        <f t="shared" si="10"/>
        <v>158759.416</v>
      </c>
      <c r="S74" s="384">
        <f t="shared" si="11"/>
        <v>1151005.7660000001</v>
      </c>
      <c r="T74" s="385">
        <v>0</v>
      </c>
      <c r="U74" s="384">
        <f t="shared" si="12"/>
        <v>0</v>
      </c>
      <c r="V74" s="962">
        <f t="shared" si="14"/>
        <v>1151005.7660000001</v>
      </c>
      <c r="W74" s="963" t="s">
        <v>183</v>
      </c>
      <c r="X74" s="964">
        <v>43238</v>
      </c>
      <c r="Y74" s="960" t="s">
        <v>559</v>
      </c>
      <c r="Z74" s="964">
        <v>43236</v>
      </c>
      <c r="AA74" s="964">
        <v>43601</v>
      </c>
      <c r="AB74" s="959"/>
      <c r="AC74" s="959"/>
      <c r="AD74" s="960"/>
      <c r="AE74" s="959" t="s">
        <v>182</v>
      </c>
      <c r="AF74" s="963">
        <v>148836.95000000001</v>
      </c>
      <c r="AG74" s="963"/>
      <c r="AH74" s="963"/>
      <c r="AI74" s="963"/>
      <c r="AJ74" s="960" t="s">
        <v>156</v>
      </c>
      <c r="AK74" s="959"/>
      <c r="AL74" s="959"/>
      <c r="AM74" s="965"/>
      <c r="AN74" s="962"/>
      <c r="AO74" s="960" t="str">
        <f t="shared" ca="1" si="15"/>
        <v>MUERTO</v>
      </c>
      <c r="AP74" s="966">
        <v>10</v>
      </c>
      <c r="AQ74" s="960"/>
      <c r="AR74" s="960" t="s">
        <v>696</v>
      </c>
      <c r="AS74" s="960"/>
      <c r="AT74" s="960"/>
      <c r="AU74" s="967"/>
      <c r="AV74" s="965"/>
      <c r="AW74" s="959"/>
      <c r="AX74" s="968"/>
      <c r="AY74" s="965"/>
      <c r="AZ74" s="959"/>
      <c r="BA74" s="959" t="str">
        <f>VLOOKUP(I74,'[1] RFC'!$1:$1048576,2,0)</f>
        <v>ISE0402136VA</v>
      </c>
      <c r="BB74" s="969">
        <v>43229</v>
      </c>
      <c r="BC74" s="969">
        <v>43236</v>
      </c>
      <c r="BD74" s="969">
        <v>43238</v>
      </c>
      <c r="BE74" s="970">
        <v>43283</v>
      </c>
      <c r="BF74" s="969">
        <v>43304</v>
      </c>
      <c r="BG74" s="969">
        <v>43304</v>
      </c>
      <c r="BH74" s="971" t="e">
        <f>NETWORKDAYS(BE74,BF74,#REF!)</f>
        <v>#REF!</v>
      </c>
      <c r="BI74" s="969">
        <v>43304</v>
      </c>
      <c r="BJ74" s="969">
        <v>43311</v>
      </c>
      <c r="BK74" s="969" t="s">
        <v>161</v>
      </c>
      <c r="BL74" s="969">
        <v>43313</v>
      </c>
      <c r="BM74" s="969">
        <v>43292</v>
      </c>
      <c r="BN74" s="969">
        <v>43292</v>
      </c>
      <c r="BO74" s="972">
        <v>43304</v>
      </c>
      <c r="BP74" s="970" t="s">
        <v>186</v>
      </c>
      <c r="BQ74" s="974"/>
    </row>
    <row r="75" spans="1:69" s="591" customFormat="1" ht="60" x14ac:dyDescent="0.25">
      <c r="A75" s="959" t="s">
        <v>697</v>
      </c>
      <c r="B75" s="960">
        <v>73</v>
      </c>
      <c r="C75" s="959" t="s">
        <v>149</v>
      </c>
      <c r="D75" s="959"/>
      <c r="E75" s="567" t="s">
        <v>163</v>
      </c>
      <c r="F75" s="960" t="s">
        <v>545</v>
      </c>
      <c r="G75" s="960" t="s">
        <v>546</v>
      </c>
      <c r="H75" s="960" t="s">
        <v>546</v>
      </c>
      <c r="I75" s="275" t="s">
        <v>698</v>
      </c>
      <c r="J75" s="590"/>
      <c r="K75" s="590"/>
      <c r="L75" s="590"/>
      <c r="M75" s="375" t="str">
        <f t="shared" si="13"/>
        <v xml:space="preserve">Bla, Bla, Bla, S.C.  </v>
      </c>
      <c r="N75" s="959" t="s">
        <v>179</v>
      </c>
      <c r="O75" s="959" t="s">
        <v>699</v>
      </c>
      <c r="P75" s="959" t="s">
        <v>700</v>
      </c>
      <c r="Q75" s="962">
        <v>1824000</v>
      </c>
      <c r="R75" s="962">
        <f t="shared" si="10"/>
        <v>291840</v>
      </c>
      <c r="S75" s="384">
        <f t="shared" si="11"/>
        <v>2115840</v>
      </c>
      <c r="T75" s="385" t="s">
        <v>161</v>
      </c>
      <c r="U75" s="384" t="e">
        <f t="shared" si="12"/>
        <v>#VALUE!</v>
      </c>
      <c r="V75" s="962">
        <f t="shared" si="14"/>
        <v>2115840</v>
      </c>
      <c r="W75" s="963" t="s">
        <v>156</v>
      </c>
      <c r="X75" s="964">
        <v>43248</v>
      </c>
      <c r="Y75" s="960" t="s">
        <v>559</v>
      </c>
      <c r="Z75" s="964">
        <v>43241</v>
      </c>
      <c r="AA75" s="964">
        <v>43343</v>
      </c>
      <c r="AB75" s="959"/>
      <c r="AC75" s="959"/>
      <c r="AD75" s="960"/>
      <c r="AE75" s="959" t="s">
        <v>182</v>
      </c>
      <c r="AF75" s="963">
        <v>273600</v>
      </c>
      <c r="AG75" s="963"/>
      <c r="AH75" s="963"/>
      <c r="AI75" s="963"/>
      <c r="AJ75" s="960" t="s">
        <v>183</v>
      </c>
      <c r="AK75" s="959"/>
      <c r="AL75" s="959"/>
      <c r="AM75" s="965"/>
      <c r="AN75" s="962"/>
      <c r="AO75" s="960" t="str">
        <f t="shared" ca="1" si="15"/>
        <v>MUERTO</v>
      </c>
      <c r="AP75" s="978">
        <v>6</v>
      </c>
      <c r="AQ75" s="960"/>
      <c r="AR75" s="960" t="s">
        <v>559</v>
      </c>
      <c r="AS75" s="960"/>
      <c r="AT75" s="960"/>
      <c r="AU75" s="967"/>
      <c r="AV75" s="965"/>
      <c r="AW75" s="959"/>
      <c r="AX75" s="968"/>
      <c r="AY75" s="965"/>
      <c r="AZ75" s="959"/>
      <c r="BA75" s="959" t="e">
        <f>VLOOKUP(I75,'[1] RFC'!$1:$1048576,2,0)</f>
        <v>#N/A</v>
      </c>
      <c r="BB75" s="969">
        <v>43243</v>
      </c>
      <c r="BC75" s="969">
        <v>43244</v>
      </c>
      <c r="BD75" s="969">
        <v>43252</v>
      </c>
      <c r="BE75" s="970">
        <v>43255</v>
      </c>
      <c r="BF75" s="969">
        <v>43285</v>
      </c>
      <c r="BG75" s="969">
        <v>43285</v>
      </c>
      <c r="BH75" s="971" t="e">
        <f>NETWORKDAYS(BE75,BF75,#REF!)</f>
        <v>#REF!</v>
      </c>
      <c r="BI75" s="969">
        <v>43285</v>
      </c>
      <c r="BJ75" s="969">
        <v>43292</v>
      </c>
      <c r="BK75" s="969" t="s">
        <v>161</v>
      </c>
      <c r="BL75" s="969">
        <v>43297</v>
      </c>
      <c r="BM75" s="969">
        <v>43292</v>
      </c>
      <c r="BN75" s="969">
        <v>43266</v>
      </c>
      <c r="BO75" s="972">
        <v>43320</v>
      </c>
      <c r="BP75" s="970" t="s">
        <v>186</v>
      </c>
      <c r="BQ75" s="974"/>
    </row>
    <row r="76" spans="1:69" s="592" customFormat="1" ht="60" x14ac:dyDescent="0.25">
      <c r="A76" s="959" t="s">
        <v>701</v>
      </c>
      <c r="B76" s="960">
        <v>74</v>
      </c>
      <c r="C76" s="959" t="s">
        <v>149</v>
      </c>
      <c r="D76" s="959" t="s">
        <v>702</v>
      </c>
      <c r="E76" s="959" t="s">
        <v>151</v>
      </c>
      <c r="F76" s="960" t="s">
        <v>152</v>
      </c>
      <c r="G76" s="567"/>
      <c r="H76" s="960" t="s">
        <v>151</v>
      </c>
      <c r="I76" s="275" t="s">
        <v>703</v>
      </c>
      <c r="J76" s="590"/>
      <c r="K76" s="590"/>
      <c r="L76" s="590"/>
      <c r="M76" s="375" t="str">
        <f t="shared" si="13"/>
        <v xml:space="preserve">Proyectos Luminicos, S.A.  </v>
      </c>
      <c r="N76" s="959" t="s">
        <v>315</v>
      </c>
      <c r="O76" s="959" t="s">
        <v>316</v>
      </c>
      <c r="P76" s="959" t="s">
        <v>704</v>
      </c>
      <c r="Q76" s="962">
        <v>448000</v>
      </c>
      <c r="R76" s="962">
        <f t="shared" si="10"/>
        <v>71680</v>
      </c>
      <c r="S76" s="384">
        <f t="shared" si="11"/>
        <v>519680</v>
      </c>
      <c r="T76" s="385" t="s">
        <v>161</v>
      </c>
      <c r="U76" s="384" t="e">
        <f t="shared" si="12"/>
        <v>#VALUE!</v>
      </c>
      <c r="V76" s="962">
        <f t="shared" si="14"/>
        <v>519680</v>
      </c>
      <c r="W76" s="963" t="s">
        <v>156</v>
      </c>
      <c r="X76" s="964">
        <v>43255</v>
      </c>
      <c r="Y76" s="960" t="s">
        <v>496</v>
      </c>
      <c r="Z76" s="964">
        <v>43253</v>
      </c>
      <c r="AA76" s="964">
        <v>43465</v>
      </c>
      <c r="AB76" s="959"/>
      <c r="AC76" s="959"/>
      <c r="AD76" s="960"/>
      <c r="AE76" s="959" t="s">
        <v>582</v>
      </c>
      <c r="AF76" s="963">
        <v>67200</v>
      </c>
      <c r="AG76" s="963">
        <v>515200</v>
      </c>
      <c r="AH76" s="963"/>
      <c r="AI76" s="963"/>
      <c r="AJ76" s="960" t="s">
        <v>183</v>
      </c>
      <c r="AK76" s="959"/>
      <c r="AL76" s="959"/>
      <c r="AM76" s="965"/>
      <c r="AN76" s="962"/>
      <c r="AO76" s="960" t="str">
        <f t="shared" ca="1" si="15"/>
        <v>MUERTO</v>
      </c>
      <c r="AP76" s="966">
        <v>7</v>
      </c>
      <c r="AQ76" s="960"/>
      <c r="AR76" s="960" t="s">
        <v>496</v>
      </c>
      <c r="AS76" s="960"/>
      <c r="AT76" s="960"/>
      <c r="AU76" s="967"/>
      <c r="AV76" s="965"/>
      <c r="AW76" s="959"/>
      <c r="AX76" s="968"/>
      <c r="AY76" s="965"/>
      <c r="AZ76" s="959"/>
      <c r="BA76" s="959" t="e">
        <f>VLOOKUP(I76,'[1] RFC'!$1:$1048576,2,0)</f>
        <v>#N/A</v>
      </c>
      <c r="BB76" s="969">
        <v>43237</v>
      </c>
      <c r="BC76" s="969">
        <v>43251</v>
      </c>
      <c r="BD76" s="969">
        <v>43255</v>
      </c>
      <c r="BE76" s="970">
        <v>43270</v>
      </c>
      <c r="BF76" s="969">
        <v>43299</v>
      </c>
      <c r="BG76" s="970" t="s">
        <v>705</v>
      </c>
      <c r="BH76" s="971" t="e">
        <f>NETWORKDAYS(BE76,BF76,#REF!)</f>
        <v>#REF!</v>
      </c>
      <c r="BI76" s="970" t="s">
        <v>706</v>
      </c>
      <c r="BJ76" s="970" t="s">
        <v>707</v>
      </c>
      <c r="BK76" s="969" t="s">
        <v>161</v>
      </c>
      <c r="BL76" s="969">
        <v>43313</v>
      </c>
      <c r="BM76" s="969">
        <v>43283</v>
      </c>
      <c r="BN76" s="969">
        <v>43278</v>
      </c>
      <c r="BO76" s="972">
        <v>43297</v>
      </c>
      <c r="BP76" s="970">
        <v>43283</v>
      </c>
      <c r="BQ76" s="974"/>
    </row>
    <row r="77" spans="1:69" s="592" customFormat="1" ht="120" x14ac:dyDescent="0.25">
      <c r="A77" s="959" t="s">
        <v>708</v>
      </c>
      <c r="B77" s="960">
        <v>75</v>
      </c>
      <c r="C77" s="959" t="s">
        <v>149</v>
      </c>
      <c r="D77" s="959" t="s">
        <v>709</v>
      </c>
      <c r="E77" s="567" t="s">
        <v>163</v>
      </c>
      <c r="F77" s="960" t="s">
        <v>710</v>
      </c>
      <c r="G77" s="567" t="s">
        <v>163</v>
      </c>
      <c r="H77" s="960" t="s">
        <v>313</v>
      </c>
      <c r="I77" s="275" t="s">
        <v>711</v>
      </c>
      <c r="J77" s="590"/>
      <c r="K77" s="590"/>
      <c r="L77" s="590"/>
      <c r="M77" s="375" t="str">
        <f t="shared" si="13"/>
        <v xml:space="preserve">Carlos Corral y Asociados, S.C.  </v>
      </c>
      <c r="N77" s="959" t="s">
        <v>270</v>
      </c>
      <c r="O77" s="959" t="s">
        <v>712</v>
      </c>
      <c r="P77" s="959" t="s">
        <v>713</v>
      </c>
      <c r="Q77" s="962">
        <v>468998.40000000002</v>
      </c>
      <c r="R77" s="962">
        <f t="shared" si="10"/>
        <v>75039.744000000006</v>
      </c>
      <c r="S77" s="384">
        <f t="shared" si="11"/>
        <v>544038.14400000009</v>
      </c>
      <c r="T77" s="385">
        <v>0</v>
      </c>
      <c r="U77" s="384">
        <f t="shared" si="12"/>
        <v>0</v>
      </c>
      <c r="V77" s="962">
        <f t="shared" si="14"/>
        <v>544038.14400000009</v>
      </c>
      <c r="W77" s="963" t="s">
        <v>156</v>
      </c>
      <c r="X77" s="964">
        <v>43255</v>
      </c>
      <c r="Y77" s="960" t="s">
        <v>496</v>
      </c>
      <c r="Z77" s="964">
        <v>43252</v>
      </c>
      <c r="AA77" s="964">
        <v>43430</v>
      </c>
      <c r="AB77" s="959">
        <v>33104</v>
      </c>
      <c r="AC77" s="959"/>
      <c r="AD77" s="960"/>
      <c r="AE77" s="959" t="s">
        <v>714</v>
      </c>
      <c r="AF77" s="963"/>
      <c r="AG77" s="963"/>
      <c r="AH77" s="963"/>
      <c r="AI77" s="963"/>
      <c r="AJ77" s="960" t="s">
        <v>159</v>
      </c>
      <c r="AK77" s="959" t="s">
        <v>715</v>
      </c>
      <c r="AL77" s="959" t="s">
        <v>716</v>
      </c>
      <c r="AM77" s="965">
        <v>43343</v>
      </c>
      <c r="AN77" s="962">
        <v>0</v>
      </c>
      <c r="AO77" s="960" t="str">
        <f t="shared" ca="1" si="15"/>
        <v>MUERTO</v>
      </c>
      <c r="AP77" s="966">
        <v>7</v>
      </c>
      <c r="AQ77" s="966">
        <v>10</v>
      </c>
      <c r="AR77" s="960" t="s">
        <v>496</v>
      </c>
      <c r="AS77" s="960"/>
      <c r="AT77" s="960"/>
      <c r="AU77" s="967"/>
      <c r="AV77" s="965"/>
      <c r="AW77" s="959"/>
      <c r="AX77" s="968"/>
      <c r="AY77" s="965"/>
      <c r="AZ77" s="959"/>
      <c r="BA77" s="959" t="str">
        <f>VLOOKUP(I77,'[1] RFC'!$1:$1048576,2,0)</f>
        <v>CCA890918423</v>
      </c>
      <c r="BB77" s="969">
        <v>43242</v>
      </c>
      <c r="BC77" s="969">
        <v>43251</v>
      </c>
      <c r="BD77" s="969">
        <v>43258</v>
      </c>
      <c r="BE77" s="970" t="s">
        <v>160</v>
      </c>
      <c r="BF77" s="969" t="s">
        <v>161</v>
      </c>
      <c r="BG77" s="969" t="s">
        <v>161</v>
      </c>
      <c r="BH77" s="971" t="e">
        <f>NETWORKDAYS(BE77,BF77,#REF!)</f>
        <v>#VALUE!</v>
      </c>
      <c r="BI77" s="969" t="s">
        <v>161</v>
      </c>
      <c r="BJ77" s="969" t="s">
        <v>161</v>
      </c>
      <c r="BK77" s="969" t="s">
        <v>161</v>
      </c>
      <c r="BL77" s="969">
        <v>43271</v>
      </c>
      <c r="BM77" s="969">
        <v>43269</v>
      </c>
      <c r="BN77" s="969">
        <v>43265</v>
      </c>
      <c r="BO77" s="972">
        <v>43327</v>
      </c>
      <c r="BP77" s="970">
        <v>43270</v>
      </c>
      <c r="BQ77" s="974"/>
    </row>
    <row r="78" spans="1:69" s="591" customFormat="1" ht="105" x14ac:dyDescent="0.25">
      <c r="A78" s="959" t="s">
        <v>717</v>
      </c>
      <c r="B78" s="960">
        <v>76</v>
      </c>
      <c r="C78" s="959" t="s">
        <v>225</v>
      </c>
      <c r="D78" s="959" t="s">
        <v>718</v>
      </c>
      <c r="E78" s="4" t="s">
        <v>173</v>
      </c>
      <c r="F78" s="960" t="s">
        <v>326</v>
      </c>
      <c r="G78" s="567"/>
      <c r="H78" s="960" t="s">
        <v>175</v>
      </c>
      <c r="I78" s="275" t="s">
        <v>719</v>
      </c>
      <c r="J78" s="590"/>
      <c r="K78" s="590"/>
      <c r="L78" s="590"/>
      <c r="M78" s="375" t="str">
        <f t="shared" si="13"/>
        <v xml:space="preserve">Sí Vale México, S.A. de C.V.  </v>
      </c>
      <c r="N78" s="959" t="s">
        <v>556</v>
      </c>
      <c r="O78" s="959" t="s">
        <v>557</v>
      </c>
      <c r="P78" s="959" t="s">
        <v>720</v>
      </c>
      <c r="Q78" s="962">
        <v>4200000</v>
      </c>
      <c r="R78" s="962">
        <v>0</v>
      </c>
      <c r="S78" s="384">
        <f t="shared" si="11"/>
        <v>4200000</v>
      </c>
      <c r="T78" s="385">
        <v>1000000</v>
      </c>
      <c r="U78" s="384">
        <f t="shared" si="12"/>
        <v>1160000</v>
      </c>
      <c r="V78" s="962">
        <f t="shared" si="14"/>
        <v>4200000</v>
      </c>
      <c r="W78" s="963" t="s">
        <v>156</v>
      </c>
      <c r="X78" s="964">
        <v>43256</v>
      </c>
      <c r="Y78" s="960" t="s">
        <v>496</v>
      </c>
      <c r="Z78" s="964">
        <v>43252</v>
      </c>
      <c r="AA78" s="964">
        <v>43524</v>
      </c>
      <c r="AB78" s="959"/>
      <c r="AC78" s="959"/>
      <c r="AD78" s="960"/>
      <c r="AE78" s="959" t="s">
        <v>721</v>
      </c>
      <c r="AF78" s="963">
        <v>630000</v>
      </c>
      <c r="AG78" s="963"/>
      <c r="AH78" s="963"/>
      <c r="AI78" s="963"/>
      <c r="AJ78" s="960"/>
      <c r="AK78" s="959" t="s">
        <v>722</v>
      </c>
      <c r="AL78" s="959" t="s">
        <v>723</v>
      </c>
      <c r="AM78" s="965">
        <v>43490</v>
      </c>
      <c r="AN78" s="962">
        <v>0</v>
      </c>
      <c r="AO78" s="960" t="str">
        <f t="shared" ca="1" si="15"/>
        <v>MUERTO</v>
      </c>
      <c r="AP78" s="966">
        <v>7</v>
      </c>
      <c r="AQ78" s="960"/>
      <c r="AR78" s="960" t="s">
        <v>496</v>
      </c>
      <c r="AS78" s="960"/>
      <c r="AT78" s="960"/>
      <c r="AU78" s="967"/>
      <c r="AV78" s="965"/>
      <c r="AW78" s="959"/>
      <c r="AX78" s="968"/>
      <c r="AY78" s="965"/>
      <c r="AZ78" s="959"/>
      <c r="BA78" s="959" t="e">
        <f>VLOOKUP(I78,'[1] RFC'!$1:$1048576,2,0)</f>
        <v>#N/A</v>
      </c>
      <c r="BB78" s="969">
        <v>43245</v>
      </c>
      <c r="BC78" s="969">
        <v>43252</v>
      </c>
      <c r="BD78" s="969">
        <v>43262</v>
      </c>
      <c r="BE78" s="970">
        <v>43264</v>
      </c>
      <c r="BF78" s="969">
        <v>43264</v>
      </c>
      <c r="BG78" s="969">
        <v>43264</v>
      </c>
      <c r="BH78" s="971" t="e">
        <f>NETWORKDAYS(BE78,BF78,#REF!)</f>
        <v>#REF!</v>
      </c>
      <c r="BI78" s="969">
        <v>43264</v>
      </c>
      <c r="BJ78" s="969">
        <v>43266</v>
      </c>
      <c r="BK78" s="969" t="s">
        <v>161</v>
      </c>
      <c r="BL78" s="969">
        <v>43278</v>
      </c>
      <c r="BM78" s="969">
        <v>43276</v>
      </c>
      <c r="BN78" s="969">
        <v>43276</v>
      </c>
      <c r="BO78" s="972">
        <v>43264</v>
      </c>
      <c r="BP78" s="970">
        <v>43276</v>
      </c>
      <c r="BQ78" s="974"/>
    </row>
    <row r="79" spans="1:69" s="591" customFormat="1" ht="60" x14ac:dyDescent="0.25">
      <c r="A79" s="959" t="s">
        <v>724</v>
      </c>
      <c r="B79" s="960">
        <v>77</v>
      </c>
      <c r="C79" s="959" t="s">
        <v>149</v>
      </c>
      <c r="D79" s="959" t="s">
        <v>725</v>
      </c>
      <c r="E79" s="567" t="s">
        <v>163</v>
      </c>
      <c r="F79" s="960" t="s">
        <v>726</v>
      </c>
      <c r="G79" s="567" t="s">
        <v>163</v>
      </c>
      <c r="H79" s="960" t="s">
        <v>313</v>
      </c>
      <c r="I79" s="275" t="s">
        <v>727</v>
      </c>
      <c r="J79" s="590"/>
      <c r="K79" s="590"/>
      <c r="L79" s="590"/>
      <c r="M79" s="375" t="str">
        <f t="shared" si="13"/>
        <v xml:space="preserve">Alta Tecnología en Ingeniería y Construcción, S.A. de C.V.  </v>
      </c>
      <c r="N79" s="959" t="s">
        <v>198</v>
      </c>
      <c r="O79" s="959" t="s">
        <v>352</v>
      </c>
      <c r="P79" s="959" t="s">
        <v>728</v>
      </c>
      <c r="Q79" s="962">
        <v>380600</v>
      </c>
      <c r="R79" s="962">
        <f t="shared" ref="R79:R84" si="16">Q79*0.16</f>
        <v>60896</v>
      </c>
      <c r="S79" s="384">
        <f t="shared" si="11"/>
        <v>441496</v>
      </c>
      <c r="T79" s="385">
        <v>0</v>
      </c>
      <c r="U79" s="384">
        <f t="shared" si="12"/>
        <v>0</v>
      </c>
      <c r="V79" s="962">
        <f t="shared" si="14"/>
        <v>441496</v>
      </c>
      <c r="W79" s="963" t="s">
        <v>156</v>
      </c>
      <c r="X79" s="964">
        <v>43263</v>
      </c>
      <c r="Y79" s="960" t="s">
        <v>496</v>
      </c>
      <c r="Z79" s="964">
        <v>43255</v>
      </c>
      <c r="AA79" s="964">
        <v>43299</v>
      </c>
      <c r="AB79" s="959"/>
      <c r="AC79" s="959"/>
      <c r="AD79" s="960"/>
      <c r="AE79" s="959" t="s">
        <v>182</v>
      </c>
      <c r="AF79" s="963">
        <v>57090</v>
      </c>
      <c r="AG79" s="963"/>
      <c r="AH79" s="963"/>
      <c r="AI79" s="963"/>
      <c r="AJ79" s="960" t="s">
        <v>183</v>
      </c>
      <c r="AK79" s="959"/>
      <c r="AL79" s="959"/>
      <c r="AM79" s="965"/>
      <c r="AN79" s="962"/>
      <c r="AO79" s="960" t="str">
        <f t="shared" ca="1" si="15"/>
        <v>MUERTO</v>
      </c>
      <c r="AP79" s="966">
        <v>10</v>
      </c>
      <c r="AQ79" s="960"/>
      <c r="AR79" s="960" t="s">
        <v>729</v>
      </c>
      <c r="AS79" s="960"/>
      <c r="AT79" s="960"/>
      <c r="AU79" s="967"/>
      <c r="AV79" s="965"/>
      <c r="AW79" s="959"/>
      <c r="AX79" s="968"/>
      <c r="AY79" s="965"/>
      <c r="AZ79" s="959"/>
      <c r="BA79" s="959" t="str">
        <f>VLOOKUP(I79,'[1] RFC'!$1:$1048576,2,0)</f>
        <v>ATI010918UI3</v>
      </c>
      <c r="BB79" s="969">
        <v>43256</v>
      </c>
      <c r="BC79" s="969">
        <v>43258</v>
      </c>
      <c r="BD79" s="969">
        <v>43272</v>
      </c>
      <c r="BE79" s="970">
        <v>43273</v>
      </c>
      <c r="BF79" s="969">
        <v>43321</v>
      </c>
      <c r="BG79" s="969">
        <v>43321</v>
      </c>
      <c r="BH79" s="971" t="e">
        <f>NETWORKDAYS(BE79,BF79,#REF!)</f>
        <v>#REF!</v>
      </c>
      <c r="BI79" s="969">
        <v>43322</v>
      </c>
      <c r="BJ79" s="969">
        <v>43326</v>
      </c>
      <c r="BK79" s="969" t="s">
        <v>161</v>
      </c>
      <c r="BL79" s="969">
        <v>43328</v>
      </c>
      <c r="BM79" s="969">
        <v>43279</v>
      </c>
      <c r="BN79" s="969">
        <v>43278</v>
      </c>
      <c r="BO79" s="972">
        <v>43321</v>
      </c>
      <c r="BP79" s="970">
        <v>43279</v>
      </c>
      <c r="BQ79" s="974"/>
    </row>
    <row r="80" spans="1:69" s="592" customFormat="1" ht="75" x14ac:dyDescent="0.25">
      <c r="A80" s="959" t="s">
        <v>730</v>
      </c>
      <c r="B80" s="960">
        <v>78</v>
      </c>
      <c r="C80" s="959" t="s">
        <v>225</v>
      </c>
      <c r="D80" s="959" t="s">
        <v>731</v>
      </c>
      <c r="E80" s="567" t="s">
        <v>163</v>
      </c>
      <c r="F80" s="960" t="s">
        <v>188</v>
      </c>
      <c r="G80" s="567" t="s">
        <v>163</v>
      </c>
      <c r="H80" s="960" t="s">
        <v>427</v>
      </c>
      <c r="I80" s="275" t="s">
        <v>732</v>
      </c>
      <c r="J80" s="590"/>
      <c r="K80" s="590"/>
      <c r="L80" s="590"/>
      <c r="M80" s="375" t="str">
        <f t="shared" si="13"/>
        <v xml:space="preserve">Adriana Páramo, S.A. de C.V.  </v>
      </c>
      <c r="N80" s="959" t="s">
        <v>733</v>
      </c>
      <c r="O80" s="959" t="s">
        <v>734</v>
      </c>
      <c r="P80" s="959" t="s">
        <v>735</v>
      </c>
      <c r="Q80" s="980">
        <v>85200</v>
      </c>
      <c r="R80" s="962">
        <f t="shared" si="16"/>
        <v>13632</v>
      </c>
      <c r="S80" s="384">
        <f t="shared" si="11"/>
        <v>98832</v>
      </c>
      <c r="T80" s="385">
        <v>0</v>
      </c>
      <c r="U80" s="384">
        <f t="shared" si="12"/>
        <v>0</v>
      </c>
      <c r="V80" s="981">
        <f t="shared" si="14"/>
        <v>98832</v>
      </c>
      <c r="W80" s="963" t="s">
        <v>183</v>
      </c>
      <c r="X80" s="964">
        <v>43262</v>
      </c>
      <c r="Y80" s="960" t="s">
        <v>496</v>
      </c>
      <c r="Z80" s="964">
        <v>43262</v>
      </c>
      <c r="AA80" s="964">
        <v>43627</v>
      </c>
      <c r="AB80" s="959"/>
      <c r="AC80" s="959"/>
      <c r="AD80" s="960"/>
      <c r="AE80" s="959" t="s">
        <v>736</v>
      </c>
      <c r="AF80" s="963">
        <v>12780</v>
      </c>
      <c r="AG80" s="963"/>
      <c r="AH80" s="963"/>
      <c r="AI80" s="963"/>
      <c r="AJ80" s="960"/>
      <c r="AK80" s="959"/>
      <c r="AL80" s="959"/>
      <c r="AM80" s="965"/>
      <c r="AN80" s="962"/>
      <c r="AO80" s="960" t="str">
        <f t="shared" ca="1" si="15"/>
        <v>MUERTO</v>
      </c>
      <c r="AP80" s="966">
        <v>7</v>
      </c>
      <c r="AQ80" s="960"/>
      <c r="AR80" s="960" t="s">
        <v>496</v>
      </c>
      <c r="AS80" s="960"/>
      <c r="AT80" s="960"/>
      <c r="AU80" s="982">
        <v>98832</v>
      </c>
      <c r="AV80" s="965"/>
      <c r="AW80" s="959"/>
      <c r="AX80" s="968"/>
      <c r="AY80" s="965"/>
      <c r="AZ80" s="959"/>
      <c r="BA80" s="959" t="e">
        <f>VLOOKUP(I80,'[1] RFC'!$1:$1048576,2,0)</f>
        <v>#N/A</v>
      </c>
      <c r="BB80" s="969">
        <v>43250</v>
      </c>
      <c r="BC80" s="969">
        <v>43258</v>
      </c>
      <c r="BD80" s="969">
        <v>43265</v>
      </c>
      <c r="BE80" s="970">
        <v>43265</v>
      </c>
      <c r="BF80" s="969">
        <v>43269</v>
      </c>
      <c r="BG80" s="969">
        <v>43269</v>
      </c>
      <c r="BH80" s="971" t="e">
        <f>NETWORKDAYS(BE80,BF80,#REF!)</f>
        <v>#REF!</v>
      </c>
      <c r="BI80" s="969">
        <v>43269</v>
      </c>
      <c r="BJ80" s="969">
        <v>43273</v>
      </c>
      <c r="BK80" s="969" t="s">
        <v>161</v>
      </c>
      <c r="BL80" s="969">
        <v>43278</v>
      </c>
      <c r="BM80" s="969">
        <v>43273</v>
      </c>
      <c r="BN80" s="969">
        <v>43273</v>
      </c>
      <c r="BO80" s="972">
        <v>43273</v>
      </c>
      <c r="BP80" s="970">
        <v>43272</v>
      </c>
      <c r="BQ80" s="974"/>
    </row>
    <row r="81" spans="1:69" s="591" customFormat="1" ht="75" x14ac:dyDescent="0.25">
      <c r="A81" s="959" t="s">
        <v>737</v>
      </c>
      <c r="B81" s="960">
        <v>79</v>
      </c>
      <c r="C81" s="959" t="s">
        <v>149</v>
      </c>
      <c r="D81" s="959" t="s">
        <v>725</v>
      </c>
      <c r="E81" s="567" t="s">
        <v>163</v>
      </c>
      <c r="F81" s="960" t="s">
        <v>726</v>
      </c>
      <c r="G81" s="567" t="s">
        <v>163</v>
      </c>
      <c r="H81" s="960" t="s">
        <v>313</v>
      </c>
      <c r="I81" s="275" t="s">
        <v>314</v>
      </c>
      <c r="J81" s="590"/>
      <c r="K81" s="590"/>
      <c r="L81" s="590"/>
      <c r="M81" s="375" t="str">
        <f t="shared" si="13"/>
        <v xml:space="preserve">DHIMEX Ciudad de México, S.A. de C.V.  </v>
      </c>
      <c r="N81" s="959" t="s">
        <v>198</v>
      </c>
      <c r="O81" s="959" t="s">
        <v>352</v>
      </c>
      <c r="P81" s="959" t="s">
        <v>738</v>
      </c>
      <c r="Q81" s="962">
        <v>688000</v>
      </c>
      <c r="R81" s="962">
        <f t="shared" si="16"/>
        <v>110080</v>
      </c>
      <c r="S81" s="384">
        <f t="shared" si="11"/>
        <v>798080</v>
      </c>
      <c r="T81" s="385">
        <v>0</v>
      </c>
      <c r="U81" s="384">
        <f t="shared" si="12"/>
        <v>0</v>
      </c>
      <c r="V81" s="962">
        <f t="shared" si="14"/>
        <v>798080</v>
      </c>
      <c r="W81" s="963" t="s">
        <v>156</v>
      </c>
      <c r="X81" s="964">
        <v>43262</v>
      </c>
      <c r="Y81" s="960" t="s">
        <v>496</v>
      </c>
      <c r="Z81" s="964">
        <v>43255</v>
      </c>
      <c r="AA81" s="964">
        <v>43299</v>
      </c>
      <c r="AB81" s="959"/>
      <c r="AC81" s="959"/>
      <c r="AD81" s="960"/>
      <c r="AE81" s="959" t="s">
        <v>182</v>
      </c>
      <c r="AF81" s="963">
        <v>103200</v>
      </c>
      <c r="AG81" s="963"/>
      <c r="AH81" s="963"/>
      <c r="AI81" s="963"/>
      <c r="AJ81" s="960" t="s">
        <v>183</v>
      </c>
      <c r="AK81" s="959"/>
      <c r="AL81" s="959"/>
      <c r="AM81" s="965"/>
      <c r="AN81" s="962"/>
      <c r="AO81" s="960" t="str">
        <f t="shared" ca="1" si="15"/>
        <v>MUERTO</v>
      </c>
      <c r="AP81" s="966">
        <v>8</v>
      </c>
      <c r="AQ81" s="960"/>
      <c r="AR81" s="960" t="s">
        <v>696</v>
      </c>
      <c r="AS81" s="960"/>
      <c r="AT81" s="960"/>
      <c r="AU81" s="967"/>
      <c r="AV81" s="965"/>
      <c r="AW81" s="959"/>
      <c r="AX81" s="968"/>
      <c r="AY81" s="965"/>
      <c r="AZ81" s="959"/>
      <c r="BA81" s="959" t="str">
        <f>VLOOKUP(I81,'[1] RFC'!$1:$1048576,2,0)</f>
        <v>DCM060704I30</v>
      </c>
      <c r="BB81" s="969">
        <v>43256</v>
      </c>
      <c r="BC81" s="969">
        <v>43258</v>
      </c>
      <c r="BD81" s="969">
        <v>43272</v>
      </c>
      <c r="BE81" s="970" t="s">
        <v>204</v>
      </c>
      <c r="BF81" s="969">
        <v>43299</v>
      </c>
      <c r="BG81" s="969">
        <v>43299</v>
      </c>
      <c r="BH81" s="971" t="e">
        <f>NETWORKDAYS(BE81,BF81,#REF!)</f>
        <v>#VALUE!</v>
      </c>
      <c r="BI81" s="969">
        <v>43299</v>
      </c>
      <c r="BJ81" s="969">
        <v>43304</v>
      </c>
      <c r="BK81" s="969" t="s">
        <v>161</v>
      </c>
      <c r="BL81" s="969">
        <v>43306</v>
      </c>
      <c r="BM81" s="969">
        <v>43278</v>
      </c>
      <c r="BN81" s="969">
        <v>43277</v>
      </c>
      <c r="BO81" s="972">
        <v>43285</v>
      </c>
      <c r="BP81" s="970">
        <v>43277</v>
      </c>
      <c r="BQ81" s="974"/>
    </row>
    <row r="82" spans="1:69" s="592" customFormat="1" ht="60" x14ac:dyDescent="0.25">
      <c r="A82" s="959" t="s">
        <v>739</v>
      </c>
      <c r="B82" s="960">
        <v>80</v>
      </c>
      <c r="C82" s="959" t="s">
        <v>149</v>
      </c>
      <c r="D82" s="959" t="s">
        <v>740</v>
      </c>
      <c r="E82" s="959" t="s">
        <v>151</v>
      </c>
      <c r="F82" s="960" t="s">
        <v>152</v>
      </c>
      <c r="G82" s="567"/>
      <c r="H82" s="960" t="s">
        <v>151</v>
      </c>
      <c r="I82" s="275"/>
      <c r="J82" s="590" t="s">
        <v>741</v>
      </c>
      <c r="K82" s="590" t="s">
        <v>742</v>
      </c>
      <c r="L82" s="590" t="s">
        <v>743</v>
      </c>
      <c r="M82" s="375" t="str">
        <f t="shared" si="13"/>
        <v>Anastacio Islas Barajas</v>
      </c>
      <c r="N82" s="959" t="s">
        <v>744</v>
      </c>
      <c r="O82" s="959" t="s">
        <v>745</v>
      </c>
      <c r="P82" s="959" t="s">
        <v>746</v>
      </c>
      <c r="Q82" s="962">
        <v>517035.04</v>
      </c>
      <c r="R82" s="962">
        <f t="shared" si="16"/>
        <v>82725.606400000004</v>
      </c>
      <c r="S82" s="384">
        <f t="shared" si="11"/>
        <v>599760.64639999997</v>
      </c>
      <c r="T82" s="385">
        <v>0</v>
      </c>
      <c r="U82" s="384">
        <f t="shared" si="12"/>
        <v>0</v>
      </c>
      <c r="V82" s="962">
        <f t="shared" si="14"/>
        <v>599760.64639999997</v>
      </c>
      <c r="W82" s="963" t="s">
        <v>156</v>
      </c>
      <c r="X82" s="964">
        <v>43269</v>
      </c>
      <c r="Y82" s="960" t="s">
        <v>696</v>
      </c>
      <c r="Z82" s="964">
        <v>43276</v>
      </c>
      <c r="AA82" s="964">
        <v>43465</v>
      </c>
      <c r="AB82" s="959"/>
      <c r="AC82" s="959"/>
      <c r="AD82" s="960"/>
      <c r="AE82" s="959" t="s">
        <v>582</v>
      </c>
      <c r="AF82" s="963">
        <v>77555.25</v>
      </c>
      <c r="AG82" s="963">
        <v>77555.25</v>
      </c>
      <c r="AH82" s="963"/>
      <c r="AI82" s="963"/>
      <c r="AJ82" s="960" t="s">
        <v>156</v>
      </c>
      <c r="AK82" s="959"/>
      <c r="AL82" s="959"/>
      <c r="AM82" s="965"/>
      <c r="AN82" s="962"/>
      <c r="AO82" s="960" t="str">
        <f t="shared" ca="1" si="15"/>
        <v>MUERTO</v>
      </c>
      <c r="AP82" s="966">
        <v>7</v>
      </c>
      <c r="AQ82" s="960"/>
      <c r="AR82" s="960" t="s">
        <v>696</v>
      </c>
      <c r="AS82" s="960"/>
      <c r="AT82" s="960"/>
      <c r="AU82" s="967"/>
      <c r="AV82" s="965"/>
      <c r="AW82" s="959"/>
      <c r="AX82" s="968"/>
      <c r="AY82" s="965"/>
      <c r="AZ82" s="959"/>
      <c r="BA82" s="959" t="e">
        <f>VLOOKUP(I82,'[1] RFC'!$1:$1048576,2,0)</f>
        <v>#N/A</v>
      </c>
      <c r="BB82" s="969">
        <v>43262</v>
      </c>
      <c r="BC82" s="969">
        <v>43264</v>
      </c>
      <c r="BD82" s="969">
        <v>43271</v>
      </c>
      <c r="BE82" s="970">
        <v>43273</v>
      </c>
      <c r="BF82" s="969">
        <v>43287</v>
      </c>
      <c r="BG82" s="970" t="s">
        <v>747</v>
      </c>
      <c r="BH82" s="971" t="e">
        <f>NETWORKDAYS(BE82,BF82,#REF!)</f>
        <v>#REF!</v>
      </c>
      <c r="BI82" s="970" t="s">
        <v>748</v>
      </c>
      <c r="BJ82" s="970" t="s">
        <v>749</v>
      </c>
      <c r="BK82" s="969" t="s">
        <v>161</v>
      </c>
      <c r="BL82" s="969">
        <v>43301</v>
      </c>
      <c r="BM82" s="969">
        <v>43279</v>
      </c>
      <c r="BN82" s="969">
        <v>43279</v>
      </c>
      <c r="BO82" s="972">
        <v>43287</v>
      </c>
      <c r="BP82" s="970">
        <v>43279</v>
      </c>
      <c r="BQ82" s="974"/>
    </row>
    <row r="83" spans="1:69" s="592" customFormat="1" ht="135" x14ac:dyDescent="0.25">
      <c r="A83" s="959" t="s">
        <v>750</v>
      </c>
      <c r="B83" s="960">
        <v>81</v>
      </c>
      <c r="C83" s="959" t="s">
        <v>149</v>
      </c>
      <c r="D83" s="959" t="s">
        <v>751</v>
      </c>
      <c r="E83" s="567" t="s">
        <v>163</v>
      </c>
      <c r="F83" s="960" t="s">
        <v>188</v>
      </c>
      <c r="G83" s="567" t="s">
        <v>163</v>
      </c>
      <c r="H83" s="960" t="s">
        <v>427</v>
      </c>
      <c r="I83" s="275"/>
      <c r="J83" s="590" t="s">
        <v>465</v>
      </c>
      <c r="K83" s="590" t="s">
        <v>752</v>
      </c>
      <c r="L83" s="590" t="s">
        <v>753</v>
      </c>
      <c r="M83" s="375" t="str">
        <f t="shared" si="13"/>
        <v>José Antonio Peña Herrera</v>
      </c>
      <c r="N83" s="959" t="s">
        <v>601</v>
      </c>
      <c r="O83" s="959" t="s">
        <v>220</v>
      </c>
      <c r="P83" s="959" t="s">
        <v>754</v>
      </c>
      <c r="Q83" s="962">
        <v>235500</v>
      </c>
      <c r="R83" s="962">
        <f t="shared" si="16"/>
        <v>37680</v>
      </c>
      <c r="S83" s="384">
        <f t="shared" si="11"/>
        <v>273180</v>
      </c>
      <c r="T83" s="385">
        <v>0</v>
      </c>
      <c r="U83" s="384">
        <f t="shared" si="12"/>
        <v>0</v>
      </c>
      <c r="V83" s="962">
        <f t="shared" si="14"/>
        <v>273180</v>
      </c>
      <c r="W83" s="963" t="s">
        <v>156</v>
      </c>
      <c r="X83" s="964">
        <v>43269</v>
      </c>
      <c r="Y83" s="960" t="s">
        <v>496</v>
      </c>
      <c r="Z83" s="964">
        <v>43279</v>
      </c>
      <c r="AA83" s="964">
        <v>43282</v>
      </c>
      <c r="AB83" s="959"/>
      <c r="AC83" s="959"/>
      <c r="AD83" s="960"/>
      <c r="AE83" s="959" t="s">
        <v>755</v>
      </c>
      <c r="AF83" s="963"/>
      <c r="AG83" s="963"/>
      <c r="AH83" s="963"/>
      <c r="AI83" s="963"/>
      <c r="AJ83" s="960" t="s">
        <v>159</v>
      </c>
      <c r="AK83" s="959"/>
      <c r="AL83" s="959"/>
      <c r="AM83" s="965"/>
      <c r="AN83" s="962"/>
      <c r="AO83" s="960" t="str">
        <f t="shared" ca="1" si="15"/>
        <v>MUERTO</v>
      </c>
      <c r="AP83" s="966">
        <v>7</v>
      </c>
      <c r="AQ83" s="960"/>
      <c r="AR83" s="960" t="s">
        <v>496</v>
      </c>
      <c r="AS83" s="960"/>
      <c r="AT83" s="960"/>
      <c r="AU83" s="967"/>
      <c r="AV83" s="965"/>
      <c r="AW83" s="959"/>
      <c r="AX83" s="968"/>
      <c r="AY83" s="965"/>
      <c r="AZ83" s="959"/>
      <c r="BA83" s="959" t="e">
        <f>VLOOKUP(I83,'[1] RFC'!$1:$1048576,2,0)</f>
        <v>#N/A</v>
      </c>
      <c r="BB83" s="969">
        <v>43234</v>
      </c>
      <c r="BC83" s="969">
        <v>43264</v>
      </c>
      <c r="BD83" s="969">
        <v>43272</v>
      </c>
      <c r="BE83" s="970" t="s">
        <v>160</v>
      </c>
      <c r="BF83" s="969" t="s">
        <v>161</v>
      </c>
      <c r="BG83" s="969" t="s">
        <v>161</v>
      </c>
      <c r="BH83" s="971" t="e">
        <f>NETWORKDAYS(BE83,BF83,#REF!)</f>
        <v>#VALUE!</v>
      </c>
      <c r="BI83" s="969" t="s">
        <v>161</v>
      </c>
      <c r="BJ83" s="969" t="s">
        <v>161</v>
      </c>
      <c r="BK83" s="969" t="s">
        <v>161</v>
      </c>
      <c r="BL83" s="969">
        <v>43279</v>
      </c>
      <c r="BM83" s="969">
        <v>43279</v>
      </c>
      <c r="BN83" s="969">
        <v>43279</v>
      </c>
      <c r="BO83" s="972" t="s">
        <v>205</v>
      </c>
      <c r="BP83" s="970">
        <v>43279</v>
      </c>
      <c r="BQ83" s="974"/>
    </row>
    <row r="84" spans="1:69" s="591" customFormat="1" ht="120" x14ac:dyDescent="0.25">
      <c r="A84" s="959" t="s">
        <v>756</v>
      </c>
      <c r="B84" s="960">
        <v>82</v>
      </c>
      <c r="C84" s="959" t="s">
        <v>149</v>
      </c>
      <c r="D84" s="959"/>
      <c r="E84" s="567" t="s">
        <v>163</v>
      </c>
      <c r="F84" s="960" t="s">
        <v>561</v>
      </c>
      <c r="G84" s="567" t="s">
        <v>163</v>
      </c>
      <c r="H84" s="960" t="s">
        <v>163</v>
      </c>
      <c r="I84" s="275" t="s">
        <v>757</v>
      </c>
      <c r="J84" s="590"/>
      <c r="K84" s="590"/>
      <c r="L84" s="590"/>
      <c r="M84" s="375" t="str">
        <f t="shared" si="13"/>
        <v xml:space="preserve">Teléfonos de México, S.A.B. de C.V.  </v>
      </c>
      <c r="N84" s="959" t="s">
        <v>209</v>
      </c>
      <c r="O84" s="959" t="s">
        <v>758</v>
      </c>
      <c r="P84" s="959" t="s">
        <v>759</v>
      </c>
      <c r="Q84" s="962">
        <v>7403351.2800000003</v>
      </c>
      <c r="R84" s="962">
        <f t="shared" si="16"/>
        <v>1184536.2048000002</v>
      </c>
      <c r="S84" s="384">
        <f t="shared" si="11"/>
        <v>8587887.4847999997</v>
      </c>
      <c r="T84" s="385">
        <v>2000000</v>
      </c>
      <c r="U84" s="384">
        <f t="shared" si="12"/>
        <v>2320000</v>
      </c>
      <c r="V84" s="962">
        <f t="shared" si="14"/>
        <v>8587887.4847999997</v>
      </c>
      <c r="W84" s="963" t="s">
        <v>156</v>
      </c>
      <c r="X84" s="964">
        <v>43270</v>
      </c>
      <c r="Y84" s="960" t="s">
        <v>696</v>
      </c>
      <c r="Z84" s="964">
        <v>43282</v>
      </c>
      <c r="AA84" s="964">
        <v>43465</v>
      </c>
      <c r="AB84" s="959"/>
      <c r="AC84" s="959"/>
      <c r="AD84" s="960"/>
      <c r="AE84" s="959" t="s">
        <v>182</v>
      </c>
      <c r="AF84" s="963">
        <v>1110502.69</v>
      </c>
      <c r="AG84" s="963"/>
      <c r="AH84" s="963"/>
      <c r="AI84" s="963"/>
      <c r="AJ84" s="960" t="s">
        <v>183</v>
      </c>
      <c r="AK84" s="959"/>
      <c r="AL84" s="959"/>
      <c r="AM84" s="965"/>
      <c r="AN84" s="962"/>
      <c r="AO84" s="960" t="str">
        <f t="shared" ca="1" si="15"/>
        <v>MUERTO</v>
      </c>
      <c r="AP84" s="966">
        <v>8</v>
      </c>
      <c r="AQ84" s="960"/>
      <c r="AR84" s="960" t="s">
        <v>696</v>
      </c>
      <c r="AS84" s="960"/>
      <c r="AT84" s="960"/>
      <c r="AU84" s="967"/>
      <c r="AV84" s="965"/>
      <c r="AW84" s="959"/>
      <c r="AX84" s="968"/>
      <c r="AY84" s="965"/>
      <c r="AZ84" s="959"/>
      <c r="BA84" s="959" t="e">
        <f>VLOOKUP(I84,'[1] RFC'!$1:$1048576,2,0)</f>
        <v>#N/A</v>
      </c>
      <c r="BB84" s="969">
        <v>43229</v>
      </c>
      <c r="BC84" s="969">
        <v>43265</v>
      </c>
      <c r="BD84" s="969">
        <v>43273</v>
      </c>
      <c r="BE84" s="970">
        <v>43280</v>
      </c>
      <c r="BF84" s="969">
        <v>43321</v>
      </c>
      <c r="BG84" s="969">
        <v>43321</v>
      </c>
      <c r="BH84" s="971" t="e">
        <f>NETWORKDAYS(BE84,BF84,#REF!)</f>
        <v>#REF!</v>
      </c>
      <c r="BI84" s="969">
        <v>43322</v>
      </c>
      <c r="BJ84" s="969">
        <v>43326</v>
      </c>
      <c r="BK84" s="969" t="s">
        <v>161</v>
      </c>
      <c r="BL84" s="969">
        <v>43328</v>
      </c>
      <c r="BM84" s="969">
        <v>43318</v>
      </c>
      <c r="BN84" s="969">
        <v>43312</v>
      </c>
      <c r="BO84" s="972">
        <v>43321</v>
      </c>
      <c r="BP84" s="970" t="s">
        <v>186</v>
      </c>
      <c r="BQ84" s="974"/>
    </row>
    <row r="85" spans="1:69" s="592" customFormat="1" ht="90" x14ac:dyDescent="0.25">
      <c r="A85" s="959" t="s">
        <v>760</v>
      </c>
      <c r="B85" s="960">
        <v>83</v>
      </c>
      <c r="C85" s="959" t="s">
        <v>225</v>
      </c>
      <c r="D85" s="959" t="s">
        <v>761</v>
      </c>
      <c r="E85" s="4" t="s">
        <v>173</v>
      </c>
      <c r="F85" s="960" t="s">
        <v>174</v>
      </c>
      <c r="G85" s="567"/>
      <c r="H85" s="960" t="s">
        <v>175</v>
      </c>
      <c r="I85" s="275" t="s">
        <v>762</v>
      </c>
      <c r="J85" s="590"/>
      <c r="K85" s="590"/>
      <c r="L85" s="590"/>
      <c r="M85" s="375" t="str">
        <f t="shared" si="13"/>
        <v xml:space="preserve">Desarrollo y Tecnología Empresarial, S.A. de C.V.  </v>
      </c>
      <c r="N85" s="375" t="s">
        <v>763</v>
      </c>
      <c r="O85" s="375" t="s">
        <v>763</v>
      </c>
      <c r="P85" s="959" t="s">
        <v>764</v>
      </c>
      <c r="Q85" s="962">
        <v>896157.07</v>
      </c>
      <c r="R85" s="962">
        <v>70104.490000000005</v>
      </c>
      <c r="S85" s="384">
        <f t="shared" si="11"/>
        <v>966261.55999999994</v>
      </c>
      <c r="T85" s="385">
        <v>0</v>
      </c>
      <c r="U85" s="384">
        <f t="shared" si="12"/>
        <v>0</v>
      </c>
      <c r="V85" s="962">
        <f t="shared" si="14"/>
        <v>953679.25999999989</v>
      </c>
      <c r="W85" s="963" t="s">
        <v>156</v>
      </c>
      <c r="X85" s="964">
        <v>43276</v>
      </c>
      <c r="Y85" s="960" t="s">
        <v>496</v>
      </c>
      <c r="Z85" s="964">
        <v>43276</v>
      </c>
      <c r="AA85" s="964">
        <v>43465</v>
      </c>
      <c r="AB85" s="959"/>
      <c r="AC85" s="959"/>
      <c r="AD85" s="960"/>
      <c r="AE85" s="959" t="s">
        <v>765</v>
      </c>
      <c r="AF85" s="963">
        <v>134423.56</v>
      </c>
      <c r="AG85" s="963"/>
      <c r="AH85" s="963"/>
      <c r="AI85" s="963"/>
      <c r="AJ85" s="960" t="s">
        <v>183</v>
      </c>
      <c r="AK85" s="959" t="s">
        <v>766</v>
      </c>
      <c r="AL85" s="959" t="s">
        <v>767</v>
      </c>
      <c r="AM85" s="965"/>
      <c r="AN85" s="962">
        <v>-12582.3</v>
      </c>
      <c r="AO85" s="960" t="str">
        <f t="shared" ca="1" si="15"/>
        <v>MUERTO</v>
      </c>
      <c r="AP85" s="966">
        <v>7</v>
      </c>
      <c r="AQ85" s="960">
        <v>11</v>
      </c>
      <c r="AR85" s="960" t="s">
        <v>496</v>
      </c>
      <c r="AS85" s="960"/>
      <c r="AT85" s="960"/>
      <c r="AU85" s="967"/>
      <c r="AV85" s="965"/>
      <c r="AW85" s="959"/>
      <c r="AX85" s="968"/>
      <c r="AY85" s="965"/>
      <c r="AZ85" s="959"/>
      <c r="BA85" s="959" t="str">
        <f>VLOOKUP(I85,'[1] RFC'!$1:$1048576,2,0)</f>
        <v>DTE000118N96</v>
      </c>
      <c r="BB85" s="969">
        <v>43272</v>
      </c>
      <c r="BC85" s="969">
        <v>43273</v>
      </c>
      <c r="BD85" s="969">
        <v>43283</v>
      </c>
      <c r="BE85" s="970">
        <v>43284</v>
      </c>
      <c r="BF85" s="969">
        <v>43294</v>
      </c>
      <c r="BG85" s="969">
        <v>43294</v>
      </c>
      <c r="BH85" s="971" t="e">
        <f>NETWORKDAYS(BE85,BF85,#REF!)</f>
        <v>#REF!</v>
      </c>
      <c r="BI85" s="969">
        <v>43297</v>
      </c>
      <c r="BJ85" s="969">
        <v>43299</v>
      </c>
      <c r="BK85" s="969" t="s">
        <v>161</v>
      </c>
      <c r="BL85" s="969">
        <v>43301</v>
      </c>
      <c r="BM85" s="969">
        <v>43297</v>
      </c>
      <c r="BN85" s="969">
        <v>43287</v>
      </c>
      <c r="BO85" s="972">
        <v>43297</v>
      </c>
      <c r="BP85" s="970">
        <v>43297</v>
      </c>
      <c r="BQ85" s="974"/>
    </row>
    <row r="86" spans="1:69" s="591" customFormat="1" ht="60" x14ac:dyDescent="0.25">
      <c r="A86" s="959" t="s">
        <v>768</v>
      </c>
      <c r="B86" s="960">
        <v>84</v>
      </c>
      <c r="C86" s="959" t="s">
        <v>149</v>
      </c>
      <c r="D86" s="959"/>
      <c r="E86" s="567" t="s">
        <v>163</v>
      </c>
      <c r="F86" s="960" t="s">
        <v>769</v>
      </c>
      <c r="G86" s="567" t="s">
        <v>163</v>
      </c>
      <c r="H86" s="960" t="s">
        <v>163</v>
      </c>
      <c r="I86" s="275"/>
      <c r="J86" s="590" t="s">
        <v>239</v>
      </c>
      <c r="K86" s="590" t="s">
        <v>240</v>
      </c>
      <c r="L86" s="590" t="s">
        <v>241</v>
      </c>
      <c r="M86" s="375" t="str">
        <f t="shared" si="13"/>
        <v>Alfredo Muñoz Herranz</v>
      </c>
      <c r="N86" s="959" t="s">
        <v>179</v>
      </c>
      <c r="O86" s="959"/>
      <c r="P86" s="959" t="s">
        <v>770</v>
      </c>
      <c r="Q86" s="962">
        <v>560000</v>
      </c>
      <c r="R86" s="962">
        <f t="shared" ref="R86:R101" si="17">Q86*0.16</f>
        <v>89600</v>
      </c>
      <c r="S86" s="384">
        <f t="shared" ref="S86:S117" si="18">Q86+R86</f>
        <v>649600</v>
      </c>
      <c r="T86" s="385">
        <v>0</v>
      </c>
      <c r="U86" s="384">
        <f t="shared" si="12"/>
        <v>0</v>
      </c>
      <c r="V86" s="962">
        <f t="shared" si="14"/>
        <v>649600</v>
      </c>
      <c r="W86" s="963" t="s">
        <v>156</v>
      </c>
      <c r="X86" s="964">
        <v>43277</v>
      </c>
      <c r="Y86" s="960" t="s">
        <v>496</v>
      </c>
      <c r="Z86" s="964">
        <v>43269</v>
      </c>
      <c r="AA86" s="964">
        <v>43343</v>
      </c>
      <c r="AB86" s="959"/>
      <c r="AC86" s="959"/>
      <c r="AD86" s="960"/>
      <c r="AE86" s="959" t="s">
        <v>771</v>
      </c>
      <c r="AF86" s="963">
        <v>84000</v>
      </c>
      <c r="AG86" s="963">
        <v>112000</v>
      </c>
      <c r="AH86" s="963"/>
      <c r="AI86" s="963"/>
      <c r="AJ86" s="960" t="s">
        <v>183</v>
      </c>
      <c r="AK86" s="959"/>
      <c r="AL86" s="959"/>
      <c r="AM86" s="965"/>
      <c r="AN86" s="962"/>
      <c r="AO86" s="960" t="str">
        <f t="shared" ca="1" si="15"/>
        <v>MUERTO</v>
      </c>
      <c r="AP86" s="966">
        <v>7</v>
      </c>
      <c r="AQ86" s="960"/>
      <c r="AR86" s="960" t="s">
        <v>496</v>
      </c>
      <c r="AS86" s="960"/>
      <c r="AT86" s="960"/>
      <c r="AU86" s="967"/>
      <c r="AV86" s="965"/>
      <c r="AW86" s="959"/>
      <c r="AX86" s="968"/>
      <c r="AY86" s="965"/>
      <c r="AZ86" s="959"/>
      <c r="BA86" s="959" t="e">
        <f>VLOOKUP(I86,'[1] RFC'!$1:$1048576,2,0)</f>
        <v>#N/A</v>
      </c>
      <c r="BB86" s="969">
        <v>43200</v>
      </c>
      <c r="BC86" s="969">
        <v>43272</v>
      </c>
      <c r="BD86" s="969">
        <v>43280</v>
      </c>
      <c r="BE86" s="970">
        <v>43312</v>
      </c>
      <c r="BF86" s="969">
        <v>43314</v>
      </c>
      <c r="BG86" s="970" t="s">
        <v>772</v>
      </c>
      <c r="BH86" s="971" t="e">
        <f>NETWORKDAYS(BE86,BF86,#REF!)</f>
        <v>#REF!</v>
      </c>
      <c r="BI86" s="970" t="s">
        <v>773</v>
      </c>
      <c r="BJ86" s="970" t="s">
        <v>774</v>
      </c>
      <c r="BK86" s="969" t="s">
        <v>161</v>
      </c>
      <c r="BL86" s="969">
        <v>43322</v>
      </c>
      <c r="BM86" s="969">
        <v>43292</v>
      </c>
      <c r="BN86" s="969">
        <v>43293</v>
      </c>
      <c r="BO86" s="972">
        <v>43312</v>
      </c>
      <c r="BP86" s="970" t="s">
        <v>186</v>
      </c>
      <c r="BQ86" s="974"/>
    </row>
    <row r="87" spans="1:69" s="591" customFormat="1" ht="120" x14ac:dyDescent="0.25">
      <c r="A87" s="959" t="s">
        <v>775</v>
      </c>
      <c r="B87" s="960">
        <v>85</v>
      </c>
      <c r="C87" s="959" t="s">
        <v>149</v>
      </c>
      <c r="D87" s="959" t="s">
        <v>776</v>
      </c>
      <c r="E87" s="567" t="s">
        <v>163</v>
      </c>
      <c r="F87" s="960" t="s">
        <v>607</v>
      </c>
      <c r="G87" s="567" t="s">
        <v>163</v>
      </c>
      <c r="H87" s="960" t="s">
        <v>608</v>
      </c>
      <c r="I87" s="275"/>
      <c r="J87" s="590"/>
      <c r="K87" s="590"/>
      <c r="L87" s="590"/>
      <c r="M87" s="375" t="s">
        <v>777</v>
      </c>
      <c r="N87" s="959" t="s">
        <v>301</v>
      </c>
      <c r="O87" s="959" t="s">
        <v>302</v>
      </c>
      <c r="P87" s="959" t="s">
        <v>778</v>
      </c>
      <c r="Q87" s="962">
        <v>1023787.8</v>
      </c>
      <c r="R87" s="962">
        <f t="shared" si="17"/>
        <v>163806.04800000001</v>
      </c>
      <c r="S87" s="384">
        <f t="shared" si="18"/>
        <v>1187593.848</v>
      </c>
      <c r="T87" s="385">
        <v>0</v>
      </c>
      <c r="U87" s="384">
        <f t="shared" si="12"/>
        <v>0</v>
      </c>
      <c r="V87" s="962">
        <f t="shared" si="14"/>
        <v>1385090.6980000001</v>
      </c>
      <c r="W87" s="963" t="s">
        <v>156</v>
      </c>
      <c r="X87" s="964">
        <v>43279</v>
      </c>
      <c r="Y87" s="960" t="s">
        <v>496</v>
      </c>
      <c r="Z87" s="964">
        <v>43282</v>
      </c>
      <c r="AA87" s="964">
        <v>43496</v>
      </c>
      <c r="AB87" s="959"/>
      <c r="AC87" s="959"/>
      <c r="AD87" s="960"/>
      <c r="AE87" s="959" t="s">
        <v>582</v>
      </c>
      <c r="AF87" s="963">
        <v>153568.17000000001</v>
      </c>
      <c r="AG87" s="963">
        <v>153568.17000000001</v>
      </c>
      <c r="AH87" s="963"/>
      <c r="AI87" s="963"/>
      <c r="AJ87" s="960" t="s">
        <v>183</v>
      </c>
      <c r="AK87" s="959" t="s">
        <v>775</v>
      </c>
      <c r="AL87" s="959" t="s">
        <v>779</v>
      </c>
      <c r="AM87" s="965">
        <v>43825</v>
      </c>
      <c r="AN87" s="962">
        <v>197496.85</v>
      </c>
      <c r="AO87" s="960" t="str">
        <f t="shared" ca="1" si="15"/>
        <v>MUERTO</v>
      </c>
      <c r="AP87" s="966">
        <v>8</v>
      </c>
      <c r="AQ87" s="960"/>
      <c r="AR87" s="960" t="s">
        <v>496</v>
      </c>
      <c r="AS87" s="960"/>
      <c r="AT87" s="960"/>
      <c r="AU87" s="967"/>
      <c r="AV87" s="965"/>
      <c r="AW87" s="959"/>
      <c r="AX87" s="968"/>
      <c r="AY87" s="965"/>
      <c r="AZ87" s="959"/>
      <c r="BA87" s="959" t="e">
        <f>VLOOKUP(I87,'[1] RFC'!$1:$1048576,2,0)</f>
        <v>#N/A</v>
      </c>
      <c r="BB87" s="969">
        <v>43272</v>
      </c>
      <c r="BC87" s="969">
        <v>43278</v>
      </c>
      <c r="BD87" s="969">
        <v>43285</v>
      </c>
      <c r="BE87" s="970">
        <v>43287</v>
      </c>
      <c r="BF87" s="969">
        <v>43326</v>
      </c>
      <c r="BG87" s="970" t="s">
        <v>780</v>
      </c>
      <c r="BH87" s="971" t="e">
        <f>NETWORKDAYS(BE87,BF87,#REF!)</f>
        <v>#REF!</v>
      </c>
      <c r="BI87" s="970" t="s">
        <v>780</v>
      </c>
      <c r="BJ87" s="970" t="s">
        <v>781</v>
      </c>
      <c r="BK87" s="969" t="s">
        <v>782</v>
      </c>
      <c r="BL87" s="969">
        <v>43350</v>
      </c>
      <c r="BM87" s="969">
        <v>43350</v>
      </c>
      <c r="BN87" s="969">
        <v>43346</v>
      </c>
      <c r="BO87" s="972">
        <v>43382</v>
      </c>
      <c r="BP87" s="970">
        <v>43350</v>
      </c>
      <c r="BQ87" s="974"/>
    </row>
    <row r="88" spans="1:69" s="592" customFormat="1" ht="90" x14ac:dyDescent="0.25">
      <c r="A88" s="959" t="s">
        <v>783</v>
      </c>
      <c r="B88" s="960">
        <v>86</v>
      </c>
      <c r="C88" s="959" t="s">
        <v>225</v>
      </c>
      <c r="D88" s="959"/>
      <c r="E88" s="567" t="s">
        <v>163</v>
      </c>
      <c r="F88" s="960" t="s">
        <v>561</v>
      </c>
      <c r="G88" s="567" t="s">
        <v>163</v>
      </c>
      <c r="H88" s="960" t="s">
        <v>163</v>
      </c>
      <c r="I88" s="275" t="s">
        <v>784</v>
      </c>
      <c r="J88" s="590"/>
      <c r="K88" s="590"/>
      <c r="L88" s="590"/>
      <c r="M88" s="375" t="str">
        <f t="shared" ref="M88:M126" si="19">I88&amp;J88&amp;" "&amp;K88&amp;" "&amp;L88</f>
        <v xml:space="preserve">ISSA Edificaciones, S.A. de C.V.  </v>
      </c>
      <c r="N88" s="959" t="s">
        <v>179</v>
      </c>
      <c r="O88" s="959" t="s">
        <v>656</v>
      </c>
      <c r="P88" s="959" t="s">
        <v>785</v>
      </c>
      <c r="Q88" s="962">
        <v>3017241.38</v>
      </c>
      <c r="R88" s="962">
        <f t="shared" si="17"/>
        <v>482758.62079999998</v>
      </c>
      <c r="S88" s="384">
        <f t="shared" si="18"/>
        <v>3500000.0008</v>
      </c>
      <c r="T88" s="385">
        <v>0</v>
      </c>
      <c r="U88" s="384">
        <f t="shared" si="12"/>
        <v>0</v>
      </c>
      <c r="V88" s="962">
        <f t="shared" si="14"/>
        <v>3500000.0008</v>
      </c>
      <c r="W88" s="963" t="s">
        <v>156</v>
      </c>
      <c r="X88" s="964">
        <v>43283</v>
      </c>
      <c r="Y88" s="960" t="s">
        <v>696</v>
      </c>
      <c r="Z88" s="964">
        <v>43283</v>
      </c>
      <c r="AA88" s="964">
        <v>43294</v>
      </c>
      <c r="AB88" s="959"/>
      <c r="AC88" s="959"/>
      <c r="AD88" s="960"/>
      <c r="AE88" s="959" t="s">
        <v>582</v>
      </c>
      <c r="AF88" s="963">
        <v>452586.2</v>
      </c>
      <c r="AG88" s="963">
        <v>452586.2</v>
      </c>
      <c r="AH88" s="963"/>
      <c r="AI88" s="963"/>
      <c r="AJ88" s="960" t="s">
        <v>183</v>
      </c>
      <c r="AK88" s="959"/>
      <c r="AL88" s="959"/>
      <c r="AM88" s="965"/>
      <c r="AN88" s="962"/>
      <c r="AO88" s="960" t="str">
        <f t="shared" ca="1" si="15"/>
        <v>MUERTO</v>
      </c>
      <c r="AP88" s="966">
        <v>8</v>
      </c>
      <c r="AQ88" s="960"/>
      <c r="AR88" s="960" t="s">
        <v>696</v>
      </c>
      <c r="AS88" s="960"/>
      <c r="AT88" s="960"/>
      <c r="AU88" s="967"/>
      <c r="AV88" s="965"/>
      <c r="AW88" s="967"/>
      <c r="AX88" s="968"/>
      <c r="AY88" s="965"/>
      <c r="AZ88" s="959"/>
      <c r="BA88" s="959" t="e">
        <f>VLOOKUP(I88,'[1] RFC'!$1:$1048576,2,0)</f>
        <v>#N/A</v>
      </c>
      <c r="BB88" s="969">
        <v>43228</v>
      </c>
      <c r="BC88" s="969">
        <v>43242</v>
      </c>
      <c r="BD88" s="969">
        <v>43285</v>
      </c>
      <c r="BE88" s="970">
        <v>43293</v>
      </c>
      <c r="BF88" s="969">
        <v>43311</v>
      </c>
      <c r="BG88" s="970" t="s">
        <v>786</v>
      </c>
      <c r="BH88" s="971" t="e">
        <f>NETWORKDAYS(BE88,BF88,#REF!)</f>
        <v>#REF!</v>
      </c>
      <c r="BI88" s="970" t="s">
        <v>786</v>
      </c>
      <c r="BJ88" s="970" t="s">
        <v>787</v>
      </c>
      <c r="BK88" s="969" t="s">
        <v>161</v>
      </c>
      <c r="BL88" s="969">
        <v>43328</v>
      </c>
      <c r="BM88" s="969">
        <v>43330</v>
      </c>
      <c r="BN88" s="969">
        <v>43297</v>
      </c>
      <c r="BO88" s="972">
        <v>43320</v>
      </c>
      <c r="BP88" s="970" t="s">
        <v>186</v>
      </c>
      <c r="BQ88" s="974"/>
    </row>
    <row r="89" spans="1:69" s="592" customFormat="1" ht="120" x14ac:dyDescent="0.25">
      <c r="A89" s="959" t="s">
        <v>788</v>
      </c>
      <c r="B89" s="960">
        <v>87</v>
      </c>
      <c r="C89" s="959" t="s">
        <v>225</v>
      </c>
      <c r="D89" s="959"/>
      <c r="E89" s="567" t="s">
        <v>163</v>
      </c>
      <c r="F89" s="960" t="s">
        <v>561</v>
      </c>
      <c r="G89" s="567" t="s">
        <v>163</v>
      </c>
      <c r="H89" s="960" t="s">
        <v>163</v>
      </c>
      <c r="I89" s="275" t="s">
        <v>415</v>
      </c>
      <c r="J89" s="590"/>
      <c r="K89" s="590"/>
      <c r="L89" s="590"/>
      <c r="M89" s="375" t="str">
        <f t="shared" si="19"/>
        <v xml:space="preserve">Johnson Controls Be Operations México, S. de R.L. de C.V.  </v>
      </c>
      <c r="N89" s="959" t="s">
        <v>789</v>
      </c>
      <c r="O89" s="959" t="s">
        <v>790</v>
      </c>
      <c r="P89" s="959" t="s">
        <v>791</v>
      </c>
      <c r="Q89" s="962">
        <v>2884372.28</v>
      </c>
      <c r="R89" s="962">
        <f t="shared" si="17"/>
        <v>461499.56479999999</v>
      </c>
      <c r="S89" s="384">
        <f t="shared" si="18"/>
        <v>3345871.8447999996</v>
      </c>
      <c r="T89" s="385">
        <v>0</v>
      </c>
      <c r="U89" s="384">
        <f t="shared" si="12"/>
        <v>0</v>
      </c>
      <c r="V89" s="962">
        <f t="shared" si="14"/>
        <v>3531448.6447999994</v>
      </c>
      <c r="W89" s="963" t="s">
        <v>156</v>
      </c>
      <c r="X89" s="964">
        <v>43293</v>
      </c>
      <c r="Y89" s="960" t="s">
        <v>696</v>
      </c>
      <c r="Z89" s="964">
        <v>43276</v>
      </c>
      <c r="AA89" s="964">
        <v>43336</v>
      </c>
      <c r="AB89" s="959"/>
      <c r="AC89" s="959"/>
      <c r="AD89" s="960"/>
      <c r="AE89" s="959" t="s">
        <v>564</v>
      </c>
      <c r="AF89" s="963">
        <v>432655.84</v>
      </c>
      <c r="AG89" s="963">
        <v>304435.23</v>
      </c>
      <c r="AH89" s="963"/>
      <c r="AI89" s="963"/>
      <c r="AJ89" s="960" t="s">
        <v>183</v>
      </c>
      <c r="AK89" s="959" t="s">
        <v>792</v>
      </c>
      <c r="AL89" s="959" t="s">
        <v>793</v>
      </c>
      <c r="AM89" s="965">
        <v>43339</v>
      </c>
      <c r="AN89" s="962">
        <v>185576.8</v>
      </c>
      <c r="AO89" s="960" t="str">
        <f t="shared" ca="1" si="15"/>
        <v>MUERTO</v>
      </c>
      <c r="AP89" s="966">
        <v>7</v>
      </c>
      <c r="AQ89" s="966">
        <v>9</v>
      </c>
      <c r="AR89" s="960" t="s">
        <v>696</v>
      </c>
      <c r="AS89" s="960"/>
      <c r="AT89" s="960"/>
      <c r="AU89" s="967"/>
      <c r="AV89" s="965"/>
      <c r="AW89" s="959"/>
      <c r="AX89" s="968"/>
      <c r="AY89" s="965"/>
      <c r="AZ89" s="959"/>
      <c r="BA89" s="959" t="str">
        <f>VLOOKUP(I89,'[1] RFC'!$1:$1048576,2,0)</f>
        <v>JCB100702TQ1</v>
      </c>
      <c r="BB89" s="969">
        <v>43269</v>
      </c>
      <c r="BC89" s="969">
        <v>43278</v>
      </c>
      <c r="BD89" s="969">
        <v>43294</v>
      </c>
      <c r="BE89" s="970">
        <v>43301</v>
      </c>
      <c r="BF89" s="969">
        <v>43333</v>
      </c>
      <c r="BG89" s="970" t="s">
        <v>794</v>
      </c>
      <c r="BH89" s="971" t="e">
        <f>NETWORKDAYS(BE89,BF89,#REF!)</f>
        <v>#REF!</v>
      </c>
      <c r="BI89" s="970" t="s">
        <v>795</v>
      </c>
      <c r="BJ89" s="970" t="s">
        <v>796</v>
      </c>
      <c r="BK89" s="970" t="s">
        <v>797</v>
      </c>
      <c r="BL89" s="969">
        <v>43412</v>
      </c>
      <c r="BM89" s="969">
        <v>43311</v>
      </c>
      <c r="BN89" s="969" t="s">
        <v>798</v>
      </c>
      <c r="BO89" s="972" t="s">
        <v>798</v>
      </c>
      <c r="BP89" s="970" t="s">
        <v>798</v>
      </c>
      <c r="BQ89" s="974"/>
    </row>
    <row r="90" spans="1:69" s="591" customFormat="1" ht="75" x14ac:dyDescent="0.25">
      <c r="A90" s="959" t="s">
        <v>799</v>
      </c>
      <c r="B90" s="960">
        <v>88</v>
      </c>
      <c r="C90" s="959" t="s">
        <v>225</v>
      </c>
      <c r="D90" s="959"/>
      <c r="E90" s="567" t="s">
        <v>163</v>
      </c>
      <c r="F90" s="960" t="s">
        <v>561</v>
      </c>
      <c r="G90" s="567" t="s">
        <v>163</v>
      </c>
      <c r="H90" s="960" t="s">
        <v>163</v>
      </c>
      <c r="I90" s="275" t="s">
        <v>800</v>
      </c>
      <c r="J90" s="590"/>
      <c r="K90" s="590"/>
      <c r="L90" s="590"/>
      <c r="M90" s="375" t="str">
        <f t="shared" si="19"/>
        <v xml:space="preserve">Malnor Sistemas, S.A. de C.V.  </v>
      </c>
      <c r="N90" s="959" t="s">
        <v>801</v>
      </c>
      <c r="O90" s="959" t="s">
        <v>667</v>
      </c>
      <c r="P90" s="959" t="s">
        <v>802</v>
      </c>
      <c r="Q90" s="962">
        <v>2151600</v>
      </c>
      <c r="R90" s="962">
        <f t="shared" si="17"/>
        <v>344256</v>
      </c>
      <c r="S90" s="384">
        <f t="shared" si="18"/>
        <v>2495856</v>
      </c>
      <c r="T90" s="385">
        <v>0</v>
      </c>
      <c r="U90" s="384">
        <f t="shared" si="12"/>
        <v>0</v>
      </c>
      <c r="V90" s="962">
        <f t="shared" si="14"/>
        <v>2543184</v>
      </c>
      <c r="W90" s="963" t="s">
        <v>156</v>
      </c>
      <c r="X90" s="964">
        <v>43306</v>
      </c>
      <c r="Y90" s="960" t="s">
        <v>696</v>
      </c>
      <c r="Z90" s="964">
        <v>43296</v>
      </c>
      <c r="AA90" s="964">
        <v>43355</v>
      </c>
      <c r="AB90" s="959"/>
      <c r="AC90" s="959"/>
      <c r="AD90" s="960"/>
      <c r="AE90" s="959" t="s">
        <v>803</v>
      </c>
      <c r="AF90" s="963"/>
      <c r="AG90" s="963"/>
      <c r="AH90" s="963"/>
      <c r="AI90" s="963"/>
      <c r="AJ90" s="960" t="s">
        <v>156</v>
      </c>
      <c r="AK90" s="959" t="s">
        <v>804</v>
      </c>
      <c r="AL90" s="959" t="s">
        <v>805</v>
      </c>
      <c r="AM90" s="965">
        <v>43342</v>
      </c>
      <c r="AN90" s="962">
        <v>47328</v>
      </c>
      <c r="AO90" s="960" t="str">
        <f t="shared" ca="1" si="15"/>
        <v>MUERTO</v>
      </c>
      <c r="AP90" s="966">
        <v>8</v>
      </c>
      <c r="AQ90" s="966">
        <v>9</v>
      </c>
      <c r="AR90" s="960" t="s">
        <v>696</v>
      </c>
      <c r="AS90" s="960"/>
      <c r="AT90" s="960"/>
      <c r="AU90" s="967"/>
      <c r="AV90" s="965"/>
      <c r="AW90" s="959"/>
      <c r="AX90" s="968"/>
      <c r="AY90" s="965"/>
      <c r="AZ90" s="959"/>
      <c r="BA90" s="959" t="e">
        <f>VLOOKUP(I90,'[1] RFC'!$1:$1048576,2,0)</f>
        <v>#N/A</v>
      </c>
      <c r="BB90" s="969">
        <v>43265</v>
      </c>
      <c r="BC90" s="969">
        <v>43278</v>
      </c>
      <c r="BD90" s="969">
        <v>43311</v>
      </c>
      <c r="BE90" s="970">
        <v>43315</v>
      </c>
      <c r="BF90" s="969">
        <v>43327</v>
      </c>
      <c r="BG90" s="970" t="s">
        <v>806</v>
      </c>
      <c r="BH90" s="971" t="e">
        <f>NETWORKDAYS(BE90,BF90,#REF!)</f>
        <v>#REF!</v>
      </c>
      <c r="BI90" s="970" t="s">
        <v>807</v>
      </c>
      <c r="BJ90" s="970" t="s">
        <v>808</v>
      </c>
      <c r="BK90" s="970" t="s">
        <v>809</v>
      </c>
      <c r="BL90" s="969">
        <v>43353</v>
      </c>
      <c r="BM90" s="969">
        <v>43332</v>
      </c>
      <c r="BN90" s="969">
        <v>43332</v>
      </c>
      <c r="BO90" s="972">
        <v>43335</v>
      </c>
      <c r="BP90" s="970" t="s">
        <v>186</v>
      </c>
      <c r="BQ90" s="974"/>
    </row>
    <row r="91" spans="1:69" s="591" customFormat="1" ht="135" x14ac:dyDescent="0.25">
      <c r="A91" s="959" t="s">
        <v>810</v>
      </c>
      <c r="B91" s="960">
        <v>89</v>
      </c>
      <c r="C91" s="959" t="s">
        <v>811</v>
      </c>
      <c r="D91" s="959" t="s">
        <v>812</v>
      </c>
      <c r="E91" s="959" t="s">
        <v>151</v>
      </c>
      <c r="F91" s="960" t="s">
        <v>152</v>
      </c>
      <c r="G91" s="567"/>
      <c r="H91" s="959" t="s">
        <v>151</v>
      </c>
      <c r="I91" s="275" t="s">
        <v>550</v>
      </c>
      <c r="J91" s="590"/>
      <c r="K91" s="590"/>
      <c r="L91" s="590"/>
      <c r="M91" s="375" t="str">
        <f t="shared" si="19"/>
        <v xml:space="preserve">Rincón Méndez Construcciones, S.A. de C.V.  </v>
      </c>
      <c r="N91" s="959" t="s">
        <v>813</v>
      </c>
      <c r="O91" s="959" t="s">
        <v>790</v>
      </c>
      <c r="P91" s="959" t="s">
        <v>814</v>
      </c>
      <c r="Q91" s="962">
        <v>989739.11</v>
      </c>
      <c r="R91" s="962">
        <f t="shared" si="17"/>
        <v>158358.25760000001</v>
      </c>
      <c r="S91" s="384">
        <f t="shared" si="18"/>
        <v>1148097.3676</v>
      </c>
      <c r="T91" s="385">
        <v>0</v>
      </c>
      <c r="U91" s="384">
        <f t="shared" si="12"/>
        <v>0</v>
      </c>
      <c r="V91" s="962">
        <f t="shared" si="14"/>
        <v>1434009.2875999999</v>
      </c>
      <c r="W91" s="963" t="s">
        <v>156</v>
      </c>
      <c r="X91" s="964">
        <v>43311</v>
      </c>
      <c r="Y91" s="960" t="s">
        <v>815</v>
      </c>
      <c r="Z91" s="964">
        <v>43314</v>
      </c>
      <c r="AA91" s="964">
        <v>43348</v>
      </c>
      <c r="AB91" s="959"/>
      <c r="AC91" s="959"/>
      <c r="AD91" s="960"/>
      <c r="AE91" s="959" t="s">
        <v>816</v>
      </c>
      <c r="AF91" s="963">
        <v>148460.87</v>
      </c>
      <c r="AG91" s="963">
        <v>98973.91</v>
      </c>
      <c r="AH91" s="963">
        <v>574048.68000000005</v>
      </c>
      <c r="AI91" s="963"/>
      <c r="AJ91" s="960" t="s">
        <v>156</v>
      </c>
      <c r="AK91" s="959" t="s">
        <v>817</v>
      </c>
      <c r="AL91" s="959" t="s">
        <v>818</v>
      </c>
      <c r="AM91" s="965">
        <v>43340</v>
      </c>
      <c r="AN91" s="962">
        <v>285911.92</v>
      </c>
      <c r="AO91" s="960" t="str">
        <f t="shared" ca="1" si="15"/>
        <v>MUERTO</v>
      </c>
      <c r="AP91" s="966">
        <v>9</v>
      </c>
      <c r="AQ91" s="966">
        <v>9</v>
      </c>
      <c r="AR91" s="960" t="s">
        <v>819</v>
      </c>
      <c r="AS91" s="960"/>
      <c r="AT91" s="960"/>
      <c r="AU91" s="967"/>
      <c r="AV91" s="965"/>
      <c r="AW91" s="959"/>
      <c r="AX91" s="968"/>
      <c r="AY91" s="965"/>
      <c r="AZ91" s="959"/>
      <c r="BA91" s="959" t="str">
        <f>VLOOKUP(I91,'[1] RFC'!$1:$1048576,2,0)</f>
        <v>RMC160914FT3</v>
      </c>
      <c r="BB91" s="969">
        <v>43307</v>
      </c>
      <c r="BC91" s="969">
        <v>43307</v>
      </c>
      <c r="BD91" s="969">
        <v>43314</v>
      </c>
      <c r="BE91" s="970">
        <v>43315</v>
      </c>
      <c r="BF91" s="969">
        <v>43321</v>
      </c>
      <c r="BG91" s="970" t="s">
        <v>820</v>
      </c>
      <c r="BH91" s="971" t="e">
        <f>NETWORKDAYS(BE91,BF91,#REF!)</f>
        <v>#REF!</v>
      </c>
      <c r="BI91" s="970" t="s">
        <v>821</v>
      </c>
      <c r="BJ91" s="970" t="s">
        <v>822</v>
      </c>
      <c r="BK91" s="969" t="s">
        <v>161</v>
      </c>
      <c r="BL91" s="969">
        <v>43326</v>
      </c>
      <c r="BM91" s="969">
        <v>43322</v>
      </c>
      <c r="BN91" s="969">
        <v>43322</v>
      </c>
      <c r="BO91" s="972">
        <v>43321</v>
      </c>
      <c r="BP91" s="970">
        <v>43322</v>
      </c>
      <c r="BQ91" s="974"/>
    </row>
    <row r="92" spans="1:69" s="591" customFormat="1" ht="90" x14ac:dyDescent="0.25">
      <c r="A92" s="959" t="s">
        <v>823</v>
      </c>
      <c r="B92" s="960">
        <v>90</v>
      </c>
      <c r="C92" s="959" t="s">
        <v>149</v>
      </c>
      <c r="D92" s="959"/>
      <c r="E92" s="567" t="s">
        <v>163</v>
      </c>
      <c r="F92" s="960" t="s">
        <v>561</v>
      </c>
      <c r="G92" s="567" t="s">
        <v>163</v>
      </c>
      <c r="H92" s="960" t="s">
        <v>163</v>
      </c>
      <c r="I92" s="275" t="s">
        <v>361</v>
      </c>
      <c r="J92" s="590"/>
      <c r="K92" s="590"/>
      <c r="L92" s="590"/>
      <c r="M92" s="375" t="str">
        <f t="shared" si="19"/>
        <v xml:space="preserve">Millenium Technologies, S.A. de C.V.  </v>
      </c>
      <c r="N92" s="959" t="s">
        <v>209</v>
      </c>
      <c r="O92" s="959" t="s">
        <v>824</v>
      </c>
      <c r="P92" s="959" t="s">
        <v>825</v>
      </c>
      <c r="Q92" s="962">
        <v>2146745.7999999998</v>
      </c>
      <c r="R92" s="962">
        <f t="shared" si="17"/>
        <v>343479.32799999998</v>
      </c>
      <c r="S92" s="384">
        <f t="shared" si="18"/>
        <v>2490225.1279999996</v>
      </c>
      <c r="T92" s="385">
        <v>0</v>
      </c>
      <c r="U92" s="384">
        <f t="shared" si="12"/>
        <v>0</v>
      </c>
      <c r="V92" s="962">
        <f t="shared" si="14"/>
        <v>2490225.1279999996</v>
      </c>
      <c r="W92" s="963" t="s">
        <v>156</v>
      </c>
      <c r="X92" s="964">
        <v>43312</v>
      </c>
      <c r="Y92" s="960" t="s">
        <v>815</v>
      </c>
      <c r="Z92" s="964">
        <v>43330</v>
      </c>
      <c r="AA92" s="964">
        <v>43465</v>
      </c>
      <c r="AB92" s="959"/>
      <c r="AC92" s="959"/>
      <c r="AD92" s="960"/>
      <c r="AE92" s="959" t="s">
        <v>582</v>
      </c>
      <c r="AF92" s="963">
        <v>322011.87</v>
      </c>
      <c r="AG92" s="963">
        <v>322011.87</v>
      </c>
      <c r="AH92" s="963"/>
      <c r="AI92" s="963"/>
      <c r="AJ92" s="960" t="s">
        <v>183</v>
      </c>
      <c r="AK92" s="959"/>
      <c r="AL92" s="959"/>
      <c r="AM92" s="965"/>
      <c r="AN92" s="962"/>
      <c r="AO92" s="960" t="str">
        <f t="shared" ca="1" si="15"/>
        <v>MUERTO</v>
      </c>
      <c r="AP92" s="966">
        <v>9</v>
      </c>
      <c r="AQ92" s="960"/>
      <c r="AR92" s="960" t="s">
        <v>819</v>
      </c>
      <c r="AS92" s="960"/>
      <c r="AT92" s="960"/>
      <c r="AU92" s="967"/>
      <c r="AV92" s="965"/>
      <c r="AW92" s="959"/>
      <c r="AX92" s="968"/>
      <c r="AY92" s="965"/>
      <c r="AZ92" s="959"/>
      <c r="BA92" s="959" t="str">
        <f>VLOOKUP(I92,'[1] RFC'!$1:$1048576,2,0)</f>
        <v>MTE000615LF6</v>
      </c>
      <c r="BB92" s="969">
        <v>43299</v>
      </c>
      <c r="BC92" s="969">
        <v>43308</v>
      </c>
      <c r="BD92" s="969">
        <v>43314</v>
      </c>
      <c r="BE92" s="970">
        <v>43319</v>
      </c>
      <c r="BF92" s="969">
        <v>43332</v>
      </c>
      <c r="BG92" s="970" t="s">
        <v>826</v>
      </c>
      <c r="BH92" s="971" t="e">
        <f>NETWORKDAYS(BE92,BF92,#REF!)</f>
        <v>#REF!</v>
      </c>
      <c r="BI92" s="970" t="s">
        <v>827</v>
      </c>
      <c r="BJ92" s="970" t="s">
        <v>828</v>
      </c>
      <c r="BK92" s="969" t="s">
        <v>161</v>
      </c>
      <c r="BL92" s="969">
        <v>43382</v>
      </c>
      <c r="BM92" s="969">
        <v>43339</v>
      </c>
      <c r="BN92" s="969">
        <v>43328</v>
      </c>
      <c r="BO92" s="972">
        <v>43362</v>
      </c>
      <c r="BP92" s="970" t="s">
        <v>186</v>
      </c>
      <c r="BQ92" s="974"/>
    </row>
    <row r="93" spans="1:69" s="591" customFormat="1" ht="45" x14ac:dyDescent="0.25">
      <c r="A93" s="959" t="s">
        <v>829</v>
      </c>
      <c r="B93" s="960">
        <v>91</v>
      </c>
      <c r="C93" s="959" t="s">
        <v>225</v>
      </c>
      <c r="D93" s="959" t="s">
        <v>830</v>
      </c>
      <c r="E93" s="4" t="s">
        <v>173</v>
      </c>
      <c r="F93" s="960" t="s">
        <v>174</v>
      </c>
      <c r="G93" s="567"/>
      <c r="H93" s="960" t="s">
        <v>175</v>
      </c>
      <c r="I93" s="275" t="s">
        <v>831</v>
      </c>
      <c r="J93" s="590"/>
      <c r="K93" s="590"/>
      <c r="L93" s="590"/>
      <c r="M93" s="375" t="str">
        <f t="shared" si="19"/>
        <v xml:space="preserve">Nac Soluciones Integrales, S.A. de C.V.  </v>
      </c>
      <c r="N93" s="959" t="s">
        <v>601</v>
      </c>
      <c r="O93" s="959" t="s">
        <v>667</v>
      </c>
      <c r="P93" s="959" t="s">
        <v>832</v>
      </c>
      <c r="Q93" s="962">
        <v>826627.89</v>
      </c>
      <c r="R93" s="962">
        <f t="shared" si="17"/>
        <v>132260.46240000002</v>
      </c>
      <c r="S93" s="384">
        <f t="shared" si="18"/>
        <v>958888.35239999997</v>
      </c>
      <c r="T93" s="385">
        <v>0</v>
      </c>
      <c r="U93" s="384">
        <f t="shared" si="12"/>
        <v>0</v>
      </c>
      <c r="V93" s="962">
        <f t="shared" si="14"/>
        <v>958888.35239999997</v>
      </c>
      <c r="W93" s="963" t="s">
        <v>156</v>
      </c>
      <c r="X93" s="964">
        <v>43313</v>
      </c>
      <c r="Y93" s="960" t="s">
        <v>815</v>
      </c>
      <c r="Z93" s="964">
        <v>43313</v>
      </c>
      <c r="AA93" s="964">
        <v>43343</v>
      </c>
      <c r="AB93" s="959"/>
      <c r="AC93" s="959"/>
      <c r="AD93" s="960"/>
      <c r="AE93" s="959" t="s">
        <v>182</v>
      </c>
      <c r="AF93" s="963">
        <v>123994.18</v>
      </c>
      <c r="AG93" s="963"/>
      <c r="AH93" s="963"/>
      <c r="AI93" s="963"/>
      <c r="AJ93" s="960" t="s">
        <v>183</v>
      </c>
      <c r="AK93" s="959"/>
      <c r="AL93" s="959"/>
      <c r="AM93" s="965"/>
      <c r="AN93" s="962"/>
      <c r="AO93" s="960" t="str">
        <f t="shared" ca="1" si="15"/>
        <v>MUERTO</v>
      </c>
      <c r="AP93" s="966">
        <v>9</v>
      </c>
      <c r="AQ93" s="960"/>
      <c r="AR93" s="960" t="s">
        <v>819</v>
      </c>
      <c r="AS93" s="960"/>
      <c r="AT93" s="960"/>
      <c r="AU93" s="967"/>
      <c r="AV93" s="965"/>
      <c r="AW93" s="959"/>
      <c r="AX93" s="968"/>
      <c r="AY93" s="965"/>
      <c r="AZ93" s="959"/>
      <c r="BA93" s="959" t="e">
        <f>VLOOKUP(I93,'[1] RFC'!$1:$1048576,2,0)</f>
        <v>#N/A</v>
      </c>
      <c r="BB93" s="969">
        <v>43305</v>
      </c>
      <c r="BC93" s="969">
        <v>43308</v>
      </c>
      <c r="BD93" s="969">
        <v>43319</v>
      </c>
      <c r="BE93" s="970">
        <v>43325</v>
      </c>
      <c r="BF93" s="969">
        <v>43370</v>
      </c>
      <c r="BG93" s="970" t="s">
        <v>833</v>
      </c>
      <c r="BH93" s="971" t="e">
        <f>NETWORKDAYS(BE93,BF93,#REF!)</f>
        <v>#REF!</v>
      </c>
      <c r="BI93" s="970" t="s">
        <v>834</v>
      </c>
      <c r="BJ93" s="970" t="s">
        <v>835</v>
      </c>
      <c r="BK93" s="970" t="s">
        <v>836</v>
      </c>
      <c r="BL93" s="969">
        <v>43398</v>
      </c>
      <c r="BM93" s="969">
        <v>43396</v>
      </c>
      <c r="BN93" s="969">
        <v>43328</v>
      </c>
      <c r="BO93" s="972">
        <v>43371</v>
      </c>
      <c r="BP93" s="970">
        <v>43333</v>
      </c>
      <c r="BQ93" s="974"/>
    </row>
    <row r="94" spans="1:69" s="591" customFormat="1" ht="60" x14ac:dyDescent="0.25">
      <c r="A94" s="959" t="s">
        <v>837</v>
      </c>
      <c r="B94" s="960">
        <v>92</v>
      </c>
      <c r="C94" s="959" t="s">
        <v>225</v>
      </c>
      <c r="D94" s="959" t="s">
        <v>830</v>
      </c>
      <c r="E94" s="4" t="s">
        <v>173</v>
      </c>
      <c r="F94" s="960" t="s">
        <v>174</v>
      </c>
      <c r="G94" s="567"/>
      <c r="H94" s="960" t="s">
        <v>175</v>
      </c>
      <c r="I94" s="275" t="s">
        <v>838</v>
      </c>
      <c r="J94" s="590"/>
      <c r="K94" s="590"/>
      <c r="L94" s="590"/>
      <c r="M94" s="375" t="str">
        <f t="shared" si="19"/>
        <v xml:space="preserve">Datapoint, S.A. de C.V.  </v>
      </c>
      <c r="N94" s="959" t="s">
        <v>601</v>
      </c>
      <c r="O94" s="959" t="s">
        <v>667</v>
      </c>
      <c r="P94" s="959" t="s">
        <v>839</v>
      </c>
      <c r="Q94" s="962">
        <v>82745.41</v>
      </c>
      <c r="R94" s="962">
        <f t="shared" si="17"/>
        <v>13239.265600000001</v>
      </c>
      <c r="S94" s="384">
        <f t="shared" si="18"/>
        <v>95984.675600000002</v>
      </c>
      <c r="T94" s="385">
        <v>0</v>
      </c>
      <c r="U94" s="384">
        <f t="shared" si="12"/>
        <v>0</v>
      </c>
      <c r="V94" s="962">
        <f t="shared" si="14"/>
        <v>95984.675600000002</v>
      </c>
      <c r="W94" s="963" t="s">
        <v>156</v>
      </c>
      <c r="X94" s="964">
        <v>43315</v>
      </c>
      <c r="Y94" s="960" t="s">
        <v>815</v>
      </c>
      <c r="Z94" s="964">
        <v>43313</v>
      </c>
      <c r="AA94" s="964">
        <v>43343</v>
      </c>
      <c r="AB94" s="959"/>
      <c r="AC94" s="959"/>
      <c r="AD94" s="960"/>
      <c r="AE94" s="959" t="s">
        <v>182</v>
      </c>
      <c r="AF94" s="963">
        <v>12411.81</v>
      </c>
      <c r="AG94" s="963"/>
      <c r="AH94" s="963"/>
      <c r="AI94" s="963"/>
      <c r="AJ94" s="960" t="s">
        <v>183</v>
      </c>
      <c r="AK94" s="959"/>
      <c r="AL94" s="959"/>
      <c r="AM94" s="965"/>
      <c r="AN94" s="962"/>
      <c r="AO94" s="960" t="str">
        <f t="shared" ca="1" si="15"/>
        <v>MUERTO</v>
      </c>
      <c r="AP94" s="966">
        <v>9</v>
      </c>
      <c r="AQ94" s="960"/>
      <c r="AR94" s="960" t="s">
        <v>819</v>
      </c>
      <c r="AS94" s="960"/>
      <c r="AT94" s="960"/>
      <c r="AU94" s="967"/>
      <c r="AV94" s="965"/>
      <c r="AW94" s="959"/>
      <c r="AX94" s="968"/>
      <c r="AY94" s="965"/>
      <c r="AZ94" s="959"/>
      <c r="BA94" s="959" t="str">
        <f>VLOOKUP(I94,'[1] RFC'!$1:$1048576,2,0)</f>
        <v>DAT8102046P7</v>
      </c>
      <c r="BB94" s="969">
        <v>43307</v>
      </c>
      <c r="BC94" s="969">
        <v>43308</v>
      </c>
      <c r="BD94" s="969">
        <v>43321</v>
      </c>
      <c r="BE94" s="970">
        <v>43322</v>
      </c>
      <c r="BF94" s="969">
        <v>43328</v>
      </c>
      <c r="BG94" s="970" t="s">
        <v>840</v>
      </c>
      <c r="BH94" s="971" t="e">
        <f>NETWORKDAYS(BE94,BF94,#REF!)</f>
        <v>#REF!</v>
      </c>
      <c r="BI94" s="970" t="s">
        <v>840</v>
      </c>
      <c r="BJ94" s="970" t="s">
        <v>841</v>
      </c>
      <c r="BK94" s="970" t="s">
        <v>842</v>
      </c>
      <c r="BL94" s="969">
        <v>43354</v>
      </c>
      <c r="BM94" s="969">
        <v>43335</v>
      </c>
      <c r="BN94" s="969">
        <v>43328</v>
      </c>
      <c r="BO94" s="972">
        <v>43336</v>
      </c>
      <c r="BP94" s="970">
        <v>43333</v>
      </c>
      <c r="BQ94" s="974"/>
    </row>
    <row r="95" spans="1:69" s="591" customFormat="1" ht="210" x14ac:dyDescent="0.25">
      <c r="A95" s="959" t="s">
        <v>843</v>
      </c>
      <c r="B95" s="960">
        <v>93</v>
      </c>
      <c r="C95" s="959" t="s">
        <v>811</v>
      </c>
      <c r="D95" s="959" t="s">
        <v>844</v>
      </c>
      <c r="E95" s="959" t="s">
        <v>151</v>
      </c>
      <c r="F95" s="960" t="s">
        <v>152</v>
      </c>
      <c r="G95" s="567"/>
      <c r="H95" s="960" t="s">
        <v>151</v>
      </c>
      <c r="I95" s="275" t="s">
        <v>845</v>
      </c>
      <c r="J95" s="590"/>
      <c r="K95" s="590"/>
      <c r="L95" s="590"/>
      <c r="M95" s="375" t="str">
        <f t="shared" si="19"/>
        <v xml:space="preserve">Metpresa, S.A. de C.V.  </v>
      </c>
      <c r="N95" s="959" t="s">
        <v>198</v>
      </c>
      <c r="O95" s="959" t="s">
        <v>352</v>
      </c>
      <c r="P95" s="959" t="s">
        <v>846</v>
      </c>
      <c r="Q95" s="962">
        <v>959473.69</v>
      </c>
      <c r="R95" s="962">
        <f t="shared" si="17"/>
        <v>153515.7904</v>
      </c>
      <c r="S95" s="384">
        <f t="shared" si="18"/>
        <v>1112989.4804</v>
      </c>
      <c r="T95" s="385">
        <v>0</v>
      </c>
      <c r="U95" s="384">
        <f t="shared" si="12"/>
        <v>0</v>
      </c>
      <c r="V95" s="962">
        <f t="shared" si="14"/>
        <v>1112989.4804</v>
      </c>
      <c r="W95" s="963" t="s">
        <v>156</v>
      </c>
      <c r="X95" s="964">
        <v>43321</v>
      </c>
      <c r="Y95" s="960" t="s">
        <v>815</v>
      </c>
      <c r="Z95" s="964">
        <v>43314</v>
      </c>
      <c r="AA95" s="964">
        <v>43348</v>
      </c>
      <c r="AB95" s="959"/>
      <c r="AC95" s="959"/>
      <c r="AD95" s="960"/>
      <c r="AE95" s="959" t="s">
        <v>847</v>
      </c>
      <c r="AF95" s="963">
        <v>143921.04999999999</v>
      </c>
      <c r="AG95" s="963">
        <v>95947.37</v>
      </c>
      <c r="AH95" s="963">
        <v>556494.73</v>
      </c>
      <c r="AI95" s="963"/>
      <c r="AJ95" s="960" t="s">
        <v>183</v>
      </c>
      <c r="AK95" s="959"/>
      <c r="AL95" s="959"/>
      <c r="AM95" s="965"/>
      <c r="AN95" s="962"/>
      <c r="AO95" s="960" t="str">
        <f t="shared" ca="1" si="15"/>
        <v>MUERTO</v>
      </c>
      <c r="AP95" s="966">
        <v>9</v>
      </c>
      <c r="AQ95" s="960"/>
      <c r="AR95" s="960" t="s">
        <v>819</v>
      </c>
      <c r="AS95" s="960"/>
      <c r="AT95" s="960"/>
      <c r="AU95" s="967"/>
      <c r="AV95" s="965"/>
      <c r="AW95" s="959"/>
      <c r="AX95" s="968"/>
      <c r="AY95" s="965"/>
      <c r="AZ95" s="959"/>
      <c r="BA95" s="959" t="e">
        <f>VLOOKUP(I95,'[1] RFC'!$1:$1048576,2,0)</f>
        <v>#N/A</v>
      </c>
      <c r="BB95" s="969">
        <v>43314</v>
      </c>
      <c r="BC95" s="969">
        <v>43319</v>
      </c>
      <c r="BD95" s="969">
        <v>43322</v>
      </c>
      <c r="BE95" s="970">
        <v>43325</v>
      </c>
      <c r="BF95" s="969">
        <v>43328</v>
      </c>
      <c r="BG95" s="970" t="s">
        <v>848</v>
      </c>
      <c r="BH95" s="971" t="e">
        <f>NETWORKDAYS(BE95,BF95,#REF!)</f>
        <v>#REF!</v>
      </c>
      <c r="BI95" s="970" t="s">
        <v>849</v>
      </c>
      <c r="BJ95" s="970" t="s">
        <v>850</v>
      </c>
      <c r="BK95" s="970" t="s">
        <v>851</v>
      </c>
      <c r="BL95" s="969">
        <v>43343</v>
      </c>
      <c r="BM95" s="969">
        <v>43332</v>
      </c>
      <c r="BN95" s="969">
        <v>43326</v>
      </c>
      <c r="BO95" s="972">
        <v>43336</v>
      </c>
      <c r="BP95" s="970">
        <v>43329</v>
      </c>
      <c r="BQ95" s="974"/>
    </row>
    <row r="96" spans="1:69" s="591" customFormat="1" ht="105" x14ac:dyDescent="0.25">
      <c r="A96" s="959" t="s">
        <v>852</v>
      </c>
      <c r="B96" s="960">
        <v>94</v>
      </c>
      <c r="C96" s="959" t="s">
        <v>149</v>
      </c>
      <c r="D96" s="959" t="s">
        <v>853</v>
      </c>
      <c r="E96" s="567" t="s">
        <v>163</v>
      </c>
      <c r="F96" s="960" t="s">
        <v>188</v>
      </c>
      <c r="G96" s="567" t="s">
        <v>163</v>
      </c>
      <c r="H96" s="960" t="s">
        <v>427</v>
      </c>
      <c r="I96" s="275" t="s">
        <v>854</v>
      </c>
      <c r="J96" s="590"/>
      <c r="K96" s="590"/>
      <c r="L96" s="590"/>
      <c r="M96" s="375" t="str">
        <f t="shared" si="19"/>
        <v xml:space="preserve">Agencia Promotora de Publicaciones, S.A. de C.V.  </v>
      </c>
      <c r="N96" s="959" t="s">
        <v>855</v>
      </c>
      <c r="O96" s="959" t="s">
        <v>855</v>
      </c>
      <c r="P96" s="959" t="s">
        <v>856</v>
      </c>
      <c r="Q96" s="962">
        <v>4315650</v>
      </c>
      <c r="R96" s="962">
        <f t="shared" si="17"/>
        <v>690504</v>
      </c>
      <c r="S96" s="384">
        <f t="shared" si="18"/>
        <v>5006154</v>
      </c>
      <c r="T96" s="385">
        <v>0</v>
      </c>
      <c r="U96" s="384">
        <f t="shared" si="12"/>
        <v>0</v>
      </c>
      <c r="V96" s="962">
        <f t="shared" si="14"/>
        <v>5006154</v>
      </c>
      <c r="W96" s="963" t="s">
        <v>156</v>
      </c>
      <c r="X96" s="964">
        <v>43327</v>
      </c>
      <c r="Y96" s="960" t="s">
        <v>815</v>
      </c>
      <c r="Z96" s="964">
        <v>43328</v>
      </c>
      <c r="AA96" s="964">
        <v>43343</v>
      </c>
      <c r="AB96" s="959"/>
      <c r="AC96" s="959"/>
      <c r="AD96" s="960"/>
      <c r="AE96" s="959" t="s">
        <v>182</v>
      </c>
      <c r="AF96" s="963"/>
      <c r="AG96" s="963"/>
      <c r="AH96" s="963"/>
      <c r="AI96" s="963"/>
      <c r="AJ96" s="960" t="s">
        <v>156</v>
      </c>
      <c r="AK96" s="959"/>
      <c r="AL96" s="959"/>
      <c r="AM96" s="965"/>
      <c r="AN96" s="962"/>
      <c r="AO96" s="960" t="str">
        <f t="shared" ca="1" si="15"/>
        <v>MUERTO</v>
      </c>
      <c r="AP96" s="966">
        <v>9</v>
      </c>
      <c r="AQ96" s="960"/>
      <c r="AR96" s="960" t="s">
        <v>819</v>
      </c>
      <c r="AS96" s="960"/>
      <c r="AT96" s="960"/>
      <c r="AU96" s="967"/>
      <c r="AV96" s="965"/>
      <c r="AW96" s="959"/>
      <c r="AX96" s="968"/>
      <c r="AY96" s="965"/>
      <c r="AZ96" s="959"/>
      <c r="BA96" s="959" t="e">
        <f>VLOOKUP(I96,'[1] RFC'!$1:$1048576,2,0)</f>
        <v>#N/A</v>
      </c>
      <c r="BB96" s="969">
        <v>43325</v>
      </c>
      <c r="BC96" s="969">
        <v>43326</v>
      </c>
      <c r="BD96" s="969">
        <v>43327</v>
      </c>
      <c r="BE96" s="970">
        <v>43335</v>
      </c>
      <c r="BF96" s="969">
        <v>43339</v>
      </c>
      <c r="BG96" s="969">
        <v>43339</v>
      </c>
      <c r="BH96" s="971" t="e">
        <f>NETWORKDAYS(BE96,BF96,#REF!)</f>
        <v>#REF!</v>
      </c>
      <c r="BI96" s="969">
        <v>43339</v>
      </c>
      <c r="BJ96" s="969">
        <v>43342</v>
      </c>
      <c r="BK96" s="969" t="s">
        <v>161</v>
      </c>
      <c r="BL96" s="969">
        <v>43342</v>
      </c>
      <c r="BM96" s="969">
        <v>43348</v>
      </c>
      <c r="BN96" s="969">
        <v>43340</v>
      </c>
      <c r="BO96" s="972">
        <v>43315</v>
      </c>
      <c r="BP96" s="970">
        <v>43346</v>
      </c>
      <c r="BQ96" s="974"/>
    </row>
    <row r="97" spans="1:69" s="591" customFormat="1" ht="60" x14ac:dyDescent="0.25">
      <c r="A97" s="959" t="s">
        <v>857</v>
      </c>
      <c r="B97" s="960">
        <v>95</v>
      </c>
      <c r="C97" s="959" t="s">
        <v>225</v>
      </c>
      <c r="D97" s="959" t="s">
        <v>858</v>
      </c>
      <c r="E97" s="4" t="s">
        <v>173</v>
      </c>
      <c r="F97" s="960" t="s">
        <v>174</v>
      </c>
      <c r="G97" s="567"/>
      <c r="H97" s="960" t="s">
        <v>175</v>
      </c>
      <c r="I97" s="275" t="s">
        <v>859</v>
      </c>
      <c r="J97" s="590"/>
      <c r="K97" s="590"/>
      <c r="L97" s="590"/>
      <c r="M97" s="375" t="str">
        <f t="shared" si="19"/>
        <v xml:space="preserve">Promexar, S.A. de C.V.  </v>
      </c>
      <c r="N97" s="959" t="s">
        <v>860</v>
      </c>
      <c r="O97" s="959" t="s">
        <v>861</v>
      </c>
      <c r="P97" s="959" t="s">
        <v>862</v>
      </c>
      <c r="Q97" s="962">
        <v>13538000</v>
      </c>
      <c r="R97" s="962">
        <f t="shared" si="17"/>
        <v>2166080</v>
      </c>
      <c r="S97" s="384">
        <f t="shared" si="18"/>
        <v>15704080</v>
      </c>
      <c r="T97" s="385">
        <v>0</v>
      </c>
      <c r="U97" s="384">
        <f t="shared" si="12"/>
        <v>0</v>
      </c>
      <c r="V97" s="962">
        <f t="shared" si="14"/>
        <v>15704080</v>
      </c>
      <c r="W97" s="963" t="s">
        <v>156</v>
      </c>
      <c r="X97" s="964">
        <v>43357</v>
      </c>
      <c r="Y97" s="960" t="s">
        <v>863</v>
      </c>
      <c r="Z97" s="964">
        <v>43355</v>
      </c>
      <c r="AA97" s="964">
        <v>43404</v>
      </c>
      <c r="AB97" s="959"/>
      <c r="AC97" s="959"/>
      <c r="AD97" s="960"/>
      <c r="AE97" s="959" t="s">
        <v>182</v>
      </c>
      <c r="AF97" s="963">
        <v>2030700</v>
      </c>
      <c r="AG97" s="963"/>
      <c r="AH97" s="963"/>
      <c r="AI97" s="963"/>
      <c r="AJ97" s="960" t="s">
        <v>183</v>
      </c>
      <c r="AK97" s="959"/>
      <c r="AL97" s="959"/>
      <c r="AM97" s="965"/>
      <c r="AN97" s="962"/>
      <c r="AO97" s="960" t="str">
        <f t="shared" ca="1" si="15"/>
        <v>MUERTO</v>
      </c>
      <c r="AP97" s="966">
        <v>10</v>
      </c>
      <c r="AQ97" s="960"/>
      <c r="AR97" s="960" t="s">
        <v>863</v>
      </c>
      <c r="AS97" s="960"/>
      <c r="AT97" s="960"/>
      <c r="AU97" s="967"/>
      <c r="AV97" s="965"/>
      <c r="AW97" s="959"/>
      <c r="AX97" s="968"/>
      <c r="AY97" s="965"/>
      <c r="AZ97" s="959"/>
      <c r="BA97" s="959" t="str">
        <f>VLOOKUP(I97,'[1] RFC'!$1:$1048576,2,0)</f>
        <v>PRO0804072R0</v>
      </c>
      <c r="BB97" s="969">
        <v>43339</v>
      </c>
      <c r="BC97" s="969">
        <v>43353</v>
      </c>
      <c r="BD97" s="969">
        <v>43362</v>
      </c>
      <c r="BE97" s="970">
        <v>43367</v>
      </c>
      <c r="BF97" s="969">
        <v>43369</v>
      </c>
      <c r="BG97" s="969">
        <v>43369</v>
      </c>
      <c r="BH97" s="971" t="e">
        <f>NETWORKDAYS(BE97,BF97,#REF!)</f>
        <v>#REF!</v>
      </c>
      <c r="BI97" s="969">
        <v>43369</v>
      </c>
      <c r="BJ97" s="969">
        <v>43376</v>
      </c>
      <c r="BK97" s="969" t="s">
        <v>161</v>
      </c>
      <c r="BL97" s="969">
        <v>43404</v>
      </c>
      <c r="BM97" s="969">
        <v>43404</v>
      </c>
      <c r="BN97" s="969">
        <v>43398</v>
      </c>
      <c r="BO97" s="972" t="s">
        <v>205</v>
      </c>
      <c r="BP97" s="970">
        <v>43404</v>
      </c>
      <c r="BQ97" s="974"/>
    </row>
    <row r="98" spans="1:69" s="591" customFormat="1" ht="60" x14ac:dyDescent="0.25">
      <c r="A98" s="959" t="s">
        <v>864</v>
      </c>
      <c r="B98" s="960">
        <v>96</v>
      </c>
      <c r="C98" s="959" t="s">
        <v>225</v>
      </c>
      <c r="D98" s="959" t="s">
        <v>858</v>
      </c>
      <c r="E98" s="4" t="s">
        <v>173</v>
      </c>
      <c r="F98" s="960" t="s">
        <v>174</v>
      </c>
      <c r="G98" s="567"/>
      <c r="H98" s="960" t="s">
        <v>175</v>
      </c>
      <c r="I98" s="275" t="s">
        <v>865</v>
      </c>
      <c r="J98" s="590"/>
      <c r="K98" s="590"/>
      <c r="L98" s="590"/>
      <c r="M98" s="375" t="str">
        <f t="shared" si="19"/>
        <v xml:space="preserve">Sistemas Digitales en Audio y Video, S.A. de C.V.  </v>
      </c>
      <c r="N98" s="959" t="s">
        <v>860</v>
      </c>
      <c r="O98" s="959" t="s">
        <v>861</v>
      </c>
      <c r="P98" s="959" t="s">
        <v>866</v>
      </c>
      <c r="Q98" s="962">
        <v>21319598</v>
      </c>
      <c r="R98" s="962">
        <f t="shared" si="17"/>
        <v>3411135.68</v>
      </c>
      <c r="S98" s="384">
        <f t="shared" si="18"/>
        <v>24730733.68</v>
      </c>
      <c r="T98" s="385">
        <v>0</v>
      </c>
      <c r="U98" s="384">
        <f t="shared" si="12"/>
        <v>0</v>
      </c>
      <c r="V98" s="962">
        <f t="shared" si="14"/>
        <v>24730733.68</v>
      </c>
      <c r="W98" s="963" t="s">
        <v>156</v>
      </c>
      <c r="X98" s="964">
        <v>43357</v>
      </c>
      <c r="Y98" s="960" t="s">
        <v>863</v>
      </c>
      <c r="Z98" s="964">
        <v>43355</v>
      </c>
      <c r="AA98" s="964">
        <v>43404</v>
      </c>
      <c r="AB98" s="959"/>
      <c r="AC98" s="959"/>
      <c r="AD98" s="960"/>
      <c r="AE98" s="959" t="s">
        <v>182</v>
      </c>
      <c r="AF98" s="963">
        <v>3197939.7</v>
      </c>
      <c r="AG98" s="963"/>
      <c r="AH98" s="963"/>
      <c r="AI98" s="963"/>
      <c r="AJ98" s="960" t="s">
        <v>183</v>
      </c>
      <c r="AK98" s="959" t="s">
        <v>867</v>
      </c>
      <c r="AL98" s="959" t="s">
        <v>868</v>
      </c>
      <c r="AM98" s="965">
        <v>43398</v>
      </c>
      <c r="AN98" s="962">
        <v>0</v>
      </c>
      <c r="AO98" s="960" t="str">
        <f t="shared" ca="1" si="15"/>
        <v>MUERTO</v>
      </c>
      <c r="AP98" s="966">
        <v>10</v>
      </c>
      <c r="AQ98" s="960">
        <v>11</v>
      </c>
      <c r="AR98" s="960" t="s">
        <v>863</v>
      </c>
      <c r="AS98" s="960"/>
      <c r="AT98" s="960"/>
      <c r="AU98" s="967"/>
      <c r="AV98" s="965"/>
      <c r="AW98" s="959"/>
      <c r="AX98" s="968"/>
      <c r="AY98" s="965"/>
      <c r="AZ98" s="959"/>
      <c r="BA98" s="959" t="str">
        <f>VLOOKUP(I98,'[1] RFC'!$1:$1048576,2,0)</f>
        <v>SDA881122NT7</v>
      </c>
      <c r="BB98" s="969">
        <v>43339</v>
      </c>
      <c r="BC98" s="969">
        <v>43353</v>
      </c>
      <c r="BD98" s="969">
        <v>43353</v>
      </c>
      <c r="BE98" s="970">
        <v>43362</v>
      </c>
      <c r="BF98" s="969">
        <v>43370</v>
      </c>
      <c r="BG98" s="969">
        <v>43370</v>
      </c>
      <c r="BH98" s="971" t="e">
        <f>NETWORKDAYS(BE98,BF98,#REF!)</f>
        <v>#REF!</v>
      </c>
      <c r="BI98" s="969">
        <v>43370</v>
      </c>
      <c r="BJ98" s="969">
        <v>43377</v>
      </c>
      <c r="BK98" s="969" t="s">
        <v>161</v>
      </c>
      <c r="BL98" s="969">
        <v>43382</v>
      </c>
      <c r="BM98" s="969">
        <v>43381</v>
      </c>
      <c r="BN98" s="969">
        <v>43371</v>
      </c>
      <c r="BO98" s="972">
        <v>43385</v>
      </c>
      <c r="BP98" s="970">
        <v>43378</v>
      </c>
      <c r="BQ98" s="974"/>
    </row>
    <row r="99" spans="1:69" s="591" customFormat="1" ht="60" x14ac:dyDescent="0.25">
      <c r="A99" s="959" t="s">
        <v>869</v>
      </c>
      <c r="B99" s="960">
        <v>97</v>
      </c>
      <c r="C99" s="959" t="s">
        <v>225</v>
      </c>
      <c r="D99" s="959" t="s">
        <v>870</v>
      </c>
      <c r="E99" s="567" t="s">
        <v>163</v>
      </c>
      <c r="F99" s="960" t="s">
        <v>237</v>
      </c>
      <c r="G99" s="567" t="s">
        <v>163</v>
      </c>
      <c r="H99" s="960" t="s">
        <v>238</v>
      </c>
      <c r="I99" s="275" t="s">
        <v>871</v>
      </c>
      <c r="J99" s="590"/>
      <c r="K99" s="590"/>
      <c r="L99" s="590"/>
      <c r="M99" s="375" t="str">
        <f t="shared" si="19"/>
        <v xml:space="preserve">Avetronic, S.A. de C.V.  </v>
      </c>
      <c r="N99" s="959" t="s">
        <v>872</v>
      </c>
      <c r="O99" s="959" t="s">
        <v>873</v>
      </c>
      <c r="P99" s="959" t="s">
        <v>874</v>
      </c>
      <c r="Q99" s="962">
        <v>422646</v>
      </c>
      <c r="R99" s="962">
        <f t="shared" si="17"/>
        <v>67623.360000000001</v>
      </c>
      <c r="S99" s="384">
        <f t="shared" si="18"/>
        <v>490269.36</v>
      </c>
      <c r="T99" s="385">
        <v>0</v>
      </c>
      <c r="U99" s="384">
        <f t="shared" si="12"/>
        <v>0</v>
      </c>
      <c r="V99" s="962">
        <f t="shared" ref="V99:V126" si="20">S99+AN99</f>
        <v>490269.36</v>
      </c>
      <c r="W99" s="963" t="s">
        <v>156</v>
      </c>
      <c r="X99" s="964">
        <v>43361</v>
      </c>
      <c r="Y99" s="960" t="s">
        <v>863</v>
      </c>
      <c r="Z99" s="964">
        <v>43361</v>
      </c>
      <c r="AA99" s="964">
        <v>43465</v>
      </c>
      <c r="AB99" s="959"/>
      <c r="AC99" s="959"/>
      <c r="AD99" s="960"/>
      <c r="AE99" s="959" t="s">
        <v>182</v>
      </c>
      <c r="AF99" s="963">
        <v>63396.9</v>
      </c>
      <c r="AG99" s="963"/>
      <c r="AH99" s="963"/>
      <c r="AI99" s="963"/>
      <c r="AJ99" s="960" t="s">
        <v>183</v>
      </c>
      <c r="AK99" s="959" t="s">
        <v>875</v>
      </c>
      <c r="AL99" s="959" t="s">
        <v>876</v>
      </c>
      <c r="AM99" s="965">
        <v>43420</v>
      </c>
      <c r="AN99" s="962">
        <v>0</v>
      </c>
      <c r="AO99" s="960" t="str">
        <f t="shared" ref="AO99:AO126" ca="1" si="21">IF(ISBLANK(AA99),"",IF(AA99&gt;=TODAY(),"VIGENTE","MUERTO"))</f>
        <v>MUERTO</v>
      </c>
      <c r="AP99" s="966">
        <v>10</v>
      </c>
      <c r="AQ99" s="960"/>
      <c r="AR99" s="960" t="s">
        <v>863</v>
      </c>
      <c r="AS99" s="960"/>
      <c r="AT99" s="960"/>
      <c r="AU99" s="967"/>
      <c r="AV99" s="965"/>
      <c r="AW99" s="959"/>
      <c r="AX99" s="968"/>
      <c r="AY99" s="965"/>
      <c r="AZ99" s="959"/>
      <c r="BA99" s="959" t="str">
        <f>VLOOKUP(I99,'[1] RFC'!$1:$1048576,2,0)</f>
        <v>AVE850528ES9</v>
      </c>
      <c r="BB99" s="969">
        <v>43354</v>
      </c>
      <c r="BC99" s="969">
        <v>43357</v>
      </c>
      <c r="BD99" s="969">
        <v>43370</v>
      </c>
      <c r="BE99" s="970">
        <v>43371</v>
      </c>
      <c r="BF99" s="969">
        <v>43383</v>
      </c>
      <c r="BG99" s="969">
        <v>43383</v>
      </c>
      <c r="BH99" s="971" t="e">
        <f>NETWORKDAYS(BE99,BF99,#REF!)</f>
        <v>#REF!</v>
      </c>
      <c r="BI99" s="969">
        <v>43383</v>
      </c>
      <c r="BJ99" s="969">
        <v>43388</v>
      </c>
      <c r="BK99" s="969" t="s">
        <v>161</v>
      </c>
      <c r="BL99" s="969">
        <v>43390</v>
      </c>
      <c r="BM99" s="969">
        <v>43381</v>
      </c>
      <c r="BN99" s="969">
        <v>43374</v>
      </c>
      <c r="BO99" s="972">
        <v>43383</v>
      </c>
      <c r="BP99" s="970" t="s">
        <v>186</v>
      </c>
      <c r="BQ99" s="974"/>
    </row>
    <row r="100" spans="1:69" s="591" customFormat="1" ht="75" x14ac:dyDescent="0.25">
      <c r="A100" s="959" t="s">
        <v>877</v>
      </c>
      <c r="B100" s="960">
        <v>98</v>
      </c>
      <c r="C100" s="959" t="s">
        <v>225</v>
      </c>
      <c r="D100" s="959" t="s">
        <v>878</v>
      </c>
      <c r="E100" s="567" t="s">
        <v>163</v>
      </c>
      <c r="F100" s="960" t="s">
        <v>879</v>
      </c>
      <c r="G100" s="567" t="s">
        <v>163</v>
      </c>
      <c r="H100" s="960" t="s">
        <v>313</v>
      </c>
      <c r="I100" s="275" t="s">
        <v>361</v>
      </c>
      <c r="J100" s="590"/>
      <c r="K100" s="590"/>
      <c r="L100" s="590"/>
      <c r="M100" s="375" t="str">
        <f t="shared" si="19"/>
        <v xml:space="preserve">Millenium Technologies, S.A. de C.V.  </v>
      </c>
      <c r="N100" s="959" t="s">
        <v>209</v>
      </c>
      <c r="O100" s="959" t="s">
        <v>210</v>
      </c>
      <c r="P100" s="959" t="s">
        <v>880</v>
      </c>
      <c r="Q100" s="962">
        <v>1327272</v>
      </c>
      <c r="R100" s="962">
        <f t="shared" si="17"/>
        <v>212363.52000000002</v>
      </c>
      <c r="S100" s="384">
        <f t="shared" si="18"/>
        <v>1539635.52</v>
      </c>
      <c r="T100" s="385">
        <v>0</v>
      </c>
      <c r="U100" s="384">
        <f t="shared" si="12"/>
        <v>0</v>
      </c>
      <c r="V100" s="962">
        <f t="shared" si="20"/>
        <v>1539635.52</v>
      </c>
      <c r="W100" s="963" t="s">
        <v>156</v>
      </c>
      <c r="X100" s="964">
        <v>43382</v>
      </c>
      <c r="Y100" s="960" t="s">
        <v>881</v>
      </c>
      <c r="Z100" s="964">
        <v>43379</v>
      </c>
      <c r="AA100" s="964">
        <v>43743</v>
      </c>
      <c r="AB100" s="959"/>
      <c r="AC100" s="959"/>
      <c r="AD100" s="960"/>
      <c r="AE100" s="959" t="s">
        <v>803</v>
      </c>
      <c r="AF100" s="963">
        <v>199090.8</v>
      </c>
      <c r="AG100" s="963"/>
      <c r="AH100" s="963"/>
      <c r="AI100" s="963"/>
      <c r="AJ100" s="960" t="s">
        <v>156</v>
      </c>
      <c r="AK100" s="959"/>
      <c r="AL100" s="959"/>
      <c r="AM100" s="965"/>
      <c r="AN100" s="962"/>
      <c r="AO100" s="960" t="str">
        <f t="shared" ca="1" si="21"/>
        <v>MUERTO</v>
      </c>
      <c r="AP100" s="960">
        <v>11</v>
      </c>
      <c r="AQ100" s="960"/>
      <c r="AR100" s="960" t="s">
        <v>729</v>
      </c>
      <c r="AS100" s="960"/>
      <c r="AT100" s="960"/>
      <c r="AU100" s="967"/>
      <c r="AV100" s="965"/>
      <c r="AW100" s="959"/>
      <c r="AX100" s="968"/>
      <c r="AY100" s="965"/>
      <c r="AZ100" s="959"/>
      <c r="BA100" s="959" t="str">
        <f>VLOOKUP(I100,'[1] RFC'!$1:$1048576,2,0)</f>
        <v>MTE000615LF6</v>
      </c>
      <c r="BB100" s="969">
        <v>43360</v>
      </c>
      <c r="BC100" s="969">
        <v>43381</v>
      </c>
      <c r="BD100" s="969">
        <v>43389</v>
      </c>
      <c r="BE100" s="970">
        <v>43390</v>
      </c>
      <c r="BF100" s="969">
        <v>43392</v>
      </c>
      <c r="BG100" s="970" t="s">
        <v>882</v>
      </c>
      <c r="BH100" s="971" t="e">
        <f>NETWORKDAYS(BE100,BF100,#REF!)</f>
        <v>#REF!</v>
      </c>
      <c r="BI100" s="969" t="s">
        <v>882</v>
      </c>
      <c r="BJ100" s="969" t="s">
        <v>883</v>
      </c>
      <c r="BK100" s="969" t="s">
        <v>161</v>
      </c>
      <c r="BL100" s="969">
        <v>43413</v>
      </c>
      <c r="BM100" s="969">
        <v>43413</v>
      </c>
      <c r="BN100" s="969">
        <v>43397</v>
      </c>
      <c r="BO100" s="972">
        <v>43413</v>
      </c>
      <c r="BP100" s="970" t="s">
        <v>186</v>
      </c>
      <c r="BQ100" s="974"/>
    </row>
    <row r="101" spans="1:69" s="591" customFormat="1" ht="60" x14ac:dyDescent="0.25">
      <c r="A101" s="959" t="s">
        <v>884</v>
      </c>
      <c r="B101" s="960">
        <v>99</v>
      </c>
      <c r="C101" s="959" t="s">
        <v>225</v>
      </c>
      <c r="D101" s="959" t="s">
        <v>830</v>
      </c>
      <c r="E101" s="567" t="s">
        <v>163</v>
      </c>
      <c r="F101" s="960" t="s">
        <v>607</v>
      </c>
      <c r="G101" s="567" t="s">
        <v>163</v>
      </c>
      <c r="H101" s="960" t="s">
        <v>608</v>
      </c>
      <c r="I101" s="275" t="s">
        <v>885</v>
      </c>
      <c r="J101" s="590"/>
      <c r="K101" s="590"/>
      <c r="L101" s="590"/>
      <c r="M101" s="375" t="str">
        <f t="shared" si="19"/>
        <v xml:space="preserve">Excelencia en Comunicaciones y Tecnología, S.A. de C.V.  </v>
      </c>
      <c r="N101" s="959" t="s">
        <v>601</v>
      </c>
      <c r="O101" s="959" t="s">
        <v>667</v>
      </c>
      <c r="P101" s="959" t="s">
        <v>886</v>
      </c>
      <c r="Q101" s="962">
        <v>452669.76</v>
      </c>
      <c r="R101" s="962">
        <f t="shared" si="17"/>
        <v>72427.161600000007</v>
      </c>
      <c r="S101" s="384">
        <f t="shared" si="18"/>
        <v>525096.9216</v>
      </c>
      <c r="T101" s="385">
        <v>0</v>
      </c>
      <c r="U101" s="384">
        <f t="shared" si="12"/>
        <v>0</v>
      </c>
      <c r="V101" s="962">
        <f t="shared" si="20"/>
        <v>525096.9216</v>
      </c>
      <c r="W101" s="963" t="s">
        <v>156</v>
      </c>
      <c r="X101" s="964">
        <v>43403</v>
      </c>
      <c r="Y101" s="960" t="s">
        <v>881</v>
      </c>
      <c r="Z101" s="964">
        <v>43409</v>
      </c>
      <c r="AA101" s="964">
        <v>43446</v>
      </c>
      <c r="AB101" s="959"/>
      <c r="AC101" s="959"/>
      <c r="AD101" s="960"/>
      <c r="AE101" s="959" t="s">
        <v>182</v>
      </c>
      <c r="AF101" s="963">
        <v>67900.460000000006</v>
      </c>
      <c r="AG101" s="963"/>
      <c r="AH101" s="963"/>
      <c r="AI101" s="963"/>
      <c r="AJ101" s="960" t="s">
        <v>183</v>
      </c>
      <c r="AK101" s="959"/>
      <c r="AL101" s="959"/>
      <c r="AM101" s="965"/>
      <c r="AN101" s="962"/>
      <c r="AO101" s="960" t="str">
        <f t="shared" ca="1" si="21"/>
        <v>MUERTO</v>
      </c>
      <c r="AP101" s="960"/>
      <c r="AQ101" s="960"/>
      <c r="AR101" s="960" t="s">
        <v>729</v>
      </c>
      <c r="AS101" s="960"/>
      <c r="AT101" s="960"/>
      <c r="AU101" s="967"/>
      <c r="AV101" s="965"/>
      <c r="AW101" s="976"/>
      <c r="AX101" s="968"/>
      <c r="AY101" s="965"/>
      <c r="AZ101" s="959"/>
      <c r="BA101" s="959" t="str">
        <f>VLOOKUP(I101,'[1] RFC'!$1:$1048576,2,0)</f>
        <v>ECT9303302H6</v>
      </c>
      <c r="BB101" s="969">
        <v>43390</v>
      </c>
      <c r="BC101" s="969">
        <v>43399</v>
      </c>
      <c r="BD101" s="969">
        <v>43410</v>
      </c>
      <c r="BE101" s="970">
        <v>43419</v>
      </c>
      <c r="BF101" s="969">
        <v>43426</v>
      </c>
      <c r="BG101" s="969">
        <v>43426</v>
      </c>
      <c r="BH101" s="971" t="e">
        <f>NETWORKDAYS(BE101,BF101,#REF!)</f>
        <v>#REF!</v>
      </c>
      <c r="BI101" s="969">
        <v>43426</v>
      </c>
      <c r="BJ101" s="969">
        <v>43433</v>
      </c>
      <c r="BK101" s="969" t="s">
        <v>161</v>
      </c>
      <c r="BL101" s="969">
        <v>43437</v>
      </c>
      <c r="BM101" s="969">
        <v>43437</v>
      </c>
      <c r="BN101" s="969">
        <v>43437</v>
      </c>
      <c r="BO101" s="972">
        <v>43437</v>
      </c>
      <c r="BP101" s="970">
        <v>43437</v>
      </c>
      <c r="BQ101" s="974"/>
    </row>
    <row r="102" spans="1:69" s="591" customFormat="1" ht="60" x14ac:dyDescent="0.25">
      <c r="A102" s="959" t="s">
        <v>887</v>
      </c>
      <c r="B102" s="960">
        <v>100</v>
      </c>
      <c r="C102" s="959" t="s">
        <v>225</v>
      </c>
      <c r="D102" s="959" t="s">
        <v>888</v>
      </c>
      <c r="E102" s="567" t="s">
        <v>163</v>
      </c>
      <c r="F102" s="960" t="s">
        <v>312</v>
      </c>
      <c r="G102" s="567" t="s">
        <v>163</v>
      </c>
      <c r="H102" s="960" t="s">
        <v>313</v>
      </c>
      <c r="I102" s="275" t="s">
        <v>889</v>
      </c>
      <c r="J102" s="590"/>
      <c r="K102" s="590"/>
      <c r="L102" s="590"/>
      <c r="M102" s="375" t="str">
        <f t="shared" si="19"/>
        <v xml:space="preserve">Microsoft Corporation  </v>
      </c>
      <c r="N102" s="959" t="s">
        <v>656</v>
      </c>
      <c r="O102" s="959" t="s">
        <v>890</v>
      </c>
      <c r="P102" s="959" t="s">
        <v>891</v>
      </c>
      <c r="Q102" s="983">
        <v>1693285.5</v>
      </c>
      <c r="R102" s="962">
        <v>0</v>
      </c>
      <c r="S102" s="384">
        <f t="shared" si="18"/>
        <v>1693285.5</v>
      </c>
      <c r="T102" s="385">
        <v>1159443.78</v>
      </c>
      <c r="U102" s="384">
        <v>0</v>
      </c>
      <c r="V102" s="983">
        <f t="shared" si="20"/>
        <v>1693285.5</v>
      </c>
      <c r="W102" s="963" t="s">
        <v>183</v>
      </c>
      <c r="X102" s="964">
        <v>43419</v>
      </c>
      <c r="Y102" s="960" t="s">
        <v>892</v>
      </c>
      <c r="Z102" s="964">
        <v>43435</v>
      </c>
      <c r="AA102" s="964">
        <v>44530</v>
      </c>
      <c r="AB102" s="959"/>
      <c r="AC102" s="959"/>
      <c r="AD102" s="960"/>
      <c r="AE102" s="959" t="s">
        <v>893</v>
      </c>
      <c r="AF102" s="963"/>
      <c r="AG102" s="963"/>
      <c r="AH102" s="963"/>
      <c r="AI102" s="963"/>
      <c r="AJ102" s="960" t="s">
        <v>156</v>
      </c>
      <c r="AK102" s="594" t="s">
        <v>894</v>
      </c>
      <c r="AL102" s="594" t="s">
        <v>895</v>
      </c>
      <c r="AM102" s="595" t="s">
        <v>896</v>
      </c>
      <c r="AN102" s="962"/>
      <c r="AO102" s="960" t="str">
        <f t="shared" ca="1" si="21"/>
        <v>MUERTO</v>
      </c>
      <c r="AP102" s="960"/>
      <c r="AQ102" s="960"/>
      <c r="AR102" s="960" t="s">
        <v>729</v>
      </c>
      <c r="AS102" s="960"/>
      <c r="AT102" s="960"/>
      <c r="AU102" s="983" t="s">
        <v>897</v>
      </c>
      <c r="AV102" s="965"/>
      <c r="AW102" s="959"/>
      <c r="AX102" s="968"/>
      <c r="AY102" s="965"/>
      <c r="AZ102" s="959"/>
      <c r="BA102" s="959">
        <f>VLOOKUP(I102,'[1] RFC'!$1:$1048576,2,0)</f>
        <v>911144442</v>
      </c>
      <c r="BB102" s="969">
        <v>43396</v>
      </c>
      <c r="BC102" s="969">
        <v>43413</v>
      </c>
      <c r="BD102" s="969">
        <v>43427</v>
      </c>
      <c r="BE102" s="970">
        <v>43445</v>
      </c>
      <c r="BF102" s="969">
        <v>43627</v>
      </c>
      <c r="BG102" s="969" t="s">
        <v>898</v>
      </c>
      <c r="BH102" s="971" t="e">
        <f>NETWORKDAYS(BE102,BF102,#REF!)</f>
        <v>#REF!</v>
      </c>
      <c r="BI102" s="969" t="s">
        <v>898</v>
      </c>
      <c r="BJ102" s="969" t="s">
        <v>899</v>
      </c>
      <c r="BK102" s="969" t="s">
        <v>479</v>
      </c>
      <c r="BL102" s="969">
        <v>43634</v>
      </c>
      <c r="BM102" s="969">
        <v>43635</v>
      </c>
      <c r="BN102" s="969">
        <v>43431</v>
      </c>
      <c r="BO102" s="972" t="s">
        <v>205</v>
      </c>
      <c r="BP102" s="970" t="s">
        <v>186</v>
      </c>
      <c r="BQ102" s="974" t="s">
        <v>900</v>
      </c>
    </row>
    <row r="103" spans="1:69" s="591" customFormat="1" ht="75" x14ac:dyDescent="0.25">
      <c r="A103" s="959" t="s">
        <v>901</v>
      </c>
      <c r="B103" s="960">
        <v>101</v>
      </c>
      <c r="C103" s="959" t="s">
        <v>149</v>
      </c>
      <c r="D103" s="959" t="s">
        <v>902</v>
      </c>
      <c r="E103" s="567" t="s">
        <v>163</v>
      </c>
      <c r="F103" s="960" t="s">
        <v>188</v>
      </c>
      <c r="G103" s="567" t="s">
        <v>163</v>
      </c>
      <c r="H103" s="960" t="s">
        <v>427</v>
      </c>
      <c r="I103" s="275" t="s">
        <v>903</v>
      </c>
      <c r="J103" s="590"/>
      <c r="K103" s="590"/>
      <c r="L103" s="590"/>
      <c r="M103" s="375" t="str">
        <f t="shared" si="19"/>
        <v xml:space="preserve">Escore Alimentos, S.A. de C.V.  </v>
      </c>
      <c r="N103" s="959" t="s">
        <v>190</v>
      </c>
      <c r="O103" s="959" t="s">
        <v>904</v>
      </c>
      <c r="P103" s="959" t="s">
        <v>905</v>
      </c>
      <c r="Q103" s="962">
        <v>2000000</v>
      </c>
      <c r="R103" s="962">
        <f t="shared" ref="R103:R125" si="22">Q103*0.16</f>
        <v>320000</v>
      </c>
      <c r="S103" s="384">
        <f t="shared" si="18"/>
        <v>2320000</v>
      </c>
      <c r="T103" s="385">
        <v>300000</v>
      </c>
      <c r="U103" s="384">
        <f t="shared" ref="U103:U126" si="23">(T103*0.16)+(T103)</f>
        <v>348000</v>
      </c>
      <c r="V103" s="962">
        <f t="shared" si="20"/>
        <v>2320000</v>
      </c>
      <c r="W103" s="963" t="s">
        <v>156</v>
      </c>
      <c r="X103" s="964">
        <v>43409</v>
      </c>
      <c r="Y103" s="960" t="s">
        <v>892</v>
      </c>
      <c r="Z103" s="964">
        <v>43409</v>
      </c>
      <c r="AA103" s="964">
        <v>43465</v>
      </c>
      <c r="AB103" s="959"/>
      <c r="AC103" s="959"/>
      <c r="AD103" s="960"/>
      <c r="AE103" s="959" t="s">
        <v>906</v>
      </c>
      <c r="AF103" s="963"/>
      <c r="AG103" s="963"/>
      <c r="AH103" s="963"/>
      <c r="AI103" s="963" t="s">
        <v>907</v>
      </c>
      <c r="AJ103" s="960" t="s">
        <v>156</v>
      </c>
      <c r="AK103" s="959"/>
      <c r="AL103" s="959"/>
      <c r="AM103" s="965"/>
      <c r="AN103" s="962"/>
      <c r="AO103" s="960" t="str">
        <f t="shared" ca="1" si="21"/>
        <v>MUERTO</v>
      </c>
      <c r="AP103" s="960"/>
      <c r="AQ103" s="960"/>
      <c r="AR103" s="960" t="s">
        <v>729</v>
      </c>
      <c r="AS103" s="960"/>
      <c r="AT103" s="960"/>
      <c r="AU103" s="967"/>
      <c r="AV103" s="965"/>
      <c r="AW103" s="959"/>
      <c r="AX103" s="968"/>
      <c r="AY103" s="965"/>
      <c r="AZ103" s="959"/>
      <c r="BA103" s="959" t="e">
        <f>VLOOKUP(I103,'[1] RFC'!$1:$1048576,2,0)</f>
        <v>#N/A</v>
      </c>
      <c r="BB103" s="969">
        <v>43404</v>
      </c>
      <c r="BC103" s="969">
        <v>43404</v>
      </c>
      <c r="BD103" s="969">
        <v>43409</v>
      </c>
      <c r="BE103" s="970">
        <v>43432</v>
      </c>
      <c r="BF103" s="969">
        <v>43444</v>
      </c>
      <c r="BG103" s="970" t="s">
        <v>908</v>
      </c>
      <c r="BH103" s="971" t="e">
        <f>NETWORKDAYS(BE103,BF103,#REF!)</f>
        <v>#REF!</v>
      </c>
      <c r="BI103" s="970" t="s">
        <v>908</v>
      </c>
      <c r="BJ103" s="970" t="s">
        <v>909</v>
      </c>
      <c r="BK103" s="969" t="s">
        <v>161</v>
      </c>
      <c r="BL103" s="969">
        <v>43108</v>
      </c>
      <c r="BM103" s="969">
        <v>43440</v>
      </c>
      <c r="BN103" s="969">
        <v>43434</v>
      </c>
      <c r="BO103" s="972">
        <v>43444</v>
      </c>
      <c r="BP103" s="970" t="s">
        <v>186</v>
      </c>
      <c r="BQ103" s="974"/>
    </row>
    <row r="104" spans="1:69" s="591" customFormat="1" ht="105" x14ac:dyDescent="0.25">
      <c r="A104" s="959" t="s">
        <v>910</v>
      </c>
      <c r="B104" s="960">
        <v>102</v>
      </c>
      <c r="C104" s="959" t="s">
        <v>149</v>
      </c>
      <c r="D104" s="959" t="s">
        <v>911</v>
      </c>
      <c r="E104" s="959" t="s">
        <v>151</v>
      </c>
      <c r="F104" s="960" t="s">
        <v>152</v>
      </c>
      <c r="G104" s="567"/>
      <c r="H104" s="960" t="s">
        <v>151</v>
      </c>
      <c r="I104" s="275" t="s">
        <v>685</v>
      </c>
      <c r="J104" s="590"/>
      <c r="K104" s="590"/>
      <c r="L104" s="590"/>
      <c r="M104" s="375" t="str">
        <f t="shared" si="19"/>
        <v xml:space="preserve">Jasev Computación, S.A. de C.V.  </v>
      </c>
      <c r="N104" s="959" t="s">
        <v>209</v>
      </c>
      <c r="O104" s="959" t="s">
        <v>668</v>
      </c>
      <c r="P104" s="959" t="s">
        <v>912</v>
      </c>
      <c r="Q104" s="962">
        <v>1000000</v>
      </c>
      <c r="R104" s="962">
        <f t="shared" si="22"/>
        <v>160000</v>
      </c>
      <c r="S104" s="384">
        <f t="shared" si="18"/>
        <v>1160000</v>
      </c>
      <c r="T104" s="385">
        <v>350000</v>
      </c>
      <c r="U104" s="384">
        <f t="shared" si="23"/>
        <v>406000</v>
      </c>
      <c r="V104" s="962">
        <f t="shared" si="20"/>
        <v>1160000</v>
      </c>
      <c r="W104" s="963" t="s">
        <v>156</v>
      </c>
      <c r="X104" s="964">
        <v>43434</v>
      </c>
      <c r="Y104" s="960" t="s">
        <v>892</v>
      </c>
      <c r="Z104" s="964">
        <v>43433</v>
      </c>
      <c r="AA104" s="964">
        <v>43465</v>
      </c>
      <c r="AB104" s="959"/>
      <c r="AC104" s="959"/>
      <c r="AD104" s="960"/>
      <c r="AE104" s="959" t="s">
        <v>913</v>
      </c>
      <c r="AF104" s="963"/>
      <c r="AG104" s="963"/>
      <c r="AH104" s="963"/>
      <c r="AI104" s="963"/>
      <c r="AJ104" s="960" t="s">
        <v>156</v>
      </c>
      <c r="AK104" s="959"/>
      <c r="AL104" s="959"/>
      <c r="AM104" s="965"/>
      <c r="AN104" s="962"/>
      <c r="AO104" s="960" t="str">
        <f t="shared" ca="1" si="21"/>
        <v>MUERTO</v>
      </c>
      <c r="AP104" s="960"/>
      <c r="AQ104" s="960"/>
      <c r="AR104" s="960" t="s">
        <v>914</v>
      </c>
      <c r="AS104" s="960"/>
      <c r="AT104" s="960"/>
      <c r="AU104" s="967"/>
      <c r="AV104" s="965"/>
      <c r="AW104" s="959"/>
      <c r="AX104" s="968"/>
      <c r="AY104" s="965"/>
      <c r="AZ104" s="959"/>
      <c r="BA104" s="959" t="str">
        <f>VLOOKUP(I104,'[1] RFC'!$1:$1048576,2,0)</f>
        <v>JCO931215CI8</v>
      </c>
      <c r="BB104" s="969">
        <v>43431</v>
      </c>
      <c r="BC104" s="969">
        <v>43432</v>
      </c>
      <c r="BD104" s="969">
        <v>43440</v>
      </c>
      <c r="BE104" s="970">
        <v>43452</v>
      </c>
      <c r="BF104" s="970">
        <v>43452</v>
      </c>
      <c r="BG104" s="970" t="s">
        <v>915</v>
      </c>
      <c r="BH104" s="971" t="e">
        <f>NETWORKDAYS(BE104,BF104,#REF!)</f>
        <v>#REF!</v>
      </c>
      <c r="BI104" s="970" t="s">
        <v>916</v>
      </c>
      <c r="BJ104" s="970" t="s">
        <v>917</v>
      </c>
      <c r="BK104" s="970" t="s">
        <v>918</v>
      </c>
      <c r="BL104" s="969">
        <v>43479</v>
      </c>
      <c r="BM104" s="969">
        <v>43479</v>
      </c>
      <c r="BN104" s="969">
        <v>43461</v>
      </c>
      <c r="BO104" s="972">
        <v>43480</v>
      </c>
      <c r="BP104" s="970" t="s">
        <v>186</v>
      </c>
      <c r="BQ104" s="974"/>
    </row>
    <row r="105" spans="1:69" s="591" customFormat="1" ht="135" x14ac:dyDescent="0.25">
      <c r="A105" s="959" t="s">
        <v>919</v>
      </c>
      <c r="B105" s="960">
        <v>103</v>
      </c>
      <c r="C105" s="959" t="s">
        <v>225</v>
      </c>
      <c r="D105" s="959" t="s">
        <v>920</v>
      </c>
      <c r="E105" s="959" t="s">
        <v>151</v>
      </c>
      <c r="F105" s="960" t="s">
        <v>152</v>
      </c>
      <c r="G105" s="567"/>
      <c r="H105" s="960" t="s">
        <v>151</v>
      </c>
      <c r="I105" s="275" t="s">
        <v>921</v>
      </c>
      <c r="J105" s="590"/>
      <c r="K105" s="590"/>
      <c r="L105" s="590"/>
      <c r="M105" s="375" t="str">
        <f t="shared" si="19"/>
        <v xml:space="preserve">Dicimex, S.A. de C.V.  </v>
      </c>
      <c r="N105" s="959" t="s">
        <v>601</v>
      </c>
      <c r="O105" s="959" t="s">
        <v>922</v>
      </c>
      <c r="P105" s="959" t="s">
        <v>923</v>
      </c>
      <c r="Q105" s="962">
        <v>870690</v>
      </c>
      <c r="R105" s="962">
        <f t="shared" si="22"/>
        <v>139310.39999999999</v>
      </c>
      <c r="S105" s="384">
        <f t="shared" si="18"/>
        <v>1010000.4</v>
      </c>
      <c r="T105" s="385">
        <v>0</v>
      </c>
      <c r="U105" s="384">
        <f t="shared" si="23"/>
        <v>0</v>
      </c>
      <c r="V105" s="962">
        <f t="shared" si="20"/>
        <v>1010000.4</v>
      </c>
      <c r="W105" s="963" t="s">
        <v>156</v>
      </c>
      <c r="X105" s="964">
        <v>43455</v>
      </c>
      <c r="Y105" s="960" t="s">
        <v>924</v>
      </c>
      <c r="Z105" s="964">
        <v>43445</v>
      </c>
      <c r="AA105" s="964">
        <v>43465</v>
      </c>
      <c r="AB105" s="959"/>
      <c r="AC105" s="959"/>
      <c r="AD105" s="960"/>
      <c r="AE105" s="959" t="s">
        <v>913</v>
      </c>
      <c r="AF105" s="963"/>
      <c r="AG105" s="963"/>
      <c r="AH105" s="963"/>
      <c r="AI105" s="963"/>
      <c r="AJ105" s="960" t="s">
        <v>156</v>
      </c>
      <c r="AK105" s="959"/>
      <c r="AL105" s="959"/>
      <c r="AM105" s="965"/>
      <c r="AN105" s="962"/>
      <c r="AO105" s="960" t="str">
        <f t="shared" ca="1" si="21"/>
        <v>MUERTO</v>
      </c>
      <c r="AP105" s="960" t="s">
        <v>213</v>
      </c>
      <c r="AQ105" s="960"/>
      <c r="AR105" s="960" t="s">
        <v>914</v>
      </c>
      <c r="AS105" s="960"/>
      <c r="AT105" s="960"/>
      <c r="AU105" s="967"/>
      <c r="AV105" s="965"/>
      <c r="AW105" s="959"/>
      <c r="AX105" s="968"/>
      <c r="AY105" s="965"/>
      <c r="AZ105" s="959"/>
      <c r="BA105" s="959" t="str">
        <f>VLOOKUP(I105,'[1] RFC'!$1:$1048576,2,0)</f>
        <v>DIC85102518A</v>
      </c>
      <c r="BB105" s="969">
        <v>43439</v>
      </c>
      <c r="BC105" s="969">
        <v>43444</v>
      </c>
      <c r="BD105" s="969">
        <v>43455</v>
      </c>
      <c r="BE105" s="970">
        <v>43472</v>
      </c>
      <c r="BF105" s="969">
        <v>43482</v>
      </c>
      <c r="BG105" s="970" t="s">
        <v>925</v>
      </c>
      <c r="BH105" s="971" t="e">
        <f>NETWORKDAYS(BE105,BF105,#REF!)</f>
        <v>#REF!</v>
      </c>
      <c r="BI105" s="970" t="s">
        <v>926</v>
      </c>
      <c r="BJ105" s="970" t="s">
        <v>927</v>
      </c>
      <c r="BK105" s="970" t="s">
        <v>928</v>
      </c>
      <c r="BL105" s="969">
        <v>43535</v>
      </c>
      <c r="BM105" s="969">
        <v>43509</v>
      </c>
      <c r="BN105" s="969">
        <v>43475</v>
      </c>
      <c r="BO105" s="972">
        <v>43584</v>
      </c>
      <c r="BP105" s="970">
        <v>43508</v>
      </c>
      <c r="BQ105" s="974"/>
    </row>
    <row r="106" spans="1:69" s="591" customFormat="1" ht="150" x14ac:dyDescent="0.25">
      <c r="A106" s="959" t="s">
        <v>929</v>
      </c>
      <c r="B106" s="960">
        <v>104</v>
      </c>
      <c r="C106" s="959" t="s">
        <v>149</v>
      </c>
      <c r="D106" s="959" t="s">
        <v>930</v>
      </c>
      <c r="E106" s="567" t="s">
        <v>163</v>
      </c>
      <c r="F106" s="960" t="s">
        <v>188</v>
      </c>
      <c r="G106" s="567" t="s">
        <v>163</v>
      </c>
      <c r="H106" s="960" t="s">
        <v>427</v>
      </c>
      <c r="I106" s="275" t="s">
        <v>931</v>
      </c>
      <c r="J106" s="590"/>
      <c r="K106" s="590"/>
      <c r="L106" s="590"/>
      <c r="M106" s="375" t="str">
        <f t="shared" si="19"/>
        <v xml:space="preserve">Soluciones y Reingenieria de Software, S.A. de C.V  </v>
      </c>
      <c r="N106" s="959" t="s">
        <v>656</v>
      </c>
      <c r="O106" s="959" t="s">
        <v>656</v>
      </c>
      <c r="P106" s="959" t="s">
        <v>932</v>
      </c>
      <c r="Q106" s="962">
        <v>11800000</v>
      </c>
      <c r="R106" s="962">
        <f t="shared" si="22"/>
        <v>1888000</v>
      </c>
      <c r="S106" s="384">
        <f t="shared" si="18"/>
        <v>13688000</v>
      </c>
      <c r="T106" s="385">
        <v>0</v>
      </c>
      <c r="U106" s="384">
        <f t="shared" si="23"/>
        <v>0</v>
      </c>
      <c r="V106" s="962">
        <f t="shared" si="20"/>
        <v>13688000</v>
      </c>
      <c r="W106" s="963" t="s">
        <v>183</v>
      </c>
      <c r="X106" s="964">
        <v>43454</v>
      </c>
      <c r="Y106" s="960" t="s">
        <v>924</v>
      </c>
      <c r="Z106" s="964">
        <v>43454</v>
      </c>
      <c r="AA106" s="964">
        <v>43644</v>
      </c>
      <c r="AB106" s="959"/>
      <c r="AC106" s="959"/>
      <c r="AD106" s="960"/>
      <c r="AE106" s="959" t="s">
        <v>933</v>
      </c>
      <c r="AF106" s="963"/>
      <c r="AG106" s="963"/>
      <c r="AH106" s="963"/>
      <c r="AI106" s="963"/>
      <c r="AJ106" s="960"/>
      <c r="AK106" s="959"/>
      <c r="AL106" s="959"/>
      <c r="AM106" s="965"/>
      <c r="AN106" s="962"/>
      <c r="AO106" s="960" t="str">
        <f t="shared" ca="1" si="21"/>
        <v>MUERTO</v>
      </c>
      <c r="AP106" s="960"/>
      <c r="AQ106" s="960"/>
      <c r="AR106" s="960"/>
      <c r="AS106" s="960"/>
      <c r="AT106" s="960"/>
      <c r="AU106" s="967"/>
      <c r="AV106" s="965"/>
      <c r="AW106" s="959"/>
      <c r="AX106" s="968"/>
      <c r="AY106" s="965"/>
      <c r="AZ106" s="959"/>
      <c r="BA106" s="959" t="e">
        <f>VLOOKUP(I106,'[1] RFC'!$1:$1048576,2,0)</f>
        <v>#N/A</v>
      </c>
      <c r="BB106" s="969">
        <v>43439</v>
      </c>
      <c r="BC106" s="969">
        <v>43453</v>
      </c>
      <c r="BD106" s="969">
        <v>43460</v>
      </c>
      <c r="BE106" s="970">
        <v>43462</v>
      </c>
      <c r="BF106" s="969">
        <v>43465</v>
      </c>
      <c r="BG106" s="970" t="s">
        <v>934</v>
      </c>
      <c r="BH106" s="971" t="e">
        <f>NETWORKDAYS(BE106,BF106,#REF!)</f>
        <v>#REF!</v>
      </c>
      <c r="BI106" s="970" t="s">
        <v>934</v>
      </c>
      <c r="BJ106" s="970" t="s">
        <v>935</v>
      </c>
      <c r="BK106" s="970" t="s">
        <v>936</v>
      </c>
      <c r="BL106" s="969">
        <v>43483</v>
      </c>
      <c r="BM106" s="969">
        <v>43560</v>
      </c>
      <c r="BN106" s="969">
        <v>43560</v>
      </c>
      <c r="BO106" s="972">
        <v>43560</v>
      </c>
      <c r="BP106" s="970" t="s">
        <v>186</v>
      </c>
      <c r="BQ106" s="974" t="s">
        <v>900</v>
      </c>
    </row>
    <row r="107" spans="1:69" s="591" customFormat="1" ht="165" x14ac:dyDescent="0.25">
      <c r="A107" s="959" t="s">
        <v>937</v>
      </c>
      <c r="B107" s="960">
        <v>105</v>
      </c>
      <c r="C107" s="959" t="s">
        <v>149</v>
      </c>
      <c r="D107" s="959" t="s">
        <v>930</v>
      </c>
      <c r="E107" s="567" t="s">
        <v>163</v>
      </c>
      <c r="F107" s="960" t="s">
        <v>188</v>
      </c>
      <c r="G107" s="567" t="s">
        <v>163</v>
      </c>
      <c r="H107" s="960" t="s">
        <v>427</v>
      </c>
      <c r="I107" s="275" t="s">
        <v>938</v>
      </c>
      <c r="J107" s="590"/>
      <c r="K107" s="590"/>
      <c r="L107" s="590"/>
      <c r="M107" s="375" t="str">
        <f t="shared" si="19"/>
        <v xml:space="preserve">PEU Sinergia, S.A. de C.V.  </v>
      </c>
      <c r="N107" s="959" t="s">
        <v>656</v>
      </c>
      <c r="O107" s="959" t="s">
        <v>656</v>
      </c>
      <c r="P107" s="959" t="s">
        <v>939</v>
      </c>
      <c r="Q107" s="962">
        <v>3050000</v>
      </c>
      <c r="R107" s="962">
        <f t="shared" si="22"/>
        <v>488000</v>
      </c>
      <c r="S107" s="384">
        <f t="shared" si="18"/>
        <v>3538000</v>
      </c>
      <c r="T107" s="385">
        <v>0</v>
      </c>
      <c r="U107" s="384">
        <f t="shared" si="23"/>
        <v>0</v>
      </c>
      <c r="V107" s="962">
        <f t="shared" si="20"/>
        <v>3538000</v>
      </c>
      <c r="W107" s="963" t="s">
        <v>183</v>
      </c>
      <c r="X107" s="964">
        <v>43454</v>
      </c>
      <c r="Y107" s="984" t="s">
        <v>924</v>
      </c>
      <c r="Z107" s="964">
        <v>43454</v>
      </c>
      <c r="AA107" s="964">
        <v>43496</v>
      </c>
      <c r="AB107" s="959"/>
      <c r="AC107" s="959"/>
      <c r="AD107" s="960"/>
      <c r="AE107" s="959" t="s">
        <v>940</v>
      </c>
      <c r="AF107" s="963">
        <v>457500</v>
      </c>
      <c r="AG107" s="963" t="s">
        <v>941</v>
      </c>
      <c r="AH107" s="963">
        <v>1769000</v>
      </c>
      <c r="AI107" s="963"/>
      <c r="AJ107" s="960"/>
      <c r="AK107" s="959"/>
      <c r="AL107" s="959"/>
      <c r="AM107" s="965"/>
      <c r="AN107" s="962"/>
      <c r="AO107" s="960" t="str">
        <f t="shared" ca="1" si="21"/>
        <v>MUERTO</v>
      </c>
      <c r="AP107" s="960"/>
      <c r="AQ107" s="960"/>
      <c r="AR107" s="960"/>
      <c r="AS107" s="960"/>
      <c r="AT107" s="960"/>
      <c r="AU107" s="967"/>
      <c r="AV107" s="965"/>
      <c r="AW107" s="959"/>
      <c r="AX107" s="968"/>
      <c r="AY107" s="965"/>
      <c r="AZ107" s="959"/>
      <c r="BA107" s="959" t="e">
        <f>VLOOKUP(I107,'[1] RFC'!$1:$1048576,2,0)</f>
        <v>#N/A</v>
      </c>
      <c r="BB107" s="969">
        <v>43439</v>
      </c>
      <c r="BC107" s="969">
        <v>43453</v>
      </c>
      <c r="BD107" s="969">
        <v>43460</v>
      </c>
      <c r="BE107" s="970" t="s">
        <v>204</v>
      </c>
      <c r="BF107" s="970">
        <v>43461</v>
      </c>
      <c r="BG107" s="970" t="s">
        <v>942</v>
      </c>
      <c r="BH107" s="971" t="e">
        <f>NETWORKDAYS(BE107,BF107,#REF!)</f>
        <v>#VALUE!</v>
      </c>
      <c r="BI107" s="970" t="s">
        <v>942</v>
      </c>
      <c r="BJ107" s="970" t="s">
        <v>943</v>
      </c>
      <c r="BK107" s="970" t="s">
        <v>944</v>
      </c>
      <c r="BL107" s="969">
        <v>43475</v>
      </c>
      <c r="BM107" s="969">
        <v>43560</v>
      </c>
      <c r="BN107" s="969">
        <v>43560</v>
      </c>
      <c r="BO107" s="972" t="s">
        <v>205</v>
      </c>
      <c r="BP107" s="970" t="s">
        <v>186</v>
      </c>
      <c r="BQ107" s="974" t="s">
        <v>900</v>
      </c>
    </row>
    <row r="108" spans="1:69" s="591" customFormat="1" ht="105" x14ac:dyDescent="0.25">
      <c r="A108" s="959" t="s">
        <v>945</v>
      </c>
      <c r="B108" s="960">
        <v>106</v>
      </c>
      <c r="C108" s="959" t="s">
        <v>149</v>
      </c>
      <c r="D108" s="959" t="s">
        <v>930</v>
      </c>
      <c r="E108" s="567" t="s">
        <v>163</v>
      </c>
      <c r="F108" s="960" t="s">
        <v>188</v>
      </c>
      <c r="G108" s="567" t="s">
        <v>163</v>
      </c>
      <c r="H108" s="960" t="s">
        <v>427</v>
      </c>
      <c r="I108" s="275" t="s">
        <v>946</v>
      </c>
      <c r="J108" s="590"/>
      <c r="K108" s="590"/>
      <c r="L108" s="590"/>
      <c r="M108" s="375" t="str">
        <f t="shared" si="19"/>
        <v xml:space="preserve">Ingenieria Ambiental Roca, S.A. de C.V.  </v>
      </c>
      <c r="N108" s="959" t="s">
        <v>198</v>
      </c>
      <c r="O108" s="959" t="s">
        <v>947</v>
      </c>
      <c r="P108" s="959" t="s">
        <v>948</v>
      </c>
      <c r="Q108" s="962">
        <v>550000</v>
      </c>
      <c r="R108" s="962">
        <f t="shared" si="22"/>
        <v>88000</v>
      </c>
      <c r="S108" s="384">
        <f t="shared" si="18"/>
        <v>638000</v>
      </c>
      <c r="T108" s="385">
        <v>0</v>
      </c>
      <c r="U108" s="384">
        <f t="shared" si="23"/>
        <v>0</v>
      </c>
      <c r="V108" s="962">
        <f t="shared" si="20"/>
        <v>638000</v>
      </c>
      <c r="W108" s="963" t="s">
        <v>183</v>
      </c>
      <c r="X108" s="964">
        <v>43454</v>
      </c>
      <c r="Y108" s="984" t="s">
        <v>924</v>
      </c>
      <c r="Z108" s="964">
        <v>43454</v>
      </c>
      <c r="AA108" s="964">
        <v>43517</v>
      </c>
      <c r="AB108" s="959"/>
      <c r="AC108" s="959"/>
      <c r="AD108" s="960"/>
      <c r="AE108" s="959" t="s">
        <v>949</v>
      </c>
      <c r="AF108" s="963"/>
      <c r="AG108" s="963">
        <v>193965.51</v>
      </c>
      <c r="AH108" s="963"/>
      <c r="AI108" s="963" t="s">
        <v>941</v>
      </c>
      <c r="AJ108" s="960"/>
      <c r="AK108" s="959"/>
      <c r="AL108" s="959"/>
      <c r="AM108" s="965"/>
      <c r="AN108" s="962"/>
      <c r="AO108" s="960" t="str">
        <f t="shared" ca="1" si="21"/>
        <v>MUERTO</v>
      </c>
      <c r="AP108" s="960"/>
      <c r="AQ108" s="960"/>
      <c r="AR108" s="960"/>
      <c r="AS108" s="960"/>
      <c r="AT108" s="960"/>
      <c r="AU108" s="967"/>
      <c r="AV108" s="965"/>
      <c r="AW108" s="959"/>
      <c r="AX108" s="968"/>
      <c r="AY108" s="965"/>
      <c r="AZ108" s="959"/>
      <c r="BA108" s="959" t="e">
        <f>VLOOKUP(I108,'[1] RFC'!$1:$1048576,2,0)</f>
        <v>#N/A</v>
      </c>
      <c r="BB108" s="969">
        <v>43438</v>
      </c>
      <c r="BC108" s="969">
        <v>43453</v>
      </c>
      <c r="BD108" s="969">
        <v>43458</v>
      </c>
      <c r="BE108" s="970" t="s">
        <v>204</v>
      </c>
      <c r="BF108" s="969"/>
      <c r="BG108" s="970" t="s">
        <v>950</v>
      </c>
      <c r="BH108" s="971" t="e">
        <f>NETWORKDAYS(BE108,BF108,#REF!)</f>
        <v>#VALUE!</v>
      </c>
      <c r="BI108" s="970" t="s">
        <v>951</v>
      </c>
      <c r="BJ108" s="970" t="s">
        <v>952</v>
      </c>
      <c r="BK108" s="970" t="s">
        <v>953</v>
      </c>
      <c r="BL108" s="969">
        <v>43488</v>
      </c>
      <c r="BM108" s="969">
        <v>43560</v>
      </c>
      <c r="BN108" s="969">
        <v>43560</v>
      </c>
      <c r="BO108" s="972" t="s">
        <v>205</v>
      </c>
      <c r="BP108" s="970" t="s">
        <v>204</v>
      </c>
      <c r="BQ108" s="974"/>
    </row>
    <row r="109" spans="1:69" s="591" customFormat="1" ht="75" x14ac:dyDescent="0.25">
      <c r="A109" s="959" t="s">
        <v>954</v>
      </c>
      <c r="B109" s="960">
        <v>107</v>
      </c>
      <c r="C109" s="959" t="s">
        <v>149</v>
      </c>
      <c r="D109" s="959" t="s">
        <v>930</v>
      </c>
      <c r="E109" s="567" t="s">
        <v>163</v>
      </c>
      <c r="F109" s="960" t="s">
        <v>188</v>
      </c>
      <c r="G109" s="567" t="s">
        <v>163</v>
      </c>
      <c r="H109" s="960" t="s">
        <v>427</v>
      </c>
      <c r="I109" s="275" t="s">
        <v>946</v>
      </c>
      <c r="J109" s="590"/>
      <c r="K109" s="590"/>
      <c r="L109" s="590"/>
      <c r="M109" s="375" t="str">
        <f t="shared" si="19"/>
        <v xml:space="preserve">Ingenieria Ambiental Roca, S.A. de C.V.  </v>
      </c>
      <c r="N109" s="959" t="s">
        <v>198</v>
      </c>
      <c r="O109" s="959" t="s">
        <v>352</v>
      </c>
      <c r="P109" s="959" t="s">
        <v>955</v>
      </c>
      <c r="Q109" s="962">
        <v>1293103.45</v>
      </c>
      <c r="R109" s="962">
        <f t="shared" si="22"/>
        <v>206896.552</v>
      </c>
      <c r="S109" s="384">
        <f t="shared" si="18"/>
        <v>1500000.0019999999</v>
      </c>
      <c r="T109" s="385">
        <v>0</v>
      </c>
      <c r="U109" s="384">
        <f t="shared" si="23"/>
        <v>0</v>
      </c>
      <c r="V109" s="962">
        <f t="shared" si="20"/>
        <v>1500000.0019999999</v>
      </c>
      <c r="W109" s="963" t="s">
        <v>156</v>
      </c>
      <c r="X109" s="964">
        <v>43454</v>
      </c>
      <c r="Y109" s="960" t="s">
        <v>924</v>
      </c>
      <c r="Z109" s="964">
        <v>43454</v>
      </c>
      <c r="AA109" s="964">
        <v>43465</v>
      </c>
      <c r="AB109" s="959"/>
      <c r="AC109" s="959"/>
      <c r="AD109" s="960"/>
      <c r="AE109" s="959" t="s">
        <v>956</v>
      </c>
      <c r="AF109" s="963">
        <v>193965.51</v>
      </c>
      <c r="AG109" s="963">
        <v>82500</v>
      </c>
      <c r="AH109" s="963"/>
      <c r="AI109" s="963"/>
      <c r="AJ109" s="960"/>
      <c r="AK109" s="959"/>
      <c r="AL109" s="959"/>
      <c r="AM109" s="965"/>
      <c r="AN109" s="962"/>
      <c r="AO109" s="960" t="str">
        <f t="shared" ca="1" si="21"/>
        <v>MUERTO</v>
      </c>
      <c r="AP109" s="960"/>
      <c r="AQ109" s="960"/>
      <c r="AR109" s="960"/>
      <c r="AS109" s="960"/>
      <c r="AT109" s="960"/>
      <c r="AU109" s="967"/>
      <c r="AV109" s="965"/>
      <c r="AW109" s="959"/>
      <c r="AX109" s="968"/>
      <c r="AY109" s="965"/>
      <c r="AZ109" s="959"/>
      <c r="BA109" s="959" t="e">
        <f>VLOOKUP(I109,'[1] RFC'!$1:$1048576,2,0)</f>
        <v>#N/A</v>
      </c>
      <c r="BB109" s="969">
        <v>43438</v>
      </c>
      <c r="BC109" s="969">
        <v>43453</v>
      </c>
      <c r="BD109" s="969">
        <v>43460</v>
      </c>
      <c r="BE109" s="970" t="s">
        <v>204</v>
      </c>
      <c r="BF109" s="969"/>
      <c r="BG109" s="970" t="s">
        <v>957</v>
      </c>
      <c r="BH109" s="971" t="e">
        <f>NETWORKDAYS(BE109,BF109,#REF!)</f>
        <v>#VALUE!</v>
      </c>
      <c r="BI109" s="970" t="s">
        <v>958</v>
      </c>
      <c r="BJ109" s="970" t="s">
        <v>959</v>
      </c>
      <c r="BK109" s="970" t="s">
        <v>960</v>
      </c>
      <c r="BL109" s="969">
        <v>43497</v>
      </c>
      <c r="BM109" s="969">
        <v>43560</v>
      </c>
      <c r="BN109" s="969">
        <v>43560</v>
      </c>
      <c r="BO109" s="972" t="s">
        <v>205</v>
      </c>
      <c r="BP109" s="970" t="s">
        <v>204</v>
      </c>
      <c r="BQ109" s="974"/>
    </row>
    <row r="110" spans="1:69" s="591" customFormat="1" ht="180" x14ac:dyDescent="0.25">
      <c r="A110" s="959" t="s">
        <v>961</v>
      </c>
      <c r="B110" s="960">
        <v>108</v>
      </c>
      <c r="C110" s="959" t="s">
        <v>225</v>
      </c>
      <c r="D110" s="959" t="s">
        <v>930</v>
      </c>
      <c r="E110" s="567" t="s">
        <v>163</v>
      </c>
      <c r="F110" s="960" t="s">
        <v>188</v>
      </c>
      <c r="G110" s="567" t="s">
        <v>163</v>
      </c>
      <c r="H110" s="960" t="s">
        <v>427</v>
      </c>
      <c r="I110" s="275" t="s">
        <v>962</v>
      </c>
      <c r="J110" s="590"/>
      <c r="K110" s="590"/>
      <c r="L110" s="590"/>
      <c r="M110" s="375" t="str">
        <f t="shared" si="19"/>
        <v xml:space="preserve">Sictel Soluciones TU, S.A. de C.V.  </v>
      </c>
      <c r="N110" s="959" t="s">
        <v>656</v>
      </c>
      <c r="O110" s="959" t="s">
        <v>656</v>
      </c>
      <c r="P110" s="959" t="s">
        <v>963</v>
      </c>
      <c r="Q110" s="962">
        <v>12800000</v>
      </c>
      <c r="R110" s="962">
        <f t="shared" si="22"/>
        <v>2048000</v>
      </c>
      <c r="S110" s="384">
        <f t="shared" si="18"/>
        <v>14848000</v>
      </c>
      <c r="T110" s="385">
        <v>0</v>
      </c>
      <c r="U110" s="384">
        <f t="shared" si="23"/>
        <v>0</v>
      </c>
      <c r="V110" s="962">
        <f t="shared" si="20"/>
        <v>14848000</v>
      </c>
      <c r="W110" s="963" t="s">
        <v>183</v>
      </c>
      <c r="X110" s="964">
        <v>43454</v>
      </c>
      <c r="Y110" s="960" t="s">
        <v>924</v>
      </c>
      <c r="Z110" s="964">
        <v>43819</v>
      </c>
      <c r="AA110" s="964">
        <v>43555</v>
      </c>
      <c r="AB110" s="959"/>
      <c r="AC110" s="959"/>
      <c r="AD110" s="960"/>
      <c r="AE110" s="959" t="s">
        <v>933</v>
      </c>
      <c r="AF110" s="963">
        <v>1920000</v>
      </c>
      <c r="AG110" s="963">
        <v>1280000</v>
      </c>
      <c r="AH110" s="963">
        <v>7424000</v>
      </c>
      <c r="AI110" s="963">
        <v>1484800</v>
      </c>
      <c r="AJ110" s="960" t="s">
        <v>183</v>
      </c>
      <c r="AK110" s="959"/>
      <c r="AL110" s="959"/>
      <c r="AM110" s="965"/>
      <c r="AN110" s="962"/>
      <c r="AO110" s="960" t="str">
        <f t="shared" ca="1" si="21"/>
        <v>MUERTO</v>
      </c>
      <c r="AP110" s="960"/>
      <c r="AQ110" s="960"/>
      <c r="AR110" s="960"/>
      <c r="AS110" s="960"/>
      <c r="AT110" s="960"/>
      <c r="AU110" s="967"/>
      <c r="AV110" s="965"/>
      <c r="AW110" s="959"/>
      <c r="AX110" s="968"/>
      <c r="AY110" s="965"/>
      <c r="AZ110" s="959"/>
      <c r="BA110" s="959" t="e">
        <f>VLOOKUP(I110,'[1] RFC'!$1:$1048576,2,0)</f>
        <v>#N/A</v>
      </c>
      <c r="BB110" s="969">
        <v>43439</v>
      </c>
      <c r="BC110" s="969">
        <v>43453</v>
      </c>
      <c r="BD110" s="969">
        <v>43460</v>
      </c>
      <c r="BE110" s="970" t="s">
        <v>204</v>
      </c>
      <c r="BF110" s="969"/>
      <c r="BG110" s="970" t="s">
        <v>964</v>
      </c>
      <c r="BH110" s="971" t="e">
        <f>NETWORKDAYS(BE110,BF110,#REF!)</f>
        <v>#VALUE!</v>
      </c>
      <c r="BI110" s="970" t="s">
        <v>965</v>
      </c>
      <c r="BJ110" s="970" t="s">
        <v>966</v>
      </c>
      <c r="BK110" s="970" t="s">
        <v>967</v>
      </c>
      <c r="BL110" s="969">
        <v>43490</v>
      </c>
      <c r="BM110" s="969">
        <v>43560</v>
      </c>
      <c r="BN110" s="969">
        <v>43560</v>
      </c>
      <c r="BO110" s="972">
        <v>43545</v>
      </c>
      <c r="BP110" s="970" t="s">
        <v>186</v>
      </c>
      <c r="BQ110" s="974" t="s">
        <v>900</v>
      </c>
    </row>
    <row r="111" spans="1:69" s="591" customFormat="1" ht="105" x14ac:dyDescent="0.25">
      <c r="A111" s="959" t="s">
        <v>968</v>
      </c>
      <c r="B111" s="960">
        <v>109</v>
      </c>
      <c r="C111" s="959" t="s">
        <v>149</v>
      </c>
      <c r="D111" s="959" t="s">
        <v>930</v>
      </c>
      <c r="E111" s="567" t="s">
        <v>163</v>
      </c>
      <c r="F111" s="960" t="s">
        <v>188</v>
      </c>
      <c r="G111" s="567" t="s">
        <v>163</v>
      </c>
      <c r="H111" s="960" t="s">
        <v>427</v>
      </c>
      <c r="I111" s="275" t="s">
        <v>969</v>
      </c>
      <c r="J111" s="590"/>
      <c r="K111" s="590"/>
      <c r="L111" s="590"/>
      <c r="M111" s="375" t="str">
        <f t="shared" si="19"/>
        <v xml:space="preserve">Ingeniería en Aislamientos Térmicos Aplicación y Venta, S.A. de C.V.  </v>
      </c>
      <c r="N111" s="959" t="s">
        <v>198</v>
      </c>
      <c r="O111" s="959" t="s">
        <v>970</v>
      </c>
      <c r="P111" s="959" t="s">
        <v>971</v>
      </c>
      <c r="Q111" s="962">
        <v>3700000</v>
      </c>
      <c r="R111" s="962">
        <f t="shared" si="22"/>
        <v>592000</v>
      </c>
      <c r="S111" s="384">
        <f t="shared" si="18"/>
        <v>4292000</v>
      </c>
      <c r="T111" s="385">
        <v>0</v>
      </c>
      <c r="U111" s="384">
        <f t="shared" si="23"/>
        <v>0</v>
      </c>
      <c r="V111" s="962">
        <f t="shared" si="20"/>
        <v>4292000</v>
      </c>
      <c r="W111" s="963" t="s">
        <v>183</v>
      </c>
      <c r="X111" s="964">
        <v>43454</v>
      </c>
      <c r="Y111" s="960" t="s">
        <v>924</v>
      </c>
      <c r="Z111" s="964">
        <v>43455</v>
      </c>
      <c r="AA111" s="964">
        <v>43517</v>
      </c>
      <c r="AB111" s="959"/>
      <c r="AC111" s="959"/>
      <c r="AD111" s="960"/>
      <c r="AE111" s="959" t="s">
        <v>949</v>
      </c>
      <c r="AF111" s="963">
        <v>555000</v>
      </c>
      <c r="AG111" s="963">
        <v>555000</v>
      </c>
      <c r="AH111" s="963">
        <v>2146000</v>
      </c>
      <c r="AI111" s="963"/>
      <c r="AJ111" s="960"/>
      <c r="AK111" s="959"/>
      <c r="AL111" s="959"/>
      <c r="AM111" s="965"/>
      <c r="AN111" s="962"/>
      <c r="AO111" s="960" t="str">
        <f t="shared" ca="1" si="21"/>
        <v>MUERTO</v>
      </c>
      <c r="AP111" s="960"/>
      <c r="AQ111" s="960"/>
      <c r="AR111" s="960"/>
      <c r="AS111" s="960"/>
      <c r="AT111" s="960"/>
      <c r="AU111" s="967"/>
      <c r="AV111" s="965"/>
      <c r="AW111" s="959"/>
      <c r="AX111" s="968"/>
      <c r="AY111" s="965"/>
      <c r="AZ111" s="959"/>
      <c r="BA111" s="959" t="e">
        <f>VLOOKUP(I111,'[1] RFC'!$1:$1048576,2,0)</f>
        <v>#N/A</v>
      </c>
      <c r="BB111" s="969">
        <v>43432</v>
      </c>
      <c r="BC111" s="969">
        <v>43453</v>
      </c>
      <c r="BD111" s="969">
        <v>43460</v>
      </c>
      <c r="BE111" s="970" t="s">
        <v>204</v>
      </c>
      <c r="BF111" s="969"/>
      <c r="BG111" s="970" t="s">
        <v>972</v>
      </c>
      <c r="BH111" s="971" t="e">
        <f>NETWORKDAYS(BE111,BF111,#REF!)</f>
        <v>#VALUE!</v>
      </c>
      <c r="BI111" s="970" t="s">
        <v>973</v>
      </c>
      <c r="BJ111" s="970" t="s">
        <v>974</v>
      </c>
      <c r="BK111" s="970" t="s">
        <v>975</v>
      </c>
      <c r="BL111" s="969">
        <v>43557</v>
      </c>
      <c r="BM111" s="969">
        <v>43560</v>
      </c>
      <c r="BN111" s="969">
        <v>43560</v>
      </c>
      <c r="BO111" s="972" t="s">
        <v>205</v>
      </c>
      <c r="BP111" s="970" t="s">
        <v>204</v>
      </c>
      <c r="BQ111" s="974"/>
    </row>
    <row r="112" spans="1:69" s="591" customFormat="1" ht="195" x14ac:dyDescent="0.25">
      <c r="A112" s="959" t="s">
        <v>976</v>
      </c>
      <c r="B112" s="960">
        <v>110</v>
      </c>
      <c r="C112" s="959" t="s">
        <v>225</v>
      </c>
      <c r="D112" s="959" t="s">
        <v>930</v>
      </c>
      <c r="E112" s="567" t="s">
        <v>163</v>
      </c>
      <c r="F112" s="960" t="s">
        <v>188</v>
      </c>
      <c r="G112" s="567" t="s">
        <v>163</v>
      </c>
      <c r="H112" s="960" t="s">
        <v>427</v>
      </c>
      <c r="I112" s="275" t="s">
        <v>977</v>
      </c>
      <c r="J112" s="590"/>
      <c r="K112" s="590"/>
      <c r="L112" s="590"/>
      <c r="M112" s="375" t="str">
        <f t="shared" si="19"/>
        <v xml:space="preserve">Technologit Group de México, S.A. de C.V.  </v>
      </c>
      <c r="N112" s="959" t="s">
        <v>656</v>
      </c>
      <c r="O112" s="959" t="s">
        <v>656</v>
      </c>
      <c r="P112" s="959" t="s">
        <v>978</v>
      </c>
      <c r="Q112" s="962">
        <v>13800000</v>
      </c>
      <c r="R112" s="962">
        <f t="shared" si="22"/>
        <v>2208000</v>
      </c>
      <c r="S112" s="384">
        <f t="shared" si="18"/>
        <v>16008000</v>
      </c>
      <c r="T112" s="385">
        <v>0</v>
      </c>
      <c r="U112" s="384">
        <f t="shared" si="23"/>
        <v>0</v>
      </c>
      <c r="V112" s="962">
        <f t="shared" si="20"/>
        <v>16008000</v>
      </c>
      <c r="W112" s="963" t="s">
        <v>183</v>
      </c>
      <c r="X112" s="964">
        <v>43454</v>
      </c>
      <c r="Y112" s="960" t="s">
        <v>924</v>
      </c>
      <c r="Z112" s="964">
        <v>43454</v>
      </c>
      <c r="AA112" s="964">
        <v>43524</v>
      </c>
      <c r="AB112" s="959"/>
      <c r="AC112" s="959"/>
      <c r="AD112" s="960"/>
      <c r="AE112" s="959" t="s">
        <v>979</v>
      </c>
      <c r="AF112" s="963"/>
      <c r="AG112" s="963"/>
      <c r="AH112" s="963"/>
      <c r="AI112" s="963"/>
      <c r="AJ112" s="960"/>
      <c r="AK112" s="959"/>
      <c r="AL112" s="959"/>
      <c r="AM112" s="965"/>
      <c r="AN112" s="962"/>
      <c r="AO112" s="960" t="str">
        <f t="shared" ca="1" si="21"/>
        <v>MUERTO</v>
      </c>
      <c r="AP112" s="960"/>
      <c r="AQ112" s="960"/>
      <c r="AR112" s="960"/>
      <c r="AS112" s="960"/>
      <c r="AT112" s="960"/>
      <c r="AU112" s="967"/>
      <c r="AV112" s="965"/>
      <c r="AW112" s="959"/>
      <c r="AX112" s="968"/>
      <c r="AY112" s="965"/>
      <c r="AZ112" s="959"/>
      <c r="BA112" s="959" t="e">
        <f>VLOOKUP(I112,'[1] RFC'!$1:$1048576,2,0)</f>
        <v>#N/A</v>
      </c>
      <c r="BB112" s="969">
        <v>43440</v>
      </c>
      <c r="BC112" s="969">
        <v>43453</v>
      </c>
      <c r="BD112" s="969">
        <v>43460</v>
      </c>
      <c r="BE112" s="970" t="s">
        <v>204</v>
      </c>
      <c r="BF112" s="969"/>
      <c r="BG112" s="970" t="s">
        <v>980</v>
      </c>
      <c r="BH112" s="971" t="e">
        <f>NETWORKDAYS(BE112,BF112,#REF!)</f>
        <v>#VALUE!</v>
      </c>
      <c r="BI112" s="970" t="s">
        <v>981</v>
      </c>
      <c r="BJ112" s="970" t="s">
        <v>982</v>
      </c>
      <c r="BK112" s="970" t="s">
        <v>983</v>
      </c>
      <c r="BL112" s="969">
        <v>43473</v>
      </c>
      <c r="BM112" s="969">
        <v>43475</v>
      </c>
      <c r="BN112" s="969">
        <v>43475</v>
      </c>
      <c r="BO112" s="972">
        <v>43543</v>
      </c>
      <c r="BP112" s="970" t="s">
        <v>186</v>
      </c>
      <c r="BQ112" s="974" t="s">
        <v>900</v>
      </c>
    </row>
    <row r="113" spans="1:69" s="591" customFormat="1" ht="60" x14ac:dyDescent="0.25">
      <c r="A113" s="959" t="s">
        <v>984</v>
      </c>
      <c r="B113" s="960">
        <v>111</v>
      </c>
      <c r="C113" s="959" t="s">
        <v>225</v>
      </c>
      <c r="D113" s="959" t="s">
        <v>985</v>
      </c>
      <c r="E113" s="4" t="s">
        <v>173</v>
      </c>
      <c r="F113" s="960" t="s">
        <v>326</v>
      </c>
      <c r="G113" s="567"/>
      <c r="H113" s="960" t="s">
        <v>175</v>
      </c>
      <c r="I113" s="275" t="s">
        <v>986</v>
      </c>
      <c r="J113" s="590"/>
      <c r="K113" s="590"/>
      <c r="L113" s="590"/>
      <c r="M113" s="375" t="str">
        <f t="shared" si="19"/>
        <v xml:space="preserve">Intercable, S.A. de C.V.  </v>
      </c>
      <c r="N113" s="959" t="s">
        <v>860</v>
      </c>
      <c r="O113" s="959" t="s">
        <v>861</v>
      </c>
      <c r="P113" s="959" t="s">
        <v>987</v>
      </c>
      <c r="Q113" s="962">
        <v>15580879.65</v>
      </c>
      <c r="R113" s="962">
        <f t="shared" si="22"/>
        <v>2492940.7439999999</v>
      </c>
      <c r="S113" s="384">
        <f t="shared" si="18"/>
        <v>18073820.394000001</v>
      </c>
      <c r="T113" s="385">
        <v>0</v>
      </c>
      <c r="U113" s="384">
        <f t="shared" si="23"/>
        <v>0</v>
      </c>
      <c r="V113" s="962">
        <f t="shared" si="20"/>
        <v>18073820.394000001</v>
      </c>
      <c r="W113" s="963" t="s">
        <v>156</v>
      </c>
      <c r="X113" s="964">
        <v>43455</v>
      </c>
      <c r="Y113" s="960" t="s">
        <v>924</v>
      </c>
      <c r="Z113" s="964">
        <v>43455</v>
      </c>
      <c r="AA113" s="964">
        <v>43465</v>
      </c>
      <c r="AB113" s="959"/>
      <c r="AC113" s="959"/>
      <c r="AD113" s="960"/>
      <c r="AE113" s="959" t="s">
        <v>182</v>
      </c>
      <c r="AF113" s="963"/>
      <c r="AG113" s="963"/>
      <c r="AH113" s="963"/>
      <c r="AI113" s="963"/>
      <c r="AJ113" s="960" t="s">
        <v>156</v>
      </c>
      <c r="AK113" s="959" t="s">
        <v>988</v>
      </c>
      <c r="AL113" s="959" t="s">
        <v>989</v>
      </c>
      <c r="AM113" s="965">
        <v>43465</v>
      </c>
      <c r="AN113" s="962">
        <v>0</v>
      </c>
      <c r="AO113" s="960" t="str">
        <f t="shared" ca="1" si="21"/>
        <v>MUERTO</v>
      </c>
      <c r="AP113" s="960"/>
      <c r="AQ113" s="960"/>
      <c r="AR113" s="960" t="s">
        <v>914</v>
      </c>
      <c r="AS113" s="960"/>
      <c r="AT113" s="960"/>
      <c r="AU113" s="967"/>
      <c r="AV113" s="965"/>
      <c r="AW113" s="959"/>
      <c r="AX113" s="968"/>
      <c r="AY113" s="965"/>
      <c r="AZ113" s="959"/>
      <c r="BA113" s="959" t="e">
        <f>VLOOKUP(I113,'[1] RFC'!$1:$1048576,2,0)</f>
        <v>#N/A</v>
      </c>
      <c r="BB113" s="969">
        <v>43454</v>
      </c>
      <c r="BC113" s="969">
        <v>43454</v>
      </c>
      <c r="BD113" s="969">
        <v>43461</v>
      </c>
      <c r="BE113" s="970">
        <v>43462</v>
      </c>
      <c r="BF113" s="969">
        <v>43472</v>
      </c>
      <c r="BG113" s="969">
        <v>43472</v>
      </c>
      <c r="BH113" s="971" t="e">
        <f>NETWORKDAYS(BE113,BF113,#REF!)</f>
        <v>#REF!</v>
      </c>
      <c r="BI113" s="969">
        <v>43472</v>
      </c>
      <c r="BJ113" s="969">
        <v>43481</v>
      </c>
      <c r="BK113" s="969" t="s">
        <v>479</v>
      </c>
      <c r="BL113" s="969">
        <v>43509</v>
      </c>
      <c r="BM113" s="969">
        <v>43509</v>
      </c>
      <c r="BN113" s="969">
        <v>43509</v>
      </c>
      <c r="BO113" s="972">
        <v>43592</v>
      </c>
      <c r="BP113" s="970">
        <v>43509</v>
      </c>
      <c r="BQ113" s="974"/>
    </row>
    <row r="114" spans="1:69" s="591" customFormat="1" ht="105" x14ac:dyDescent="0.25">
      <c r="A114" s="959" t="s">
        <v>990</v>
      </c>
      <c r="B114" s="960">
        <v>112</v>
      </c>
      <c r="C114" s="959" t="s">
        <v>149</v>
      </c>
      <c r="D114" s="959"/>
      <c r="E114" s="567" t="s">
        <v>163</v>
      </c>
      <c r="F114" s="960" t="s">
        <v>991</v>
      </c>
      <c r="G114" s="567" t="s">
        <v>163</v>
      </c>
      <c r="H114" s="567" t="s">
        <v>163</v>
      </c>
      <c r="I114" s="275" t="s">
        <v>636</v>
      </c>
      <c r="J114" s="590"/>
      <c r="K114" s="590"/>
      <c r="L114" s="590"/>
      <c r="M114" s="375" t="str">
        <f t="shared" si="19"/>
        <v xml:space="preserve">Full Service de México, S.A. de C.V.  </v>
      </c>
      <c r="N114" s="959" t="s">
        <v>637</v>
      </c>
      <c r="O114" s="959" t="s">
        <v>992</v>
      </c>
      <c r="P114" s="959" t="s">
        <v>993</v>
      </c>
      <c r="Q114" s="962">
        <v>1848000</v>
      </c>
      <c r="R114" s="962">
        <f t="shared" si="22"/>
        <v>295680</v>
      </c>
      <c r="S114" s="384">
        <f t="shared" si="18"/>
        <v>2143680</v>
      </c>
      <c r="T114" s="385">
        <v>0</v>
      </c>
      <c r="U114" s="384">
        <f t="shared" si="23"/>
        <v>0</v>
      </c>
      <c r="V114" s="962">
        <f t="shared" si="20"/>
        <v>2143680</v>
      </c>
      <c r="W114" s="963" t="s">
        <v>156</v>
      </c>
      <c r="X114" s="964">
        <v>43830</v>
      </c>
      <c r="Y114" s="960" t="s">
        <v>924</v>
      </c>
      <c r="Z114" s="964">
        <v>43466</v>
      </c>
      <c r="AA114" s="964">
        <v>43830</v>
      </c>
      <c r="AB114" s="959"/>
      <c r="AC114" s="959"/>
      <c r="AD114" s="960"/>
      <c r="AE114" s="959" t="s">
        <v>582</v>
      </c>
      <c r="AF114" s="963"/>
      <c r="AG114" s="963"/>
      <c r="AH114" s="963"/>
      <c r="AI114" s="963"/>
      <c r="AJ114" s="960" t="s">
        <v>156</v>
      </c>
      <c r="AK114" s="959"/>
      <c r="AL114" s="959"/>
      <c r="AM114" s="965"/>
      <c r="AN114" s="962"/>
      <c r="AO114" s="960" t="str">
        <f t="shared" ca="1" si="21"/>
        <v>MUERTO</v>
      </c>
      <c r="AP114" s="960"/>
      <c r="AQ114" s="960"/>
      <c r="AR114" s="960"/>
      <c r="AS114" s="960"/>
      <c r="AT114" s="960"/>
      <c r="AU114" s="967"/>
      <c r="AV114" s="965"/>
      <c r="AW114" s="959"/>
      <c r="AX114" s="968"/>
      <c r="AY114" s="965"/>
      <c r="AZ114" s="959"/>
      <c r="BA114" s="959" t="str">
        <f>VLOOKUP(I114,'[1] RFC'!$1:$1048576,2,0)</f>
        <v>FSM9302165A5</v>
      </c>
      <c r="BB114" s="969">
        <v>43448</v>
      </c>
      <c r="BC114" s="969">
        <v>43461</v>
      </c>
      <c r="BD114" s="969">
        <v>43465</v>
      </c>
      <c r="BE114" s="970">
        <v>43474</v>
      </c>
      <c r="BF114" s="969">
        <v>43516</v>
      </c>
      <c r="BG114" s="970" t="s">
        <v>994</v>
      </c>
      <c r="BH114" s="971" t="e">
        <f>NETWORKDAYS(BE114,BF114,#REF!)</f>
        <v>#REF!</v>
      </c>
      <c r="BI114" s="970" t="s">
        <v>995</v>
      </c>
      <c r="BJ114" s="970" t="s">
        <v>996</v>
      </c>
      <c r="BK114" s="970" t="s">
        <v>997</v>
      </c>
      <c r="BL114" s="969">
        <v>43531</v>
      </c>
      <c r="BM114" s="969">
        <v>43504</v>
      </c>
      <c r="BN114" s="969">
        <v>43487</v>
      </c>
      <c r="BO114" s="972">
        <v>43518</v>
      </c>
      <c r="BP114" s="970">
        <v>43504</v>
      </c>
      <c r="BQ114" s="974" t="s">
        <v>900</v>
      </c>
    </row>
    <row r="115" spans="1:69" s="591" customFormat="1" ht="120" x14ac:dyDescent="0.25">
      <c r="A115" s="959" t="s">
        <v>998</v>
      </c>
      <c r="B115" s="960">
        <v>113</v>
      </c>
      <c r="C115" s="959" t="s">
        <v>149</v>
      </c>
      <c r="D115" s="959"/>
      <c r="E115" s="567" t="s">
        <v>163</v>
      </c>
      <c r="F115" s="960" t="s">
        <v>568</v>
      </c>
      <c r="G115" s="960" t="s">
        <v>546</v>
      </c>
      <c r="H115" s="960" t="s">
        <v>546</v>
      </c>
      <c r="I115" s="275" t="s">
        <v>999</v>
      </c>
      <c r="J115" s="590"/>
      <c r="K115" s="590"/>
      <c r="L115" s="590"/>
      <c r="M115" s="375" t="str">
        <f t="shared" si="19"/>
        <v xml:space="preserve">Teléfonos México, S.A.B. de C.V.  </v>
      </c>
      <c r="N115" s="959" t="s">
        <v>209</v>
      </c>
      <c r="O115" s="959" t="s">
        <v>1000</v>
      </c>
      <c r="P115" s="959" t="s">
        <v>1001</v>
      </c>
      <c r="Q115" s="962">
        <v>3892241.38</v>
      </c>
      <c r="R115" s="962">
        <f t="shared" si="22"/>
        <v>622758.62080000003</v>
      </c>
      <c r="S115" s="384">
        <f t="shared" si="18"/>
        <v>4515000.0007999996</v>
      </c>
      <c r="T115" s="385">
        <v>500000</v>
      </c>
      <c r="U115" s="384">
        <f t="shared" si="23"/>
        <v>580000</v>
      </c>
      <c r="V115" s="962">
        <f t="shared" si="20"/>
        <v>4515000.0007999996</v>
      </c>
      <c r="W115" s="963" t="s">
        <v>156</v>
      </c>
      <c r="X115" s="964">
        <v>43830</v>
      </c>
      <c r="Y115" s="960" t="s">
        <v>924</v>
      </c>
      <c r="Z115" s="964">
        <v>43466</v>
      </c>
      <c r="AA115" s="964">
        <v>43830</v>
      </c>
      <c r="AB115" s="959"/>
      <c r="AC115" s="959"/>
      <c r="AD115" s="960"/>
      <c r="AE115" s="959" t="s">
        <v>1002</v>
      </c>
      <c r="AF115" s="963"/>
      <c r="AG115" s="963"/>
      <c r="AH115" s="963"/>
      <c r="AI115" s="963"/>
      <c r="AJ115" s="960" t="s">
        <v>156</v>
      </c>
      <c r="AK115" s="959"/>
      <c r="AL115" s="959"/>
      <c r="AM115" s="965"/>
      <c r="AN115" s="962"/>
      <c r="AO115" s="960" t="str">
        <f t="shared" ca="1" si="21"/>
        <v>MUERTO</v>
      </c>
      <c r="AP115" s="960"/>
      <c r="AQ115" s="960"/>
      <c r="AR115" s="960"/>
      <c r="AS115" s="960"/>
      <c r="AT115" s="960"/>
      <c r="AU115" s="967"/>
      <c r="AV115" s="965"/>
      <c r="AW115" s="959"/>
      <c r="AX115" s="968"/>
      <c r="AY115" s="965"/>
      <c r="AZ115" s="959"/>
      <c r="BA115" s="959" t="e">
        <f>VLOOKUP(I115,'[1] RFC'!$1:$1048576,2,0)</f>
        <v>#N/A</v>
      </c>
      <c r="BB115" s="969">
        <v>43445</v>
      </c>
      <c r="BC115" s="969">
        <v>43461</v>
      </c>
      <c r="BD115" s="969">
        <v>43465</v>
      </c>
      <c r="BE115" s="970">
        <v>43481</v>
      </c>
      <c r="BF115" s="969">
        <v>43577</v>
      </c>
      <c r="BG115" s="970" t="s">
        <v>1003</v>
      </c>
      <c r="BH115" s="971" t="e">
        <f>NETWORKDAYS(BE115,BF115,#REF!)</f>
        <v>#REF!</v>
      </c>
      <c r="BI115" s="970" t="s">
        <v>1004</v>
      </c>
      <c r="BJ115" s="970" t="s">
        <v>1005</v>
      </c>
      <c r="BK115" s="970" t="s">
        <v>1006</v>
      </c>
      <c r="BL115" s="969">
        <v>43600</v>
      </c>
      <c r="BM115" s="969">
        <v>43557</v>
      </c>
      <c r="BN115" s="969">
        <v>43557</v>
      </c>
      <c r="BO115" s="972">
        <v>43559</v>
      </c>
      <c r="BP115" s="970" t="s">
        <v>186</v>
      </c>
      <c r="BQ115" s="974"/>
    </row>
    <row r="116" spans="1:69" s="591" customFormat="1" ht="90" x14ac:dyDescent="0.25">
      <c r="A116" s="959" t="s">
        <v>1007</v>
      </c>
      <c r="B116" s="960">
        <v>114</v>
      </c>
      <c r="C116" s="959" t="s">
        <v>149</v>
      </c>
      <c r="D116" s="959"/>
      <c r="E116" s="567" t="s">
        <v>163</v>
      </c>
      <c r="F116" s="960" t="s">
        <v>568</v>
      </c>
      <c r="G116" s="960" t="s">
        <v>546</v>
      </c>
      <c r="H116" s="985" t="s">
        <v>546</v>
      </c>
      <c r="I116" s="275" t="s">
        <v>1008</v>
      </c>
      <c r="J116" s="590"/>
      <c r="K116" s="590"/>
      <c r="L116" s="590"/>
      <c r="M116" s="375" t="str">
        <f t="shared" si="19"/>
        <v xml:space="preserve">Dhimex Ciudad de México, S.A. de C.V.  </v>
      </c>
      <c r="N116" s="959" t="s">
        <v>1009</v>
      </c>
      <c r="O116" s="959" t="s">
        <v>416</v>
      </c>
      <c r="P116" s="959" t="s">
        <v>1010</v>
      </c>
      <c r="Q116" s="962">
        <v>1913054.39</v>
      </c>
      <c r="R116" s="962">
        <f t="shared" si="22"/>
        <v>306088.70240000001</v>
      </c>
      <c r="S116" s="384">
        <f t="shared" si="18"/>
        <v>2219143.0924</v>
      </c>
      <c r="T116" s="385">
        <v>1113054.3899999999</v>
      </c>
      <c r="U116" s="384">
        <f t="shared" si="23"/>
        <v>1291143.0924</v>
      </c>
      <c r="V116" s="962">
        <f t="shared" si="20"/>
        <v>2219143.0924</v>
      </c>
      <c r="W116" s="963" t="s">
        <v>156</v>
      </c>
      <c r="X116" s="964">
        <v>43465</v>
      </c>
      <c r="Y116" s="960" t="s">
        <v>924</v>
      </c>
      <c r="Z116" s="964">
        <v>43466</v>
      </c>
      <c r="AA116" s="964">
        <v>43830</v>
      </c>
      <c r="AB116" s="959"/>
      <c r="AC116" s="959"/>
      <c r="AD116" s="960"/>
      <c r="AE116" s="959" t="s">
        <v>582</v>
      </c>
      <c r="AF116" s="963"/>
      <c r="AG116" s="963"/>
      <c r="AH116" s="963"/>
      <c r="AI116" s="963"/>
      <c r="AJ116" s="960" t="s">
        <v>156</v>
      </c>
      <c r="AK116" s="959"/>
      <c r="AL116" s="959"/>
      <c r="AM116" s="965"/>
      <c r="AN116" s="962"/>
      <c r="AO116" s="960" t="str">
        <f t="shared" ca="1" si="21"/>
        <v>MUERTO</v>
      </c>
      <c r="AP116" s="960"/>
      <c r="AQ116" s="960"/>
      <c r="AR116" s="960"/>
      <c r="AS116" s="960"/>
      <c r="AT116" s="960"/>
      <c r="AU116" s="967"/>
      <c r="AV116" s="965"/>
      <c r="AW116" s="959"/>
      <c r="AX116" s="968"/>
      <c r="AY116" s="965"/>
      <c r="AZ116" s="959"/>
      <c r="BA116" s="959" t="str">
        <f>VLOOKUP(I116,'[1] RFC'!$1:$1048576,2,0)</f>
        <v>DCM060704I30</v>
      </c>
      <c r="BB116" s="969">
        <v>43439</v>
      </c>
      <c r="BC116" s="969">
        <v>43461</v>
      </c>
      <c r="BD116" s="969">
        <v>43465</v>
      </c>
      <c r="BE116" s="970">
        <v>43474</v>
      </c>
      <c r="BF116" s="969">
        <v>43529</v>
      </c>
      <c r="BG116" s="970" t="s">
        <v>1011</v>
      </c>
      <c r="BH116" s="971" t="e">
        <f>NETWORKDAYS(BE116,BF116,#REF!)</f>
        <v>#REF!</v>
      </c>
      <c r="BI116" s="970" t="s">
        <v>1011</v>
      </c>
      <c r="BJ116" s="970" t="s">
        <v>1012</v>
      </c>
      <c r="BK116" s="969" t="s">
        <v>479</v>
      </c>
      <c r="BL116" s="969">
        <v>43539</v>
      </c>
      <c r="BM116" s="969">
        <v>43537</v>
      </c>
      <c r="BN116" s="969">
        <v>43476</v>
      </c>
      <c r="BO116" s="972" t="s">
        <v>205</v>
      </c>
      <c r="BP116" s="970">
        <v>43537</v>
      </c>
      <c r="BQ116" s="974" t="s">
        <v>900</v>
      </c>
    </row>
    <row r="117" spans="1:69" s="591" customFormat="1" ht="150" x14ac:dyDescent="0.25">
      <c r="A117" s="959" t="s">
        <v>1013</v>
      </c>
      <c r="B117" s="960">
        <v>115</v>
      </c>
      <c r="C117" s="959" t="s">
        <v>149</v>
      </c>
      <c r="D117" s="959"/>
      <c r="E117" s="567" t="s">
        <v>163</v>
      </c>
      <c r="F117" s="960" t="s">
        <v>568</v>
      </c>
      <c r="G117" s="960" t="s">
        <v>546</v>
      </c>
      <c r="H117" s="959" t="s">
        <v>546</v>
      </c>
      <c r="I117" s="275" t="s">
        <v>1008</v>
      </c>
      <c r="J117" s="590"/>
      <c r="K117" s="590"/>
      <c r="L117" s="590"/>
      <c r="M117" s="375" t="str">
        <f t="shared" si="19"/>
        <v xml:space="preserve">Dhimex Ciudad de México, S.A. de C.V.  </v>
      </c>
      <c r="N117" s="959" t="s">
        <v>315</v>
      </c>
      <c r="O117" s="959" t="s">
        <v>416</v>
      </c>
      <c r="P117" s="959" t="s">
        <v>1014</v>
      </c>
      <c r="Q117" s="962">
        <v>2869547.17</v>
      </c>
      <c r="R117" s="962">
        <f t="shared" si="22"/>
        <v>459127.54719999997</v>
      </c>
      <c r="S117" s="384">
        <f t="shared" si="18"/>
        <v>3328674.7171999998</v>
      </c>
      <c r="T117" s="385">
        <v>0</v>
      </c>
      <c r="U117" s="384">
        <f t="shared" si="23"/>
        <v>0</v>
      </c>
      <c r="V117" s="962">
        <f t="shared" si="20"/>
        <v>4160843.3936000001</v>
      </c>
      <c r="W117" s="963" t="s">
        <v>156</v>
      </c>
      <c r="X117" s="964">
        <v>43465</v>
      </c>
      <c r="Y117" s="960" t="s">
        <v>924</v>
      </c>
      <c r="Z117" s="964">
        <v>43466</v>
      </c>
      <c r="AA117" s="964">
        <v>43830</v>
      </c>
      <c r="AB117" s="959"/>
      <c r="AC117" s="959"/>
      <c r="AD117" s="960"/>
      <c r="AE117" s="959" t="s">
        <v>582</v>
      </c>
      <c r="AF117" s="963"/>
      <c r="AG117" s="963"/>
      <c r="AH117" s="963"/>
      <c r="AI117" s="963"/>
      <c r="AJ117" s="960" t="s">
        <v>156</v>
      </c>
      <c r="AK117" s="596" t="s">
        <v>1015</v>
      </c>
      <c r="AL117" s="596" t="s">
        <v>1016</v>
      </c>
      <c r="AM117" s="597">
        <v>43832</v>
      </c>
      <c r="AN117" s="464">
        <f>717386.79*1.16</f>
        <v>832168.6764</v>
      </c>
      <c r="AO117" s="960" t="str">
        <f t="shared" ca="1" si="21"/>
        <v>MUERTO</v>
      </c>
      <c r="AP117" s="960"/>
      <c r="AQ117" s="960" t="s">
        <v>924</v>
      </c>
      <c r="AR117" s="960"/>
      <c r="AS117" s="960"/>
      <c r="AT117" s="960"/>
      <c r="AU117" s="967"/>
      <c r="AV117" s="965"/>
      <c r="AW117" s="959"/>
      <c r="AX117" s="968"/>
      <c r="AY117" s="965"/>
      <c r="AZ117" s="959"/>
      <c r="BA117" s="959" t="str">
        <f>VLOOKUP(I117,'[1] RFC'!$1:$1048576,2,0)</f>
        <v>DCM060704I30</v>
      </c>
      <c r="BB117" s="969">
        <v>43446</v>
      </c>
      <c r="BC117" s="969">
        <v>43461</v>
      </c>
      <c r="BD117" s="969">
        <v>43465</v>
      </c>
      <c r="BE117" s="970">
        <v>43474</v>
      </c>
      <c r="BF117" s="969">
        <v>43529</v>
      </c>
      <c r="BG117" s="970" t="s">
        <v>1017</v>
      </c>
      <c r="BH117" s="971" t="e">
        <f>NETWORKDAYS(BE117,BF117,#REF!)</f>
        <v>#REF!</v>
      </c>
      <c r="BI117" s="970" t="s">
        <v>1018</v>
      </c>
      <c r="BJ117" s="970" t="s">
        <v>1019</v>
      </c>
      <c r="BK117" s="970" t="s">
        <v>1020</v>
      </c>
      <c r="BL117" s="969">
        <v>43539</v>
      </c>
      <c r="BM117" s="969">
        <v>43504</v>
      </c>
      <c r="BN117" s="969">
        <v>43489</v>
      </c>
      <c r="BO117" s="972">
        <v>43529</v>
      </c>
      <c r="BP117" s="970">
        <v>43504</v>
      </c>
      <c r="BQ117" s="974" t="s">
        <v>900</v>
      </c>
    </row>
    <row r="118" spans="1:69" s="591" customFormat="1" ht="60" x14ac:dyDescent="0.25">
      <c r="A118" s="959" t="s">
        <v>1021</v>
      </c>
      <c r="B118" s="960">
        <v>116</v>
      </c>
      <c r="C118" s="959" t="s">
        <v>149</v>
      </c>
      <c r="D118" s="959"/>
      <c r="E118" s="567" t="s">
        <v>163</v>
      </c>
      <c r="F118" s="960" t="s">
        <v>164</v>
      </c>
      <c r="G118" s="567" t="s">
        <v>163</v>
      </c>
      <c r="H118" s="567" t="s">
        <v>163</v>
      </c>
      <c r="I118" s="275" t="s">
        <v>1022</v>
      </c>
      <c r="J118" s="590"/>
      <c r="K118" s="590"/>
      <c r="L118" s="590"/>
      <c r="M118" s="375" t="str">
        <f t="shared" si="19"/>
        <v xml:space="preserve">Policia Auxiliar de la Ciudad de México  </v>
      </c>
      <c r="N118" s="959" t="s">
        <v>166</v>
      </c>
      <c r="O118" s="959" t="s">
        <v>166</v>
      </c>
      <c r="P118" s="959" t="s">
        <v>1023</v>
      </c>
      <c r="Q118" s="962">
        <v>48285695</v>
      </c>
      <c r="R118" s="962">
        <f t="shared" si="22"/>
        <v>7725711.2000000002</v>
      </c>
      <c r="S118" s="384">
        <f t="shared" ref="S118:S125" si="24">Q118+R118</f>
        <v>56011406.200000003</v>
      </c>
      <c r="T118" s="385">
        <v>20000000</v>
      </c>
      <c r="U118" s="384">
        <f t="shared" si="23"/>
        <v>23200000</v>
      </c>
      <c r="V118" s="962">
        <f t="shared" si="20"/>
        <v>56011406.200000003</v>
      </c>
      <c r="W118" s="963" t="s">
        <v>156</v>
      </c>
      <c r="X118" s="964">
        <v>43465</v>
      </c>
      <c r="Y118" s="960" t="s">
        <v>924</v>
      </c>
      <c r="Z118" s="964">
        <v>43466</v>
      </c>
      <c r="AA118" s="964">
        <v>43830</v>
      </c>
      <c r="AB118" s="959"/>
      <c r="AC118" s="959"/>
      <c r="AD118" s="960"/>
      <c r="AE118" s="959" t="s">
        <v>1024</v>
      </c>
      <c r="AF118" s="963"/>
      <c r="AG118" s="963"/>
      <c r="AH118" s="963"/>
      <c r="AI118" s="963"/>
      <c r="AJ118" s="960" t="s">
        <v>183</v>
      </c>
      <c r="AK118" s="959"/>
      <c r="AL118" s="959"/>
      <c r="AM118" s="965"/>
      <c r="AN118" s="962"/>
      <c r="AO118" s="960" t="str">
        <f t="shared" ca="1" si="21"/>
        <v>MUERTO</v>
      </c>
      <c r="AP118" s="960"/>
      <c r="AQ118" s="960"/>
      <c r="AR118" s="960"/>
      <c r="AS118" s="960"/>
      <c r="AT118" s="960"/>
      <c r="AU118" s="967"/>
      <c r="AV118" s="965"/>
      <c r="AW118" s="959"/>
      <c r="AX118" s="968"/>
      <c r="AY118" s="965"/>
      <c r="AZ118" s="959"/>
      <c r="BA118" s="959" t="e">
        <f>VLOOKUP(I118,'[1] RFC'!$1:$1048576,2,0)</f>
        <v>#N/A</v>
      </c>
      <c r="BB118" s="969">
        <v>43455</v>
      </c>
      <c r="BC118" s="969">
        <v>43462</v>
      </c>
      <c r="BD118" s="969">
        <v>43465</v>
      </c>
      <c r="BE118" s="970" t="s">
        <v>170</v>
      </c>
      <c r="BF118" s="969" t="s">
        <v>161</v>
      </c>
      <c r="BG118" s="969" t="s">
        <v>161</v>
      </c>
      <c r="BH118" s="971" t="e">
        <f>NETWORKDAYS(BE118,BF118,#REF!)</f>
        <v>#VALUE!</v>
      </c>
      <c r="BI118" s="969" t="s">
        <v>161</v>
      </c>
      <c r="BJ118" s="969" t="s">
        <v>161</v>
      </c>
      <c r="BK118" s="969" t="s">
        <v>161</v>
      </c>
      <c r="BL118" s="969">
        <v>43510</v>
      </c>
      <c r="BM118" s="969">
        <v>43510</v>
      </c>
      <c r="BN118" s="969">
        <v>43504</v>
      </c>
      <c r="BO118" s="972">
        <v>43475</v>
      </c>
      <c r="BP118" s="970">
        <v>43510</v>
      </c>
      <c r="BQ118" s="974" t="s">
        <v>900</v>
      </c>
    </row>
    <row r="119" spans="1:69" s="592" customFormat="1" ht="135" x14ac:dyDescent="0.25">
      <c r="A119" s="959" t="s">
        <v>1025</v>
      </c>
      <c r="B119" s="960">
        <v>117</v>
      </c>
      <c r="C119" s="959" t="s">
        <v>149</v>
      </c>
      <c r="D119" s="959" t="s">
        <v>1026</v>
      </c>
      <c r="E119" s="959" t="s">
        <v>151</v>
      </c>
      <c r="F119" s="960" t="s">
        <v>152</v>
      </c>
      <c r="G119" s="567"/>
      <c r="H119" s="960" t="s">
        <v>151</v>
      </c>
      <c r="I119" s="275" t="s">
        <v>903</v>
      </c>
      <c r="J119" s="590"/>
      <c r="K119" s="590"/>
      <c r="L119" s="590"/>
      <c r="M119" s="375" t="str">
        <f t="shared" si="19"/>
        <v xml:space="preserve">Escore Alimentos, S.A. de C.V.  </v>
      </c>
      <c r="N119" s="959" t="s">
        <v>190</v>
      </c>
      <c r="O119" s="959" t="s">
        <v>904</v>
      </c>
      <c r="P119" s="959" t="s">
        <v>1027</v>
      </c>
      <c r="Q119" s="962">
        <v>7000000</v>
      </c>
      <c r="R119" s="962">
        <f t="shared" si="22"/>
        <v>1120000</v>
      </c>
      <c r="S119" s="384">
        <f t="shared" si="24"/>
        <v>8120000</v>
      </c>
      <c r="T119" s="464">
        <v>1400000</v>
      </c>
      <c r="U119" s="384">
        <f t="shared" si="23"/>
        <v>1624000</v>
      </c>
      <c r="V119" s="962">
        <f t="shared" si="20"/>
        <v>10150000</v>
      </c>
      <c r="W119" s="963" t="s">
        <v>156</v>
      </c>
      <c r="X119" s="964">
        <v>43465</v>
      </c>
      <c r="Y119" s="960" t="s">
        <v>924</v>
      </c>
      <c r="Z119" s="964">
        <v>43466</v>
      </c>
      <c r="AA119" s="964">
        <v>43830</v>
      </c>
      <c r="AB119" s="959"/>
      <c r="AC119" s="959"/>
      <c r="AD119" s="960"/>
      <c r="AE119" s="959" t="s">
        <v>1028</v>
      </c>
      <c r="AF119" s="963"/>
      <c r="AG119" s="963"/>
      <c r="AH119" s="963"/>
      <c r="AI119" s="963"/>
      <c r="AJ119" s="960" t="s">
        <v>156</v>
      </c>
      <c r="AK119" s="596" t="s">
        <v>1029</v>
      </c>
      <c r="AL119" s="596" t="s">
        <v>1016</v>
      </c>
      <c r="AM119" s="597">
        <v>43840</v>
      </c>
      <c r="AN119" s="464">
        <f>1750000*1.16</f>
        <v>2029999.9999999998</v>
      </c>
      <c r="AO119" s="960" t="str">
        <f t="shared" ca="1" si="21"/>
        <v>MUERTO</v>
      </c>
      <c r="AP119" s="960"/>
      <c r="AQ119" s="960"/>
      <c r="AR119" s="960"/>
      <c r="AS119" s="960"/>
      <c r="AT119" s="960"/>
      <c r="AU119" s="967"/>
      <c r="AV119" s="965"/>
      <c r="AW119" s="959"/>
      <c r="AX119" s="968"/>
      <c r="AY119" s="965"/>
      <c r="AZ119" s="959"/>
      <c r="BA119" s="959" t="e">
        <f>VLOOKUP(I119,'[1] RFC'!$1:$1048576,2,0)</f>
        <v>#N/A</v>
      </c>
      <c r="BB119" s="969">
        <v>43461</v>
      </c>
      <c r="BC119" s="969">
        <v>43462</v>
      </c>
      <c r="BD119" s="969">
        <v>43465</v>
      </c>
      <c r="BE119" s="970">
        <v>43475</v>
      </c>
      <c r="BF119" s="969">
        <v>43482</v>
      </c>
      <c r="BG119" s="970" t="s">
        <v>1030</v>
      </c>
      <c r="BH119" s="971" t="e">
        <f>NETWORKDAYS(BE119,BF119,#REF!)</f>
        <v>#REF!</v>
      </c>
      <c r="BI119" s="970" t="s">
        <v>1031</v>
      </c>
      <c r="BJ119" s="970" t="s">
        <v>1032</v>
      </c>
      <c r="BK119" s="970" t="s">
        <v>1033</v>
      </c>
      <c r="BL119" s="969">
        <v>43557</v>
      </c>
      <c r="BM119" s="969">
        <v>43504</v>
      </c>
      <c r="BN119" s="969">
        <v>43476</v>
      </c>
      <c r="BO119" s="972">
        <v>43538</v>
      </c>
      <c r="BP119" s="970" t="s">
        <v>186</v>
      </c>
      <c r="BQ119" s="974" t="s">
        <v>900</v>
      </c>
    </row>
    <row r="120" spans="1:69" s="591" customFormat="1" ht="120" x14ac:dyDescent="0.25">
      <c r="A120" s="959" t="s">
        <v>1034</v>
      </c>
      <c r="B120" s="960">
        <v>118</v>
      </c>
      <c r="C120" s="959" t="s">
        <v>149</v>
      </c>
      <c r="D120" s="959"/>
      <c r="E120" s="567" t="s">
        <v>163</v>
      </c>
      <c r="F120" s="960" t="s">
        <v>568</v>
      </c>
      <c r="G120" s="960" t="s">
        <v>546</v>
      </c>
      <c r="H120" s="567" t="s">
        <v>1035</v>
      </c>
      <c r="I120" s="275" t="s">
        <v>999</v>
      </c>
      <c r="J120" s="590"/>
      <c r="K120" s="590"/>
      <c r="L120" s="590"/>
      <c r="M120" s="375" t="str">
        <f t="shared" si="19"/>
        <v xml:space="preserve">Teléfonos México, S.A.B. de C.V.  </v>
      </c>
      <c r="N120" s="959" t="s">
        <v>209</v>
      </c>
      <c r="O120" s="959" t="s">
        <v>758</v>
      </c>
      <c r="P120" s="959" t="s">
        <v>1036</v>
      </c>
      <c r="Q120" s="962">
        <v>15790163.050000001</v>
      </c>
      <c r="R120" s="962">
        <f t="shared" si="22"/>
        <v>2526426.088</v>
      </c>
      <c r="S120" s="384">
        <f t="shared" si="24"/>
        <v>18316589.138</v>
      </c>
      <c r="T120" s="385">
        <v>2000000</v>
      </c>
      <c r="U120" s="384">
        <f t="shared" si="23"/>
        <v>2320000</v>
      </c>
      <c r="V120" s="962">
        <f t="shared" si="20"/>
        <v>18316589.138</v>
      </c>
      <c r="W120" s="963" t="s">
        <v>156</v>
      </c>
      <c r="X120" s="964">
        <v>43465</v>
      </c>
      <c r="Y120" s="960" t="s">
        <v>924</v>
      </c>
      <c r="Z120" s="964">
        <v>43466</v>
      </c>
      <c r="AA120" s="964">
        <v>43830</v>
      </c>
      <c r="AB120" s="959"/>
      <c r="AC120" s="959"/>
      <c r="AD120" s="960"/>
      <c r="AE120" s="959" t="s">
        <v>182</v>
      </c>
      <c r="AF120" s="963"/>
      <c r="AG120" s="963"/>
      <c r="AH120" s="963"/>
      <c r="AI120" s="963"/>
      <c r="AJ120" s="960" t="s">
        <v>156</v>
      </c>
      <c r="AK120" s="959"/>
      <c r="AL120" s="959"/>
      <c r="AM120" s="965"/>
      <c r="AN120" s="962"/>
      <c r="AO120" s="960" t="str">
        <f t="shared" ca="1" si="21"/>
        <v>MUERTO</v>
      </c>
      <c r="AP120" s="960"/>
      <c r="AQ120" s="960"/>
      <c r="AR120" s="960"/>
      <c r="AS120" s="960"/>
      <c r="AT120" s="960"/>
      <c r="AU120" s="967"/>
      <c r="AV120" s="965"/>
      <c r="AW120" s="959"/>
      <c r="AX120" s="968"/>
      <c r="AY120" s="965"/>
      <c r="AZ120" s="959"/>
      <c r="BA120" s="959" t="e">
        <f>VLOOKUP(I120,'[1] RFC'!$1:$1048576,2,0)</f>
        <v>#N/A</v>
      </c>
      <c r="BB120" s="969">
        <v>43462</v>
      </c>
      <c r="BC120" s="969">
        <v>43462</v>
      </c>
      <c r="BD120" s="969">
        <v>43465</v>
      </c>
      <c r="BE120" s="970">
        <v>43539</v>
      </c>
      <c r="BF120" s="969">
        <v>43578</v>
      </c>
      <c r="BG120" s="969">
        <v>43578</v>
      </c>
      <c r="BH120" s="971" t="e">
        <f>NETWORKDAYS(BE120,BF120,#REF!)</f>
        <v>#REF!</v>
      </c>
      <c r="BI120" s="969">
        <v>43578</v>
      </c>
      <c r="BJ120" s="969">
        <v>43581</v>
      </c>
      <c r="BK120" s="969" t="s">
        <v>161</v>
      </c>
      <c r="BL120" s="969">
        <v>43585</v>
      </c>
      <c r="BM120" s="969">
        <v>43557</v>
      </c>
      <c r="BN120" s="969">
        <v>43481</v>
      </c>
      <c r="BO120" s="972">
        <v>43559</v>
      </c>
      <c r="BP120" s="970" t="s">
        <v>186</v>
      </c>
      <c r="BQ120" s="974"/>
    </row>
    <row r="121" spans="1:69" s="591" customFormat="1" ht="75" x14ac:dyDescent="0.25">
      <c r="A121" s="959" t="s">
        <v>1037</v>
      </c>
      <c r="B121" s="960">
        <v>119</v>
      </c>
      <c r="C121" s="959" t="s">
        <v>149</v>
      </c>
      <c r="D121" s="959"/>
      <c r="E121" s="567" t="s">
        <v>163</v>
      </c>
      <c r="F121" s="960" t="s">
        <v>312</v>
      </c>
      <c r="G121" s="960" t="s">
        <v>546</v>
      </c>
      <c r="H121" s="275" t="s">
        <v>546</v>
      </c>
      <c r="I121" s="275" t="s">
        <v>1038</v>
      </c>
      <c r="J121" s="590"/>
      <c r="K121" s="590"/>
      <c r="L121" s="590"/>
      <c r="M121" s="375" t="str">
        <f t="shared" si="19"/>
        <v xml:space="preserve">Sistemas Neumáticos de Envíos, S.A. de C.V.  </v>
      </c>
      <c r="N121" s="959" t="s">
        <v>1039</v>
      </c>
      <c r="O121" s="959" t="s">
        <v>416</v>
      </c>
      <c r="P121" s="959" t="s">
        <v>1040</v>
      </c>
      <c r="Q121" s="962">
        <v>486710.02</v>
      </c>
      <c r="R121" s="962">
        <f t="shared" si="22"/>
        <v>77873.603199999998</v>
      </c>
      <c r="S121" s="384">
        <f t="shared" si="24"/>
        <v>564583.62320000003</v>
      </c>
      <c r="T121" s="385">
        <v>0</v>
      </c>
      <c r="U121" s="384">
        <f t="shared" si="23"/>
        <v>0</v>
      </c>
      <c r="V121" s="962">
        <f t="shared" si="20"/>
        <v>564583.62320000003</v>
      </c>
      <c r="W121" s="963" t="s">
        <v>156</v>
      </c>
      <c r="X121" s="964">
        <v>43465</v>
      </c>
      <c r="Y121" s="960" t="s">
        <v>157</v>
      </c>
      <c r="Z121" s="964">
        <v>43466</v>
      </c>
      <c r="AA121" s="964">
        <v>43830</v>
      </c>
      <c r="AB121" s="959"/>
      <c r="AC121" s="959"/>
      <c r="AD121" s="960"/>
      <c r="AE121" s="959" t="s">
        <v>582</v>
      </c>
      <c r="AF121" s="963"/>
      <c r="AG121" s="963"/>
      <c r="AH121" s="963"/>
      <c r="AI121" s="963"/>
      <c r="AJ121" s="960" t="s">
        <v>156</v>
      </c>
      <c r="AK121" s="959"/>
      <c r="AL121" s="959"/>
      <c r="AM121" s="965"/>
      <c r="AN121" s="962"/>
      <c r="AO121" s="960" t="str">
        <f t="shared" ca="1" si="21"/>
        <v>MUERTO</v>
      </c>
      <c r="AP121" s="960"/>
      <c r="AQ121" s="960"/>
      <c r="AR121" s="960"/>
      <c r="AS121" s="960"/>
      <c r="AT121" s="960"/>
      <c r="AU121" s="967"/>
      <c r="AV121" s="965"/>
      <c r="AW121" s="959"/>
      <c r="AX121" s="968"/>
      <c r="AY121" s="965"/>
      <c r="AZ121" s="959"/>
      <c r="BA121" s="959" t="str">
        <f>VLOOKUP(I121,'[1] RFC'!$1:$1048576,2,0)</f>
        <v>SNE8902146C0</v>
      </c>
      <c r="BB121" s="969">
        <v>43439</v>
      </c>
      <c r="BC121" s="969">
        <v>43461</v>
      </c>
      <c r="BD121" s="969">
        <v>43465</v>
      </c>
      <c r="BE121" s="970">
        <v>43476</v>
      </c>
      <c r="BF121" s="969">
        <v>1601</v>
      </c>
      <c r="BG121" s="970" t="s">
        <v>1041</v>
      </c>
      <c r="BH121" s="971" t="e">
        <f>NETWORKDAYS(BE121,BF121,#REF!)</f>
        <v>#REF!</v>
      </c>
      <c r="BI121" s="970" t="s">
        <v>1042</v>
      </c>
      <c r="BJ121" s="970" t="s">
        <v>1043</v>
      </c>
      <c r="BK121" s="970" t="s">
        <v>1044</v>
      </c>
      <c r="BL121" s="969">
        <v>43620</v>
      </c>
      <c r="BM121" s="969">
        <v>43537</v>
      </c>
      <c r="BN121" s="969">
        <v>43481</v>
      </c>
      <c r="BO121" s="972">
        <v>43549</v>
      </c>
      <c r="BP121" s="970">
        <v>43537</v>
      </c>
      <c r="BQ121" s="974" t="s">
        <v>900</v>
      </c>
    </row>
    <row r="122" spans="1:69" s="591" customFormat="1" ht="90" x14ac:dyDescent="0.25">
      <c r="A122" s="959" t="s">
        <v>1045</v>
      </c>
      <c r="B122" s="960">
        <v>120</v>
      </c>
      <c r="C122" s="959" t="s">
        <v>149</v>
      </c>
      <c r="D122" s="959"/>
      <c r="E122" s="567" t="s">
        <v>163</v>
      </c>
      <c r="F122" s="960" t="s">
        <v>568</v>
      </c>
      <c r="G122" s="960" t="s">
        <v>546</v>
      </c>
      <c r="H122" s="275" t="s">
        <v>546</v>
      </c>
      <c r="I122" s="275" t="s">
        <v>1046</v>
      </c>
      <c r="J122" s="590"/>
      <c r="K122" s="590"/>
      <c r="L122" s="590"/>
      <c r="M122" s="375" t="str">
        <f t="shared" si="19"/>
        <v xml:space="preserve">Blue &amp; Green Servicios y Soluciones al Medio Ambiente, S.A. de C.V.  </v>
      </c>
      <c r="N122" s="959" t="s">
        <v>1047</v>
      </c>
      <c r="O122" s="959" t="s">
        <v>416</v>
      </c>
      <c r="P122" s="959" t="s">
        <v>1048</v>
      </c>
      <c r="Q122" s="962">
        <v>3795325.12</v>
      </c>
      <c r="R122" s="962">
        <f t="shared" si="22"/>
        <v>607252.01919999998</v>
      </c>
      <c r="S122" s="384">
        <f t="shared" si="24"/>
        <v>4402577.1392000001</v>
      </c>
      <c r="T122" s="385">
        <v>3509775.12</v>
      </c>
      <c r="U122" s="384">
        <f t="shared" si="23"/>
        <v>4071339.1392000001</v>
      </c>
      <c r="V122" s="962">
        <f t="shared" si="20"/>
        <v>5503221.4240000006</v>
      </c>
      <c r="W122" s="963" t="s">
        <v>156</v>
      </c>
      <c r="X122" s="964">
        <v>43465</v>
      </c>
      <c r="Y122" s="960" t="s">
        <v>157</v>
      </c>
      <c r="Z122" s="964">
        <v>43466</v>
      </c>
      <c r="AA122" s="964">
        <v>43830</v>
      </c>
      <c r="AB122" s="959"/>
      <c r="AC122" s="959"/>
      <c r="AD122" s="960"/>
      <c r="AE122" s="959" t="s">
        <v>582</v>
      </c>
      <c r="AF122" s="963"/>
      <c r="AG122" s="963"/>
      <c r="AH122" s="963"/>
      <c r="AI122" s="963"/>
      <c r="AJ122" s="960" t="s">
        <v>156</v>
      </c>
      <c r="AK122" s="596" t="s">
        <v>1049</v>
      </c>
      <c r="AL122" s="596" t="s">
        <v>1016</v>
      </c>
      <c r="AM122" s="597">
        <v>44192</v>
      </c>
      <c r="AN122" s="464">
        <f>948831.28*1.16</f>
        <v>1100644.2848</v>
      </c>
      <c r="AO122" s="960" t="str">
        <f t="shared" ca="1" si="21"/>
        <v>MUERTO</v>
      </c>
      <c r="AP122" s="960"/>
      <c r="AQ122" s="960" t="s">
        <v>924</v>
      </c>
      <c r="AR122" s="960"/>
      <c r="AS122" s="960"/>
      <c r="AT122" s="960"/>
      <c r="AU122" s="967"/>
      <c r="AV122" s="965"/>
      <c r="AW122" s="959"/>
      <c r="AX122" s="968"/>
      <c r="AY122" s="965"/>
      <c r="AZ122" s="959"/>
      <c r="BA122" s="959" t="str">
        <f>VLOOKUP(I122,'[1] RFC'!$1:$1048576,2,0)</f>
        <v>BAG1106299U7</v>
      </c>
      <c r="BB122" s="969">
        <v>43445</v>
      </c>
      <c r="BC122" s="969">
        <v>43461</v>
      </c>
      <c r="BD122" s="969">
        <v>43465</v>
      </c>
      <c r="BE122" s="970">
        <v>43480</v>
      </c>
      <c r="BF122" s="969">
        <v>43488</v>
      </c>
      <c r="BG122" s="970" t="s">
        <v>1050</v>
      </c>
      <c r="BH122" s="971" t="e">
        <f>NETWORKDAYS(BE122,BF122,#REF!)</f>
        <v>#REF!</v>
      </c>
      <c r="BI122" s="970" t="s">
        <v>1051</v>
      </c>
      <c r="BJ122" s="970" t="s">
        <v>1052</v>
      </c>
      <c r="BK122" s="970" t="s">
        <v>1053</v>
      </c>
      <c r="BL122" s="969">
        <v>43538</v>
      </c>
      <c r="BM122" s="969">
        <v>43537</v>
      </c>
      <c r="BN122" s="969">
        <v>43482</v>
      </c>
      <c r="BO122" s="972">
        <v>43538</v>
      </c>
      <c r="BP122" s="970">
        <v>43537</v>
      </c>
      <c r="BQ122" s="974" t="s">
        <v>900</v>
      </c>
    </row>
    <row r="123" spans="1:69" s="591" customFormat="1" ht="135" x14ac:dyDescent="0.25">
      <c r="A123" s="959" t="s">
        <v>1054</v>
      </c>
      <c r="B123" s="960">
        <v>121</v>
      </c>
      <c r="C123" s="959" t="s">
        <v>149</v>
      </c>
      <c r="D123" s="959"/>
      <c r="E123" s="567" t="s">
        <v>163</v>
      </c>
      <c r="F123" s="960" t="s">
        <v>1055</v>
      </c>
      <c r="G123" s="567" t="s">
        <v>163</v>
      </c>
      <c r="H123" s="275" t="s">
        <v>163</v>
      </c>
      <c r="I123" s="275" t="s">
        <v>1056</v>
      </c>
      <c r="J123" s="590"/>
      <c r="K123" s="590"/>
      <c r="L123" s="590"/>
      <c r="M123" s="375" t="str">
        <f t="shared" si="19"/>
        <v xml:space="preserve">Desarrolladora de Estacionamientos Privados, S.A. de C.V  </v>
      </c>
      <c r="N123" s="959" t="s">
        <v>301</v>
      </c>
      <c r="O123" s="959" t="s">
        <v>302</v>
      </c>
      <c r="P123" s="959" t="s">
        <v>1057</v>
      </c>
      <c r="Q123" s="962">
        <v>8242578.0300000003</v>
      </c>
      <c r="R123" s="962">
        <f t="shared" si="22"/>
        <v>1318812.4848</v>
      </c>
      <c r="S123" s="384">
        <f t="shared" si="24"/>
        <v>9561390.5148000009</v>
      </c>
      <c r="T123" s="385">
        <v>3297031.22</v>
      </c>
      <c r="U123" s="384">
        <f t="shared" si="23"/>
        <v>3824556.2152000004</v>
      </c>
      <c r="V123" s="962">
        <f t="shared" si="20"/>
        <v>9561390.5148000009</v>
      </c>
      <c r="W123" s="963" t="s">
        <v>156</v>
      </c>
      <c r="X123" s="964">
        <v>43465</v>
      </c>
      <c r="Y123" s="960" t="s">
        <v>924</v>
      </c>
      <c r="Z123" s="964">
        <v>43466</v>
      </c>
      <c r="AA123" s="964">
        <v>43830</v>
      </c>
      <c r="AB123" s="959"/>
      <c r="AC123" s="959"/>
      <c r="AD123" s="960"/>
      <c r="AE123" s="959" t="s">
        <v>1058</v>
      </c>
      <c r="AF123" s="963"/>
      <c r="AG123" s="963"/>
      <c r="AH123" s="963"/>
      <c r="AI123" s="963"/>
      <c r="AJ123" s="960"/>
      <c r="AK123" s="959"/>
      <c r="AL123" s="959"/>
      <c r="AM123" s="965"/>
      <c r="AN123" s="962"/>
      <c r="AO123" s="960" t="str">
        <f t="shared" ca="1" si="21"/>
        <v>MUERTO</v>
      </c>
      <c r="AP123" s="960"/>
      <c r="AQ123" s="960"/>
      <c r="AR123" s="960"/>
      <c r="AS123" s="960"/>
      <c r="AT123" s="960"/>
      <c r="AU123" s="967"/>
      <c r="AV123" s="965"/>
      <c r="AW123" s="959"/>
      <c r="AX123" s="968"/>
      <c r="AY123" s="965"/>
      <c r="AZ123" s="959"/>
      <c r="BA123" s="959" t="e">
        <f>VLOOKUP(I123,'[1] RFC'!$1:$1048576,2,0)</f>
        <v>#N/A</v>
      </c>
      <c r="BB123" s="969">
        <v>43447</v>
      </c>
      <c r="BC123" s="969">
        <v>43462</v>
      </c>
      <c r="BD123" s="969">
        <v>43465</v>
      </c>
      <c r="BE123" s="970" t="s">
        <v>160</v>
      </c>
      <c r="BF123" s="969" t="s">
        <v>161</v>
      </c>
      <c r="BG123" s="969" t="s">
        <v>161</v>
      </c>
      <c r="BH123" s="971" t="e">
        <f>NETWORKDAYS(BE123,BF123,#REF!)</f>
        <v>#VALUE!</v>
      </c>
      <c r="BI123" s="969" t="s">
        <v>161</v>
      </c>
      <c r="BJ123" s="969" t="s">
        <v>161</v>
      </c>
      <c r="BK123" s="969" t="s">
        <v>1059</v>
      </c>
      <c r="BL123" s="969">
        <v>43614</v>
      </c>
      <c r="BM123" s="969">
        <v>43614</v>
      </c>
      <c r="BN123" s="969">
        <v>43602</v>
      </c>
      <c r="BO123" s="972">
        <v>43614</v>
      </c>
      <c r="BP123" s="970">
        <v>43615</v>
      </c>
      <c r="BQ123" s="974" t="s">
        <v>900</v>
      </c>
    </row>
    <row r="124" spans="1:69" s="591" customFormat="1" ht="60" x14ac:dyDescent="0.25">
      <c r="A124" s="959" t="s">
        <v>1060</v>
      </c>
      <c r="B124" s="960">
        <v>122</v>
      </c>
      <c r="C124" s="959" t="s">
        <v>149</v>
      </c>
      <c r="D124" s="959"/>
      <c r="E124" s="567" t="s">
        <v>163</v>
      </c>
      <c r="F124" s="960" t="s">
        <v>164</v>
      </c>
      <c r="G124" s="567" t="s">
        <v>163</v>
      </c>
      <c r="H124" s="275" t="s">
        <v>163</v>
      </c>
      <c r="I124" s="275" t="s">
        <v>1061</v>
      </c>
      <c r="J124" s="590"/>
      <c r="K124" s="590"/>
      <c r="L124" s="590"/>
      <c r="M124" s="375" t="str">
        <f t="shared" si="19"/>
        <v xml:space="preserve">Notimex, agencia de noticias del estado Mexicano  </v>
      </c>
      <c r="N124" s="959" t="s">
        <v>220</v>
      </c>
      <c r="O124" s="986" t="s">
        <v>221</v>
      </c>
      <c r="P124" s="959" t="s">
        <v>222</v>
      </c>
      <c r="Q124" s="962">
        <v>320976</v>
      </c>
      <c r="R124" s="962">
        <f t="shared" si="22"/>
        <v>51356.160000000003</v>
      </c>
      <c r="S124" s="384">
        <f t="shared" si="24"/>
        <v>372332.16000000003</v>
      </c>
      <c r="T124" s="385">
        <v>0</v>
      </c>
      <c r="U124" s="384">
        <f t="shared" si="23"/>
        <v>0</v>
      </c>
      <c r="V124" s="962">
        <f t="shared" si="20"/>
        <v>372332.16000000003</v>
      </c>
      <c r="W124" s="963" t="s">
        <v>156</v>
      </c>
      <c r="X124" s="964">
        <v>43465</v>
      </c>
      <c r="Y124" s="960" t="s">
        <v>924</v>
      </c>
      <c r="Z124" s="964">
        <v>43466</v>
      </c>
      <c r="AA124" s="964">
        <v>43830</v>
      </c>
      <c r="AB124" s="959"/>
      <c r="AC124" s="959"/>
      <c r="AD124" s="960"/>
      <c r="AE124" s="959" t="s">
        <v>1062</v>
      </c>
      <c r="AF124" s="963"/>
      <c r="AG124" s="963"/>
      <c r="AH124" s="963"/>
      <c r="AI124" s="963"/>
      <c r="AJ124" s="960" t="s">
        <v>183</v>
      </c>
      <c r="AK124" s="959"/>
      <c r="AL124" s="959"/>
      <c r="AM124" s="965"/>
      <c r="AN124" s="962"/>
      <c r="AO124" s="960" t="str">
        <f t="shared" ca="1" si="21"/>
        <v>MUERTO</v>
      </c>
      <c r="AP124" s="960"/>
      <c r="AQ124" s="960"/>
      <c r="AR124" s="960"/>
      <c r="AS124" s="960"/>
      <c r="AT124" s="960"/>
      <c r="AU124" s="967"/>
      <c r="AV124" s="965"/>
      <c r="AW124" s="959"/>
      <c r="AX124" s="968"/>
      <c r="AY124" s="965"/>
      <c r="AZ124" s="959"/>
      <c r="BA124" s="959" t="e">
        <f>VLOOKUP(I124,'[1] RFC'!$1:$1048576,2,0)</f>
        <v>#N/A</v>
      </c>
      <c r="BB124" s="969">
        <v>43458</v>
      </c>
      <c r="BC124" s="969">
        <v>43462</v>
      </c>
      <c r="BD124" s="969">
        <v>43465</v>
      </c>
      <c r="BE124" s="970" t="s">
        <v>1063</v>
      </c>
      <c r="BF124" s="970" t="s">
        <v>161</v>
      </c>
      <c r="BG124" s="969" t="s">
        <v>161</v>
      </c>
      <c r="BH124" s="971" t="e">
        <f>NETWORKDAYS(BE124,BF124,#REF!)</f>
        <v>#VALUE!</v>
      </c>
      <c r="BI124" s="969" t="s">
        <v>161</v>
      </c>
      <c r="BJ124" s="969" t="s">
        <v>161</v>
      </c>
      <c r="BK124" s="969" t="s">
        <v>161</v>
      </c>
      <c r="BL124" s="969">
        <v>43504</v>
      </c>
      <c r="BM124" s="969">
        <v>43504</v>
      </c>
      <c r="BN124" s="969">
        <v>43552</v>
      </c>
      <c r="BO124" s="972">
        <v>43552</v>
      </c>
      <c r="BP124" s="970">
        <v>43503</v>
      </c>
      <c r="BQ124" s="974"/>
    </row>
    <row r="125" spans="1:69" s="591" customFormat="1" ht="150" x14ac:dyDescent="0.25">
      <c r="A125" s="959" t="s">
        <v>1064</v>
      </c>
      <c r="B125" s="960">
        <v>123</v>
      </c>
      <c r="C125" s="959" t="s">
        <v>149</v>
      </c>
      <c r="D125" s="959"/>
      <c r="E125" s="567" t="s">
        <v>163</v>
      </c>
      <c r="F125" s="960" t="s">
        <v>312</v>
      </c>
      <c r="G125" s="960" t="s">
        <v>546</v>
      </c>
      <c r="H125" s="275" t="s">
        <v>546</v>
      </c>
      <c r="I125" s="275" t="s">
        <v>1065</v>
      </c>
      <c r="J125" s="590"/>
      <c r="K125" s="590"/>
      <c r="L125" s="590"/>
      <c r="M125" s="375" t="str">
        <f t="shared" si="19"/>
        <v xml:space="preserve">Elevadores Schindler, S.A. de C.V.  </v>
      </c>
      <c r="N125" s="959" t="s">
        <v>198</v>
      </c>
      <c r="O125" s="959" t="s">
        <v>352</v>
      </c>
      <c r="P125" s="959" t="s">
        <v>1066</v>
      </c>
      <c r="Q125" s="962">
        <v>4808409.34</v>
      </c>
      <c r="R125" s="962">
        <f t="shared" si="22"/>
        <v>769345.49439999997</v>
      </c>
      <c r="S125" s="384">
        <f t="shared" si="24"/>
        <v>5577754.8344000001</v>
      </c>
      <c r="T125" s="385">
        <v>3801942.72</v>
      </c>
      <c r="U125" s="384">
        <f t="shared" si="23"/>
        <v>4410253.5552000003</v>
      </c>
      <c r="V125" s="962">
        <f t="shared" si="20"/>
        <v>6972193.5488</v>
      </c>
      <c r="W125" s="963" t="s">
        <v>156</v>
      </c>
      <c r="X125" s="964">
        <v>43465</v>
      </c>
      <c r="Y125" s="960" t="s">
        <v>157</v>
      </c>
      <c r="Z125" s="964">
        <v>43466</v>
      </c>
      <c r="AA125" s="964">
        <v>43830</v>
      </c>
      <c r="AB125" s="959"/>
      <c r="AC125" s="959"/>
      <c r="AD125" s="960"/>
      <c r="AE125" s="959" t="s">
        <v>582</v>
      </c>
      <c r="AF125" s="963"/>
      <c r="AG125" s="963"/>
      <c r="AH125" s="963"/>
      <c r="AI125" s="963"/>
      <c r="AJ125" s="960" t="s">
        <v>156</v>
      </c>
      <c r="AK125" s="596" t="s">
        <v>1067</v>
      </c>
      <c r="AL125" s="596" t="s">
        <v>1068</v>
      </c>
      <c r="AM125" s="597">
        <v>43840</v>
      </c>
      <c r="AN125" s="464">
        <f>1202102.34*1.16</f>
        <v>1394438.7143999999</v>
      </c>
      <c r="AO125" s="960" t="str">
        <f t="shared" ca="1" si="21"/>
        <v>MUERTO</v>
      </c>
      <c r="AP125" s="960"/>
      <c r="AQ125" s="987">
        <v>43831</v>
      </c>
      <c r="AR125" s="960"/>
      <c r="AS125" s="960"/>
      <c r="AT125" s="960"/>
      <c r="AU125" s="967"/>
      <c r="AV125" s="965"/>
      <c r="AW125" s="959"/>
      <c r="AX125" s="968"/>
      <c r="AY125" s="965"/>
      <c r="AZ125" s="959"/>
      <c r="BA125" s="959" t="str">
        <f>VLOOKUP(I125,'[1] RFC'!$1:$1048576,2,0)</f>
        <v>ESC8911081Q8</v>
      </c>
      <c r="BB125" s="969">
        <v>43448</v>
      </c>
      <c r="BC125" s="969">
        <v>43461</v>
      </c>
      <c r="BD125" s="969">
        <v>43465</v>
      </c>
      <c r="BE125" s="970">
        <v>43479</v>
      </c>
      <c r="BF125" s="969">
        <v>43558</v>
      </c>
      <c r="BG125" s="970" t="s">
        <v>1069</v>
      </c>
      <c r="BH125" s="971" t="e">
        <f>NETWORKDAYS(BE125,BF125,#REF!)</f>
        <v>#REF!</v>
      </c>
      <c r="BI125" s="970" t="s">
        <v>1070</v>
      </c>
      <c r="BJ125" s="970" t="s">
        <v>1071</v>
      </c>
      <c r="BK125" s="970" t="s">
        <v>1072</v>
      </c>
      <c r="BL125" s="969">
        <v>43642</v>
      </c>
      <c r="BM125" s="969">
        <v>43537</v>
      </c>
      <c r="BN125" s="969">
        <v>43531</v>
      </c>
      <c r="BO125" s="972">
        <v>43550</v>
      </c>
      <c r="BP125" s="970">
        <v>43537</v>
      </c>
      <c r="BQ125" s="974" t="s">
        <v>900</v>
      </c>
    </row>
    <row r="126" spans="1:69" s="591" customFormat="1" ht="105" x14ac:dyDescent="0.25">
      <c r="A126" s="959" t="s">
        <v>1073</v>
      </c>
      <c r="B126" s="960">
        <v>124</v>
      </c>
      <c r="C126" s="959" t="s">
        <v>149</v>
      </c>
      <c r="D126" s="959" t="s">
        <v>1074</v>
      </c>
      <c r="E126" s="959" t="s">
        <v>151</v>
      </c>
      <c r="F126" s="960" t="s">
        <v>1075</v>
      </c>
      <c r="G126" s="567"/>
      <c r="H126" s="960" t="s">
        <v>151</v>
      </c>
      <c r="I126" s="275" t="s">
        <v>1076</v>
      </c>
      <c r="J126" s="590"/>
      <c r="K126" s="590"/>
      <c r="L126" s="590"/>
      <c r="M126" s="375" t="str">
        <f t="shared" si="19"/>
        <v xml:space="preserve">Metlife México, S.A.  </v>
      </c>
      <c r="N126" s="959" t="s">
        <v>270</v>
      </c>
      <c r="O126" s="959" t="s">
        <v>1077</v>
      </c>
      <c r="P126" s="959" t="s">
        <v>1078</v>
      </c>
      <c r="Q126" s="962">
        <v>29570833.030000001</v>
      </c>
      <c r="R126" s="962">
        <v>0</v>
      </c>
      <c r="S126" s="384">
        <v>29560833.030000001</v>
      </c>
      <c r="T126" s="385">
        <v>0</v>
      </c>
      <c r="U126" s="384">
        <f t="shared" si="23"/>
        <v>0</v>
      </c>
      <c r="V126" s="962">
        <f t="shared" si="20"/>
        <v>29560833.030000001</v>
      </c>
      <c r="W126" s="963" t="s">
        <v>156</v>
      </c>
      <c r="X126" s="964">
        <v>43465</v>
      </c>
      <c r="Y126" s="960" t="s">
        <v>924</v>
      </c>
      <c r="Z126" s="964">
        <v>43466</v>
      </c>
      <c r="AA126" s="964">
        <v>43830</v>
      </c>
      <c r="AB126" s="959"/>
      <c r="AC126" s="959"/>
      <c r="AD126" s="960"/>
      <c r="AE126" s="959" t="s">
        <v>161</v>
      </c>
      <c r="AF126" s="963"/>
      <c r="AG126" s="963"/>
      <c r="AH126" s="963"/>
      <c r="AI126" s="963"/>
      <c r="AJ126" s="960"/>
      <c r="AK126" s="959"/>
      <c r="AL126" s="959"/>
      <c r="AM126" s="965"/>
      <c r="AN126" s="962"/>
      <c r="AO126" s="960" t="str">
        <f t="shared" ca="1" si="21"/>
        <v>MUERTO</v>
      </c>
      <c r="AP126" s="960"/>
      <c r="AQ126" s="960"/>
      <c r="AR126" s="960"/>
      <c r="AS126" s="960"/>
      <c r="AT126" s="960"/>
      <c r="AU126" s="967"/>
      <c r="AV126" s="965"/>
      <c r="AW126" s="959"/>
      <c r="AX126" s="968"/>
      <c r="AY126" s="965"/>
      <c r="AZ126" s="959"/>
      <c r="BA126" s="959" t="str">
        <f>VLOOKUP(I126,'[1] RFC'!$1:$1048576,2,0)</f>
        <v>MME920427EM3</v>
      </c>
      <c r="BB126" s="969">
        <v>43465</v>
      </c>
      <c r="BC126" s="969">
        <v>43465</v>
      </c>
      <c r="BD126" s="969">
        <v>43465</v>
      </c>
      <c r="BE126" s="970" t="s">
        <v>1079</v>
      </c>
      <c r="BF126" s="970" t="s">
        <v>161</v>
      </c>
      <c r="BG126" s="969" t="s">
        <v>161</v>
      </c>
      <c r="BH126" s="971" t="e">
        <f>NETWORKDAYS(BE126,BF126,#REF!)</f>
        <v>#VALUE!</v>
      </c>
      <c r="BI126" s="969" t="s">
        <v>161</v>
      </c>
      <c r="BJ126" s="969" t="s">
        <v>161</v>
      </c>
      <c r="BK126" s="969" t="s">
        <v>161</v>
      </c>
      <c r="BL126" s="969">
        <v>43564</v>
      </c>
      <c r="BM126" s="969">
        <v>43564</v>
      </c>
      <c r="BN126" s="969">
        <v>43515</v>
      </c>
      <c r="BO126" s="972">
        <v>43500</v>
      </c>
      <c r="BP126" s="970">
        <v>43564</v>
      </c>
      <c r="BQ126" s="974"/>
    </row>
    <row r="127" spans="1:69" x14ac:dyDescent="0.25">
      <c r="A127" s="14"/>
      <c r="B127" s="14"/>
      <c r="C127" s="14"/>
      <c r="D127" s="282"/>
      <c r="E127" s="14"/>
      <c r="F127" s="202"/>
      <c r="G127" s="202"/>
      <c r="H127" s="202"/>
      <c r="I127" s="587"/>
      <c r="J127" s="485"/>
      <c r="K127" s="485"/>
      <c r="L127" s="485"/>
      <c r="M127" s="486"/>
      <c r="N127" s="979"/>
      <c r="O127" s="979"/>
      <c r="P127" s="979"/>
      <c r="Q127" s="988"/>
      <c r="R127" s="206"/>
      <c r="S127" s="488"/>
      <c r="T127" s="489"/>
      <c r="U127" s="490"/>
      <c r="V127" s="206"/>
      <c r="W127" s="588"/>
      <c r="X127" s="491"/>
      <c r="Y127" s="202"/>
      <c r="Z127" s="491"/>
      <c r="AA127" s="491"/>
      <c r="AB127" s="14"/>
      <c r="AC127" s="14"/>
      <c r="AD127" s="202"/>
      <c r="AE127" s="14"/>
      <c r="AF127" s="569"/>
      <c r="AG127" s="569"/>
      <c r="AH127" s="569"/>
      <c r="AI127" s="569"/>
      <c r="AJ127" s="202"/>
      <c r="AK127" s="14"/>
      <c r="AL127" s="14"/>
      <c r="AM127" s="493"/>
      <c r="AN127" s="206"/>
      <c r="AO127" s="202"/>
      <c r="AP127" s="202"/>
      <c r="AQ127" s="202"/>
      <c r="AR127" s="202"/>
      <c r="AS127" s="202"/>
      <c r="AT127" s="202"/>
      <c r="AU127" s="494"/>
      <c r="AV127" s="493"/>
      <c r="AW127" s="14"/>
      <c r="AX127" s="495"/>
      <c r="AY127" s="493"/>
      <c r="AZ127" s="14"/>
      <c r="BA127" s="14"/>
      <c r="BB127" s="419"/>
      <c r="BC127" s="419"/>
      <c r="BD127" s="419"/>
      <c r="BE127" s="165"/>
      <c r="BF127" s="165"/>
      <c r="BG127" s="419"/>
      <c r="BH127" s="989"/>
      <c r="BI127" s="419"/>
      <c r="BJ127" s="419"/>
      <c r="BK127" s="419"/>
      <c r="BL127" s="419"/>
      <c r="BM127" s="419"/>
      <c r="BN127" s="419"/>
      <c r="BO127" s="419"/>
      <c r="BP127" s="165"/>
      <c r="BQ127" s="589"/>
    </row>
    <row r="128" spans="1:69" x14ac:dyDescent="0.25">
      <c r="A128" t="s">
        <v>1080</v>
      </c>
      <c r="B128" t="s">
        <v>1080</v>
      </c>
      <c r="C128" t="s">
        <v>1080</v>
      </c>
      <c r="D128" s="19" t="s">
        <v>1080</v>
      </c>
      <c r="E128" t="s">
        <v>1080</v>
      </c>
      <c r="F128" t="s">
        <v>1080</v>
      </c>
      <c r="H128" t="s">
        <v>1080</v>
      </c>
      <c r="I128" t="s">
        <v>1080</v>
      </c>
      <c r="J128" t="s">
        <v>1080</v>
      </c>
      <c r="K128" t="s">
        <v>1080</v>
      </c>
      <c r="L128" t="s">
        <v>1080</v>
      </c>
      <c r="M128" t="s">
        <v>1080</v>
      </c>
      <c r="N128" t="s">
        <v>1080</v>
      </c>
      <c r="O128" t="s">
        <v>1080</v>
      </c>
      <c r="P128" t="s">
        <v>1080</v>
      </c>
      <c r="Q128" t="s">
        <v>1080</v>
      </c>
      <c r="R128" t="s">
        <v>1080</v>
      </c>
      <c r="S128" t="s">
        <v>1080</v>
      </c>
      <c r="T128" t="s">
        <v>1080</v>
      </c>
      <c r="U128" t="s">
        <v>1080</v>
      </c>
      <c r="V128" t="s">
        <v>1080</v>
      </c>
      <c r="W128" t="s">
        <v>1080</v>
      </c>
      <c r="X128" t="s">
        <v>1080</v>
      </c>
      <c r="Y128" t="s">
        <v>1080</v>
      </c>
      <c r="Z128" t="s">
        <v>1080</v>
      </c>
      <c r="AA128" t="s">
        <v>1080</v>
      </c>
      <c r="AB128" t="s">
        <v>1080</v>
      </c>
      <c r="AC128" t="s">
        <v>1080</v>
      </c>
      <c r="AD128" t="s">
        <v>1080</v>
      </c>
      <c r="AE128" t="s">
        <v>1080</v>
      </c>
      <c r="AF128" t="s">
        <v>1080</v>
      </c>
      <c r="AJ128" t="s">
        <v>1080</v>
      </c>
      <c r="AK128" t="s">
        <v>1080</v>
      </c>
      <c r="AL128" t="s">
        <v>1080</v>
      </c>
      <c r="AM128" t="s">
        <v>1080</v>
      </c>
      <c r="AN128" t="s">
        <v>1080</v>
      </c>
      <c r="AO128" t="s">
        <v>1080</v>
      </c>
      <c r="AP128" t="s">
        <v>1080</v>
      </c>
      <c r="AQ128" t="s">
        <v>1080</v>
      </c>
      <c r="AR128" t="s">
        <v>1080</v>
      </c>
      <c r="AS128" t="s">
        <v>1080</v>
      </c>
      <c r="AT128" t="s">
        <v>1080</v>
      </c>
      <c r="AU128" t="s">
        <v>1080</v>
      </c>
      <c r="AV128" t="s">
        <v>1080</v>
      </c>
      <c r="AW128" t="s">
        <v>1080</v>
      </c>
      <c r="AX128" t="s">
        <v>1080</v>
      </c>
      <c r="AY128" t="s">
        <v>1080</v>
      </c>
      <c r="AZ128" t="s">
        <v>1080</v>
      </c>
      <c r="BA128" t="s">
        <v>1080</v>
      </c>
    </row>
    <row r="130" spans="3:50" x14ac:dyDescent="0.25">
      <c r="Q130" s="2">
        <f t="shared" ref="Q130:V130" si="25">SUBTOTAL(9,Q3:Q126)</f>
        <v>504636030.2299999</v>
      </c>
      <c r="R130" s="2">
        <f t="shared" si="25"/>
        <v>65988858.99720002</v>
      </c>
      <c r="S130" s="2">
        <f t="shared" si="25"/>
        <v>570614889.22720003</v>
      </c>
      <c r="T130" s="2">
        <f t="shared" si="25"/>
        <v>117718738.78</v>
      </c>
      <c r="U130" s="2" t="e">
        <f t="shared" si="25"/>
        <v>#VALUE!</v>
      </c>
      <c r="V130" s="2">
        <f t="shared" si="25"/>
        <v>574618506.45279992</v>
      </c>
      <c r="AN130" s="2">
        <f>SUBTOTAL(9,AN2:AN126)</f>
        <v>4003656.2256000009</v>
      </c>
      <c r="AX130" s="2">
        <f>SUBTOTAL(9,AX2:AX126)</f>
        <v>49</v>
      </c>
    </row>
    <row r="132" spans="3:50" x14ac:dyDescent="0.25">
      <c r="C132" s="566" t="s">
        <v>88</v>
      </c>
      <c r="D132" s="566" t="s">
        <v>1081</v>
      </c>
      <c r="E132" s="566" t="s">
        <v>1082</v>
      </c>
    </row>
    <row r="133" spans="3:50" x14ac:dyDescent="0.25">
      <c r="C133" s="567" t="s">
        <v>163</v>
      </c>
      <c r="D133" s="469">
        <f>+SUMIF($E$3:$E$126,C133,$V$3:$V$126)</f>
        <v>322282731.19760013</v>
      </c>
      <c r="E133" s="470">
        <v>71</v>
      </c>
    </row>
    <row r="134" spans="3:50" x14ac:dyDescent="0.25">
      <c r="C134" s="4" t="s">
        <v>173</v>
      </c>
      <c r="D134" s="469">
        <f>+SUMIF($E$3:$E$126,C134,$V$3:$V$126)</f>
        <v>198021133.61560002</v>
      </c>
      <c r="E134" s="470">
        <v>21</v>
      </c>
    </row>
    <row r="135" spans="3:50" x14ac:dyDescent="0.25">
      <c r="C135" s="4" t="s">
        <v>151</v>
      </c>
      <c r="D135" s="469">
        <f>+SUMIF($E$3:$E$126,C135,$V$3:$V$126)</f>
        <v>54314641.639600001</v>
      </c>
      <c r="E135" s="470">
        <f>COUNTIF(E3:E128,C135)</f>
        <v>18</v>
      </c>
    </row>
    <row r="136" spans="3:50" x14ac:dyDescent="0.25">
      <c r="C136" s="4" t="s">
        <v>1083</v>
      </c>
      <c r="D136" s="469">
        <f>SUM(D133:D135)</f>
        <v>574618506.45280015</v>
      </c>
      <c r="E136" s="470"/>
    </row>
    <row r="137" spans="3:50" x14ac:dyDescent="0.25">
      <c r="C137" s="979" t="s">
        <v>1084</v>
      </c>
      <c r="D137" s="990">
        <f>+V130</f>
        <v>574618506.45279992</v>
      </c>
      <c r="E137" s="202"/>
    </row>
    <row r="140" spans="3:50" x14ac:dyDescent="0.25">
      <c r="C140" s="1091" t="s">
        <v>1085</v>
      </c>
      <c r="D140" s="1091"/>
      <c r="E140" s="501" t="s">
        <v>1082</v>
      </c>
    </row>
    <row r="141" spans="3:50" x14ac:dyDescent="0.25">
      <c r="C141" s="520" t="s">
        <v>163</v>
      </c>
      <c r="D141" s="469">
        <f>+SUMIF($G$3:$G$126,C141,$V$3:$V$126)</f>
        <v>277064166.10680008</v>
      </c>
      <c r="E141" s="520">
        <v>61</v>
      </c>
    </row>
    <row r="142" spans="3:50" x14ac:dyDescent="0.25">
      <c r="C142" s="960" t="s">
        <v>546</v>
      </c>
      <c r="D142" s="469">
        <f>+SUMIF($G$3:$G$126,C142,$V$3:$V$126)</f>
        <v>45218565.090800002</v>
      </c>
      <c r="E142" s="520">
        <v>10</v>
      </c>
    </row>
    <row r="143" spans="3:50" ht="30" x14ac:dyDescent="0.25">
      <c r="C143" s="325" t="s">
        <v>1086</v>
      </c>
      <c r="D143" s="16">
        <f>SUM(D141:D142)</f>
        <v>322282731.19760007</v>
      </c>
      <c r="E143">
        <f>SUM(E141:E142)</f>
        <v>71</v>
      </c>
    </row>
    <row r="144" spans="3:50" x14ac:dyDescent="0.25">
      <c r="D144" s="16">
        <f>+D143-D133</f>
        <v>0</v>
      </c>
    </row>
  </sheetData>
  <autoFilter ref="V55:V126" xr:uid="{00000000-0001-0000-0100-000000000000}"/>
  <mergeCells count="1">
    <mergeCell ref="C140:D14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8" filterMode="1"/>
  <dimension ref="A1:CB214"/>
  <sheetViews>
    <sheetView zoomScale="85" zoomScaleNormal="85" workbookViewId="0">
      <pane ySplit="2" topLeftCell="A131" activePane="bottomLeft" state="frozen"/>
      <selection pane="bottomLeft" activeCell="T142" sqref="T142"/>
    </sheetView>
  </sheetViews>
  <sheetFormatPr baseColWidth="10" defaultColWidth="11.42578125" defaultRowHeight="15" x14ac:dyDescent="0.25"/>
  <cols>
    <col min="1" max="1" width="26.140625" bestFit="1" customWidth="1"/>
    <col min="2" max="2" width="11.42578125" customWidth="1"/>
    <col min="3" max="3" width="13.7109375" customWidth="1"/>
    <col min="4" max="5" width="19.85546875" customWidth="1"/>
    <col min="6" max="6" width="16.42578125" bestFit="1" customWidth="1"/>
    <col min="7" max="16" width="11.42578125" customWidth="1"/>
    <col min="17" max="17" width="21.5703125" customWidth="1"/>
    <col min="18" max="18" width="17.140625" customWidth="1"/>
    <col min="19" max="19" width="14.7109375" customWidth="1"/>
    <col min="20" max="20" width="16.42578125" customWidth="1"/>
    <col min="21" max="22" width="14.85546875" bestFit="1" customWidth="1"/>
    <col min="23" max="23" width="16.5703125" bestFit="1" customWidth="1"/>
    <col min="24" max="26" width="11.42578125" customWidth="1"/>
    <col min="27" max="28" width="11.5703125" bestFit="1" customWidth="1"/>
    <col min="30" max="30" width="12.7109375" bestFit="1" customWidth="1"/>
    <col min="31" max="33" width="11.5703125" bestFit="1" customWidth="1"/>
    <col min="35" max="35" width="26" customWidth="1"/>
    <col min="36" max="36" width="27.28515625" customWidth="1"/>
    <col min="37" max="37" width="11.5703125" bestFit="1" customWidth="1"/>
    <col min="38" max="38" width="18.5703125" customWidth="1"/>
    <col min="39" max="39" width="13.140625" bestFit="1" customWidth="1"/>
    <col min="40" max="40" width="11.5703125" bestFit="1" customWidth="1"/>
    <col min="44" max="44" width="11.5703125" bestFit="1" customWidth="1"/>
    <col min="49" max="49" width="11.5703125" bestFit="1" customWidth="1"/>
    <col min="52" max="52" width="11.5703125" bestFit="1" customWidth="1"/>
    <col min="54" max="64" width="11.5703125" bestFit="1" customWidth="1"/>
    <col min="66" max="72" width="11.5703125" bestFit="1" customWidth="1"/>
    <col min="74" max="74" width="13.85546875" bestFit="1" customWidth="1"/>
    <col min="75" max="78" width="15.85546875" bestFit="1" customWidth="1"/>
    <col min="79" max="79" width="16.85546875" customWidth="1"/>
    <col min="80" max="80" width="18.42578125" customWidth="1"/>
    <col min="81" max="81" width="24.5703125" customWidth="1"/>
  </cols>
  <sheetData>
    <row r="1" spans="1:79" ht="72" x14ac:dyDescent="0.25">
      <c r="A1" s="21" t="s">
        <v>83</v>
      </c>
      <c r="B1" s="22" t="s">
        <v>1087</v>
      </c>
      <c r="C1" s="23" t="s">
        <v>1088</v>
      </c>
      <c r="D1" s="24" t="s">
        <v>85</v>
      </c>
      <c r="E1" s="21" t="s">
        <v>86</v>
      </c>
      <c r="F1" s="21" t="s">
        <v>1</v>
      </c>
      <c r="G1" s="23" t="s">
        <v>88</v>
      </c>
      <c r="H1" s="433" t="s">
        <v>87</v>
      </c>
      <c r="I1" s="23" t="s">
        <v>89</v>
      </c>
      <c r="J1" s="23" t="s">
        <v>90</v>
      </c>
      <c r="K1" s="23" t="s">
        <v>91</v>
      </c>
      <c r="L1" s="23" t="s">
        <v>92</v>
      </c>
      <c r="M1" s="21" t="s">
        <v>93</v>
      </c>
      <c r="N1" s="21" t="s">
        <v>1089</v>
      </c>
      <c r="O1" s="23" t="s">
        <v>1090</v>
      </c>
      <c r="P1" s="21" t="s">
        <v>0</v>
      </c>
      <c r="Q1" s="25" t="s">
        <v>96</v>
      </c>
      <c r="R1" s="26" t="s">
        <v>97</v>
      </c>
      <c r="S1" s="26" t="s">
        <v>1091</v>
      </c>
      <c r="T1" s="26" t="s">
        <v>99</v>
      </c>
      <c r="U1" s="27" t="s">
        <v>100</v>
      </c>
      <c r="V1" s="28" t="s">
        <v>101</v>
      </c>
      <c r="W1" s="60" t="s">
        <v>102</v>
      </c>
      <c r="X1" s="29" t="s">
        <v>103</v>
      </c>
      <c r="Y1" s="23" t="s">
        <v>104</v>
      </c>
      <c r="Z1" s="30" t="s">
        <v>105</v>
      </c>
      <c r="AA1" s="30" t="s">
        <v>106</v>
      </c>
      <c r="AB1" s="23" t="s">
        <v>110</v>
      </c>
      <c r="AC1" s="31" t="s">
        <v>111</v>
      </c>
      <c r="AD1" s="31" t="s">
        <v>112</v>
      </c>
      <c r="AE1" s="31" t="s">
        <v>113</v>
      </c>
      <c r="AF1" s="31" t="s">
        <v>114</v>
      </c>
      <c r="AG1" s="23" t="s">
        <v>1092</v>
      </c>
      <c r="AH1" s="32" t="s">
        <v>116</v>
      </c>
      <c r="AI1" s="32" t="s">
        <v>117</v>
      </c>
      <c r="AJ1" s="32" t="s">
        <v>118</v>
      </c>
      <c r="AK1" s="33" t="s">
        <v>119</v>
      </c>
      <c r="AL1" s="23" t="s">
        <v>120</v>
      </c>
      <c r="AM1" s="23" t="s">
        <v>107</v>
      </c>
      <c r="AN1" s="23" t="s">
        <v>1093</v>
      </c>
      <c r="AO1" s="34" t="s">
        <v>121</v>
      </c>
      <c r="AP1" s="34" t="s">
        <v>122</v>
      </c>
      <c r="AQ1" s="34" t="s">
        <v>123</v>
      </c>
      <c r="AR1" s="34" t="s">
        <v>124</v>
      </c>
      <c r="AS1" s="34" t="s">
        <v>125</v>
      </c>
      <c r="AT1" s="34" t="s">
        <v>1093</v>
      </c>
      <c r="AU1" s="35" t="s">
        <v>126</v>
      </c>
      <c r="AV1" s="29" t="s">
        <v>118</v>
      </c>
      <c r="AW1" s="23" t="s">
        <v>127</v>
      </c>
      <c r="AX1" s="25" t="s">
        <v>128</v>
      </c>
      <c r="AY1" s="29" t="s">
        <v>129</v>
      </c>
      <c r="AZ1" s="23" t="s">
        <v>130</v>
      </c>
      <c r="BA1" s="23" t="s">
        <v>131</v>
      </c>
      <c r="BB1" s="21" t="s">
        <v>107</v>
      </c>
      <c r="BC1" s="79" t="s">
        <v>132</v>
      </c>
      <c r="BD1" s="80" t="s">
        <v>133</v>
      </c>
      <c r="BE1" s="74" t="s">
        <v>134</v>
      </c>
      <c r="BF1" s="74" t="s">
        <v>1094</v>
      </c>
      <c r="BG1" s="74" t="s">
        <v>1095</v>
      </c>
      <c r="BH1" s="74" t="s">
        <v>1096</v>
      </c>
      <c r="BI1" s="75" t="s">
        <v>1097</v>
      </c>
      <c r="BJ1" s="75" t="s">
        <v>1098</v>
      </c>
      <c r="BK1" s="75" t="s">
        <v>1099</v>
      </c>
      <c r="BL1" s="75" t="s">
        <v>141</v>
      </c>
      <c r="BM1" s="75" t="s">
        <v>142</v>
      </c>
      <c r="BN1" s="75" t="s">
        <v>143</v>
      </c>
      <c r="BO1" s="75" t="s">
        <v>144</v>
      </c>
      <c r="BP1" s="74" t="s">
        <v>145</v>
      </c>
      <c r="BQ1" s="76" t="s">
        <v>146</v>
      </c>
      <c r="BR1" s="77" t="s">
        <v>1100</v>
      </c>
      <c r="BS1" s="78" t="s">
        <v>1101</v>
      </c>
      <c r="BT1" s="64" t="s">
        <v>147</v>
      </c>
      <c r="BU1" s="83" t="s">
        <v>1102</v>
      </c>
      <c r="BV1" s="83" t="s">
        <v>1103</v>
      </c>
      <c r="BW1" s="83" t="s">
        <v>1104</v>
      </c>
      <c r="BX1" s="83" t="s">
        <v>1105</v>
      </c>
      <c r="BY1" s="83" t="s">
        <v>1106</v>
      </c>
      <c r="BZ1" s="83" t="s">
        <v>1107</v>
      </c>
      <c r="CA1" s="263" t="s">
        <v>1108</v>
      </c>
    </row>
    <row r="2" spans="1:79" hidden="1" x14ac:dyDescent="0.25">
      <c r="A2" s="36">
        <v>1</v>
      </c>
      <c r="B2" s="36">
        <v>2</v>
      </c>
      <c r="C2" s="36">
        <v>3</v>
      </c>
      <c r="D2" s="37">
        <v>4</v>
      </c>
      <c r="E2" s="37"/>
      <c r="F2" s="36">
        <v>6</v>
      </c>
      <c r="G2" s="36">
        <v>7</v>
      </c>
      <c r="H2" s="36"/>
      <c r="I2" s="36">
        <v>8</v>
      </c>
      <c r="J2" s="36">
        <v>9</v>
      </c>
      <c r="K2" s="36">
        <v>10</v>
      </c>
      <c r="L2" s="36">
        <v>11</v>
      </c>
      <c r="M2" s="36">
        <v>12</v>
      </c>
      <c r="N2" s="36">
        <v>13</v>
      </c>
      <c r="O2" s="36">
        <v>14</v>
      </c>
      <c r="P2" s="36">
        <v>15</v>
      </c>
      <c r="Q2" s="36">
        <v>16</v>
      </c>
      <c r="R2" s="36">
        <v>17</v>
      </c>
      <c r="S2" s="36">
        <v>18</v>
      </c>
      <c r="T2" s="36">
        <v>19</v>
      </c>
      <c r="U2" s="36">
        <v>20</v>
      </c>
      <c r="V2" s="36">
        <v>21</v>
      </c>
      <c r="W2" s="36">
        <v>22</v>
      </c>
      <c r="X2" s="36">
        <v>23</v>
      </c>
      <c r="Y2" s="36">
        <v>24</v>
      </c>
      <c r="Z2" s="36">
        <v>25</v>
      </c>
      <c r="AA2" s="36">
        <v>26</v>
      </c>
      <c r="AB2" s="36">
        <v>27</v>
      </c>
      <c r="AC2" s="36">
        <v>28</v>
      </c>
      <c r="AD2" s="36">
        <v>29</v>
      </c>
      <c r="AE2" s="36">
        <v>30</v>
      </c>
      <c r="AF2" s="36">
        <v>31</v>
      </c>
      <c r="AG2" s="36">
        <v>32</v>
      </c>
      <c r="AH2" s="36">
        <v>33</v>
      </c>
      <c r="AI2" s="179">
        <v>34</v>
      </c>
      <c r="AJ2" s="36">
        <v>35</v>
      </c>
      <c r="AK2" s="36">
        <v>36</v>
      </c>
      <c r="AL2" s="36">
        <v>37</v>
      </c>
      <c r="AM2" s="36"/>
      <c r="AN2" s="36"/>
      <c r="AO2" s="36">
        <v>38</v>
      </c>
      <c r="AP2" s="36">
        <v>39</v>
      </c>
      <c r="AQ2" s="36">
        <v>40</v>
      </c>
      <c r="AR2" s="36">
        <v>41</v>
      </c>
      <c r="AS2" s="36">
        <v>42</v>
      </c>
      <c r="AT2" s="36"/>
      <c r="AU2" s="36">
        <v>43</v>
      </c>
      <c r="AV2" s="36">
        <v>44</v>
      </c>
      <c r="AW2" s="36">
        <v>45</v>
      </c>
      <c r="AX2" s="36">
        <v>46</v>
      </c>
      <c r="AY2" s="36">
        <v>47</v>
      </c>
      <c r="AZ2" s="36">
        <v>48</v>
      </c>
      <c r="BA2" s="36">
        <v>49</v>
      </c>
      <c r="BB2" s="36">
        <v>50</v>
      </c>
      <c r="BC2" s="36">
        <v>51</v>
      </c>
      <c r="BD2" s="36">
        <v>52</v>
      </c>
      <c r="BE2" s="36">
        <v>53</v>
      </c>
      <c r="BF2" s="36">
        <v>54</v>
      </c>
      <c r="BG2" s="36">
        <v>55</v>
      </c>
      <c r="BH2" s="36">
        <v>56</v>
      </c>
      <c r="BI2" s="36">
        <v>57</v>
      </c>
      <c r="BJ2" s="36">
        <v>58</v>
      </c>
      <c r="BK2" s="36">
        <v>59</v>
      </c>
      <c r="BL2" s="36">
        <v>60</v>
      </c>
      <c r="BM2" s="36">
        <v>61</v>
      </c>
      <c r="BN2" s="36">
        <v>62</v>
      </c>
      <c r="BO2" s="36">
        <v>63</v>
      </c>
      <c r="BP2" s="36">
        <v>64</v>
      </c>
      <c r="BQ2" s="177">
        <v>65</v>
      </c>
      <c r="BR2" s="179">
        <v>66</v>
      </c>
      <c r="BS2" s="181">
        <v>67</v>
      </c>
      <c r="BT2" s="177">
        <v>68</v>
      </c>
      <c r="BU2" s="84"/>
      <c r="BV2" s="86"/>
      <c r="BW2" s="84"/>
      <c r="BX2" s="84"/>
      <c r="BY2" s="84"/>
      <c r="BZ2" s="84"/>
    </row>
    <row r="3" spans="1:79" ht="165" hidden="1" x14ac:dyDescent="0.25">
      <c r="A3" s="38" t="s">
        <v>1109</v>
      </c>
      <c r="B3" s="39">
        <v>1</v>
      </c>
      <c r="C3" s="38" t="s">
        <v>149</v>
      </c>
      <c r="D3" s="991" t="s">
        <v>1110</v>
      </c>
      <c r="E3" s="81" t="s">
        <v>163</v>
      </c>
      <c r="F3" s="39" t="s">
        <v>568</v>
      </c>
      <c r="G3" s="39" t="s">
        <v>1111</v>
      </c>
      <c r="H3" s="685" t="s">
        <v>546</v>
      </c>
      <c r="I3" s="81" t="s">
        <v>569</v>
      </c>
      <c r="J3" s="82"/>
      <c r="K3" s="82"/>
      <c r="L3" s="82"/>
      <c r="M3" s="42" t="str">
        <f>I3&amp;J3&amp;" "&amp;K3&amp;" "&amp;L3</f>
        <v xml:space="preserve">Audio Video &amp; Control, S.A. de C.V.  </v>
      </c>
      <c r="N3" s="991" t="s">
        <v>315</v>
      </c>
      <c r="O3" s="991" t="s">
        <v>315</v>
      </c>
      <c r="P3" s="43" t="s">
        <v>1112</v>
      </c>
      <c r="Q3" s="992">
        <v>648000</v>
      </c>
      <c r="R3" s="44">
        <f>Q3*0.16</f>
        <v>103680</v>
      </c>
      <c r="S3" s="45">
        <f>Q3+R3</f>
        <v>751680</v>
      </c>
      <c r="T3" s="46">
        <v>0</v>
      </c>
      <c r="U3" s="47">
        <f>(T3*0.16)+(T3)</f>
        <v>0</v>
      </c>
      <c r="V3" s="44">
        <f>S3+AK3</f>
        <v>939600</v>
      </c>
      <c r="W3" s="993" t="s">
        <v>156</v>
      </c>
      <c r="X3" s="48">
        <v>43467</v>
      </c>
      <c r="Y3" s="48" t="s">
        <v>157</v>
      </c>
      <c r="Z3" s="48">
        <v>43466</v>
      </c>
      <c r="AA3" s="48">
        <v>43830</v>
      </c>
      <c r="AB3" s="38" t="s">
        <v>1113</v>
      </c>
      <c r="AC3" s="49"/>
      <c r="AD3" s="49"/>
      <c r="AE3" s="49"/>
      <c r="AF3" s="49"/>
      <c r="AG3" s="39" t="s">
        <v>156</v>
      </c>
      <c r="AH3" s="100" t="s">
        <v>1114</v>
      </c>
      <c r="AI3" s="100" t="s">
        <v>1016</v>
      </c>
      <c r="AJ3" s="101">
        <v>43829</v>
      </c>
      <c r="AK3" s="102">
        <f>162000*1.16</f>
        <v>187920</v>
      </c>
      <c r="AL3" s="39" t="str">
        <f ca="1">IF(ISBLANK(AA3),"",IF(AA3&gt;=TODAY(),"VIGENTE","MUERTO"))</f>
        <v>MUERTO</v>
      </c>
      <c r="AM3" s="39"/>
      <c r="AN3" s="39"/>
      <c r="AO3" s="39" t="s">
        <v>193</v>
      </c>
      <c r="AP3" s="39" t="s">
        <v>924</v>
      </c>
      <c r="AQ3" s="39" t="s">
        <v>234</v>
      </c>
      <c r="AR3" s="39"/>
      <c r="AS3" s="39"/>
      <c r="AT3" s="39"/>
      <c r="AU3" s="51"/>
      <c r="AV3" s="50"/>
      <c r="AW3" s="38"/>
      <c r="AX3" s="52"/>
      <c r="AY3" s="50"/>
      <c r="AZ3" s="38"/>
      <c r="BA3" s="38" t="e">
        <f>VLOOKUP(I3,#REF!,2,0)</f>
        <v>#REF!</v>
      </c>
      <c r="BB3" s="71"/>
      <c r="BC3" s="59">
        <v>43455</v>
      </c>
      <c r="BD3" s="59">
        <v>43465</v>
      </c>
      <c r="BE3" s="59">
        <v>43467</v>
      </c>
      <c r="BF3" s="59">
        <v>43493</v>
      </c>
      <c r="BG3" s="59">
        <v>43538</v>
      </c>
      <c r="BH3" s="59" t="s">
        <v>1115</v>
      </c>
      <c r="BI3" s="39" t="e">
        <f>NETWORKDAYS(BF3,BG3,#REF!)</f>
        <v>#REF!</v>
      </c>
      <c r="BJ3" s="59" t="s">
        <v>1116</v>
      </c>
      <c r="BK3" s="59" t="s">
        <v>1117</v>
      </c>
      <c r="BL3" s="994" t="s">
        <v>1118</v>
      </c>
      <c r="BM3" s="59">
        <v>43579</v>
      </c>
      <c r="BN3" s="59">
        <v>43507</v>
      </c>
      <c r="BO3" s="59">
        <v>43507</v>
      </c>
      <c r="BP3" s="59">
        <v>43511</v>
      </c>
      <c r="BQ3" s="62">
        <v>43507</v>
      </c>
      <c r="BR3" s="68" t="e">
        <f xml:space="preserve"> NETWORKDAYS(BC3,BM3,#REF!)</f>
        <v>#REF!</v>
      </c>
      <c r="BS3" s="69" t="e">
        <f>NETWORKDAYS(BC3,BN3,#REF!)</f>
        <v>#REF!</v>
      </c>
      <c r="BT3" s="62"/>
      <c r="BU3" s="84"/>
      <c r="BV3" s="84"/>
      <c r="BW3" s="84"/>
      <c r="BX3" s="84"/>
      <c r="BY3" s="84"/>
      <c r="BZ3" s="84"/>
    </row>
    <row r="4" spans="1:79" ht="195" hidden="1" x14ac:dyDescent="0.25">
      <c r="A4" s="38" t="s">
        <v>1119</v>
      </c>
      <c r="B4" s="39">
        <v>2</v>
      </c>
      <c r="C4" s="38" t="s">
        <v>149</v>
      </c>
      <c r="D4" s="991" t="s">
        <v>1110</v>
      </c>
      <c r="E4" s="81" t="s">
        <v>163</v>
      </c>
      <c r="F4" s="39" t="s">
        <v>568</v>
      </c>
      <c r="G4" s="39" t="s">
        <v>1111</v>
      </c>
      <c r="H4" s="685" t="s">
        <v>546</v>
      </c>
      <c r="I4" s="81" t="s">
        <v>569</v>
      </c>
      <c r="J4" s="82"/>
      <c r="K4" s="82"/>
      <c r="L4" s="82"/>
      <c r="M4" s="42" t="str">
        <f t="shared" ref="M4:M22" si="0">I4&amp;J4&amp;" "&amp;K4&amp;" "&amp;L4</f>
        <v xml:space="preserve">Audio Video &amp; Control, S.A. de C.V.  </v>
      </c>
      <c r="N4" s="991" t="s">
        <v>190</v>
      </c>
      <c r="O4" s="991" t="s">
        <v>1120</v>
      </c>
      <c r="P4" s="43" t="s">
        <v>1121</v>
      </c>
      <c r="Q4" s="992">
        <v>795600</v>
      </c>
      <c r="R4" s="44">
        <f t="shared" ref="R4:R22" si="1">Q4*0.16</f>
        <v>127296</v>
      </c>
      <c r="S4" s="45">
        <f t="shared" ref="S4:S31" si="2">Q4+R4</f>
        <v>922896</v>
      </c>
      <c r="T4" s="46">
        <v>612000</v>
      </c>
      <c r="U4" s="47">
        <f t="shared" ref="U4:U22" si="3">(T4*0.16)+(T4)</f>
        <v>709920</v>
      </c>
      <c r="V4" s="44">
        <f t="shared" ref="V4:V35" si="4">S4+AK4</f>
        <v>922896</v>
      </c>
      <c r="W4" s="993" t="s">
        <v>156</v>
      </c>
      <c r="X4" s="48">
        <v>43467</v>
      </c>
      <c r="Y4" s="48" t="s">
        <v>157</v>
      </c>
      <c r="Z4" s="48">
        <v>43466</v>
      </c>
      <c r="AA4" s="48">
        <v>43830</v>
      </c>
      <c r="AB4" s="38" t="s">
        <v>1113</v>
      </c>
      <c r="AC4" s="49"/>
      <c r="AD4" s="49"/>
      <c r="AE4" s="49"/>
      <c r="AF4" s="49"/>
      <c r="AG4" s="39" t="s">
        <v>156</v>
      </c>
      <c r="AH4" s="38"/>
      <c r="AI4" s="38"/>
      <c r="AJ4" s="50"/>
      <c r="AK4" s="44"/>
      <c r="AL4" s="39" t="str">
        <f t="shared" ref="AL4:AL41" ca="1" si="5">IF(ISBLANK(AA4),"",IF(AA4&gt;=TODAY(),"VIGENTE","MUERTO"))</f>
        <v>MUERTO</v>
      </c>
      <c r="AM4" s="39"/>
      <c r="AN4" s="39"/>
      <c r="AO4" s="39" t="s">
        <v>193</v>
      </c>
      <c r="AP4" s="39"/>
      <c r="AQ4" s="39" t="s">
        <v>234</v>
      </c>
      <c r="AR4" s="39"/>
      <c r="AS4" s="39"/>
      <c r="AT4" s="39"/>
      <c r="AU4" s="51"/>
      <c r="AV4" s="50"/>
      <c r="AW4" s="38"/>
      <c r="AX4" s="52"/>
      <c r="AY4" s="50"/>
      <c r="AZ4" s="38"/>
      <c r="BA4" s="38" t="e">
        <f>VLOOKUP(I4,#REF!,2,0)</f>
        <v>#REF!</v>
      </c>
      <c r="BB4" s="71"/>
      <c r="BC4" s="59">
        <v>43446</v>
      </c>
      <c r="BD4" s="59" t="s">
        <v>1122</v>
      </c>
      <c r="BE4" s="59" t="s">
        <v>1123</v>
      </c>
      <c r="BF4" s="59">
        <v>43487</v>
      </c>
      <c r="BG4" s="59">
        <v>43539</v>
      </c>
      <c r="BH4" s="59" t="s">
        <v>1124</v>
      </c>
      <c r="BI4" s="39" t="e">
        <f>NETWORKDAYS(BF4,BG4,#REF!)</f>
        <v>#REF!</v>
      </c>
      <c r="BJ4" s="59" t="s">
        <v>1125</v>
      </c>
      <c r="BK4" s="59" t="s">
        <v>1126</v>
      </c>
      <c r="BL4" s="994" t="s">
        <v>1118</v>
      </c>
      <c r="BM4" s="59">
        <v>43621</v>
      </c>
      <c r="BN4" s="59">
        <v>43557</v>
      </c>
      <c r="BO4" s="59">
        <v>43549</v>
      </c>
      <c r="BP4" s="59">
        <v>43559</v>
      </c>
      <c r="BQ4" s="62" t="s">
        <v>186</v>
      </c>
      <c r="BR4" s="68" t="e">
        <f xml:space="preserve"> NETWORKDAYS(BC4,BM4,#REF!)</f>
        <v>#REF!</v>
      </c>
      <c r="BS4" s="69" t="e">
        <f>NETWORKDAYS(BC4,BN4,#REF!)</f>
        <v>#REF!</v>
      </c>
      <c r="BT4" s="62"/>
      <c r="BU4" s="84"/>
      <c r="BV4" s="84"/>
      <c r="BW4" s="84"/>
      <c r="BX4" s="84"/>
      <c r="BY4" s="84"/>
      <c r="BZ4" s="84"/>
    </row>
    <row r="5" spans="1:79" ht="195" hidden="1" x14ac:dyDescent="0.25">
      <c r="A5" s="38" t="s">
        <v>1127</v>
      </c>
      <c r="B5" s="39">
        <v>3</v>
      </c>
      <c r="C5" s="38" t="s">
        <v>149</v>
      </c>
      <c r="D5" s="991" t="s">
        <v>1128</v>
      </c>
      <c r="E5" s="39" t="s">
        <v>151</v>
      </c>
      <c r="F5" s="39" t="s">
        <v>152</v>
      </c>
      <c r="G5" s="39" t="s">
        <v>151</v>
      </c>
      <c r="H5" s="39"/>
      <c r="I5" s="81" t="s">
        <v>1129</v>
      </c>
      <c r="J5" s="82"/>
      <c r="K5" s="82"/>
      <c r="L5" s="82"/>
      <c r="M5" s="42" t="str">
        <f t="shared" si="0"/>
        <v xml:space="preserve">Grupo Mexicano de Seguros, S.A. de C.V.  </v>
      </c>
      <c r="N5" s="991" t="s">
        <v>270</v>
      </c>
      <c r="O5" s="991" t="s">
        <v>1077</v>
      </c>
      <c r="P5" s="43" t="s">
        <v>1130</v>
      </c>
      <c r="Q5" s="992">
        <v>12914489.199999999</v>
      </c>
      <c r="R5" s="44">
        <f t="shared" si="1"/>
        <v>2066318.2719999999</v>
      </c>
      <c r="S5" s="45">
        <f t="shared" si="2"/>
        <v>14980807.471999999</v>
      </c>
      <c r="T5" s="46">
        <v>0</v>
      </c>
      <c r="U5" s="47">
        <f t="shared" si="3"/>
        <v>0</v>
      </c>
      <c r="V5" s="44">
        <f t="shared" si="4"/>
        <v>16277613.692</v>
      </c>
      <c r="W5" s="993" t="s">
        <v>156</v>
      </c>
      <c r="X5" s="48">
        <v>43467</v>
      </c>
      <c r="Y5" s="48" t="s">
        <v>157</v>
      </c>
      <c r="Z5" s="48">
        <v>43465</v>
      </c>
      <c r="AA5" s="48">
        <v>43830</v>
      </c>
      <c r="AB5" s="38" t="s">
        <v>161</v>
      </c>
      <c r="AC5" s="49"/>
      <c r="AD5" s="49"/>
      <c r="AE5" s="49"/>
      <c r="AF5" s="49"/>
      <c r="AG5" s="39"/>
      <c r="AH5" s="100" t="s">
        <v>1131</v>
      </c>
      <c r="AI5" s="100" t="s">
        <v>1132</v>
      </c>
      <c r="AJ5" s="101">
        <v>43812</v>
      </c>
      <c r="AK5" s="102">
        <v>1296806.22</v>
      </c>
      <c r="AL5" s="39" t="str">
        <f t="shared" ca="1" si="5"/>
        <v>MUERTO</v>
      </c>
      <c r="AM5" s="39"/>
      <c r="AN5" s="39"/>
      <c r="AO5" s="39" t="s">
        <v>193</v>
      </c>
      <c r="AP5" s="39" t="s">
        <v>924</v>
      </c>
      <c r="AQ5" s="39" t="s">
        <v>234</v>
      </c>
      <c r="AR5" s="39"/>
      <c r="AS5" s="39"/>
      <c r="AT5" s="39"/>
      <c r="AU5" s="51"/>
      <c r="AV5" s="50"/>
      <c r="AW5" s="38"/>
      <c r="AX5" s="52"/>
      <c r="AY5" s="50"/>
      <c r="AZ5" s="38"/>
      <c r="BA5" s="38" t="e">
        <f>VLOOKUP(I5,#REF!,2,0)</f>
        <v>#REF!</v>
      </c>
      <c r="BB5" s="71"/>
      <c r="BC5" s="59">
        <v>43460</v>
      </c>
      <c r="BD5" s="59">
        <v>43465</v>
      </c>
      <c r="BE5" s="59">
        <v>43467</v>
      </c>
      <c r="BF5" s="59" t="s">
        <v>161</v>
      </c>
      <c r="BG5" s="59" t="s">
        <v>161</v>
      </c>
      <c r="BH5" s="59" t="s">
        <v>161</v>
      </c>
      <c r="BI5" s="39" t="s">
        <v>1133</v>
      </c>
      <c r="BJ5" s="59" t="s">
        <v>161</v>
      </c>
      <c r="BK5" s="59" t="s">
        <v>161</v>
      </c>
      <c r="BL5" s="59" t="s">
        <v>161</v>
      </c>
      <c r="BM5" s="59">
        <v>43537</v>
      </c>
      <c r="BN5" s="59">
        <v>43537</v>
      </c>
      <c r="BO5" s="59">
        <v>43495</v>
      </c>
      <c r="BP5" s="59">
        <v>43620</v>
      </c>
      <c r="BQ5" s="62">
        <v>43543</v>
      </c>
      <c r="BR5" s="68" t="e">
        <f xml:space="preserve"> NETWORKDAYS(BC5,BM5,#REF!)</f>
        <v>#REF!</v>
      </c>
      <c r="BS5" s="69" t="e">
        <f>NETWORKDAYS(BC5,BN5,#REF!)</f>
        <v>#REF!</v>
      </c>
      <c r="BT5" s="62"/>
      <c r="BU5" s="84"/>
      <c r="BV5" s="84"/>
      <c r="BW5" s="84"/>
      <c r="BX5" s="84"/>
      <c r="BY5" s="84"/>
      <c r="BZ5" s="84"/>
    </row>
    <row r="6" spans="1:79" ht="60" hidden="1" x14ac:dyDescent="0.25">
      <c r="A6" s="598" t="s">
        <v>1134</v>
      </c>
      <c r="B6" s="39">
        <v>4</v>
      </c>
      <c r="C6" s="38" t="s">
        <v>225</v>
      </c>
      <c r="D6" s="991" t="s">
        <v>1110</v>
      </c>
      <c r="E6" s="81" t="s">
        <v>163</v>
      </c>
      <c r="F6" s="39" t="s">
        <v>312</v>
      </c>
      <c r="G6" s="39" t="s">
        <v>1111</v>
      </c>
      <c r="H6" s="685" t="s">
        <v>546</v>
      </c>
      <c r="I6" s="81" t="s">
        <v>1135</v>
      </c>
      <c r="J6" s="82"/>
      <c r="K6" s="82"/>
      <c r="L6" s="82"/>
      <c r="M6" s="42" t="str">
        <f t="shared" si="0"/>
        <v xml:space="preserve">Kronaline, S.A. de C.V.  </v>
      </c>
      <c r="N6" s="991" t="s">
        <v>190</v>
      </c>
      <c r="O6" s="991" t="s">
        <v>1136</v>
      </c>
      <c r="P6" s="43" t="s">
        <v>1137</v>
      </c>
      <c r="Q6" s="992">
        <v>367200</v>
      </c>
      <c r="R6" s="44">
        <f t="shared" si="1"/>
        <v>58752</v>
      </c>
      <c r="S6" s="45">
        <f t="shared" si="2"/>
        <v>425952</v>
      </c>
      <c r="T6" s="46">
        <v>0</v>
      </c>
      <c r="U6" s="47">
        <f t="shared" si="3"/>
        <v>0</v>
      </c>
      <c r="V6" s="44">
        <f t="shared" si="4"/>
        <v>532440</v>
      </c>
      <c r="W6" s="993" t="s">
        <v>156</v>
      </c>
      <c r="X6" s="48">
        <v>43468</v>
      </c>
      <c r="Y6" s="48" t="s">
        <v>157</v>
      </c>
      <c r="Z6" s="48">
        <v>43497</v>
      </c>
      <c r="AA6" s="48">
        <v>43830</v>
      </c>
      <c r="AB6" s="38" t="s">
        <v>182</v>
      </c>
      <c r="AC6" s="54"/>
      <c r="AD6" s="54"/>
      <c r="AE6" s="54"/>
      <c r="AF6" s="54"/>
      <c r="AG6" s="39" t="s">
        <v>156</v>
      </c>
      <c r="AH6" s="100" t="s">
        <v>1138</v>
      </c>
      <c r="AI6" s="100" t="s">
        <v>1139</v>
      </c>
      <c r="AJ6" s="101">
        <v>43829</v>
      </c>
      <c r="AK6" s="102">
        <f>91800*1.16</f>
        <v>106487.99999999999</v>
      </c>
      <c r="AL6" s="39" t="str">
        <f t="shared" ca="1" si="5"/>
        <v>MUERTO</v>
      </c>
      <c r="AM6" s="39"/>
      <c r="AN6" s="39"/>
      <c r="AO6" s="39" t="s">
        <v>157</v>
      </c>
      <c r="AP6" s="39" t="s">
        <v>924</v>
      </c>
      <c r="AQ6" s="39" t="s">
        <v>157</v>
      </c>
      <c r="AR6" s="39"/>
      <c r="AS6" s="39"/>
      <c r="AT6" s="39"/>
      <c r="AU6" s="51"/>
      <c r="AV6" s="50"/>
      <c r="AW6" s="38"/>
      <c r="AX6" s="52"/>
      <c r="AY6" s="50"/>
      <c r="AZ6" s="38"/>
      <c r="BA6" s="38" t="e">
        <f>VLOOKUP(I6,#REF!,2,0)</f>
        <v>#REF!</v>
      </c>
      <c r="BB6" s="71"/>
      <c r="BC6" s="59">
        <v>43433</v>
      </c>
      <c r="BD6" s="59">
        <v>43465</v>
      </c>
      <c r="BE6" s="59">
        <v>43468</v>
      </c>
      <c r="BF6" s="59">
        <v>43476</v>
      </c>
      <c r="BG6" s="59">
        <v>43482</v>
      </c>
      <c r="BH6" s="59" t="s">
        <v>1140</v>
      </c>
      <c r="BI6" s="39" t="e">
        <f>NETWORKDAYS(BF6,BG6,#REF!)</f>
        <v>#REF!</v>
      </c>
      <c r="BJ6" s="59" t="s">
        <v>1140</v>
      </c>
      <c r="BK6" s="59" t="s">
        <v>1141</v>
      </c>
      <c r="BL6" s="59" t="s">
        <v>1142</v>
      </c>
      <c r="BM6" s="59">
        <v>43507</v>
      </c>
      <c r="BN6" s="59">
        <v>43507</v>
      </c>
      <c r="BO6" s="59">
        <v>43482</v>
      </c>
      <c r="BP6" s="59">
        <v>43508</v>
      </c>
      <c r="BQ6" s="62" t="s">
        <v>186</v>
      </c>
      <c r="BR6" s="68" t="e">
        <f xml:space="preserve"> NETWORKDAYS(BC6,BM6,#REF!)</f>
        <v>#REF!</v>
      </c>
      <c r="BS6" s="69" t="e">
        <f>NETWORKDAYS(BC6,BN6,#REF!)</f>
        <v>#REF!</v>
      </c>
      <c r="BT6" s="62"/>
      <c r="BU6" s="84"/>
      <c r="BV6" s="84"/>
      <c r="BW6" s="84"/>
      <c r="BX6" s="84"/>
      <c r="BY6" s="84"/>
      <c r="BZ6" s="84"/>
    </row>
    <row r="7" spans="1:79" ht="300" hidden="1" x14ac:dyDescent="0.25">
      <c r="A7" s="38" t="s">
        <v>1143</v>
      </c>
      <c r="B7" s="39">
        <v>5</v>
      </c>
      <c r="C7" s="38" t="s">
        <v>149</v>
      </c>
      <c r="D7" s="991" t="s">
        <v>1110</v>
      </c>
      <c r="E7" s="81" t="s">
        <v>163</v>
      </c>
      <c r="F7" s="39" t="s">
        <v>312</v>
      </c>
      <c r="G7" s="39" t="s">
        <v>1111</v>
      </c>
      <c r="H7" s="685" t="s">
        <v>546</v>
      </c>
      <c r="I7" s="81" t="s">
        <v>1144</v>
      </c>
      <c r="J7" s="82"/>
      <c r="K7" s="82"/>
      <c r="L7" s="82"/>
      <c r="M7" s="42" t="str">
        <f t="shared" si="0"/>
        <v xml:space="preserve">Mitsubishi Electric de México, S.A. de C.V.  </v>
      </c>
      <c r="N7" s="991" t="s">
        <v>198</v>
      </c>
      <c r="O7" s="991" t="s">
        <v>352</v>
      </c>
      <c r="P7" s="991" t="s">
        <v>1145</v>
      </c>
      <c r="Q7" s="992">
        <v>333882.13</v>
      </c>
      <c r="R7" s="44">
        <f t="shared" si="1"/>
        <v>53421.140800000001</v>
      </c>
      <c r="S7" s="45">
        <f t="shared" si="2"/>
        <v>387303.2708</v>
      </c>
      <c r="T7" s="46">
        <v>267020.76</v>
      </c>
      <c r="U7" s="47">
        <f t="shared" si="3"/>
        <v>309744.08160000003</v>
      </c>
      <c r="V7" s="44">
        <f t="shared" si="4"/>
        <v>387303.2708</v>
      </c>
      <c r="W7" s="993" t="s">
        <v>156</v>
      </c>
      <c r="X7" s="48">
        <v>43468</v>
      </c>
      <c r="Y7" s="48" t="s">
        <v>157</v>
      </c>
      <c r="Z7" s="48">
        <v>43466</v>
      </c>
      <c r="AA7" s="48">
        <v>43830</v>
      </c>
      <c r="AB7" s="38" t="s">
        <v>1113</v>
      </c>
      <c r="AC7" s="49"/>
      <c r="AD7" s="49"/>
      <c r="AE7" s="49"/>
      <c r="AF7" s="49"/>
      <c r="AG7" s="39" t="s">
        <v>1146</v>
      </c>
      <c r="AH7" s="100" t="s">
        <v>1147</v>
      </c>
      <c r="AI7" s="100" t="s">
        <v>1148</v>
      </c>
      <c r="AJ7" s="101">
        <v>43840</v>
      </c>
      <c r="AK7" s="102">
        <v>0</v>
      </c>
      <c r="AL7" s="39" t="str">
        <f t="shared" ca="1" si="5"/>
        <v>MUERTO</v>
      </c>
      <c r="AM7" s="39"/>
      <c r="AN7" s="39"/>
      <c r="AO7" s="39" t="s">
        <v>157</v>
      </c>
      <c r="AP7" s="39" t="s">
        <v>157</v>
      </c>
      <c r="AQ7" s="39" t="s">
        <v>157</v>
      </c>
      <c r="AR7" s="39"/>
      <c r="AS7" s="39"/>
      <c r="AT7" s="39"/>
      <c r="AU7" s="51"/>
      <c r="AV7" s="50"/>
      <c r="AW7" s="38"/>
      <c r="AX7" s="52"/>
      <c r="AY7" s="50"/>
      <c r="AZ7" s="38"/>
      <c r="BA7" s="38" t="e">
        <f>VLOOKUP(I7,#REF!,2,0)</f>
        <v>#REF!</v>
      </c>
      <c r="BB7" s="71"/>
      <c r="BC7" s="59">
        <v>43446</v>
      </c>
      <c r="BD7" s="59">
        <v>43465</v>
      </c>
      <c r="BE7" s="59">
        <v>43468</v>
      </c>
      <c r="BF7" s="59">
        <v>43481</v>
      </c>
      <c r="BG7" s="59">
        <v>43486</v>
      </c>
      <c r="BH7" s="59" t="s">
        <v>1149</v>
      </c>
      <c r="BI7" s="39" t="e">
        <f>NETWORKDAYS(BF7,BG7,#REF!)</f>
        <v>#REF!</v>
      </c>
      <c r="BJ7" s="59" t="s">
        <v>1149</v>
      </c>
      <c r="BK7" s="59" t="s">
        <v>1150</v>
      </c>
      <c r="BL7" s="59" t="s">
        <v>1151</v>
      </c>
      <c r="BM7" s="59" t="s">
        <v>1152</v>
      </c>
      <c r="BN7" s="59">
        <v>43531</v>
      </c>
      <c r="BO7" s="59">
        <v>43523</v>
      </c>
      <c r="BP7" s="59">
        <v>43591</v>
      </c>
      <c r="BQ7" s="62">
        <v>43531</v>
      </c>
      <c r="BR7" s="68" t="e">
        <f xml:space="preserve"> NETWORKDAYS(BC7,BM7,#REF!)</f>
        <v>#VALUE!</v>
      </c>
      <c r="BS7" s="69" t="e">
        <f>NETWORKDAYS(BC7,BN7,#REF!)</f>
        <v>#REF!</v>
      </c>
      <c r="BT7" s="62"/>
      <c r="BU7" s="84"/>
      <c r="BV7" s="84"/>
      <c r="BW7" s="84"/>
      <c r="BX7" s="84"/>
      <c r="BY7" s="84"/>
      <c r="BZ7" s="84"/>
    </row>
    <row r="8" spans="1:79" ht="225" hidden="1" x14ac:dyDescent="0.25">
      <c r="A8" s="38" t="s">
        <v>1153</v>
      </c>
      <c r="B8" s="39">
        <v>6</v>
      </c>
      <c r="C8" s="38" t="s">
        <v>149</v>
      </c>
      <c r="D8" s="991" t="s">
        <v>1110</v>
      </c>
      <c r="E8" s="81" t="s">
        <v>163</v>
      </c>
      <c r="F8" s="39" t="s">
        <v>312</v>
      </c>
      <c r="G8" s="39" t="s">
        <v>1111</v>
      </c>
      <c r="H8" s="685" t="s">
        <v>546</v>
      </c>
      <c r="I8" s="81" t="s">
        <v>341</v>
      </c>
      <c r="J8" s="82"/>
      <c r="K8" s="82"/>
      <c r="L8" s="82"/>
      <c r="M8" s="42" t="str">
        <f t="shared" si="0"/>
        <v xml:space="preserve">Detección y Supresión Inteligentes, S.A. de C.V.  </v>
      </c>
      <c r="N8" s="991" t="s">
        <v>315</v>
      </c>
      <c r="O8" s="991" t="s">
        <v>315</v>
      </c>
      <c r="P8" s="991" t="s">
        <v>1154</v>
      </c>
      <c r="Q8" s="992">
        <v>633897.51</v>
      </c>
      <c r="R8" s="44">
        <f t="shared" si="1"/>
        <v>101423.60160000001</v>
      </c>
      <c r="S8" s="45">
        <f t="shared" si="2"/>
        <v>735321.11160000006</v>
      </c>
      <c r="T8" s="46">
        <v>0</v>
      </c>
      <c r="U8" s="47">
        <f t="shared" si="3"/>
        <v>0</v>
      </c>
      <c r="V8" s="44">
        <f t="shared" si="4"/>
        <v>901672.07160000002</v>
      </c>
      <c r="W8" s="993" t="s">
        <v>156</v>
      </c>
      <c r="X8" s="48">
        <v>43468</v>
      </c>
      <c r="Y8" s="39" t="s">
        <v>157</v>
      </c>
      <c r="Z8" s="48">
        <v>43466</v>
      </c>
      <c r="AA8" s="48">
        <v>43830</v>
      </c>
      <c r="AB8" s="38" t="s">
        <v>1113</v>
      </c>
      <c r="AC8" s="49"/>
      <c r="AD8" s="49"/>
      <c r="AE8" s="49"/>
      <c r="AF8" s="49"/>
      <c r="AG8" s="39" t="s">
        <v>156</v>
      </c>
      <c r="AH8" s="100" t="s">
        <v>1155</v>
      </c>
      <c r="AI8" s="100" t="s">
        <v>1016</v>
      </c>
      <c r="AJ8" s="101"/>
      <c r="AK8" s="102">
        <f>143406*1.16</f>
        <v>166350.96</v>
      </c>
      <c r="AL8" s="39" t="str">
        <f t="shared" ca="1" si="5"/>
        <v>MUERTO</v>
      </c>
      <c r="AM8" s="39"/>
      <c r="AN8" s="39"/>
      <c r="AO8" s="39" t="s">
        <v>157</v>
      </c>
      <c r="AP8" s="39" t="s">
        <v>924</v>
      </c>
      <c r="AQ8" s="39" t="s">
        <v>157</v>
      </c>
      <c r="AR8" s="39"/>
      <c r="AS8" s="39"/>
      <c r="AT8" s="39"/>
      <c r="AU8" s="51"/>
      <c r="AV8" s="50"/>
      <c r="AW8" s="38"/>
      <c r="AX8" s="52"/>
      <c r="AY8" s="50"/>
      <c r="AZ8" s="38"/>
      <c r="BA8" s="38" t="e">
        <f>VLOOKUP(I8,#REF!,2,0)</f>
        <v>#REF!</v>
      </c>
      <c r="BB8" s="71"/>
      <c r="BC8" s="59">
        <v>43460</v>
      </c>
      <c r="BD8" s="59">
        <v>43465</v>
      </c>
      <c r="BE8" s="59">
        <v>43479</v>
      </c>
      <c r="BF8" s="59">
        <v>43501</v>
      </c>
      <c r="BG8" s="59">
        <v>43522</v>
      </c>
      <c r="BH8" s="59" t="s">
        <v>1156</v>
      </c>
      <c r="BI8" s="39" t="e">
        <f>NETWORKDAYS(BF8,BG8,#REF!)</f>
        <v>#REF!</v>
      </c>
      <c r="BJ8" s="59" t="s">
        <v>1157</v>
      </c>
      <c r="BK8" s="59" t="s">
        <v>1158</v>
      </c>
      <c r="BL8" s="59" t="s">
        <v>1159</v>
      </c>
      <c r="BM8" s="59" t="s">
        <v>1160</v>
      </c>
      <c r="BN8" s="59">
        <v>43511</v>
      </c>
      <c r="BO8" s="59">
        <v>43503</v>
      </c>
      <c r="BP8" s="59">
        <v>43615</v>
      </c>
      <c r="BQ8" s="62">
        <v>43511</v>
      </c>
      <c r="BR8" s="68" t="e">
        <f xml:space="preserve"> NETWORKDAYS(BC8,BM8,#REF!)</f>
        <v>#VALUE!</v>
      </c>
      <c r="BS8" s="69" t="e">
        <f>NETWORKDAYS(BC8,BN8,#REF!)</f>
        <v>#REF!</v>
      </c>
      <c r="BT8" s="62"/>
      <c r="BU8" s="84"/>
      <c r="BV8" s="84"/>
      <c r="BW8" s="84"/>
      <c r="BX8" s="84"/>
      <c r="BY8" s="84"/>
      <c r="BZ8" s="84"/>
    </row>
    <row r="9" spans="1:79" ht="360" hidden="1" x14ac:dyDescent="0.25">
      <c r="A9" s="38" t="s">
        <v>1161</v>
      </c>
      <c r="B9" s="39">
        <v>7</v>
      </c>
      <c r="C9" s="38" t="s">
        <v>149</v>
      </c>
      <c r="D9" s="991" t="s">
        <v>1110</v>
      </c>
      <c r="E9" s="81" t="s">
        <v>163</v>
      </c>
      <c r="F9" s="39" t="s">
        <v>312</v>
      </c>
      <c r="G9" s="39" t="s">
        <v>1111</v>
      </c>
      <c r="H9" s="685" t="s">
        <v>546</v>
      </c>
      <c r="I9" s="81" t="s">
        <v>1162</v>
      </c>
      <c r="J9" s="82"/>
      <c r="K9" s="82"/>
      <c r="L9" s="82"/>
      <c r="M9" s="42" t="str">
        <f t="shared" si="0"/>
        <v xml:space="preserve">Lemonroy Business Solutions, S.A. de C.V.  </v>
      </c>
      <c r="N9" s="991" t="s">
        <v>1047</v>
      </c>
      <c r="O9" s="991" t="s">
        <v>416</v>
      </c>
      <c r="P9" s="991" t="s">
        <v>1163</v>
      </c>
      <c r="Q9" s="992">
        <v>2549558.08</v>
      </c>
      <c r="R9" s="44">
        <f t="shared" si="1"/>
        <v>407929.2928</v>
      </c>
      <c r="S9" s="45">
        <f t="shared" si="2"/>
        <v>2957487.3728</v>
      </c>
      <c r="T9" s="46">
        <v>1799558.08</v>
      </c>
      <c r="U9" s="47">
        <f t="shared" si="3"/>
        <v>2087487.3728</v>
      </c>
      <c r="V9" s="44">
        <f t="shared" si="4"/>
        <v>3696859.1812</v>
      </c>
      <c r="W9" s="993" t="s">
        <v>156</v>
      </c>
      <c r="X9" s="48">
        <v>43469</v>
      </c>
      <c r="Y9" s="39" t="s">
        <v>157</v>
      </c>
      <c r="Z9" s="48">
        <v>43466</v>
      </c>
      <c r="AA9" s="48">
        <v>43830</v>
      </c>
      <c r="AB9" s="38" t="s">
        <v>1113</v>
      </c>
      <c r="AC9" s="49"/>
      <c r="AD9" s="49"/>
      <c r="AE9" s="49"/>
      <c r="AF9" s="49"/>
      <c r="AG9" s="39" t="s">
        <v>156</v>
      </c>
      <c r="AH9" s="100" t="s">
        <v>1164</v>
      </c>
      <c r="AI9" s="100" t="s">
        <v>1016</v>
      </c>
      <c r="AJ9" s="101">
        <v>43826</v>
      </c>
      <c r="AK9" s="102">
        <f>637389.49*1.16</f>
        <v>739371.80839999998</v>
      </c>
      <c r="AL9" s="39" t="str">
        <f t="shared" ca="1" si="5"/>
        <v>MUERTO</v>
      </c>
      <c r="AM9" s="39"/>
      <c r="AN9" s="39"/>
      <c r="AO9" s="39" t="s">
        <v>157</v>
      </c>
      <c r="AP9" s="39" t="s">
        <v>924</v>
      </c>
      <c r="AQ9" s="39" t="s">
        <v>157</v>
      </c>
      <c r="AR9" s="39"/>
      <c r="AS9" s="39"/>
      <c r="AT9" s="39"/>
      <c r="AU9" s="51"/>
      <c r="AV9" s="50"/>
      <c r="AW9" s="38"/>
      <c r="AX9" s="52"/>
      <c r="AY9" s="50"/>
      <c r="AZ9" s="38"/>
      <c r="BA9" s="38" t="e">
        <f>VLOOKUP(I9,#REF!,2,0)</f>
        <v>#REF!</v>
      </c>
      <c r="BB9" s="71"/>
      <c r="BC9" s="59">
        <v>43455</v>
      </c>
      <c r="BD9" s="59">
        <v>43465</v>
      </c>
      <c r="BE9" s="59">
        <v>43469</v>
      </c>
      <c r="BF9" s="59">
        <v>43476</v>
      </c>
      <c r="BG9" s="59">
        <v>43483</v>
      </c>
      <c r="BH9" s="59" t="s">
        <v>1165</v>
      </c>
      <c r="BI9" s="39" t="e">
        <f>NETWORKDAYS(BF9,BG9,#REF!)</f>
        <v>#REF!</v>
      </c>
      <c r="BJ9" s="59" t="s">
        <v>1166</v>
      </c>
      <c r="BK9" s="59" t="s">
        <v>1167</v>
      </c>
      <c r="BL9" s="59" t="s">
        <v>1168</v>
      </c>
      <c r="BM9" s="59">
        <v>43551</v>
      </c>
      <c r="BN9" s="59">
        <v>43537</v>
      </c>
      <c r="BO9" s="59">
        <v>43482</v>
      </c>
      <c r="BP9" s="59">
        <v>43592</v>
      </c>
      <c r="BQ9" s="62">
        <v>43537</v>
      </c>
      <c r="BR9" s="68" t="e">
        <f xml:space="preserve"> NETWORKDAYS(BC9,BM9,#REF!)</f>
        <v>#REF!</v>
      </c>
      <c r="BS9" s="69" t="e">
        <f>NETWORKDAYS(BC9,BN9,#REF!)</f>
        <v>#REF!</v>
      </c>
      <c r="BT9" s="62" t="s">
        <v>900</v>
      </c>
      <c r="BU9" s="84"/>
      <c r="BV9" s="84"/>
      <c r="BW9" s="84"/>
      <c r="BX9" s="84"/>
      <c r="BY9" s="84"/>
      <c r="BZ9" s="84"/>
    </row>
    <row r="10" spans="1:79" ht="150" hidden="1" x14ac:dyDescent="0.25">
      <c r="A10" s="38" t="s">
        <v>1169</v>
      </c>
      <c r="B10" s="39">
        <v>8</v>
      </c>
      <c r="C10" s="38" t="s">
        <v>149</v>
      </c>
      <c r="D10" s="991" t="s">
        <v>1110</v>
      </c>
      <c r="E10" s="81" t="s">
        <v>163</v>
      </c>
      <c r="F10" s="39" t="s">
        <v>568</v>
      </c>
      <c r="G10" s="39" t="s">
        <v>1111</v>
      </c>
      <c r="H10" s="685" t="s">
        <v>546</v>
      </c>
      <c r="I10" s="81" t="s">
        <v>569</v>
      </c>
      <c r="J10" s="82"/>
      <c r="K10" s="82"/>
      <c r="L10" s="82"/>
      <c r="M10" s="42" t="str">
        <f t="shared" si="0"/>
        <v xml:space="preserve">Audio Video &amp; Control, S.A. de C.V.  </v>
      </c>
      <c r="N10" s="991" t="s">
        <v>190</v>
      </c>
      <c r="O10" s="991" t="s">
        <v>1120</v>
      </c>
      <c r="P10" s="991" t="s">
        <v>1170</v>
      </c>
      <c r="Q10" s="992">
        <v>3277872</v>
      </c>
      <c r="R10" s="44">
        <f t="shared" si="1"/>
        <v>524459.52000000002</v>
      </c>
      <c r="S10" s="45">
        <f t="shared" si="2"/>
        <v>3802331.52</v>
      </c>
      <c r="T10" s="46">
        <v>2521440</v>
      </c>
      <c r="U10" s="47">
        <f t="shared" si="3"/>
        <v>2924870.4</v>
      </c>
      <c r="V10" s="44">
        <f t="shared" si="4"/>
        <v>3802331.52</v>
      </c>
      <c r="W10" s="993" t="s">
        <v>156</v>
      </c>
      <c r="X10" s="48">
        <v>43467</v>
      </c>
      <c r="Y10" s="39" t="s">
        <v>157</v>
      </c>
      <c r="Z10" s="48">
        <v>43466</v>
      </c>
      <c r="AA10" s="48">
        <v>43830</v>
      </c>
      <c r="AB10" s="38" t="s">
        <v>1171</v>
      </c>
      <c r="AC10" s="49"/>
      <c r="AD10" s="49"/>
      <c r="AE10" s="49"/>
      <c r="AF10" s="49"/>
      <c r="AG10" s="39" t="s">
        <v>156</v>
      </c>
      <c r="AH10" s="38"/>
      <c r="AI10" s="38"/>
      <c r="AJ10" s="50"/>
      <c r="AK10" s="44"/>
      <c r="AL10" s="39" t="str">
        <f t="shared" ca="1" si="5"/>
        <v>MUERTO</v>
      </c>
      <c r="AM10" s="39"/>
      <c r="AN10" s="39"/>
      <c r="AO10" s="39" t="s">
        <v>193</v>
      </c>
      <c r="AP10" s="39"/>
      <c r="AQ10" s="39" t="s">
        <v>234</v>
      </c>
      <c r="AR10" s="39"/>
      <c r="AS10" s="39"/>
      <c r="AT10" s="39"/>
      <c r="AU10" s="51"/>
      <c r="AV10" s="50"/>
      <c r="AW10" s="38"/>
      <c r="AX10" s="52"/>
      <c r="AY10" s="50"/>
      <c r="AZ10" s="38"/>
      <c r="BA10" s="38" t="e">
        <f>VLOOKUP(I10,#REF!,2,0)</f>
        <v>#REF!</v>
      </c>
      <c r="BB10" s="71"/>
      <c r="BC10" s="59">
        <v>43448</v>
      </c>
      <c r="BD10" s="59">
        <v>43465</v>
      </c>
      <c r="BE10" s="59">
        <v>43467</v>
      </c>
      <c r="BF10" s="59">
        <v>43487</v>
      </c>
      <c r="BG10" s="59">
        <v>43538</v>
      </c>
      <c r="BH10" s="59" t="s">
        <v>1172</v>
      </c>
      <c r="BI10" s="39" t="e">
        <f>NETWORKDAYS(BF10,BG10,#REF!)</f>
        <v>#REF!</v>
      </c>
      <c r="BJ10" s="59" t="s">
        <v>1173</v>
      </c>
      <c r="BK10" s="59" t="s">
        <v>1174</v>
      </c>
      <c r="BL10" s="59" t="s">
        <v>1175</v>
      </c>
      <c r="BM10" s="59">
        <v>43595</v>
      </c>
      <c r="BN10" s="59">
        <v>43557</v>
      </c>
      <c r="BO10" s="59">
        <v>43552</v>
      </c>
      <c r="BP10" s="59">
        <v>43559</v>
      </c>
      <c r="BQ10" s="62" t="s">
        <v>186</v>
      </c>
      <c r="BR10" s="68" t="e">
        <f xml:space="preserve"> NETWORKDAYS(BC10,BM10,#REF!)</f>
        <v>#REF!</v>
      </c>
      <c r="BS10" s="69" t="e">
        <f>NETWORKDAYS(BC10,BN10,#REF!)</f>
        <v>#REF!</v>
      </c>
      <c r="BT10" s="62"/>
      <c r="BU10" s="84"/>
      <c r="BV10" s="84"/>
      <c r="BW10" s="84"/>
      <c r="BX10" s="84"/>
      <c r="BY10" s="84"/>
      <c r="BZ10" s="84"/>
    </row>
    <row r="11" spans="1:79" ht="210" hidden="1" x14ac:dyDescent="0.25">
      <c r="A11" s="38" t="s">
        <v>1176</v>
      </c>
      <c r="B11" s="39">
        <v>9</v>
      </c>
      <c r="C11" s="38" t="s">
        <v>149</v>
      </c>
      <c r="D11" s="985" t="s">
        <v>1177</v>
      </c>
      <c r="E11" s="81" t="s">
        <v>163</v>
      </c>
      <c r="F11" s="39" t="s">
        <v>561</v>
      </c>
      <c r="G11" s="81" t="s">
        <v>163</v>
      </c>
      <c r="H11" s="81" t="s">
        <v>1178</v>
      </c>
      <c r="I11" s="81" t="s">
        <v>361</v>
      </c>
      <c r="J11" s="82"/>
      <c r="K11" s="82"/>
      <c r="L11" s="82"/>
      <c r="M11" s="42" t="str">
        <f t="shared" si="0"/>
        <v xml:space="preserve">Millenium Technologies, S.A. de C.V.  </v>
      </c>
      <c r="N11" s="991" t="s">
        <v>656</v>
      </c>
      <c r="O11" s="991" t="s">
        <v>656</v>
      </c>
      <c r="P11" s="991" t="s">
        <v>1179</v>
      </c>
      <c r="Q11" s="992">
        <v>5654246.4000000004</v>
      </c>
      <c r="R11" s="44">
        <f t="shared" si="1"/>
        <v>904679.42400000012</v>
      </c>
      <c r="S11" s="45">
        <f t="shared" si="2"/>
        <v>6558925.824000001</v>
      </c>
      <c r="T11" s="46">
        <v>0</v>
      </c>
      <c r="U11" s="47">
        <f t="shared" si="3"/>
        <v>0</v>
      </c>
      <c r="V11" s="44">
        <f t="shared" si="4"/>
        <v>6558925.824000001</v>
      </c>
      <c r="W11" s="993" t="s">
        <v>156</v>
      </c>
      <c r="X11" s="48">
        <v>43469</v>
      </c>
      <c r="Y11" s="39" t="s">
        <v>157</v>
      </c>
      <c r="Z11" s="48">
        <v>43466</v>
      </c>
      <c r="AA11" s="48">
        <v>43830</v>
      </c>
      <c r="AB11" s="38" t="s">
        <v>582</v>
      </c>
      <c r="AC11" s="49">
        <v>848136.96</v>
      </c>
      <c r="AD11" s="49">
        <v>848136.96</v>
      </c>
      <c r="AE11" s="49"/>
      <c r="AF11" s="49"/>
      <c r="AG11" s="39" t="s">
        <v>183</v>
      </c>
      <c r="AH11" s="38"/>
      <c r="AI11" s="38"/>
      <c r="AJ11" s="50"/>
      <c r="AK11" s="44"/>
      <c r="AL11" s="39" t="str">
        <f t="shared" ca="1" si="5"/>
        <v>MUERTO</v>
      </c>
      <c r="AM11" s="39"/>
      <c r="AN11" s="39"/>
      <c r="AO11" s="39" t="s">
        <v>193</v>
      </c>
      <c r="AP11" s="39"/>
      <c r="AQ11" s="39" t="s">
        <v>193</v>
      </c>
      <c r="AR11" s="39"/>
      <c r="AS11" s="39"/>
      <c r="AT11" s="39"/>
      <c r="AU11" s="51"/>
      <c r="AV11" s="50"/>
      <c r="AW11" s="38"/>
      <c r="AX11" s="52"/>
      <c r="AY11" s="50"/>
      <c r="AZ11" s="38"/>
      <c r="BA11" s="38" t="e">
        <f>VLOOKUP(I11,#REF!,2,0)</f>
        <v>#REF!</v>
      </c>
      <c r="BB11" s="71"/>
      <c r="BC11" s="59">
        <v>43445</v>
      </c>
      <c r="BD11" s="59">
        <v>43465</v>
      </c>
      <c r="BE11" s="59">
        <v>43469</v>
      </c>
      <c r="BF11" s="59">
        <v>43487</v>
      </c>
      <c r="BG11" s="59">
        <v>43496</v>
      </c>
      <c r="BH11" s="59" t="s">
        <v>1180</v>
      </c>
      <c r="BI11" s="39" t="e">
        <f>NETWORKDAYS(BF11,BG11,#REF!)</f>
        <v>#REF!</v>
      </c>
      <c r="BJ11" s="59" t="s">
        <v>1180</v>
      </c>
      <c r="BK11" s="59" t="s">
        <v>1181</v>
      </c>
      <c r="BL11" s="59" t="s">
        <v>1151</v>
      </c>
      <c r="BM11" s="59">
        <v>43504</v>
      </c>
      <c r="BN11" s="59">
        <v>43504</v>
      </c>
      <c r="BO11" s="59">
        <v>43489</v>
      </c>
      <c r="BP11" s="59">
        <v>43592</v>
      </c>
      <c r="BQ11" s="62" t="s">
        <v>186</v>
      </c>
      <c r="BR11" s="68" t="e">
        <f xml:space="preserve"> NETWORKDAYS(BC11,BM11,#REF!)</f>
        <v>#REF!</v>
      </c>
      <c r="BS11" s="69" t="e">
        <f>NETWORKDAYS(BC11,BN11,#REF!)</f>
        <v>#REF!</v>
      </c>
      <c r="BT11" s="62" t="s">
        <v>900</v>
      </c>
      <c r="BU11" s="84"/>
      <c r="BV11" s="84"/>
      <c r="BW11" s="84"/>
      <c r="BX11" s="84"/>
      <c r="BY11" s="84"/>
      <c r="BZ11" s="84"/>
    </row>
    <row r="12" spans="1:79" ht="255" hidden="1" x14ac:dyDescent="0.25">
      <c r="A12" s="38" t="s">
        <v>1182</v>
      </c>
      <c r="B12" s="39">
        <v>10</v>
      </c>
      <c r="C12" s="38" t="s">
        <v>149</v>
      </c>
      <c r="D12" s="991" t="s">
        <v>1026</v>
      </c>
      <c r="E12" s="39" t="s">
        <v>151</v>
      </c>
      <c r="F12" s="39" t="s">
        <v>152</v>
      </c>
      <c r="G12" s="39" t="s">
        <v>151</v>
      </c>
      <c r="H12" s="39"/>
      <c r="I12" s="81" t="s">
        <v>1183</v>
      </c>
      <c r="J12" s="82"/>
      <c r="K12" s="82"/>
      <c r="L12" s="82"/>
      <c r="M12" s="42" t="str">
        <f t="shared" si="0"/>
        <v xml:space="preserve">Aquí se está mejor, S.A. de C.V.  </v>
      </c>
      <c r="N12" s="991" t="s">
        <v>190</v>
      </c>
      <c r="O12" s="991" t="s">
        <v>1184</v>
      </c>
      <c r="P12" s="991" t="s">
        <v>1185</v>
      </c>
      <c r="Q12" s="992">
        <v>4500000</v>
      </c>
      <c r="R12" s="44">
        <f t="shared" si="1"/>
        <v>720000</v>
      </c>
      <c r="S12" s="45">
        <f t="shared" si="2"/>
        <v>5220000</v>
      </c>
      <c r="T12" s="46">
        <v>900000</v>
      </c>
      <c r="U12" s="47">
        <f t="shared" si="3"/>
        <v>1044000</v>
      </c>
      <c r="V12" s="44">
        <f t="shared" si="4"/>
        <v>6525000</v>
      </c>
      <c r="W12" s="993" t="s">
        <v>156</v>
      </c>
      <c r="X12" s="48">
        <v>43488</v>
      </c>
      <c r="Y12" s="39" t="s">
        <v>157</v>
      </c>
      <c r="Z12" s="48">
        <v>43466</v>
      </c>
      <c r="AA12" s="48">
        <v>43830</v>
      </c>
      <c r="AB12" s="38" t="s">
        <v>1028</v>
      </c>
      <c r="AC12" s="49"/>
      <c r="AD12" s="49"/>
      <c r="AE12" s="49"/>
      <c r="AF12" s="49"/>
      <c r="AG12" s="39" t="s">
        <v>156</v>
      </c>
      <c r="AH12" s="100" t="s">
        <v>1186</v>
      </c>
      <c r="AI12" s="100" t="s">
        <v>1016</v>
      </c>
      <c r="AJ12" s="101">
        <v>43840</v>
      </c>
      <c r="AK12" s="102">
        <f>1125000*1.16</f>
        <v>1305000</v>
      </c>
      <c r="AL12" s="39" t="str">
        <f t="shared" ca="1" si="5"/>
        <v>MUERTO</v>
      </c>
      <c r="AM12" s="39"/>
      <c r="AN12" s="39"/>
      <c r="AO12" s="39" t="s">
        <v>193</v>
      </c>
      <c r="AP12" s="39" t="s">
        <v>193</v>
      </c>
      <c r="AQ12" s="39" t="s">
        <v>234</v>
      </c>
      <c r="AR12" s="39"/>
      <c r="AS12" s="39"/>
      <c r="AT12" s="39"/>
      <c r="AU12" s="51"/>
      <c r="AV12" s="50"/>
      <c r="AW12" s="38"/>
      <c r="AX12" s="52"/>
      <c r="AY12" s="50"/>
      <c r="AZ12" s="38"/>
      <c r="BA12" s="38" t="e">
        <f>VLOOKUP(I12,#REF!,2,0)</f>
        <v>#REF!</v>
      </c>
      <c r="BB12" s="71"/>
      <c r="BC12" s="59">
        <v>43438</v>
      </c>
      <c r="BD12" s="59">
        <v>43462</v>
      </c>
      <c r="BE12" s="59">
        <v>43488</v>
      </c>
      <c r="BF12" s="59">
        <v>43507</v>
      </c>
      <c r="BG12" s="59">
        <v>43510</v>
      </c>
      <c r="BH12" s="59" t="s">
        <v>1187</v>
      </c>
      <c r="BI12" s="39" t="e">
        <f>NETWORKDAYS(BF12,BG12,#REF!)</f>
        <v>#REF!</v>
      </c>
      <c r="BJ12" s="59" t="s">
        <v>1188</v>
      </c>
      <c r="BK12" s="59" t="s">
        <v>1189</v>
      </c>
      <c r="BL12" s="59" t="s">
        <v>1190</v>
      </c>
      <c r="BM12" s="59">
        <v>43557</v>
      </c>
      <c r="BN12" s="59">
        <v>43531</v>
      </c>
      <c r="BO12" s="59">
        <v>43529</v>
      </c>
      <c r="BP12" s="59" t="s">
        <v>205</v>
      </c>
      <c r="BQ12" s="62" t="s">
        <v>186</v>
      </c>
      <c r="BR12" s="68" t="e">
        <f xml:space="preserve"> NETWORKDAYS(BC12,BM12,#REF!)</f>
        <v>#REF!</v>
      </c>
      <c r="BS12" s="69" t="e">
        <f>NETWORKDAYS(BC12,BN12,#REF!)</f>
        <v>#REF!</v>
      </c>
      <c r="BT12" s="62" t="s">
        <v>900</v>
      </c>
      <c r="BU12" s="84"/>
      <c r="BV12" s="84"/>
      <c r="BW12" s="84"/>
      <c r="BX12" s="84"/>
      <c r="BY12" s="84"/>
      <c r="BZ12" s="84"/>
    </row>
    <row r="13" spans="1:79" ht="240" hidden="1" x14ac:dyDescent="0.25">
      <c r="A13" s="38" t="s">
        <v>1191</v>
      </c>
      <c r="B13" s="39">
        <v>11</v>
      </c>
      <c r="C13" s="38" t="s">
        <v>149</v>
      </c>
      <c r="D13" s="991" t="s">
        <v>1192</v>
      </c>
      <c r="E13" s="81" t="s">
        <v>163</v>
      </c>
      <c r="F13" s="39" t="s">
        <v>991</v>
      </c>
      <c r="G13" s="39" t="s">
        <v>1111</v>
      </c>
      <c r="H13" s="685" t="s">
        <v>546</v>
      </c>
      <c r="I13" s="81" t="s">
        <v>1193</v>
      </c>
      <c r="J13" s="82"/>
      <c r="K13" s="82"/>
      <c r="L13" s="82"/>
      <c r="M13" s="42" t="str">
        <f t="shared" si="0"/>
        <v xml:space="preserve">Zuma, Tecnologías de Información, S.C.  </v>
      </c>
      <c r="N13" s="991" t="s">
        <v>220</v>
      </c>
      <c r="O13" s="991" t="s">
        <v>1194</v>
      </c>
      <c r="P13" s="991" t="s">
        <v>1195</v>
      </c>
      <c r="Q13" s="992">
        <v>295000</v>
      </c>
      <c r="R13" s="44">
        <f t="shared" si="1"/>
        <v>47200</v>
      </c>
      <c r="S13" s="45">
        <f t="shared" si="2"/>
        <v>342200</v>
      </c>
      <c r="T13" s="46">
        <v>0</v>
      </c>
      <c r="U13" s="47">
        <f t="shared" si="3"/>
        <v>0</v>
      </c>
      <c r="V13" s="44">
        <f t="shared" si="4"/>
        <v>342200</v>
      </c>
      <c r="W13" s="993" t="s">
        <v>156</v>
      </c>
      <c r="X13" s="48">
        <v>43501</v>
      </c>
      <c r="Y13" s="39" t="s">
        <v>193</v>
      </c>
      <c r="Z13" s="48">
        <v>43497</v>
      </c>
      <c r="AA13" s="48">
        <v>43830</v>
      </c>
      <c r="AB13" s="38" t="s">
        <v>182</v>
      </c>
      <c r="AC13" s="49"/>
      <c r="AD13" s="49"/>
      <c r="AE13" s="49"/>
      <c r="AF13" s="49"/>
      <c r="AG13" s="39" t="s">
        <v>156</v>
      </c>
      <c r="AH13" s="38"/>
      <c r="AI13" s="38"/>
      <c r="AJ13" s="50"/>
      <c r="AK13" s="44"/>
      <c r="AL13" s="39" t="str">
        <f t="shared" ca="1" si="5"/>
        <v>MUERTO</v>
      </c>
      <c r="AM13" s="39"/>
      <c r="AN13" s="39"/>
      <c r="AO13" s="39" t="s">
        <v>157</v>
      </c>
      <c r="AP13" s="39"/>
      <c r="AQ13" s="39" t="s">
        <v>193</v>
      </c>
      <c r="AR13" s="39"/>
      <c r="AS13" s="39"/>
      <c r="AT13" s="39"/>
      <c r="AU13" s="51"/>
      <c r="AV13" s="50"/>
      <c r="AW13" s="38"/>
      <c r="AX13" s="52"/>
      <c r="AY13" s="50"/>
      <c r="AZ13" s="38"/>
      <c r="BA13" s="38" t="e">
        <f>VLOOKUP(I13,#REF!,2,0)</f>
        <v>#REF!</v>
      </c>
      <c r="BB13" s="71"/>
      <c r="BC13" s="59">
        <v>43494</v>
      </c>
      <c r="BD13" s="59">
        <v>43496</v>
      </c>
      <c r="BE13" s="59">
        <v>43503</v>
      </c>
      <c r="BF13" s="59">
        <v>43515</v>
      </c>
      <c r="BG13" s="59">
        <v>43531</v>
      </c>
      <c r="BH13" s="59">
        <v>43531</v>
      </c>
      <c r="BI13" s="39" t="e">
        <f>NETWORKDAYS(BF13,BG13,#REF!)</f>
        <v>#REF!</v>
      </c>
      <c r="BJ13" s="59">
        <v>43531</v>
      </c>
      <c r="BK13" s="59">
        <v>43537</v>
      </c>
      <c r="BL13" s="59" t="s">
        <v>479</v>
      </c>
      <c r="BM13" s="59">
        <v>43544</v>
      </c>
      <c r="BN13" s="59">
        <v>43524</v>
      </c>
      <c r="BO13" s="59">
        <v>43521</v>
      </c>
      <c r="BP13" s="59">
        <v>43551</v>
      </c>
      <c r="BQ13" s="62">
        <v>43525</v>
      </c>
      <c r="BR13" s="68" t="e">
        <f xml:space="preserve"> NETWORKDAYS(BC13,BM13,#REF!)</f>
        <v>#REF!</v>
      </c>
      <c r="BS13" s="69" t="e">
        <f>NETWORKDAYS(BC13,BN13,#REF!)</f>
        <v>#REF!</v>
      </c>
      <c r="BT13" s="62" t="s">
        <v>900</v>
      </c>
      <c r="BU13" s="84"/>
      <c r="BV13" s="84"/>
      <c r="BW13" s="84"/>
      <c r="BX13" s="84"/>
      <c r="BY13" s="84"/>
      <c r="BZ13" s="84"/>
    </row>
    <row r="14" spans="1:79" ht="120" hidden="1" x14ac:dyDescent="0.25">
      <c r="A14" s="38" t="s">
        <v>1196</v>
      </c>
      <c r="B14" s="39">
        <v>12</v>
      </c>
      <c r="C14" s="38" t="s">
        <v>149</v>
      </c>
      <c r="D14" s="991" t="s">
        <v>1192</v>
      </c>
      <c r="E14" s="81" t="s">
        <v>163</v>
      </c>
      <c r="F14" s="39" t="s">
        <v>312</v>
      </c>
      <c r="G14" s="39" t="s">
        <v>1111</v>
      </c>
      <c r="H14" s="685" t="s">
        <v>546</v>
      </c>
      <c r="I14" s="81" t="s">
        <v>1197</v>
      </c>
      <c r="J14" s="82"/>
      <c r="K14" s="82"/>
      <c r="L14" s="82"/>
      <c r="M14" s="42" t="str">
        <f t="shared" si="0"/>
        <v xml:space="preserve">Somboruco Films, S.A. de C.V.  </v>
      </c>
      <c r="N14" s="991" t="s">
        <v>220</v>
      </c>
      <c r="O14" s="991" t="s">
        <v>1194</v>
      </c>
      <c r="P14" s="991" t="s">
        <v>1198</v>
      </c>
      <c r="Q14" s="992">
        <v>648000</v>
      </c>
      <c r="R14" s="44">
        <f t="shared" si="1"/>
        <v>103680</v>
      </c>
      <c r="S14" s="45">
        <f t="shared" si="2"/>
        <v>751680</v>
      </c>
      <c r="T14" s="46">
        <v>0</v>
      </c>
      <c r="U14" s="47">
        <f t="shared" si="3"/>
        <v>0</v>
      </c>
      <c r="V14" s="44">
        <f t="shared" si="4"/>
        <v>751680</v>
      </c>
      <c r="W14" s="993" t="s">
        <v>156</v>
      </c>
      <c r="X14" s="48">
        <v>43501</v>
      </c>
      <c r="Y14" s="39" t="s">
        <v>193</v>
      </c>
      <c r="Z14" s="48">
        <v>43497</v>
      </c>
      <c r="AA14" s="48">
        <v>43524</v>
      </c>
      <c r="AB14" s="38" t="s">
        <v>182</v>
      </c>
      <c r="AC14" s="49"/>
      <c r="AD14" s="49"/>
      <c r="AE14" s="49"/>
      <c r="AF14" s="49"/>
      <c r="AG14" s="39" t="s">
        <v>156</v>
      </c>
      <c r="AH14" s="38"/>
      <c r="AI14" s="38"/>
      <c r="AJ14" s="50"/>
      <c r="AK14" s="44"/>
      <c r="AL14" s="39" t="str">
        <f t="shared" ca="1" si="5"/>
        <v>MUERTO</v>
      </c>
      <c r="AM14" s="39"/>
      <c r="AN14" s="39"/>
      <c r="AO14" s="39" t="s">
        <v>157</v>
      </c>
      <c r="AP14" s="39"/>
      <c r="AQ14" s="39" t="s">
        <v>193</v>
      </c>
      <c r="AR14" s="39"/>
      <c r="AS14" s="39"/>
      <c r="AT14" s="39"/>
      <c r="AU14" s="51"/>
      <c r="AV14" s="50"/>
      <c r="AW14" s="38"/>
      <c r="AX14" s="52"/>
      <c r="AY14" s="50"/>
      <c r="AZ14" s="38"/>
      <c r="BA14" s="38" t="e">
        <f>VLOOKUP(I14,#REF!,2,0)</f>
        <v>#REF!</v>
      </c>
      <c r="BB14" s="71"/>
      <c r="BC14" s="59">
        <v>43487</v>
      </c>
      <c r="BD14" s="59">
        <v>43131</v>
      </c>
      <c r="BE14" s="59">
        <v>43503</v>
      </c>
      <c r="BF14" s="59">
        <v>43504</v>
      </c>
      <c r="BG14" s="59">
        <v>43525</v>
      </c>
      <c r="BH14" s="59">
        <v>43525</v>
      </c>
      <c r="BI14" s="39" t="e">
        <f>NETWORKDAYS(BF14,BG14,#REF!)</f>
        <v>#REF!</v>
      </c>
      <c r="BJ14" s="59" t="s">
        <v>1199</v>
      </c>
      <c r="BK14" s="59" t="s">
        <v>1200</v>
      </c>
      <c r="BL14" s="59" t="s">
        <v>1201</v>
      </c>
      <c r="BM14" s="59">
        <v>43607</v>
      </c>
      <c r="BN14" s="59">
        <v>43515</v>
      </c>
      <c r="BO14" s="59">
        <v>43507</v>
      </c>
      <c r="BP14" s="59">
        <v>43524</v>
      </c>
      <c r="BQ14" s="62">
        <v>43515</v>
      </c>
      <c r="BR14" s="68" t="e">
        <f xml:space="preserve"> NETWORKDAYS(BC14,BM14,#REF!)</f>
        <v>#REF!</v>
      </c>
      <c r="BS14" s="69" t="e">
        <f>NETWORKDAYS(BC14,BN14,#REF!)</f>
        <v>#REF!</v>
      </c>
      <c r="BT14" s="62" t="s">
        <v>900</v>
      </c>
      <c r="BU14" s="84"/>
      <c r="BV14" s="84"/>
      <c r="BW14" s="84"/>
      <c r="BX14" s="84"/>
      <c r="BY14" s="84"/>
      <c r="BZ14" s="84"/>
    </row>
    <row r="15" spans="1:79" ht="165" hidden="1" x14ac:dyDescent="0.25">
      <c r="A15" s="38" t="s">
        <v>1202</v>
      </c>
      <c r="B15" s="39">
        <v>13</v>
      </c>
      <c r="C15" s="38" t="s">
        <v>149</v>
      </c>
      <c r="D15" s="991" t="s">
        <v>1177</v>
      </c>
      <c r="E15" s="81" t="s">
        <v>163</v>
      </c>
      <c r="F15" s="39" t="s">
        <v>561</v>
      </c>
      <c r="G15" s="81" t="s">
        <v>163</v>
      </c>
      <c r="H15" s="81" t="s">
        <v>163</v>
      </c>
      <c r="I15" s="81" t="s">
        <v>562</v>
      </c>
      <c r="J15" s="82"/>
      <c r="K15" s="82"/>
      <c r="L15" s="82"/>
      <c r="M15" s="42" t="str">
        <f t="shared" si="0"/>
        <v xml:space="preserve">Tecnologías Digitales Alternas de México, S. de R.L. de C.V.  </v>
      </c>
      <c r="N15" s="991" t="s">
        <v>209</v>
      </c>
      <c r="O15" s="991" t="s">
        <v>1203</v>
      </c>
      <c r="P15" s="991" t="s">
        <v>1204</v>
      </c>
      <c r="Q15" s="992">
        <v>14835000</v>
      </c>
      <c r="R15" s="44">
        <f t="shared" si="1"/>
        <v>2373600</v>
      </c>
      <c r="S15" s="45">
        <f t="shared" si="2"/>
        <v>17208600</v>
      </c>
      <c r="T15" s="46">
        <v>0</v>
      </c>
      <c r="U15" s="47">
        <f t="shared" si="3"/>
        <v>0</v>
      </c>
      <c r="V15" s="44">
        <f t="shared" si="4"/>
        <v>21510750</v>
      </c>
      <c r="W15" s="993" t="s">
        <v>156</v>
      </c>
      <c r="X15" s="48">
        <v>43524</v>
      </c>
      <c r="Y15" s="39" t="s">
        <v>193</v>
      </c>
      <c r="Z15" s="48">
        <v>43525</v>
      </c>
      <c r="AA15" s="48">
        <v>43830</v>
      </c>
      <c r="AB15" s="38" t="s">
        <v>1205</v>
      </c>
      <c r="AC15" s="49"/>
      <c r="AD15" s="49"/>
      <c r="AE15" s="49"/>
      <c r="AF15" s="49"/>
      <c r="AG15" s="39" t="s">
        <v>156</v>
      </c>
      <c r="AH15" s="100" t="s">
        <v>1206</v>
      </c>
      <c r="AI15" s="100" t="s">
        <v>1207</v>
      </c>
      <c r="AJ15" s="101">
        <v>43829</v>
      </c>
      <c r="AK15" s="102">
        <f>3708750*1.16</f>
        <v>4302150</v>
      </c>
      <c r="AL15" s="39" t="str">
        <f t="shared" ca="1" si="5"/>
        <v>MUERTO</v>
      </c>
      <c r="AM15" s="39"/>
      <c r="AN15" s="39"/>
      <c r="AO15" s="39" t="s">
        <v>234</v>
      </c>
      <c r="AP15" s="39" t="s">
        <v>924</v>
      </c>
      <c r="AQ15" s="39" t="s">
        <v>234</v>
      </c>
      <c r="AR15" s="39"/>
      <c r="AS15" s="39"/>
      <c r="AT15" s="39"/>
      <c r="AU15" s="599"/>
      <c r="AV15" s="50"/>
      <c r="AW15" s="600"/>
      <c r="AX15" s="52"/>
      <c r="AY15" s="50"/>
      <c r="AZ15" s="38"/>
      <c r="BA15" s="38" t="e">
        <f>VLOOKUP(I15,#REF!,2,0)</f>
        <v>#REF!</v>
      </c>
      <c r="BB15" s="71"/>
      <c r="BC15" s="59">
        <v>43502</v>
      </c>
      <c r="BD15" s="59">
        <v>43502</v>
      </c>
      <c r="BE15" s="59">
        <v>43524</v>
      </c>
      <c r="BF15" s="59">
        <v>43531</v>
      </c>
      <c r="BG15" s="59">
        <v>43560</v>
      </c>
      <c r="BH15" s="59" t="s">
        <v>1208</v>
      </c>
      <c r="BI15" s="39" t="e">
        <f>NETWORKDAYS(BF15,BG15,#REF!)</f>
        <v>#REF!</v>
      </c>
      <c r="BJ15" s="59" t="s">
        <v>1209</v>
      </c>
      <c r="BK15" s="59" t="s">
        <v>1210</v>
      </c>
      <c r="BL15" s="59" t="s">
        <v>1211</v>
      </c>
      <c r="BM15" s="59">
        <v>43588</v>
      </c>
      <c r="BN15" s="59">
        <v>43551</v>
      </c>
      <c r="BO15" s="59">
        <v>43549</v>
      </c>
      <c r="BP15" s="59">
        <v>43550</v>
      </c>
      <c r="BQ15" s="62" t="s">
        <v>186</v>
      </c>
      <c r="BR15" s="68" t="e">
        <f xml:space="preserve"> NETWORKDAYS(BC15,BM15,#REF!)</f>
        <v>#REF!</v>
      </c>
      <c r="BS15" s="69" t="e">
        <f>NETWORKDAYS(BC15,BN15,#REF!)</f>
        <v>#REF!</v>
      </c>
      <c r="BT15" s="62" t="s">
        <v>900</v>
      </c>
      <c r="BU15" s="84"/>
      <c r="BV15" s="84"/>
      <c r="BW15" s="84"/>
      <c r="BX15" s="84"/>
      <c r="BY15" s="84"/>
      <c r="BZ15" s="84"/>
    </row>
    <row r="16" spans="1:79" ht="225" hidden="1" x14ac:dyDescent="0.25">
      <c r="A16" s="38" t="s">
        <v>1212</v>
      </c>
      <c r="B16" s="39">
        <v>14</v>
      </c>
      <c r="C16" s="38" t="s">
        <v>149</v>
      </c>
      <c r="D16" s="991" t="s">
        <v>1213</v>
      </c>
      <c r="E16" s="81" t="s">
        <v>163</v>
      </c>
      <c r="F16" s="39" t="s">
        <v>188</v>
      </c>
      <c r="G16" s="960" t="s">
        <v>427</v>
      </c>
      <c r="H16" s="81" t="s">
        <v>163</v>
      </c>
      <c r="I16" s="81" t="s">
        <v>1214</v>
      </c>
      <c r="J16" s="82"/>
      <c r="K16" s="82"/>
      <c r="L16" s="82"/>
      <c r="M16" s="42" t="str">
        <f t="shared" si="0"/>
        <v xml:space="preserve">Gaini, S.C.  </v>
      </c>
      <c r="N16" s="991" t="s">
        <v>179</v>
      </c>
      <c r="O16" s="991" t="s">
        <v>1215</v>
      </c>
      <c r="P16" s="991" t="s">
        <v>1216</v>
      </c>
      <c r="Q16" s="992">
        <v>14181034.5</v>
      </c>
      <c r="R16" s="44">
        <f t="shared" si="1"/>
        <v>2268965.52</v>
      </c>
      <c r="S16" s="45">
        <f t="shared" si="2"/>
        <v>16450000.02</v>
      </c>
      <c r="T16" s="46">
        <v>0</v>
      </c>
      <c r="U16" s="47">
        <f t="shared" si="3"/>
        <v>0</v>
      </c>
      <c r="V16" s="44">
        <f t="shared" si="4"/>
        <v>19740000.02</v>
      </c>
      <c r="W16" s="993" t="s">
        <v>156</v>
      </c>
      <c r="X16" s="48">
        <v>43524</v>
      </c>
      <c r="Y16" s="58" t="s">
        <v>193</v>
      </c>
      <c r="Z16" s="48">
        <v>43525</v>
      </c>
      <c r="AA16" s="48">
        <v>43830</v>
      </c>
      <c r="AB16" s="38" t="s">
        <v>182</v>
      </c>
      <c r="AC16" s="54"/>
      <c r="AD16" s="54"/>
      <c r="AE16" s="54"/>
      <c r="AF16" s="54"/>
      <c r="AG16" s="39" t="s">
        <v>156</v>
      </c>
      <c r="AH16" s="100" t="s">
        <v>1217</v>
      </c>
      <c r="AI16" s="100" t="s">
        <v>1218</v>
      </c>
      <c r="AJ16" s="101">
        <v>43844</v>
      </c>
      <c r="AK16" s="102">
        <v>3290000</v>
      </c>
      <c r="AL16" s="39" t="str">
        <f t="shared" ca="1" si="5"/>
        <v>MUERTO</v>
      </c>
      <c r="AM16" s="39"/>
      <c r="AN16" s="39"/>
      <c r="AO16" s="39"/>
      <c r="AP16" s="39" t="s">
        <v>157</v>
      </c>
      <c r="AQ16" s="39" t="s">
        <v>333</v>
      </c>
      <c r="AR16" s="39"/>
      <c r="AS16" s="39"/>
      <c r="AT16" s="39"/>
      <c r="AU16" s="51"/>
      <c r="AV16" s="50"/>
      <c r="AW16" s="38"/>
      <c r="AX16" s="52"/>
      <c r="AY16" s="50"/>
      <c r="AZ16" s="38"/>
      <c r="BA16" s="38" t="e">
        <f>VLOOKUP(I16,#REF!,2,0)</f>
        <v>#REF!</v>
      </c>
      <c r="BB16" s="71"/>
      <c r="BC16" s="59">
        <v>43523</v>
      </c>
      <c r="BD16" s="59">
        <v>43523</v>
      </c>
      <c r="BE16" s="59">
        <v>43524</v>
      </c>
      <c r="BF16" s="59">
        <v>43565</v>
      </c>
      <c r="BG16" s="59">
        <v>43567</v>
      </c>
      <c r="BH16" s="59">
        <v>43567</v>
      </c>
      <c r="BI16" s="39" t="e">
        <f>NETWORKDAYS(BF16,BG16,#REF!)</f>
        <v>#REF!</v>
      </c>
      <c r="BJ16" s="59">
        <v>43567</v>
      </c>
      <c r="BK16" s="59">
        <v>43577</v>
      </c>
      <c r="BL16" s="59" t="s">
        <v>479</v>
      </c>
      <c r="BM16" s="59">
        <v>43571</v>
      </c>
      <c r="BN16" s="59">
        <v>43579</v>
      </c>
      <c r="BO16" s="59">
        <v>43565</v>
      </c>
      <c r="BP16" s="59" t="s">
        <v>205</v>
      </c>
      <c r="BQ16" s="62" t="s">
        <v>186</v>
      </c>
      <c r="BR16" s="68" t="e">
        <f xml:space="preserve"> NETWORKDAYS(BC16,BM16,#REF!)</f>
        <v>#REF!</v>
      </c>
      <c r="BS16" s="69" t="e">
        <f>NETWORKDAYS(BC16,BN16,#REF!)</f>
        <v>#REF!</v>
      </c>
      <c r="BT16" s="62" t="s">
        <v>900</v>
      </c>
      <c r="BU16" s="84"/>
      <c r="BV16" s="84"/>
      <c r="BW16" s="84"/>
      <c r="BX16" s="84"/>
      <c r="BY16" s="84"/>
      <c r="BZ16" s="84"/>
    </row>
    <row r="17" spans="1:78" ht="180" hidden="1" x14ac:dyDescent="0.25">
      <c r="A17" s="38" t="s">
        <v>1219</v>
      </c>
      <c r="B17" s="39">
        <v>15</v>
      </c>
      <c r="C17" s="38" t="s">
        <v>149</v>
      </c>
      <c r="D17" s="991" t="s">
        <v>1177</v>
      </c>
      <c r="E17" s="81" t="s">
        <v>163</v>
      </c>
      <c r="F17" s="39" t="s">
        <v>553</v>
      </c>
      <c r="G17" s="81" t="s">
        <v>163</v>
      </c>
      <c r="H17" s="81" t="s">
        <v>163</v>
      </c>
      <c r="I17" s="81" t="s">
        <v>1220</v>
      </c>
      <c r="J17" s="82"/>
      <c r="K17" s="82"/>
      <c r="L17" s="82"/>
      <c r="M17" s="42" t="str">
        <f t="shared" si="0"/>
        <v xml:space="preserve">Expertos en Cómputo y Comunicaciones, S.A. de C.V.  </v>
      </c>
      <c r="N17" s="991" t="s">
        <v>667</v>
      </c>
      <c r="O17" s="991" t="s">
        <v>1221</v>
      </c>
      <c r="P17" s="991" t="s">
        <v>1222</v>
      </c>
      <c r="Q17" s="992">
        <v>9946448.4000000004</v>
      </c>
      <c r="R17" s="44">
        <f t="shared" si="1"/>
        <v>1591431.7440000002</v>
      </c>
      <c r="S17" s="45">
        <f t="shared" si="2"/>
        <v>11537880.144000001</v>
      </c>
      <c r="T17" s="46">
        <v>1039306.92</v>
      </c>
      <c r="U17" s="47">
        <f t="shared" si="3"/>
        <v>1205596.0272000001</v>
      </c>
      <c r="V17" s="44">
        <f t="shared" si="4"/>
        <v>11537880.144000001</v>
      </c>
      <c r="W17" s="993" t="s">
        <v>156</v>
      </c>
      <c r="X17" s="48">
        <v>43521</v>
      </c>
      <c r="Y17" s="48" t="s">
        <v>193</v>
      </c>
      <c r="Z17" s="48">
        <v>43518</v>
      </c>
      <c r="AA17" s="48">
        <v>43698</v>
      </c>
      <c r="AB17" s="38" t="s">
        <v>1205</v>
      </c>
      <c r="AC17" s="49"/>
      <c r="AD17" s="49"/>
      <c r="AE17" s="49"/>
      <c r="AF17" s="49"/>
      <c r="AG17" s="39" t="s">
        <v>156</v>
      </c>
      <c r="AH17" s="38"/>
      <c r="AI17" s="38"/>
      <c r="AJ17" s="50"/>
      <c r="AK17" s="44"/>
      <c r="AL17" s="39" t="str">
        <f t="shared" ca="1" si="5"/>
        <v>MUERTO</v>
      </c>
      <c r="AM17" s="39"/>
      <c r="AN17" s="39"/>
      <c r="AO17" s="39" t="s">
        <v>234</v>
      </c>
      <c r="AP17" s="39"/>
      <c r="AQ17" s="39" t="s">
        <v>234</v>
      </c>
      <c r="AR17" s="39"/>
      <c r="AS17" s="39"/>
      <c r="AT17" s="39"/>
      <c r="AU17" s="51"/>
      <c r="AV17" s="50"/>
      <c r="AW17" s="38"/>
      <c r="AX17" s="52"/>
      <c r="AY17" s="50"/>
      <c r="AZ17" s="38"/>
      <c r="BA17" s="38" t="e">
        <f>VLOOKUP(I17,#REF!,2,0)</f>
        <v>#REF!</v>
      </c>
      <c r="BB17" s="71"/>
      <c r="BC17" s="59">
        <v>43516</v>
      </c>
      <c r="BD17" s="59">
        <v>43517</v>
      </c>
      <c r="BE17" s="59">
        <v>43530</v>
      </c>
      <c r="BF17" s="59">
        <v>43531</v>
      </c>
      <c r="BG17" s="59">
        <v>43550</v>
      </c>
      <c r="BH17" s="59" t="s">
        <v>1223</v>
      </c>
      <c r="BI17" s="39" t="e">
        <f>NETWORKDAYS(BF17,BG17,#REF!)</f>
        <v>#REF!</v>
      </c>
      <c r="BJ17" s="59" t="s">
        <v>1224</v>
      </c>
      <c r="BK17" s="59" t="s">
        <v>1225</v>
      </c>
      <c r="BL17" s="59" t="s">
        <v>1226</v>
      </c>
      <c r="BM17" s="59">
        <v>43600</v>
      </c>
      <c r="BN17" s="59">
        <v>43549</v>
      </c>
      <c r="BO17" s="59">
        <v>43549</v>
      </c>
      <c r="BP17" s="59">
        <v>43587</v>
      </c>
      <c r="BQ17" s="62" t="s">
        <v>186</v>
      </c>
      <c r="BR17" s="68" t="e">
        <f xml:space="preserve"> NETWORKDAYS(BC17,BM17,#REF!)</f>
        <v>#REF!</v>
      </c>
      <c r="BS17" s="69" t="e">
        <f>NETWORKDAYS(BC17,BN17,#REF!)</f>
        <v>#REF!</v>
      </c>
      <c r="BT17" s="62" t="s">
        <v>900</v>
      </c>
      <c r="BU17" s="84"/>
      <c r="BV17" s="84"/>
      <c r="BW17" s="84"/>
      <c r="BX17" s="84"/>
      <c r="BY17" s="84"/>
      <c r="BZ17" s="84"/>
    </row>
    <row r="18" spans="1:78" ht="270" hidden="1" x14ac:dyDescent="0.25">
      <c r="A18" s="38" t="s">
        <v>1227</v>
      </c>
      <c r="B18" s="39">
        <v>16</v>
      </c>
      <c r="C18" s="38" t="s">
        <v>149</v>
      </c>
      <c r="D18" s="991" t="s">
        <v>1228</v>
      </c>
      <c r="E18" s="4" t="s">
        <v>173</v>
      </c>
      <c r="F18" s="39" t="s">
        <v>1229</v>
      </c>
      <c r="G18" s="39" t="s">
        <v>175</v>
      </c>
      <c r="H18" s="39"/>
      <c r="I18" s="81" t="s">
        <v>587</v>
      </c>
      <c r="J18" s="82"/>
      <c r="K18" s="82"/>
      <c r="L18" s="82"/>
      <c r="M18" s="42" t="str">
        <f t="shared" si="0"/>
        <v xml:space="preserve">Estructuras Digitales de México Comercializadora, S.A. de C.V.  </v>
      </c>
      <c r="N18" s="991" t="s">
        <v>209</v>
      </c>
      <c r="O18" s="991" t="s">
        <v>1203</v>
      </c>
      <c r="P18" s="991" t="s">
        <v>1230</v>
      </c>
      <c r="Q18" s="992">
        <v>1293103.45</v>
      </c>
      <c r="R18" s="44">
        <f t="shared" si="1"/>
        <v>206896.552</v>
      </c>
      <c r="S18" s="45">
        <f t="shared" si="2"/>
        <v>1500000.0019999999</v>
      </c>
      <c r="T18" s="46">
        <v>500000</v>
      </c>
      <c r="U18" s="47">
        <f t="shared" si="3"/>
        <v>580000</v>
      </c>
      <c r="V18" s="44">
        <f t="shared" si="4"/>
        <v>1874999.9995999997</v>
      </c>
      <c r="W18" s="993" t="s">
        <v>156</v>
      </c>
      <c r="X18" s="48">
        <v>43525</v>
      </c>
      <c r="Y18" s="39" t="s">
        <v>234</v>
      </c>
      <c r="Z18" s="48">
        <v>43525</v>
      </c>
      <c r="AA18" s="48">
        <v>43830</v>
      </c>
      <c r="AB18" s="38" t="s">
        <v>1205</v>
      </c>
      <c r="AC18" s="49"/>
      <c r="AD18" s="49"/>
      <c r="AE18" s="49"/>
      <c r="AF18" s="49"/>
      <c r="AG18" s="39" t="s">
        <v>156</v>
      </c>
      <c r="AH18" s="100" t="s">
        <v>1231</v>
      </c>
      <c r="AI18" s="100" t="s">
        <v>1232</v>
      </c>
      <c r="AJ18" s="101">
        <v>43802</v>
      </c>
      <c r="AK18" s="102">
        <f>323275.86*1.16</f>
        <v>374999.99759999994</v>
      </c>
      <c r="AL18" s="39" t="str">
        <f t="shared" ca="1" si="5"/>
        <v>MUERTO</v>
      </c>
      <c r="AM18" s="39"/>
      <c r="AN18" s="39"/>
      <c r="AO18" s="39" t="s">
        <v>234</v>
      </c>
      <c r="AP18" s="39" t="s">
        <v>924</v>
      </c>
      <c r="AQ18" s="39" t="s">
        <v>234</v>
      </c>
      <c r="AR18" s="39"/>
      <c r="AS18" s="39"/>
      <c r="AT18" s="39"/>
      <c r="AU18" s="51"/>
      <c r="AV18" s="50"/>
      <c r="AW18" s="51"/>
      <c r="AX18" s="52"/>
      <c r="AY18" s="50"/>
      <c r="AZ18" s="38"/>
      <c r="BA18" s="38" t="e">
        <f>VLOOKUP(I18,#REF!,2,0)</f>
        <v>#REF!</v>
      </c>
      <c r="BB18" s="71"/>
      <c r="BC18" s="59">
        <v>43483</v>
      </c>
      <c r="BD18" s="59">
        <v>43523</v>
      </c>
      <c r="BE18" s="59">
        <v>43532</v>
      </c>
      <c r="BF18" s="59">
        <v>43536</v>
      </c>
      <c r="BG18" s="59">
        <v>43655</v>
      </c>
      <c r="BH18" s="59" t="s">
        <v>1233</v>
      </c>
      <c r="BI18" s="39" t="e">
        <f>NETWORKDAYS(BF18,BG18,#REF!)</f>
        <v>#REF!</v>
      </c>
      <c r="BJ18" s="59" t="s">
        <v>1233</v>
      </c>
      <c r="BK18" s="59" t="s">
        <v>1234</v>
      </c>
      <c r="BL18" s="59" t="s">
        <v>1235</v>
      </c>
      <c r="BM18" s="59" t="s">
        <v>1236</v>
      </c>
      <c r="BN18" s="59">
        <v>43551</v>
      </c>
      <c r="BO18" s="59">
        <v>43537</v>
      </c>
      <c r="BP18" s="59">
        <v>43593</v>
      </c>
      <c r="BQ18" s="62" t="s">
        <v>186</v>
      </c>
      <c r="BR18" s="68" t="e">
        <f xml:space="preserve"> NETWORKDAYS(BC18,BM18,#REF!)</f>
        <v>#VALUE!</v>
      </c>
      <c r="BS18" s="69" t="e">
        <f>NETWORKDAYS(BC18,BN18,#REF!)</f>
        <v>#REF!</v>
      </c>
      <c r="BT18" s="62" t="s">
        <v>1237</v>
      </c>
      <c r="BU18" s="84"/>
      <c r="BV18" s="84"/>
      <c r="BW18" s="84"/>
      <c r="BX18" s="84"/>
      <c r="BY18" s="84"/>
      <c r="BZ18" s="84"/>
    </row>
    <row r="19" spans="1:78" ht="180" hidden="1" x14ac:dyDescent="0.25">
      <c r="A19" s="38" t="s">
        <v>1238</v>
      </c>
      <c r="B19" s="39">
        <v>17</v>
      </c>
      <c r="C19" s="38" t="s">
        <v>149</v>
      </c>
      <c r="D19" s="991" t="s">
        <v>1239</v>
      </c>
      <c r="E19" s="4" t="s">
        <v>173</v>
      </c>
      <c r="F19" s="39" t="s">
        <v>326</v>
      </c>
      <c r="G19" s="39" t="s">
        <v>175</v>
      </c>
      <c r="H19" s="39"/>
      <c r="I19" s="81" t="s">
        <v>1240</v>
      </c>
      <c r="J19" s="82"/>
      <c r="K19" s="82"/>
      <c r="L19" s="82"/>
      <c r="M19" s="42" t="str">
        <f t="shared" si="0"/>
        <v xml:space="preserve">Connext Soluciones, S.A. de C.V  </v>
      </c>
      <c r="N19" s="991" t="s">
        <v>209</v>
      </c>
      <c r="O19" s="991" t="s">
        <v>1203</v>
      </c>
      <c r="P19" s="991" t="s">
        <v>1241</v>
      </c>
      <c r="Q19" s="992">
        <v>6461276.8300000001</v>
      </c>
      <c r="R19" s="44">
        <f t="shared" si="1"/>
        <v>1033804.2928000001</v>
      </c>
      <c r="S19" s="45">
        <f t="shared" si="2"/>
        <v>7495081.1228</v>
      </c>
      <c r="T19" s="46">
        <v>0</v>
      </c>
      <c r="U19" s="47">
        <f t="shared" si="3"/>
        <v>0</v>
      </c>
      <c r="V19" s="44">
        <f t="shared" si="4"/>
        <v>7495081.1228</v>
      </c>
      <c r="W19" s="993" t="s">
        <v>156</v>
      </c>
      <c r="X19" s="48">
        <v>43525</v>
      </c>
      <c r="Y19" s="39" t="s">
        <v>234</v>
      </c>
      <c r="Z19" s="48">
        <v>43525</v>
      </c>
      <c r="AA19" s="48">
        <v>43830</v>
      </c>
      <c r="AB19" s="38" t="s">
        <v>1205</v>
      </c>
      <c r="AC19" s="49"/>
      <c r="AD19" s="49">
        <v>646127.68000000005</v>
      </c>
      <c r="AE19" s="49" t="s">
        <v>159</v>
      </c>
      <c r="AF19" s="49" t="s">
        <v>159</v>
      </c>
      <c r="AG19" s="39" t="s">
        <v>1146</v>
      </c>
      <c r="AH19" s="38"/>
      <c r="AI19" s="38"/>
      <c r="AJ19" s="50"/>
      <c r="AK19" s="44"/>
      <c r="AL19" s="39" t="str">
        <f t="shared" ca="1" si="5"/>
        <v>MUERTO</v>
      </c>
      <c r="AM19" s="39"/>
      <c r="AN19" s="39"/>
      <c r="AO19" s="39"/>
      <c r="AP19" s="39"/>
      <c r="AQ19" s="39" t="s">
        <v>234</v>
      </c>
      <c r="AR19" s="39"/>
      <c r="AS19" s="39"/>
      <c r="AT19" s="39"/>
      <c r="AU19" s="51"/>
      <c r="AV19" s="50"/>
      <c r="AW19" s="51"/>
      <c r="AX19" s="52"/>
      <c r="AY19" s="50"/>
      <c r="AZ19" s="38"/>
      <c r="BA19" s="38" t="e">
        <f>VLOOKUP(I19,#REF!,2,0)</f>
        <v>#REF!</v>
      </c>
      <c r="BB19" s="71"/>
      <c r="BC19" s="59">
        <v>43483</v>
      </c>
      <c r="BD19" s="59">
        <v>43523</v>
      </c>
      <c r="BE19" s="59">
        <v>43532</v>
      </c>
      <c r="BF19" s="59">
        <v>43546</v>
      </c>
      <c r="BG19" s="59">
        <v>43661</v>
      </c>
      <c r="BH19" s="59" t="s">
        <v>1242</v>
      </c>
      <c r="BI19" s="39" t="e">
        <f>NETWORKDAYS(BF19,BG19,#REF!)</f>
        <v>#REF!</v>
      </c>
      <c r="BJ19" s="59" t="s">
        <v>1242</v>
      </c>
      <c r="BK19" s="59" t="s">
        <v>1243</v>
      </c>
      <c r="BL19" s="59" t="s">
        <v>1235</v>
      </c>
      <c r="BM19" s="59" t="s">
        <v>1160</v>
      </c>
      <c r="BN19" s="59">
        <v>43585</v>
      </c>
      <c r="BO19" s="59">
        <v>43546</v>
      </c>
      <c r="BP19" s="59">
        <v>43594</v>
      </c>
      <c r="BQ19" s="62" t="s">
        <v>186</v>
      </c>
      <c r="BR19" s="68" t="e">
        <f xml:space="preserve"> NETWORKDAYS(BC19,BM19,#REF!)</f>
        <v>#VALUE!</v>
      </c>
      <c r="BS19" s="69" t="e">
        <f>NETWORKDAYS(BC19,BN19,#REF!)</f>
        <v>#REF!</v>
      </c>
      <c r="BT19" s="62" t="s">
        <v>900</v>
      </c>
      <c r="BU19" s="84"/>
      <c r="BV19" s="84"/>
      <c r="BW19" s="84"/>
      <c r="BX19" s="84"/>
      <c r="BY19" s="84"/>
      <c r="BZ19" s="84"/>
    </row>
    <row r="20" spans="1:78" ht="165" hidden="1" x14ac:dyDescent="0.25">
      <c r="A20" s="38" t="s">
        <v>1244</v>
      </c>
      <c r="B20" s="39">
        <v>18</v>
      </c>
      <c r="C20" s="38" t="s">
        <v>149</v>
      </c>
      <c r="D20" s="991" t="s">
        <v>1245</v>
      </c>
      <c r="E20" s="81" t="s">
        <v>163</v>
      </c>
      <c r="F20" s="39" t="s">
        <v>1246</v>
      </c>
      <c r="G20" s="39" t="s">
        <v>1111</v>
      </c>
      <c r="H20" s="685" t="s">
        <v>546</v>
      </c>
      <c r="I20" s="81" t="s">
        <v>361</v>
      </c>
      <c r="J20" s="82"/>
      <c r="K20" s="82"/>
      <c r="L20" s="82"/>
      <c r="M20" s="42" t="str">
        <f t="shared" si="0"/>
        <v xml:space="preserve">Millenium Technologies, S.A. de C.V.  </v>
      </c>
      <c r="N20" s="991" t="s">
        <v>209</v>
      </c>
      <c r="O20" s="991" t="s">
        <v>1203</v>
      </c>
      <c r="P20" s="991" t="s">
        <v>1247</v>
      </c>
      <c r="Q20" s="992">
        <v>3800000</v>
      </c>
      <c r="R20" s="44">
        <f t="shared" si="1"/>
        <v>608000</v>
      </c>
      <c r="S20" s="45">
        <f t="shared" si="2"/>
        <v>4408000</v>
      </c>
      <c r="T20" s="46">
        <v>0</v>
      </c>
      <c r="U20" s="47">
        <f t="shared" si="3"/>
        <v>0</v>
      </c>
      <c r="V20" s="44">
        <f t="shared" si="4"/>
        <v>4408000</v>
      </c>
      <c r="W20" s="993" t="s">
        <v>156</v>
      </c>
      <c r="X20" s="48">
        <v>43525</v>
      </c>
      <c r="Y20" s="39" t="s">
        <v>234</v>
      </c>
      <c r="Z20" s="48">
        <v>43525</v>
      </c>
      <c r="AA20" s="48">
        <v>43830</v>
      </c>
      <c r="AB20" s="38" t="s">
        <v>1248</v>
      </c>
      <c r="AC20" s="49"/>
      <c r="AD20" s="49"/>
      <c r="AE20" s="49"/>
      <c r="AF20" s="49"/>
      <c r="AG20" s="39" t="s">
        <v>156</v>
      </c>
      <c r="AH20" s="38"/>
      <c r="AI20" s="38"/>
      <c r="AJ20" s="50"/>
      <c r="AK20" s="44"/>
      <c r="AL20" s="39" t="str">
        <f t="shared" ca="1" si="5"/>
        <v>MUERTO</v>
      </c>
      <c r="AM20" s="39"/>
      <c r="AN20" s="39"/>
      <c r="AO20" s="39" t="s">
        <v>234</v>
      </c>
      <c r="AP20" s="39"/>
      <c r="AQ20" s="39" t="s">
        <v>234</v>
      </c>
      <c r="AR20" s="39"/>
      <c r="AS20" s="39"/>
      <c r="AT20" s="39"/>
      <c r="AU20" s="51"/>
      <c r="AV20" s="50"/>
      <c r="AW20" s="51"/>
      <c r="AX20" s="52"/>
      <c r="AY20" s="50"/>
      <c r="AZ20" s="38"/>
      <c r="BA20" s="38" t="e">
        <f>VLOOKUP(I20,#REF!,2,0)</f>
        <v>#REF!</v>
      </c>
      <c r="BB20" s="71"/>
      <c r="BC20" s="59">
        <v>43509</v>
      </c>
      <c r="BD20" s="59">
        <v>43523</v>
      </c>
      <c r="BE20" s="59">
        <v>43535</v>
      </c>
      <c r="BF20" s="59">
        <v>43579</v>
      </c>
      <c r="BG20" s="59">
        <v>43580</v>
      </c>
      <c r="BH20" s="59" t="s">
        <v>1249</v>
      </c>
      <c r="BI20" s="39" t="e">
        <f>NETWORKDAYS(BF20,BG20,#REF!)</f>
        <v>#REF!</v>
      </c>
      <c r="BJ20" s="59" t="s">
        <v>1250</v>
      </c>
      <c r="BK20" s="59" t="s">
        <v>1251</v>
      </c>
      <c r="BL20" s="59" t="s">
        <v>1252</v>
      </c>
      <c r="BM20" s="59">
        <v>43600</v>
      </c>
      <c r="BN20" s="59">
        <v>43559</v>
      </c>
      <c r="BO20" s="59">
        <v>43546</v>
      </c>
      <c r="BP20" s="59">
        <v>43546</v>
      </c>
      <c r="BQ20" s="62" t="s">
        <v>186</v>
      </c>
      <c r="BR20" s="68" t="e">
        <f xml:space="preserve"> NETWORKDAYS(BC20,BM20,#REF!)</f>
        <v>#REF!</v>
      </c>
      <c r="BS20" s="69" t="e">
        <f>NETWORKDAYS(BC20,BN20,#REF!)</f>
        <v>#REF!</v>
      </c>
      <c r="BT20" s="62" t="s">
        <v>900</v>
      </c>
      <c r="BU20" s="84"/>
      <c r="BV20" s="84"/>
      <c r="BW20" s="84"/>
      <c r="BX20" s="84"/>
      <c r="BY20" s="84"/>
      <c r="BZ20" s="84"/>
    </row>
    <row r="21" spans="1:78" ht="165" hidden="1" x14ac:dyDescent="0.25">
      <c r="A21" s="598" t="s">
        <v>1253</v>
      </c>
      <c r="B21" s="39">
        <v>19</v>
      </c>
      <c r="C21" s="38" t="s">
        <v>225</v>
      </c>
      <c r="D21" s="991" t="s">
        <v>1245</v>
      </c>
      <c r="E21" s="81" t="s">
        <v>163</v>
      </c>
      <c r="F21" s="39" t="s">
        <v>1246</v>
      </c>
      <c r="G21" s="39" t="s">
        <v>1111</v>
      </c>
      <c r="H21" s="685" t="s">
        <v>546</v>
      </c>
      <c r="I21" s="81" t="s">
        <v>1254</v>
      </c>
      <c r="J21" s="82"/>
      <c r="K21" s="82"/>
      <c r="L21" s="82"/>
      <c r="M21" s="42" t="str">
        <f t="shared" si="0"/>
        <v xml:space="preserve">Intercomza, S.A. de C.V.  </v>
      </c>
      <c r="N21" s="991" t="s">
        <v>198</v>
      </c>
      <c r="O21" s="991" t="s">
        <v>1255</v>
      </c>
      <c r="P21" s="991" t="s">
        <v>1256</v>
      </c>
      <c r="Q21" s="992">
        <v>431008.62</v>
      </c>
      <c r="R21" s="44">
        <f t="shared" si="1"/>
        <v>68961.379199999996</v>
      </c>
      <c r="S21" s="45">
        <f t="shared" si="2"/>
        <v>499969.99919999996</v>
      </c>
      <c r="T21" s="46">
        <v>184718.1</v>
      </c>
      <c r="U21" s="47">
        <f t="shared" si="3"/>
        <v>214272.99600000001</v>
      </c>
      <c r="V21" s="44">
        <f t="shared" si="4"/>
        <v>499969.99919999996</v>
      </c>
      <c r="W21" s="993" t="s">
        <v>156</v>
      </c>
      <c r="X21" s="48">
        <v>43525</v>
      </c>
      <c r="Y21" s="39" t="s">
        <v>234</v>
      </c>
      <c r="Z21" s="48">
        <v>43525</v>
      </c>
      <c r="AA21" s="48">
        <v>43830</v>
      </c>
      <c r="AB21" s="38" t="s">
        <v>182</v>
      </c>
      <c r="AC21" s="49"/>
      <c r="AD21" s="49"/>
      <c r="AE21" s="49"/>
      <c r="AF21" s="49"/>
      <c r="AG21" s="39" t="s">
        <v>156</v>
      </c>
      <c r="AH21" s="100" t="s">
        <v>1257</v>
      </c>
      <c r="AI21" s="100" t="s">
        <v>1258</v>
      </c>
      <c r="AJ21" s="101">
        <v>43836</v>
      </c>
      <c r="AK21" s="102">
        <v>0</v>
      </c>
      <c r="AL21" s="39" t="str">
        <f t="shared" ca="1" si="5"/>
        <v>MUERTO</v>
      </c>
      <c r="AM21" s="39"/>
      <c r="AN21" s="39"/>
      <c r="AO21" s="39" t="s">
        <v>234</v>
      </c>
      <c r="AP21" s="39" t="s">
        <v>924</v>
      </c>
      <c r="AQ21" s="39" t="s">
        <v>234</v>
      </c>
      <c r="AR21" s="39"/>
      <c r="AS21" s="39"/>
      <c r="AT21" s="39"/>
      <c r="AU21" s="51"/>
      <c r="AV21" s="50"/>
      <c r="AW21" s="51"/>
      <c r="AX21" s="52"/>
      <c r="AY21" s="50"/>
      <c r="AZ21" s="38"/>
      <c r="BA21" s="38" t="e">
        <f>VLOOKUP(I21,#REF!,2,0)</f>
        <v>#REF!</v>
      </c>
      <c r="BB21" s="71"/>
      <c r="BC21" s="59">
        <v>43509</v>
      </c>
      <c r="BD21" s="59">
        <v>43523</v>
      </c>
      <c r="BE21" s="59">
        <v>43532</v>
      </c>
      <c r="BF21" s="59">
        <v>43535</v>
      </c>
      <c r="BG21" s="59">
        <v>43550</v>
      </c>
      <c r="BH21" s="59" t="s">
        <v>1259</v>
      </c>
      <c r="BI21" s="39" t="e">
        <f>NETWORKDAYS(BF21,BG21,#REF!)</f>
        <v>#REF!</v>
      </c>
      <c r="BJ21" s="59" t="s">
        <v>1259</v>
      </c>
      <c r="BK21" s="59" t="s">
        <v>1260</v>
      </c>
      <c r="BL21" s="59" t="s">
        <v>1261</v>
      </c>
      <c r="BM21" s="59" t="s">
        <v>1160</v>
      </c>
      <c r="BN21" s="59">
        <v>43549</v>
      </c>
      <c r="BO21" s="59">
        <v>43537</v>
      </c>
      <c r="BP21" s="59">
        <v>43584</v>
      </c>
      <c r="BQ21" s="62">
        <v>43549</v>
      </c>
      <c r="BR21" s="68" t="e">
        <f xml:space="preserve"> NETWORKDAYS(BC21,BM21,#REF!)</f>
        <v>#VALUE!</v>
      </c>
      <c r="BS21" s="69" t="e">
        <f>NETWORKDAYS(BC21,BN21,#REF!)</f>
        <v>#REF!</v>
      </c>
      <c r="BT21" s="62" t="s">
        <v>900</v>
      </c>
      <c r="BU21" s="84"/>
      <c r="BV21" s="84"/>
      <c r="BW21" s="84"/>
      <c r="BX21" s="84"/>
      <c r="BY21" s="84"/>
      <c r="BZ21" s="84"/>
    </row>
    <row r="22" spans="1:78" ht="225" hidden="1" x14ac:dyDescent="0.25">
      <c r="A22" s="38" t="s">
        <v>1262</v>
      </c>
      <c r="B22" s="39">
        <v>20</v>
      </c>
      <c r="C22" s="38" t="s">
        <v>149</v>
      </c>
      <c r="D22" s="991" t="s">
        <v>1263</v>
      </c>
      <c r="E22" s="4" t="s">
        <v>173</v>
      </c>
      <c r="F22" s="39" t="s">
        <v>326</v>
      </c>
      <c r="G22" s="39" t="s">
        <v>175</v>
      </c>
      <c r="H22" s="39"/>
      <c r="I22" s="81" t="s">
        <v>1264</v>
      </c>
      <c r="J22" s="82"/>
      <c r="K22" s="82"/>
      <c r="L22" s="82"/>
      <c r="M22" s="42" t="str">
        <f t="shared" si="0"/>
        <v xml:space="preserve">Kay-ser Group, S.A. de C.V.  </v>
      </c>
      <c r="N22" s="991" t="s">
        <v>301</v>
      </c>
      <c r="O22" s="991" t="s">
        <v>302</v>
      </c>
      <c r="P22" s="991" t="s">
        <v>1265</v>
      </c>
      <c r="Q22" s="992">
        <v>2682351.85</v>
      </c>
      <c r="R22" s="44">
        <f t="shared" si="1"/>
        <v>429176.29600000003</v>
      </c>
      <c r="S22" s="45">
        <f t="shared" si="2"/>
        <v>3111528.1460000002</v>
      </c>
      <c r="T22" s="46">
        <v>1072940.73</v>
      </c>
      <c r="U22" s="47">
        <f t="shared" si="3"/>
        <v>1244611.2468000001</v>
      </c>
      <c r="V22" s="44">
        <f t="shared" si="4"/>
        <v>3111528.1460000002</v>
      </c>
      <c r="W22" s="993" t="s">
        <v>156</v>
      </c>
      <c r="X22" s="48">
        <v>43525</v>
      </c>
      <c r="Y22" s="39" t="s">
        <v>234</v>
      </c>
      <c r="Z22" s="48">
        <v>43525</v>
      </c>
      <c r="AA22" s="48">
        <v>43830</v>
      </c>
      <c r="AB22" s="38" t="s">
        <v>1266</v>
      </c>
      <c r="AC22" s="49"/>
      <c r="AD22" s="49"/>
      <c r="AE22" s="49"/>
      <c r="AF22" s="49"/>
      <c r="AG22" s="39" t="s">
        <v>156</v>
      </c>
      <c r="AH22" s="38"/>
      <c r="AI22" s="38"/>
      <c r="AJ22" s="50"/>
      <c r="AK22" s="44"/>
      <c r="AL22" s="39" t="str">
        <f t="shared" ca="1" si="5"/>
        <v>MUERTO</v>
      </c>
      <c r="AM22" s="39"/>
      <c r="AN22" s="39"/>
      <c r="AO22" s="39" t="s">
        <v>333</v>
      </c>
      <c r="AP22" s="39"/>
      <c r="AQ22" s="39" t="s">
        <v>333</v>
      </c>
      <c r="AR22" s="39"/>
      <c r="AS22" s="39"/>
      <c r="AT22" s="39"/>
      <c r="AU22" s="51"/>
      <c r="AV22" s="50"/>
      <c r="AW22" s="38"/>
      <c r="AX22" s="52"/>
      <c r="AY22" s="50"/>
      <c r="AZ22" s="38"/>
      <c r="BA22" s="38" t="e">
        <f>VLOOKUP(I22,#REF!,2,0)</f>
        <v>#REF!</v>
      </c>
      <c r="BB22" s="71"/>
      <c r="BC22" s="59">
        <v>43514</v>
      </c>
      <c r="BD22" s="59">
        <v>43523</v>
      </c>
      <c r="BE22" s="59">
        <v>43532</v>
      </c>
      <c r="BF22" s="59">
        <v>43535</v>
      </c>
      <c r="BG22" s="59">
        <v>43570</v>
      </c>
      <c r="BH22" s="59" t="s">
        <v>1267</v>
      </c>
      <c r="BI22" s="39" t="e">
        <f>NETWORKDAYS(BF22,BG22,#REF!)</f>
        <v>#REF!</v>
      </c>
      <c r="BJ22" s="59" t="s">
        <v>1267</v>
      </c>
      <c r="BK22" s="59" t="s">
        <v>1268</v>
      </c>
      <c r="BL22" s="59" t="s">
        <v>1269</v>
      </c>
      <c r="BM22" s="59">
        <v>43642</v>
      </c>
      <c r="BN22" s="59">
        <v>43602</v>
      </c>
      <c r="BO22" s="59">
        <v>43598</v>
      </c>
      <c r="BP22" s="59">
        <v>43602</v>
      </c>
      <c r="BQ22" s="62">
        <v>43622</v>
      </c>
      <c r="BR22" s="68" t="e">
        <f xml:space="preserve"> NETWORKDAYS(BC22,BM22,#REF!)</f>
        <v>#REF!</v>
      </c>
      <c r="BS22" s="69" t="e">
        <f>NETWORKDAYS(BC22,BN22,#REF!)</f>
        <v>#REF!</v>
      </c>
      <c r="BT22" s="62" t="s">
        <v>900</v>
      </c>
      <c r="BU22" s="84"/>
      <c r="BV22" s="84"/>
      <c r="BW22" s="84"/>
      <c r="BX22" s="84"/>
      <c r="BY22" s="84"/>
      <c r="BZ22" s="84"/>
    </row>
    <row r="23" spans="1:78" ht="210" hidden="1" x14ac:dyDescent="0.25">
      <c r="A23" s="598" t="s">
        <v>1270</v>
      </c>
      <c r="B23" s="39">
        <v>21</v>
      </c>
      <c r="C23" s="38" t="s">
        <v>225</v>
      </c>
      <c r="D23" s="991" t="s">
        <v>1271</v>
      </c>
      <c r="E23" s="81" t="s">
        <v>163</v>
      </c>
      <c r="F23" s="39" t="s">
        <v>237</v>
      </c>
      <c r="G23" s="39" t="s">
        <v>1272</v>
      </c>
      <c r="H23" s="81" t="s">
        <v>163</v>
      </c>
      <c r="I23" s="81" t="s">
        <v>227</v>
      </c>
      <c r="J23" s="82"/>
      <c r="K23" s="82"/>
      <c r="L23" s="82"/>
      <c r="M23" s="42" t="s">
        <v>1273</v>
      </c>
      <c r="N23" s="991" t="s">
        <v>198</v>
      </c>
      <c r="O23" s="991" t="s">
        <v>1274</v>
      </c>
      <c r="P23" s="991" t="s">
        <v>1275</v>
      </c>
      <c r="Q23" s="992">
        <v>765000</v>
      </c>
      <c r="R23" s="44">
        <v>0</v>
      </c>
      <c r="S23" s="45">
        <f t="shared" si="2"/>
        <v>765000</v>
      </c>
      <c r="T23" s="46">
        <v>266000</v>
      </c>
      <c r="U23" s="47">
        <v>266000</v>
      </c>
      <c r="V23" s="44">
        <f t="shared" si="4"/>
        <v>956250</v>
      </c>
      <c r="W23" s="993" t="s">
        <v>156</v>
      </c>
      <c r="X23" s="48">
        <v>43525</v>
      </c>
      <c r="Y23" s="39" t="s">
        <v>234</v>
      </c>
      <c r="Z23" s="48">
        <v>43525</v>
      </c>
      <c r="AA23" s="48">
        <v>43830</v>
      </c>
      <c r="AB23" s="38" t="s">
        <v>182</v>
      </c>
      <c r="AC23" s="49"/>
      <c r="AD23" s="49"/>
      <c r="AE23" s="49"/>
      <c r="AF23" s="49"/>
      <c r="AG23" s="39" t="s">
        <v>156</v>
      </c>
      <c r="AH23" s="38" t="s">
        <v>1118</v>
      </c>
      <c r="AI23" s="38" t="s">
        <v>1118</v>
      </c>
      <c r="AJ23" s="101">
        <v>43840</v>
      </c>
      <c r="AK23" s="102">
        <v>191250</v>
      </c>
      <c r="AL23" s="39" t="str">
        <f t="shared" ca="1" si="5"/>
        <v>MUERTO</v>
      </c>
      <c r="AM23" s="39"/>
      <c r="AN23" s="39"/>
      <c r="AO23" s="39" t="s">
        <v>333</v>
      </c>
      <c r="AP23" s="39" t="s">
        <v>1276</v>
      </c>
      <c r="AQ23" s="39" t="s">
        <v>333</v>
      </c>
      <c r="AR23" s="39"/>
      <c r="AS23" s="39"/>
      <c r="AT23" s="39"/>
      <c r="AU23" s="51"/>
      <c r="AV23" s="50"/>
      <c r="AW23" s="38"/>
      <c r="AX23" s="52"/>
      <c r="AY23" s="50"/>
      <c r="AZ23" s="38"/>
      <c r="BA23" s="38" t="e">
        <f>VLOOKUP(I23,#REF!,2,0)</f>
        <v>#REF!</v>
      </c>
      <c r="BB23" s="71"/>
      <c r="BC23" s="59">
        <v>43521</v>
      </c>
      <c r="BD23" s="59">
        <v>43524</v>
      </c>
      <c r="BE23" s="59">
        <v>43537</v>
      </c>
      <c r="BF23" s="59">
        <v>43539</v>
      </c>
      <c r="BG23" s="59">
        <v>43558</v>
      </c>
      <c r="BH23" s="59" t="s">
        <v>1277</v>
      </c>
      <c r="BI23" s="39" t="e">
        <f>NETWORKDAYS(BF23,BG23,#REF!)</f>
        <v>#REF!</v>
      </c>
      <c r="BJ23" s="59" t="s">
        <v>1278</v>
      </c>
      <c r="BK23" s="59">
        <v>43565</v>
      </c>
      <c r="BL23" s="59" t="s">
        <v>1279</v>
      </c>
      <c r="BM23" s="59" t="s">
        <v>1160</v>
      </c>
      <c r="BN23" s="59">
        <v>43559</v>
      </c>
      <c r="BO23" s="59">
        <v>43557</v>
      </c>
      <c r="BP23" s="59">
        <v>43558</v>
      </c>
      <c r="BQ23" s="62">
        <v>43559</v>
      </c>
      <c r="BR23" s="68" t="e">
        <f xml:space="preserve"> NETWORKDAYS(BC23,BM23,#REF!)</f>
        <v>#VALUE!</v>
      </c>
      <c r="BS23" s="69" t="e">
        <f>NETWORKDAYS(BC23,BN23,#REF!)</f>
        <v>#REF!</v>
      </c>
      <c r="BT23" s="62"/>
      <c r="BU23" s="84"/>
      <c r="BV23" s="84"/>
      <c r="BW23" s="84"/>
      <c r="BX23" s="84"/>
      <c r="BY23" s="84"/>
      <c r="BZ23" s="84"/>
    </row>
    <row r="24" spans="1:78" ht="165" hidden="1" x14ac:dyDescent="0.25">
      <c r="A24" s="38" t="s">
        <v>1280</v>
      </c>
      <c r="B24" s="39">
        <v>22</v>
      </c>
      <c r="C24" s="38" t="s">
        <v>149</v>
      </c>
      <c r="D24" s="991" t="s">
        <v>1177</v>
      </c>
      <c r="E24" s="81" t="s">
        <v>163</v>
      </c>
      <c r="F24" s="39" t="s">
        <v>553</v>
      </c>
      <c r="G24" s="81" t="s">
        <v>163</v>
      </c>
      <c r="H24" s="81" t="s">
        <v>163</v>
      </c>
      <c r="I24" s="81" t="s">
        <v>1281</v>
      </c>
      <c r="J24" s="82"/>
      <c r="K24" s="82"/>
      <c r="L24" s="82"/>
      <c r="M24" s="42" t="str">
        <f t="shared" ref="M24:M55" si="6">I24&amp;J24&amp;" "&amp;K24&amp;" "&amp;L24</f>
        <v xml:space="preserve">MCS Network Solution, S.A. de C.V.  </v>
      </c>
      <c r="N24" s="991" t="s">
        <v>209</v>
      </c>
      <c r="O24" s="991" t="s">
        <v>1203</v>
      </c>
      <c r="P24" s="991" t="s">
        <v>1282</v>
      </c>
      <c r="Q24" s="992">
        <v>3028129.11</v>
      </c>
      <c r="R24" s="44">
        <f t="shared" ref="R24:R43" si="7">Q24*0.16</f>
        <v>484500.65759999998</v>
      </c>
      <c r="S24" s="45">
        <f t="shared" si="2"/>
        <v>3512629.7675999999</v>
      </c>
      <c r="T24" s="46">
        <v>0</v>
      </c>
      <c r="U24" s="47">
        <f t="shared" ref="U24:U43" si="8">(T24*0.16)+(T24)</f>
        <v>0</v>
      </c>
      <c r="V24" s="44">
        <f t="shared" si="4"/>
        <v>3512629.7675999999</v>
      </c>
      <c r="W24" s="993" t="s">
        <v>156</v>
      </c>
      <c r="X24" s="48">
        <v>43524</v>
      </c>
      <c r="Y24" s="39" t="s">
        <v>193</v>
      </c>
      <c r="Z24" s="48">
        <v>43525</v>
      </c>
      <c r="AA24" s="48">
        <v>43616</v>
      </c>
      <c r="AB24" s="38" t="s">
        <v>1248</v>
      </c>
      <c r="AC24" s="49"/>
      <c r="AD24" s="49"/>
      <c r="AE24" s="49"/>
      <c r="AF24" s="601">
        <v>351262.97</v>
      </c>
      <c r="AG24" s="39" t="s">
        <v>156</v>
      </c>
      <c r="AH24" s="38"/>
      <c r="AI24" s="38"/>
      <c r="AJ24" s="50"/>
      <c r="AK24" s="44"/>
      <c r="AL24" s="39" t="str">
        <f t="shared" ca="1" si="5"/>
        <v>MUERTO</v>
      </c>
      <c r="AM24" s="39"/>
      <c r="AN24" s="39"/>
      <c r="AO24" s="39" t="s">
        <v>333</v>
      </c>
      <c r="AP24" s="39"/>
      <c r="AQ24" s="39" t="s">
        <v>234</v>
      </c>
      <c r="AR24" s="39"/>
      <c r="AS24" s="39"/>
      <c r="AT24" s="39"/>
      <c r="AU24" s="51"/>
      <c r="AV24" s="50"/>
      <c r="AW24" s="38"/>
      <c r="AX24" s="52"/>
      <c r="AY24" s="50"/>
      <c r="AZ24" s="38"/>
      <c r="BA24" s="38" t="e">
        <f>VLOOKUP(I24,#REF!,2,0)</f>
        <v>#REF!</v>
      </c>
      <c r="BB24" s="71"/>
      <c r="BC24" s="59">
        <v>43517</v>
      </c>
      <c r="BD24" s="59">
        <v>43523</v>
      </c>
      <c r="BE24" s="59">
        <v>43532</v>
      </c>
      <c r="BF24" s="59">
        <v>43564</v>
      </c>
      <c r="BG24" s="59">
        <v>43580</v>
      </c>
      <c r="BH24" s="59" t="s">
        <v>1283</v>
      </c>
      <c r="BI24" s="39" t="e">
        <f>NETWORKDAYS(BF24,BG24,#REF!)</f>
        <v>#REF!</v>
      </c>
      <c r="BJ24" s="59" t="s">
        <v>1284</v>
      </c>
      <c r="BK24" s="59" t="s">
        <v>1285</v>
      </c>
      <c r="BL24" s="59" t="s">
        <v>1286</v>
      </c>
      <c r="BM24" s="59">
        <v>43634</v>
      </c>
      <c r="BN24" s="59">
        <v>43592</v>
      </c>
      <c r="BO24" s="59">
        <v>43592</v>
      </c>
      <c r="BP24" s="59">
        <v>43593</v>
      </c>
      <c r="BQ24" s="62" t="s">
        <v>186</v>
      </c>
      <c r="BR24" s="68" t="e">
        <f xml:space="preserve"> NETWORKDAYS(BC24,BM24,#REF!)</f>
        <v>#REF!</v>
      </c>
      <c r="BS24" s="69" t="e">
        <f>NETWORKDAYS(BC24,BN24,#REF!)</f>
        <v>#REF!</v>
      </c>
      <c r="BT24" s="62" t="s">
        <v>900</v>
      </c>
      <c r="BU24" s="84"/>
      <c r="BV24" s="84"/>
      <c r="BW24" s="84"/>
      <c r="BX24" s="84"/>
      <c r="BY24" s="84"/>
      <c r="BZ24" s="84"/>
    </row>
    <row r="25" spans="1:78" ht="120" hidden="1" x14ac:dyDescent="0.25">
      <c r="A25" s="38" t="s">
        <v>1287</v>
      </c>
      <c r="B25" s="39">
        <v>23</v>
      </c>
      <c r="C25" s="38" t="s">
        <v>149</v>
      </c>
      <c r="D25" s="991" t="s">
        <v>1245</v>
      </c>
      <c r="E25" s="81" t="s">
        <v>163</v>
      </c>
      <c r="F25" s="39" t="s">
        <v>1246</v>
      </c>
      <c r="G25" s="39" t="s">
        <v>1111</v>
      </c>
      <c r="H25" s="685" t="s">
        <v>546</v>
      </c>
      <c r="I25" s="991" t="s">
        <v>600</v>
      </c>
      <c r="J25" s="82"/>
      <c r="K25" s="82"/>
      <c r="L25" s="82"/>
      <c r="M25" s="42" t="str">
        <f t="shared" si="6"/>
        <v xml:space="preserve">Incluir-T, S.A. de C.V.  </v>
      </c>
      <c r="N25" s="991" t="s">
        <v>220</v>
      </c>
      <c r="O25" s="991" t="s">
        <v>1288</v>
      </c>
      <c r="P25" s="991" t="s">
        <v>603</v>
      </c>
      <c r="Q25" s="992">
        <v>254118</v>
      </c>
      <c r="R25" s="44">
        <f t="shared" si="7"/>
        <v>40658.879999999997</v>
      </c>
      <c r="S25" s="45">
        <f t="shared" si="2"/>
        <v>294776.88</v>
      </c>
      <c r="T25" s="46">
        <v>0</v>
      </c>
      <c r="U25" s="47">
        <f t="shared" si="8"/>
        <v>0</v>
      </c>
      <c r="V25" s="44">
        <f t="shared" si="4"/>
        <v>294776.88</v>
      </c>
      <c r="W25" s="993" t="s">
        <v>156</v>
      </c>
      <c r="X25" s="48">
        <v>43525</v>
      </c>
      <c r="Y25" s="39" t="s">
        <v>234</v>
      </c>
      <c r="Z25" s="48">
        <v>43525</v>
      </c>
      <c r="AA25" s="48">
        <v>43830</v>
      </c>
      <c r="AB25" s="38" t="s">
        <v>182</v>
      </c>
      <c r="AC25" s="49"/>
      <c r="AD25" s="49"/>
      <c r="AE25" s="49"/>
      <c r="AF25" s="49"/>
      <c r="AG25" s="39" t="s">
        <v>156</v>
      </c>
      <c r="AH25" s="38"/>
      <c r="AI25" s="38"/>
      <c r="AJ25" s="50"/>
      <c r="AK25" s="44"/>
      <c r="AL25" s="39" t="str">
        <f t="shared" ca="1" si="5"/>
        <v>MUERTO</v>
      </c>
      <c r="AM25" s="39"/>
      <c r="AN25" s="39"/>
      <c r="AO25" s="39" t="s">
        <v>234</v>
      </c>
      <c r="AP25" s="39"/>
      <c r="AQ25" s="39" t="s">
        <v>234</v>
      </c>
      <c r="AR25" s="39"/>
      <c r="AS25" s="39"/>
      <c r="AT25" s="39"/>
      <c r="AU25" s="51"/>
      <c r="AV25" s="50"/>
      <c r="AW25" s="38"/>
      <c r="AX25" s="52"/>
      <c r="AY25" s="50"/>
      <c r="AZ25" s="38"/>
      <c r="BA25" s="38" t="e">
        <f>VLOOKUP(I25,#REF!,2,0)</f>
        <v>#REF!</v>
      </c>
      <c r="BB25" s="71"/>
      <c r="BC25" s="59">
        <v>43517</v>
      </c>
      <c r="BD25" s="59">
        <v>43524</v>
      </c>
      <c r="BE25" s="59">
        <v>43532</v>
      </c>
      <c r="BF25" s="59">
        <v>43535</v>
      </c>
      <c r="BG25" s="59">
        <v>43545</v>
      </c>
      <c r="BH25" s="59" t="s">
        <v>1289</v>
      </c>
      <c r="BI25" s="39" t="e">
        <f>NETWORKDAYS(BF25,BG25,#REF!)</f>
        <v>#REF!</v>
      </c>
      <c r="BJ25" s="59" t="s">
        <v>1290</v>
      </c>
      <c r="BK25" s="59" t="s">
        <v>1291</v>
      </c>
      <c r="BL25" s="59" t="s">
        <v>1292</v>
      </c>
      <c r="BM25" s="59">
        <v>43567</v>
      </c>
      <c r="BN25" s="59">
        <v>43549</v>
      </c>
      <c r="BO25" s="59">
        <v>43538</v>
      </c>
      <c r="BP25" s="59">
        <v>43593</v>
      </c>
      <c r="BQ25" s="62">
        <v>43549</v>
      </c>
      <c r="BR25" s="68" t="e">
        <f xml:space="preserve"> NETWORKDAYS(BC25,BM25,#REF!)</f>
        <v>#REF!</v>
      </c>
      <c r="BS25" s="69" t="e">
        <f>NETWORKDAYS(BC25,BN25,#REF!)</f>
        <v>#REF!</v>
      </c>
      <c r="BT25" s="62" t="s">
        <v>900</v>
      </c>
      <c r="BU25" s="84"/>
      <c r="BV25" s="84"/>
      <c r="BW25" s="84"/>
      <c r="BX25" s="84"/>
      <c r="BY25" s="84"/>
      <c r="BZ25" s="84"/>
    </row>
    <row r="26" spans="1:78" ht="120" hidden="1" x14ac:dyDescent="0.25">
      <c r="A26" s="38" t="s">
        <v>1293</v>
      </c>
      <c r="B26" s="39">
        <v>24</v>
      </c>
      <c r="C26" s="38" t="s">
        <v>149</v>
      </c>
      <c r="D26" s="991" t="s">
        <v>1177</v>
      </c>
      <c r="E26" s="81" t="s">
        <v>163</v>
      </c>
      <c r="F26" s="39" t="s">
        <v>1294</v>
      </c>
      <c r="G26" s="81" t="s">
        <v>163</v>
      </c>
      <c r="H26" s="81" t="s">
        <v>163</v>
      </c>
      <c r="I26" s="81"/>
      <c r="J26" s="82" t="s">
        <v>492</v>
      </c>
      <c r="K26" s="82" t="s">
        <v>493</v>
      </c>
      <c r="L26" s="82" t="s">
        <v>494</v>
      </c>
      <c r="M26" s="42" t="str">
        <f t="shared" si="6"/>
        <v>Javier Solórzano Zinser</v>
      </c>
      <c r="N26" s="991" t="s">
        <v>220</v>
      </c>
      <c r="O26" s="991" t="s">
        <v>1295</v>
      </c>
      <c r="P26" s="991" t="s">
        <v>1296</v>
      </c>
      <c r="Q26" s="992">
        <v>658000</v>
      </c>
      <c r="R26" s="44">
        <f t="shared" si="7"/>
        <v>105280</v>
      </c>
      <c r="S26" s="45">
        <f t="shared" si="2"/>
        <v>763280</v>
      </c>
      <c r="T26" s="46">
        <v>392000</v>
      </c>
      <c r="U26" s="47">
        <f t="shared" si="8"/>
        <v>454720</v>
      </c>
      <c r="V26" s="44">
        <f t="shared" si="4"/>
        <v>763280</v>
      </c>
      <c r="W26" s="993" t="s">
        <v>156</v>
      </c>
      <c r="X26" s="48">
        <v>43529</v>
      </c>
      <c r="Y26" s="39" t="s">
        <v>234</v>
      </c>
      <c r="Z26" s="48">
        <v>43529</v>
      </c>
      <c r="AA26" s="48">
        <v>43830</v>
      </c>
      <c r="AB26" s="38" t="s">
        <v>161</v>
      </c>
      <c r="AC26" s="49"/>
      <c r="AD26" s="49"/>
      <c r="AE26" s="49"/>
      <c r="AF26" s="49"/>
      <c r="AG26" s="39"/>
      <c r="AH26" s="38"/>
      <c r="AI26" s="38"/>
      <c r="AJ26" s="50"/>
      <c r="AK26" s="44"/>
      <c r="AL26" s="39" t="str">
        <f t="shared" ca="1" si="5"/>
        <v>MUERTO</v>
      </c>
      <c r="AM26" s="39"/>
      <c r="AN26" s="39"/>
      <c r="AO26" s="39" t="s">
        <v>234</v>
      </c>
      <c r="AP26" s="39"/>
      <c r="AQ26" s="39" t="s">
        <v>234</v>
      </c>
      <c r="AR26" s="39"/>
      <c r="AS26" s="39"/>
      <c r="AT26" s="39"/>
      <c r="AU26" s="51"/>
      <c r="AV26" s="50"/>
      <c r="AW26" s="38"/>
      <c r="AX26" s="52"/>
      <c r="AY26" s="50"/>
      <c r="AZ26" s="38"/>
      <c r="BA26" s="38" t="e">
        <f>VLOOKUP(I26,#REF!,2,0)</f>
        <v>#REF!</v>
      </c>
      <c r="BB26" s="71"/>
      <c r="BC26" s="59">
        <v>43517</v>
      </c>
      <c r="BD26" s="59">
        <v>43528</v>
      </c>
      <c r="BE26" s="59">
        <v>43537</v>
      </c>
      <c r="BF26" s="59" t="s">
        <v>1297</v>
      </c>
      <c r="BG26" s="59" t="s">
        <v>161</v>
      </c>
      <c r="BH26" s="59" t="s">
        <v>161</v>
      </c>
      <c r="BI26" s="39" t="s">
        <v>1133</v>
      </c>
      <c r="BJ26" s="59" t="s">
        <v>161</v>
      </c>
      <c r="BK26" s="59" t="s">
        <v>161</v>
      </c>
      <c r="BL26" s="59" t="s">
        <v>1297</v>
      </c>
      <c r="BM26" s="59">
        <v>43551</v>
      </c>
      <c r="BN26" s="59">
        <v>43551</v>
      </c>
      <c r="BO26" s="59">
        <v>43543</v>
      </c>
      <c r="BP26" s="59">
        <v>43565</v>
      </c>
      <c r="BQ26" s="62">
        <v>43551</v>
      </c>
      <c r="BR26" s="68" t="e">
        <f xml:space="preserve"> NETWORKDAYS(BC26,BM26,#REF!)</f>
        <v>#REF!</v>
      </c>
      <c r="BS26" s="69" t="e">
        <f>NETWORKDAYS(BC26,BN26,#REF!)</f>
        <v>#REF!</v>
      </c>
      <c r="BT26" s="62" t="s">
        <v>900</v>
      </c>
      <c r="BU26" s="84"/>
      <c r="BV26" s="84"/>
      <c r="BW26" s="84"/>
      <c r="BX26" s="84"/>
      <c r="BY26" s="84"/>
      <c r="BZ26" s="84"/>
    </row>
    <row r="27" spans="1:78" ht="150" hidden="1" x14ac:dyDescent="0.25">
      <c r="A27" s="38" t="s">
        <v>1298</v>
      </c>
      <c r="B27" s="39">
        <v>25</v>
      </c>
      <c r="C27" s="38" t="s">
        <v>149</v>
      </c>
      <c r="D27" s="991" t="s">
        <v>1177</v>
      </c>
      <c r="E27" s="81" t="s">
        <v>163</v>
      </c>
      <c r="F27" s="39" t="s">
        <v>1294</v>
      </c>
      <c r="G27" s="81" t="s">
        <v>163</v>
      </c>
      <c r="H27" s="81" t="s">
        <v>163</v>
      </c>
      <c r="I27" s="81"/>
      <c r="J27" s="82" t="s">
        <v>486</v>
      </c>
      <c r="K27" s="82" t="s">
        <v>487</v>
      </c>
      <c r="L27" s="82" t="s">
        <v>467</v>
      </c>
      <c r="M27" s="42" t="str">
        <f t="shared" si="6"/>
        <v>Leonardo Antonio Curzio Gutiérrez</v>
      </c>
      <c r="N27" s="991" t="s">
        <v>220</v>
      </c>
      <c r="O27" s="991" t="s">
        <v>1295</v>
      </c>
      <c r="P27" s="991" t="s">
        <v>1299</v>
      </c>
      <c r="Q27" s="992">
        <v>517500</v>
      </c>
      <c r="R27" s="44">
        <f t="shared" si="7"/>
        <v>82800</v>
      </c>
      <c r="S27" s="45">
        <f t="shared" si="2"/>
        <v>600300</v>
      </c>
      <c r="T27" s="46">
        <v>310500</v>
      </c>
      <c r="U27" s="47">
        <f t="shared" si="8"/>
        <v>360180</v>
      </c>
      <c r="V27" s="44">
        <f t="shared" si="4"/>
        <v>600300</v>
      </c>
      <c r="W27" s="993" t="s">
        <v>156</v>
      </c>
      <c r="X27" s="48">
        <v>43529</v>
      </c>
      <c r="Y27" s="39" t="s">
        <v>234</v>
      </c>
      <c r="Z27" s="48">
        <v>43529</v>
      </c>
      <c r="AA27" s="48">
        <v>43830</v>
      </c>
      <c r="AB27" s="38" t="s">
        <v>161</v>
      </c>
      <c r="AC27" s="49"/>
      <c r="AD27" s="49"/>
      <c r="AE27" s="49"/>
      <c r="AF27" s="49"/>
      <c r="AG27" s="39"/>
      <c r="AH27" s="38"/>
      <c r="AI27" s="38"/>
      <c r="AJ27" s="50"/>
      <c r="AK27" s="44"/>
      <c r="AL27" s="39" t="str">
        <f t="shared" ca="1" si="5"/>
        <v>MUERTO</v>
      </c>
      <c r="AM27" s="39"/>
      <c r="AN27" s="39"/>
      <c r="AO27" s="39" t="s">
        <v>234</v>
      </c>
      <c r="AP27" s="39"/>
      <c r="AQ27" s="39" t="s">
        <v>234</v>
      </c>
      <c r="AR27" s="39"/>
      <c r="AS27" s="39"/>
      <c r="AT27" s="39"/>
      <c r="AU27" s="51"/>
      <c r="AV27" s="50"/>
      <c r="AW27" s="38"/>
      <c r="AX27" s="52"/>
      <c r="AY27" s="50"/>
      <c r="AZ27" s="38"/>
      <c r="BA27" s="38" t="e">
        <f>VLOOKUP(I27,#REF!,2,0)</f>
        <v>#REF!</v>
      </c>
      <c r="BB27" s="71"/>
      <c r="BC27" s="59">
        <v>43455</v>
      </c>
      <c r="BD27" s="59">
        <v>43528</v>
      </c>
      <c r="BE27" s="59">
        <v>43537</v>
      </c>
      <c r="BF27" s="59" t="s">
        <v>1297</v>
      </c>
      <c r="BG27" s="59" t="s">
        <v>161</v>
      </c>
      <c r="BH27" s="59" t="s">
        <v>161</v>
      </c>
      <c r="BI27" s="39" t="s">
        <v>1133</v>
      </c>
      <c r="BJ27" s="59" t="s">
        <v>161</v>
      </c>
      <c r="BK27" s="59" t="s">
        <v>161</v>
      </c>
      <c r="BL27" s="59" t="s">
        <v>1297</v>
      </c>
      <c r="BM27" s="59">
        <v>43551</v>
      </c>
      <c r="BN27" s="59">
        <v>43551</v>
      </c>
      <c r="BO27" s="59">
        <v>43543</v>
      </c>
      <c r="BP27" s="59">
        <v>43567</v>
      </c>
      <c r="BQ27" s="62">
        <v>43551</v>
      </c>
      <c r="BR27" s="68" t="e">
        <f xml:space="preserve"> NETWORKDAYS(BC27,BM27,#REF!)</f>
        <v>#REF!</v>
      </c>
      <c r="BS27" s="69" t="e">
        <f>NETWORKDAYS(BC27,BN27,#REF!)</f>
        <v>#REF!</v>
      </c>
      <c r="BT27" s="62" t="s">
        <v>900</v>
      </c>
      <c r="BU27" s="84"/>
      <c r="BV27" s="84"/>
      <c r="BW27" s="84"/>
      <c r="BX27" s="84"/>
      <c r="BY27" s="84"/>
      <c r="BZ27" s="84"/>
    </row>
    <row r="28" spans="1:78" ht="165" hidden="1" x14ac:dyDescent="0.25">
      <c r="A28" s="38" t="s">
        <v>1300</v>
      </c>
      <c r="B28" s="39">
        <v>26</v>
      </c>
      <c r="C28" s="38" t="s">
        <v>149</v>
      </c>
      <c r="D28" s="991" t="s">
        <v>1177</v>
      </c>
      <c r="E28" s="81" t="s">
        <v>163</v>
      </c>
      <c r="F28" s="39" t="s">
        <v>1294</v>
      </c>
      <c r="G28" s="81" t="s">
        <v>163</v>
      </c>
      <c r="H28" s="81" t="s">
        <v>163</v>
      </c>
      <c r="I28" s="81"/>
      <c r="J28" s="82" t="s">
        <v>1301</v>
      </c>
      <c r="K28" s="82" t="s">
        <v>1302</v>
      </c>
      <c r="L28" s="82" t="s">
        <v>501</v>
      </c>
      <c r="M28" s="42" t="str">
        <f t="shared" si="6"/>
        <v>Verónica  Ortiz Ortega</v>
      </c>
      <c r="N28" s="991" t="s">
        <v>220</v>
      </c>
      <c r="O28" s="991" t="s">
        <v>1295</v>
      </c>
      <c r="P28" s="991" t="s">
        <v>1303</v>
      </c>
      <c r="Q28" s="992">
        <v>517500</v>
      </c>
      <c r="R28" s="44">
        <f t="shared" si="7"/>
        <v>82800</v>
      </c>
      <c r="S28" s="45">
        <f t="shared" si="2"/>
        <v>600300</v>
      </c>
      <c r="T28" s="46">
        <v>310500</v>
      </c>
      <c r="U28" s="47">
        <f t="shared" si="8"/>
        <v>360180</v>
      </c>
      <c r="V28" s="44">
        <f t="shared" si="4"/>
        <v>600300</v>
      </c>
      <c r="W28" s="993" t="s">
        <v>156</v>
      </c>
      <c r="X28" s="48">
        <v>43529</v>
      </c>
      <c r="Y28" s="39" t="s">
        <v>234</v>
      </c>
      <c r="Z28" s="48">
        <v>43529</v>
      </c>
      <c r="AA28" s="48">
        <v>43830</v>
      </c>
      <c r="AB28" s="38" t="s">
        <v>161</v>
      </c>
      <c r="AC28" s="49"/>
      <c r="AD28" s="49"/>
      <c r="AE28" s="49"/>
      <c r="AF28" s="49"/>
      <c r="AG28" s="39"/>
      <c r="AH28" s="38"/>
      <c r="AI28" s="53"/>
      <c r="AJ28" s="50"/>
      <c r="AK28" s="44"/>
      <c r="AL28" s="39" t="str">
        <f t="shared" ca="1" si="5"/>
        <v>MUERTO</v>
      </c>
      <c r="AM28" s="39"/>
      <c r="AN28" s="39"/>
      <c r="AO28" s="39" t="s">
        <v>234</v>
      </c>
      <c r="AP28" s="39"/>
      <c r="AQ28" s="39" t="s">
        <v>234</v>
      </c>
      <c r="AR28" s="39"/>
      <c r="AS28" s="39"/>
      <c r="AT28" s="39"/>
      <c r="AU28" s="51"/>
      <c r="AV28" s="50"/>
      <c r="AW28" s="38"/>
      <c r="AX28" s="52"/>
      <c r="AY28" s="50"/>
      <c r="AZ28" s="38"/>
      <c r="BA28" s="38" t="e">
        <f>VLOOKUP(I28,#REF!,2,0)</f>
        <v>#REF!</v>
      </c>
      <c r="BB28" s="71"/>
      <c r="BC28" s="59">
        <v>43455</v>
      </c>
      <c r="BD28" s="59">
        <v>43528</v>
      </c>
      <c r="BE28" s="59">
        <v>43537</v>
      </c>
      <c r="BF28" s="59" t="s">
        <v>1297</v>
      </c>
      <c r="BG28" s="59" t="s">
        <v>161</v>
      </c>
      <c r="BH28" s="59" t="s">
        <v>161</v>
      </c>
      <c r="BI28" s="39" t="s">
        <v>1133</v>
      </c>
      <c r="BJ28" s="59" t="s">
        <v>161</v>
      </c>
      <c r="BK28" s="59" t="s">
        <v>161</v>
      </c>
      <c r="BL28" s="59" t="s">
        <v>1297</v>
      </c>
      <c r="BM28" s="59">
        <v>43552</v>
      </c>
      <c r="BN28" s="59">
        <v>43552</v>
      </c>
      <c r="BO28" s="59">
        <v>43543</v>
      </c>
      <c r="BP28" s="59">
        <v>43567</v>
      </c>
      <c r="BQ28" s="62">
        <v>43551</v>
      </c>
      <c r="BR28" s="68" t="e">
        <f xml:space="preserve"> NETWORKDAYS(BC28,BM28,#REF!)</f>
        <v>#REF!</v>
      </c>
      <c r="BS28" s="69" t="e">
        <f>NETWORKDAYS(BC28,BN28,#REF!)</f>
        <v>#REF!</v>
      </c>
      <c r="BT28" s="62" t="s">
        <v>900</v>
      </c>
      <c r="BU28" s="84"/>
      <c r="BV28" s="84"/>
      <c r="BW28" s="84"/>
      <c r="BX28" s="84"/>
      <c r="BY28" s="84"/>
      <c r="BZ28" s="84"/>
    </row>
    <row r="29" spans="1:78" ht="210" hidden="1" x14ac:dyDescent="0.25">
      <c r="A29" s="38" t="s">
        <v>1304</v>
      </c>
      <c r="B29" s="39">
        <v>27</v>
      </c>
      <c r="C29" s="38" t="s">
        <v>149</v>
      </c>
      <c r="D29" s="991" t="s">
        <v>1177</v>
      </c>
      <c r="E29" s="81" t="s">
        <v>163</v>
      </c>
      <c r="F29" s="39" t="s">
        <v>164</v>
      </c>
      <c r="G29" s="81" t="s">
        <v>163</v>
      </c>
      <c r="H29" s="81" t="s">
        <v>163</v>
      </c>
      <c r="I29" s="81" t="s">
        <v>1305</v>
      </c>
      <c r="J29" s="82"/>
      <c r="K29" s="82"/>
      <c r="L29" s="82"/>
      <c r="M29" s="42" t="str">
        <f t="shared" si="6"/>
        <v xml:space="preserve">Fonatur Infraestructura, S.A. de C.V.  </v>
      </c>
      <c r="N29" s="991" t="s">
        <v>198</v>
      </c>
      <c r="O29" s="991" t="s">
        <v>947</v>
      </c>
      <c r="P29" s="991" t="s">
        <v>1306</v>
      </c>
      <c r="Q29" s="992">
        <v>4500000</v>
      </c>
      <c r="R29" s="44">
        <f t="shared" si="7"/>
        <v>720000</v>
      </c>
      <c r="S29" s="45">
        <f t="shared" si="2"/>
        <v>5220000</v>
      </c>
      <c r="T29" s="46">
        <v>3600000</v>
      </c>
      <c r="U29" s="47">
        <f t="shared" si="8"/>
        <v>4176000</v>
      </c>
      <c r="V29" s="44">
        <f t="shared" si="4"/>
        <v>5220000</v>
      </c>
      <c r="W29" s="993" t="s">
        <v>156</v>
      </c>
      <c r="X29" s="48">
        <v>43532</v>
      </c>
      <c r="Y29" s="39" t="s">
        <v>234</v>
      </c>
      <c r="Z29" s="48">
        <v>43525</v>
      </c>
      <c r="AA29" s="48">
        <v>43555</v>
      </c>
      <c r="AB29" s="991" t="s">
        <v>1307</v>
      </c>
      <c r="AC29" s="49"/>
      <c r="AD29" s="49"/>
      <c r="AE29" s="49"/>
      <c r="AF29" s="49"/>
      <c r="AG29" s="39"/>
      <c r="AH29" s="38"/>
      <c r="AI29" s="53"/>
      <c r="AJ29" s="50"/>
      <c r="AK29" s="44"/>
      <c r="AL29" s="39" t="str">
        <f t="shared" ca="1" si="5"/>
        <v>MUERTO</v>
      </c>
      <c r="AM29" s="39"/>
      <c r="AN29" s="39"/>
      <c r="AO29" s="39" t="s">
        <v>234</v>
      </c>
      <c r="AP29" s="39"/>
      <c r="AQ29" s="39" t="s">
        <v>234</v>
      </c>
      <c r="AR29" s="39"/>
      <c r="AS29" s="39"/>
      <c r="AT29" s="39"/>
      <c r="AU29" s="51"/>
      <c r="AV29" s="50"/>
      <c r="AW29" s="38"/>
      <c r="AX29" s="52"/>
      <c r="AY29" s="50"/>
      <c r="AZ29" s="38"/>
      <c r="BA29" s="38" t="e">
        <f>VLOOKUP(I29,#REF!,2,0)</f>
        <v>#REF!</v>
      </c>
      <c r="BB29" s="71"/>
      <c r="BC29" s="59">
        <v>43528</v>
      </c>
      <c r="BD29" s="59">
        <v>43530</v>
      </c>
      <c r="BE29" s="59">
        <v>43539</v>
      </c>
      <c r="BF29" s="59" t="s">
        <v>1308</v>
      </c>
      <c r="BG29" s="59" t="s">
        <v>161</v>
      </c>
      <c r="BH29" s="59" t="s">
        <v>161</v>
      </c>
      <c r="BI29" s="39" t="s">
        <v>1133</v>
      </c>
      <c r="BJ29" s="59" t="s">
        <v>161</v>
      </c>
      <c r="BK29" s="59" t="s">
        <v>161</v>
      </c>
      <c r="BL29" s="59" t="s">
        <v>1309</v>
      </c>
      <c r="BM29" s="59">
        <v>43549</v>
      </c>
      <c r="BN29" s="59">
        <v>43549</v>
      </c>
      <c r="BO29" s="59">
        <v>43549</v>
      </c>
      <c r="BP29" s="59">
        <v>43546</v>
      </c>
      <c r="BQ29" s="62">
        <v>43549</v>
      </c>
      <c r="BR29" s="68" t="e">
        <f xml:space="preserve"> NETWORKDAYS(BC29,BM29,#REF!)</f>
        <v>#REF!</v>
      </c>
      <c r="BS29" s="69" t="e">
        <f>NETWORKDAYS(BC29,BN29,#REF!)</f>
        <v>#REF!</v>
      </c>
      <c r="BT29" s="62" t="s">
        <v>900</v>
      </c>
      <c r="BU29" s="84"/>
      <c r="BV29" s="84"/>
      <c r="BW29" s="84"/>
      <c r="BX29" s="84"/>
      <c r="BY29" s="84"/>
      <c r="BZ29" s="84"/>
    </row>
    <row r="30" spans="1:78" ht="120" hidden="1" x14ac:dyDescent="0.25">
      <c r="A30" s="38" t="s">
        <v>1310</v>
      </c>
      <c r="B30" s="39">
        <v>28</v>
      </c>
      <c r="C30" s="38" t="s">
        <v>149</v>
      </c>
      <c r="D30" s="991" t="s">
        <v>1177</v>
      </c>
      <c r="E30" s="81" t="s">
        <v>163</v>
      </c>
      <c r="F30" s="39" t="s">
        <v>164</v>
      </c>
      <c r="G30" s="81" t="s">
        <v>163</v>
      </c>
      <c r="H30" s="81" t="s">
        <v>163</v>
      </c>
      <c r="I30" s="81" t="s">
        <v>1305</v>
      </c>
      <c r="J30" s="82"/>
      <c r="K30" s="82"/>
      <c r="L30" s="82"/>
      <c r="M30" s="42" t="str">
        <f t="shared" si="6"/>
        <v xml:space="preserve">Fonatur Infraestructura, S.A. de C.V.  </v>
      </c>
      <c r="N30" s="991" t="s">
        <v>198</v>
      </c>
      <c r="O30" s="991" t="s">
        <v>947</v>
      </c>
      <c r="P30" s="991" t="s">
        <v>1311</v>
      </c>
      <c r="Q30" s="992">
        <v>3700000</v>
      </c>
      <c r="R30" s="44">
        <f t="shared" si="7"/>
        <v>592000</v>
      </c>
      <c r="S30" s="45">
        <f t="shared" si="2"/>
        <v>4292000</v>
      </c>
      <c r="T30" s="46">
        <v>3200000</v>
      </c>
      <c r="U30" s="47">
        <f t="shared" si="8"/>
        <v>3712000</v>
      </c>
      <c r="V30" s="44">
        <f t="shared" si="4"/>
        <v>4292000</v>
      </c>
      <c r="W30" s="993" t="s">
        <v>156</v>
      </c>
      <c r="X30" s="48">
        <v>43532</v>
      </c>
      <c r="Y30" s="39" t="s">
        <v>234</v>
      </c>
      <c r="Z30" s="48">
        <v>43525</v>
      </c>
      <c r="AA30" s="48">
        <v>43555</v>
      </c>
      <c r="AB30" s="991" t="s">
        <v>1307</v>
      </c>
      <c r="AC30" s="49"/>
      <c r="AD30" s="49"/>
      <c r="AE30" s="49"/>
      <c r="AF30" s="49"/>
      <c r="AG30" s="39"/>
      <c r="AH30" s="38"/>
      <c r="AI30" s="38"/>
      <c r="AJ30" s="50"/>
      <c r="AK30" s="44"/>
      <c r="AL30" s="39" t="str">
        <f t="shared" ca="1" si="5"/>
        <v>MUERTO</v>
      </c>
      <c r="AM30" s="39"/>
      <c r="AN30" s="39"/>
      <c r="AO30" s="39" t="s">
        <v>234</v>
      </c>
      <c r="AP30" s="39"/>
      <c r="AQ30" s="39" t="s">
        <v>234</v>
      </c>
      <c r="AR30" s="39"/>
      <c r="AS30" s="39"/>
      <c r="AT30" s="39"/>
      <c r="AU30" s="51"/>
      <c r="AV30" s="50"/>
      <c r="AW30" s="38"/>
      <c r="AX30" s="52"/>
      <c r="AY30" s="50"/>
      <c r="AZ30" s="38"/>
      <c r="BA30" s="38" t="e">
        <f>VLOOKUP(I30,#REF!,2,0)</f>
        <v>#REF!</v>
      </c>
      <c r="BB30" s="71"/>
      <c r="BC30" s="59">
        <v>43528</v>
      </c>
      <c r="BD30" s="59">
        <v>43530</v>
      </c>
      <c r="BE30" s="59">
        <v>43539</v>
      </c>
      <c r="BF30" s="59" t="s">
        <v>1308</v>
      </c>
      <c r="BG30" s="59" t="s">
        <v>161</v>
      </c>
      <c r="BH30" s="59" t="s">
        <v>161</v>
      </c>
      <c r="BI30" s="39" t="s">
        <v>1133</v>
      </c>
      <c r="BJ30" s="59" t="s">
        <v>161</v>
      </c>
      <c r="BK30" s="59" t="s">
        <v>161</v>
      </c>
      <c r="BL30" s="59" t="s">
        <v>1309</v>
      </c>
      <c r="BM30" s="59">
        <v>43549</v>
      </c>
      <c r="BN30" s="59">
        <v>43549</v>
      </c>
      <c r="BO30" s="59">
        <v>43549</v>
      </c>
      <c r="BP30" s="59">
        <v>43546</v>
      </c>
      <c r="BQ30" s="62">
        <v>43549</v>
      </c>
      <c r="BR30" s="68" t="e">
        <f xml:space="preserve"> NETWORKDAYS(BC30,BM30,#REF!)</f>
        <v>#REF!</v>
      </c>
      <c r="BS30" s="69" t="e">
        <f>NETWORKDAYS(BC30,BN30,#REF!)</f>
        <v>#REF!</v>
      </c>
      <c r="BT30" s="62"/>
      <c r="BU30" s="84"/>
      <c r="BV30" s="84"/>
      <c r="BW30" s="84"/>
      <c r="BX30" s="84"/>
      <c r="BY30" s="84"/>
      <c r="BZ30" s="84"/>
    </row>
    <row r="31" spans="1:78" ht="180" hidden="1" x14ac:dyDescent="0.25">
      <c r="A31" s="38" t="s">
        <v>1312</v>
      </c>
      <c r="B31" s="39">
        <v>29</v>
      </c>
      <c r="C31" s="38" t="s">
        <v>149</v>
      </c>
      <c r="D31" s="991" t="s">
        <v>1313</v>
      </c>
      <c r="E31" s="81" t="s">
        <v>163</v>
      </c>
      <c r="F31" s="39" t="s">
        <v>237</v>
      </c>
      <c r="G31" s="39" t="s">
        <v>1272</v>
      </c>
      <c r="H31" s="81" t="s">
        <v>163</v>
      </c>
      <c r="I31" s="81" t="s">
        <v>1314</v>
      </c>
      <c r="J31" s="82"/>
      <c r="K31" s="82"/>
      <c r="L31" s="82"/>
      <c r="M31" s="42" t="str">
        <f t="shared" si="6"/>
        <v xml:space="preserve">SB Strategies, S.A. de C.V.  </v>
      </c>
      <c r="N31" s="991" t="s">
        <v>209</v>
      </c>
      <c r="O31" s="991" t="s">
        <v>1203</v>
      </c>
      <c r="P31" s="991" t="s">
        <v>1315</v>
      </c>
      <c r="Q31" s="992">
        <v>676947.3</v>
      </c>
      <c r="R31" s="44">
        <f t="shared" si="7"/>
        <v>108311.56800000001</v>
      </c>
      <c r="S31" s="45">
        <f t="shared" si="2"/>
        <v>785258.86800000002</v>
      </c>
      <c r="T31" s="46">
        <v>0</v>
      </c>
      <c r="U31" s="47">
        <f t="shared" si="8"/>
        <v>0</v>
      </c>
      <c r="V31" s="44">
        <f t="shared" si="4"/>
        <v>785258.86800000002</v>
      </c>
      <c r="W31" s="993" t="s">
        <v>156</v>
      </c>
      <c r="X31" s="48">
        <v>43538</v>
      </c>
      <c r="Y31" s="39" t="s">
        <v>234</v>
      </c>
      <c r="Z31" s="48">
        <v>43539</v>
      </c>
      <c r="AA31" s="48">
        <v>43830</v>
      </c>
      <c r="AB31" s="991" t="s">
        <v>1248</v>
      </c>
      <c r="AC31" s="49"/>
      <c r="AD31" s="49"/>
      <c r="AE31" s="49"/>
      <c r="AF31" s="49"/>
      <c r="AG31" s="39" t="s">
        <v>156</v>
      </c>
      <c r="AH31" s="38"/>
      <c r="AI31" s="38"/>
      <c r="AJ31" s="50"/>
      <c r="AK31" s="44"/>
      <c r="AL31" s="39" t="str">
        <f t="shared" ca="1" si="5"/>
        <v>MUERTO</v>
      </c>
      <c r="AM31" s="39"/>
      <c r="AN31" s="39"/>
      <c r="AO31" s="39" t="s">
        <v>333</v>
      </c>
      <c r="AP31" s="39"/>
      <c r="AQ31" s="39" t="s">
        <v>234</v>
      </c>
      <c r="AR31" s="39"/>
      <c r="AS31" s="39"/>
      <c r="AT31" s="39"/>
      <c r="AU31" s="51"/>
      <c r="AV31" s="50"/>
      <c r="AW31" s="38"/>
      <c r="AX31" s="52"/>
      <c r="AY31" s="50"/>
      <c r="AZ31" s="38"/>
      <c r="BA31" s="38" t="e">
        <f>VLOOKUP(I31,#REF!,2,0)</f>
        <v>#REF!</v>
      </c>
      <c r="BB31" s="71"/>
      <c r="BC31" s="59">
        <v>43497</v>
      </c>
      <c r="BD31" s="59">
        <v>43536</v>
      </c>
      <c r="BE31" s="59">
        <v>43546</v>
      </c>
      <c r="BF31" s="59">
        <v>43556</v>
      </c>
      <c r="BG31" s="59">
        <v>43570</v>
      </c>
      <c r="BH31" s="59" t="s">
        <v>1316</v>
      </c>
      <c r="BI31" s="39" t="e">
        <f>NETWORKDAYS(BF31,BG31,#REF!)</f>
        <v>#REF!</v>
      </c>
      <c r="BJ31" s="59" t="s">
        <v>1317</v>
      </c>
      <c r="BK31" s="59" t="s">
        <v>1318</v>
      </c>
      <c r="BL31" s="59" t="s">
        <v>1319</v>
      </c>
      <c r="BM31" s="59">
        <v>43634</v>
      </c>
      <c r="BN31" s="59">
        <v>43567</v>
      </c>
      <c r="BO31" s="59">
        <v>43557</v>
      </c>
      <c r="BP31" s="59">
        <v>43598</v>
      </c>
      <c r="BQ31" s="62" t="s">
        <v>186</v>
      </c>
      <c r="BR31" s="68" t="e">
        <f xml:space="preserve"> NETWORKDAYS(BC31,BM31,#REF!)</f>
        <v>#REF!</v>
      </c>
      <c r="BS31" s="69" t="e">
        <f>NETWORKDAYS(BC31,BN31,#REF!)</f>
        <v>#REF!</v>
      </c>
      <c r="BT31" s="62" t="s">
        <v>900</v>
      </c>
      <c r="BU31" s="84"/>
      <c r="BV31" s="84"/>
      <c r="BW31" s="84"/>
      <c r="BX31" s="84"/>
      <c r="BY31" s="84"/>
      <c r="BZ31" s="84"/>
    </row>
    <row r="32" spans="1:78" ht="105" hidden="1" x14ac:dyDescent="0.25">
      <c r="A32" s="598" t="s">
        <v>1320</v>
      </c>
      <c r="B32" s="39">
        <v>30</v>
      </c>
      <c r="C32" s="38" t="s">
        <v>225</v>
      </c>
      <c r="D32" s="991" t="s">
        <v>1321</v>
      </c>
      <c r="E32" s="81" t="s">
        <v>163</v>
      </c>
      <c r="F32" s="39" t="s">
        <v>237</v>
      </c>
      <c r="G32" s="39" t="s">
        <v>1272</v>
      </c>
      <c r="H32" s="81" t="s">
        <v>163</v>
      </c>
      <c r="I32" s="81"/>
      <c r="J32" s="82" t="s">
        <v>538</v>
      </c>
      <c r="K32" s="82" t="s">
        <v>539</v>
      </c>
      <c r="L32" s="82" t="s">
        <v>454</v>
      </c>
      <c r="M32" s="42" t="str">
        <f t="shared" si="6"/>
        <v>Andrés Martín Aguilar Flores</v>
      </c>
      <c r="N32" s="991" t="s">
        <v>198</v>
      </c>
      <c r="O32" s="991" t="s">
        <v>947</v>
      </c>
      <c r="P32" s="991" t="s">
        <v>540</v>
      </c>
      <c r="Q32" s="992">
        <v>847990.41</v>
      </c>
      <c r="R32" s="44">
        <f t="shared" si="7"/>
        <v>135678.4656</v>
      </c>
      <c r="S32" s="45">
        <v>847990.41</v>
      </c>
      <c r="T32" s="46">
        <v>349747.89</v>
      </c>
      <c r="U32" s="47">
        <f t="shared" si="8"/>
        <v>405707.55240000004</v>
      </c>
      <c r="V32" s="44">
        <f t="shared" si="4"/>
        <v>1093907.6259999999</v>
      </c>
      <c r="W32" s="993" t="s">
        <v>156</v>
      </c>
      <c r="X32" s="48">
        <v>43539</v>
      </c>
      <c r="Y32" s="39" t="s">
        <v>234</v>
      </c>
      <c r="Z32" s="48">
        <v>43539</v>
      </c>
      <c r="AA32" s="48">
        <v>43830</v>
      </c>
      <c r="AB32" s="38" t="s">
        <v>182</v>
      </c>
      <c r="AC32" s="49"/>
      <c r="AD32" s="49"/>
      <c r="AE32" s="49"/>
      <c r="AF32" s="49"/>
      <c r="AG32" s="39" t="s">
        <v>156</v>
      </c>
      <c r="AH32" s="991" t="s">
        <v>1118</v>
      </c>
      <c r="AI32" s="103" t="s">
        <v>1322</v>
      </c>
      <c r="AJ32" s="104" t="s">
        <v>1323</v>
      </c>
      <c r="AK32" s="105">
        <f>211997.6*1.16</f>
        <v>245917.21599999999</v>
      </c>
      <c r="AL32" s="39" t="str">
        <f t="shared" ca="1" si="5"/>
        <v>MUERTO</v>
      </c>
      <c r="AM32" s="39"/>
      <c r="AN32" s="39"/>
      <c r="AO32" s="39" t="s">
        <v>333</v>
      </c>
      <c r="AP32" s="39" t="s">
        <v>1324</v>
      </c>
      <c r="AQ32" s="39" t="s">
        <v>234</v>
      </c>
      <c r="AR32" s="39"/>
      <c r="AS32" s="39"/>
      <c r="AT32" s="39"/>
      <c r="AU32" s="51"/>
      <c r="AV32" s="50"/>
      <c r="AW32" s="38"/>
      <c r="AX32" s="52"/>
      <c r="AY32" s="50"/>
      <c r="AZ32" s="38"/>
      <c r="BA32" s="38" t="e">
        <f>VLOOKUP(I32,#REF!,2,0)</f>
        <v>#REF!</v>
      </c>
      <c r="BB32" s="71"/>
      <c r="BC32" s="59">
        <v>43537</v>
      </c>
      <c r="BD32" s="59">
        <v>43539</v>
      </c>
      <c r="BE32" s="59">
        <v>43546</v>
      </c>
      <c r="BF32" s="59">
        <v>43549</v>
      </c>
      <c r="BG32" s="59">
        <v>43566</v>
      </c>
      <c r="BH32" s="59" t="s">
        <v>1325</v>
      </c>
      <c r="BI32" s="39" t="e">
        <f>NETWORKDAYS(BF32,BG32,#REF!)</f>
        <v>#REF!</v>
      </c>
      <c r="BJ32" s="59" t="s">
        <v>1325</v>
      </c>
      <c r="BK32" s="59" t="s">
        <v>1326</v>
      </c>
      <c r="BL32" s="59" t="s">
        <v>1279</v>
      </c>
      <c r="BM32" s="59">
        <v>43593</v>
      </c>
      <c r="BN32" s="59">
        <v>43560</v>
      </c>
      <c r="BO32" s="59">
        <v>43551</v>
      </c>
      <c r="BP32" s="59">
        <v>43565</v>
      </c>
      <c r="BQ32" s="62">
        <v>43560</v>
      </c>
      <c r="BR32" s="68" t="e">
        <f xml:space="preserve"> NETWORKDAYS(BC32,BM32,#REF!)</f>
        <v>#REF!</v>
      </c>
      <c r="BS32" s="69" t="e">
        <f>NETWORKDAYS(BC32,BN32,#REF!)</f>
        <v>#REF!</v>
      </c>
      <c r="BT32" s="62"/>
      <c r="BU32" s="84"/>
      <c r="BV32" s="84"/>
      <c r="BW32" s="84"/>
      <c r="BX32" s="84"/>
      <c r="BY32" s="84"/>
      <c r="BZ32" s="84"/>
    </row>
    <row r="33" spans="1:78" ht="255" hidden="1" x14ac:dyDescent="0.25">
      <c r="A33" s="38" t="s">
        <v>1327</v>
      </c>
      <c r="B33" s="39">
        <v>31</v>
      </c>
      <c r="C33" s="38" t="s">
        <v>149</v>
      </c>
      <c r="D33" s="991" t="s">
        <v>1328</v>
      </c>
      <c r="E33" s="4" t="s">
        <v>173</v>
      </c>
      <c r="F33" s="39" t="s">
        <v>326</v>
      </c>
      <c r="G33" s="39" t="s">
        <v>175</v>
      </c>
      <c r="H33" s="39"/>
      <c r="I33" s="81"/>
      <c r="J33" s="82" t="s">
        <v>1329</v>
      </c>
      <c r="K33" s="82" t="s">
        <v>742</v>
      </c>
      <c r="L33" s="82" t="s">
        <v>743</v>
      </c>
      <c r="M33" s="42" t="str">
        <f t="shared" si="6"/>
        <v>J. Anastacio Islas Barajas</v>
      </c>
      <c r="N33" s="991" t="s">
        <v>166</v>
      </c>
      <c r="O33" s="991" t="s">
        <v>1330</v>
      </c>
      <c r="P33" s="991" t="s">
        <v>1331</v>
      </c>
      <c r="Q33" s="992">
        <v>508297.15</v>
      </c>
      <c r="R33" s="44">
        <f t="shared" si="7"/>
        <v>81327.544000000009</v>
      </c>
      <c r="S33" s="45">
        <f t="shared" ref="S33:S64" si="9">Q33+R33</f>
        <v>589624.69400000002</v>
      </c>
      <c r="T33" s="46">
        <v>0</v>
      </c>
      <c r="U33" s="47">
        <f t="shared" si="8"/>
        <v>0</v>
      </c>
      <c r="V33" s="44">
        <f t="shared" si="4"/>
        <v>589624.69400000002</v>
      </c>
      <c r="W33" s="993" t="s">
        <v>156</v>
      </c>
      <c r="X33" s="48">
        <v>43539</v>
      </c>
      <c r="Y33" s="39" t="s">
        <v>234</v>
      </c>
      <c r="Z33" s="48">
        <v>43539</v>
      </c>
      <c r="AA33" s="48">
        <v>43830</v>
      </c>
      <c r="AB33" s="38" t="s">
        <v>1113</v>
      </c>
      <c r="AC33" s="49"/>
      <c r="AD33" s="49"/>
      <c r="AE33" s="49"/>
      <c r="AF33" s="49"/>
      <c r="AG33" s="39" t="s">
        <v>156</v>
      </c>
      <c r="AH33" s="38"/>
      <c r="AI33" s="38"/>
      <c r="AJ33" s="50"/>
      <c r="AK33" s="44"/>
      <c r="AL33" s="39" t="str">
        <f t="shared" ca="1" si="5"/>
        <v>MUERTO</v>
      </c>
      <c r="AM33" s="39"/>
      <c r="AN33" s="39"/>
      <c r="AO33" s="39" t="s">
        <v>234</v>
      </c>
      <c r="AP33" s="39"/>
      <c r="AQ33" s="39" t="s">
        <v>234</v>
      </c>
      <c r="AR33" s="39"/>
      <c r="AS33" s="39"/>
      <c r="AT33" s="39"/>
      <c r="AU33" s="51"/>
      <c r="AV33" s="50"/>
      <c r="AW33" s="38"/>
      <c r="AX33" s="52"/>
      <c r="AY33" s="50"/>
      <c r="AZ33" s="38"/>
      <c r="BA33" s="38" t="e">
        <f>VLOOKUP(I33,#REF!,2,0)</f>
        <v>#REF!</v>
      </c>
      <c r="BB33" s="71"/>
      <c r="BC33" s="59">
        <v>43490</v>
      </c>
      <c r="BD33" s="59">
        <v>43538</v>
      </c>
      <c r="BE33" s="59">
        <v>43546</v>
      </c>
      <c r="BF33" s="59">
        <v>43549</v>
      </c>
      <c r="BG33" s="59">
        <v>43560</v>
      </c>
      <c r="BH33" s="59" t="s">
        <v>1332</v>
      </c>
      <c r="BI33" s="39" t="e">
        <f>NETWORKDAYS(BF33,BG33,#REF!)</f>
        <v>#REF!</v>
      </c>
      <c r="BJ33" s="59" t="s">
        <v>1333</v>
      </c>
      <c r="BK33" s="59" t="s">
        <v>1334</v>
      </c>
      <c r="BL33" s="59" t="s">
        <v>1335</v>
      </c>
      <c r="BM33" s="59">
        <v>43595</v>
      </c>
      <c r="BN33" s="59">
        <v>43559</v>
      </c>
      <c r="BO33" s="59">
        <v>43553</v>
      </c>
      <c r="BP33" s="59">
        <v>43560</v>
      </c>
      <c r="BQ33" s="62">
        <v>43559</v>
      </c>
      <c r="BR33" s="68" t="e">
        <f xml:space="preserve"> NETWORKDAYS(BC33,BM33,#REF!)</f>
        <v>#REF!</v>
      </c>
      <c r="BS33" s="69" t="e">
        <f>NETWORKDAYS(BC33,BN33,#REF!)</f>
        <v>#REF!</v>
      </c>
      <c r="BT33" s="62"/>
      <c r="BU33" s="84"/>
      <c r="BV33" s="84"/>
      <c r="BW33" s="84"/>
      <c r="BX33" s="84"/>
      <c r="BY33" s="84"/>
      <c r="BZ33" s="84"/>
    </row>
    <row r="34" spans="1:78" ht="300" hidden="1" x14ac:dyDescent="0.25">
      <c r="A34" s="38" t="s">
        <v>1336</v>
      </c>
      <c r="B34" s="39">
        <v>32</v>
      </c>
      <c r="C34" s="38" t="s">
        <v>149</v>
      </c>
      <c r="D34" s="991" t="s">
        <v>1337</v>
      </c>
      <c r="E34" s="4" t="s">
        <v>173</v>
      </c>
      <c r="F34" s="39" t="s">
        <v>326</v>
      </c>
      <c r="G34" s="39" t="s">
        <v>175</v>
      </c>
      <c r="H34" s="39"/>
      <c r="I34" s="81" t="s">
        <v>1338</v>
      </c>
      <c r="J34" s="82"/>
      <c r="K34" s="82"/>
      <c r="L34" s="82"/>
      <c r="M34" s="42" t="str">
        <f t="shared" si="6"/>
        <v xml:space="preserve">Corporate Accon en conocimientos e Ingeniería, S.A. de C.V.  </v>
      </c>
      <c r="N34" s="991" t="s">
        <v>315</v>
      </c>
      <c r="O34" s="991" t="s">
        <v>1339</v>
      </c>
      <c r="P34" s="991" t="s">
        <v>1340</v>
      </c>
      <c r="Q34" s="992">
        <v>905500</v>
      </c>
      <c r="R34" s="44">
        <f t="shared" si="7"/>
        <v>144880</v>
      </c>
      <c r="S34" s="45">
        <f t="shared" si="9"/>
        <v>1050380</v>
      </c>
      <c r="T34" s="46">
        <v>0</v>
      </c>
      <c r="U34" s="47">
        <f t="shared" si="8"/>
        <v>0</v>
      </c>
      <c r="V34" s="44">
        <f t="shared" si="4"/>
        <v>1050380</v>
      </c>
      <c r="W34" s="993" t="s">
        <v>156</v>
      </c>
      <c r="X34" s="48">
        <v>43544</v>
      </c>
      <c r="Y34" s="39" t="s">
        <v>234</v>
      </c>
      <c r="Z34" s="48">
        <v>43539</v>
      </c>
      <c r="AA34" s="48">
        <v>43830</v>
      </c>
      <c r="AB34" s="38" t="s">
        <v>1113</v>
      </c>
      <c r="AC34" s="49"/>
      <c r="AD34" s="49"/>
      <c r="AE34" s="49"/>
      <c r="AF34" s="49"/>
      <c r="AG34" s="39" t="s">
        <v>156</v>
      </c>
      <c r="AH34" s="38"/>
      <c r="AI34" s="38"/>
      <c r="AJ34" s="50"/>
      <c r="AK34" s="44"/>
      <c r="AL34" s="39" t="str">
        <f t="shared" ca="1" si="5"/>
        <v>MUERTO</v>
      </c>
      <c r="AM34" s="39"/>
      <c r="AN34" s="39"/>
      <c r="AO34" s="39" t="s">
        <v>234</v>
      </c>
      <c r="AP34" s="39" t="s">
        <v>333</v>
      </c>
      <c r="AQ34" s="39" t="s">
        <v>333</v>
      </c>
      <c r="AR34" s="39"/>
      <c r="AS34" s="39"/>
      <c r="AT34" s="39"/>
      <c r="AU34" s="51"/>
      <c r="AV34" s="50"/>
      <c r="AW34" s="38"/>
      <c r="AX34" s="52"/>
      <c r="AY34" s="50"/>
      <c r="AZ34" s="38"/>
      <c r="BA34" s="38" t="e">
        <f>VLOOKUP(I34,#REF!,2,0)</f>
        <v>#REF!</v>
      </c>
      <c r="BB34" s="71"/>
      <c r="BC34" s="59">
        <v>43495</v>
      </c>
      <c r="BD34" s="59">
        <v>43538</v>
      </c>
      <c r="BE34" s="59">
        <v>43549</v>
      </c>
      <c r="BF34" s="59">
        <v>43549</v>
      </c>
      <c r="BG34" s="59">
        <v>43553</v>
      </c>
      <c r="BH34" s="59" t="s">
        <v>1341</v>
      </c>
      <c r="BI34" s="39" t="e">
        <f>NETWORKDAYS(BF34,BG34,#REF!)</f>
        <v>#REF!</v>
      </c>
      <c r="BJ34" s="59" t="s">
        <v>1342</v>
      </c>
      <c r="BK34" s="59" t="s">
        <v>1343</v>
      </c>
      <c r="BL34" s="59" t="s">
        <v>1344</v>
      </c>
      <c r="BM34" s="59">
        <v>43614</v>
      </c>
      <c r="BN34" s="59">
        <v>43564</v>
      </c>
      <c r="BO34" s="59">
        <v>43552</v>
      </c>
      <c r="BP34" s="59">
        <v>43592</v>
      </c>
      <c r="BQ34" s="62">
        <v>43564</v>
      </c>
      <c r="BR34" s="68" t="e">
        <f xml:space="preserve"> NETWORKDAYS(BC34,BM34,#REF!)</f>
        <v>#REF!</v>
      </c>
      <c r="BS34" s="69" t="e">
        <f>NETWORKDAYS(BC34,BN34,#REF!)</f>
        <v>#REF!</v>
      </c>
      <c r="BT34" s="62" t="s">
        <v>900</v>
      </c>
      <c r="BU34" s="84"/>
      <c r="BV34" s="84"/>
      <c r="BW34" s="84"/>
      <c r="BX34" s="84"/>
      <c r="BY34" s="84"/>
      <c r="BZ34" s="84"/>
    </row>
    <row r="35" spans="1:78" ht="120" hidden="1" x14ac:dyDescent="0.25">
      <c r="A35" s="598" t="s">
        <v>1345</v>
      </c>
      <c r="B35" s="39">
        <v>33</v>
      </c>
      <c r="C35" s="38" t="s">
        <v>225</v>
      </c>
      <c r="D35" s="991" t="s">
        <v>1346</v>
      </c>
      <c r="E35" s="4" t="s">
        <v>173</v>
      </c>
      <c r="F35" s="39" t="s">
        <v>326</v>
      </c>
      <c r="G35" s="39" t="s">
        <v>175</v>
      </c>
      <c r="H35" s="39"/>
      <c r="I35" s="81" t="s">
        <v>1347</v>
      </c>
      <c r="J35" s="82"/>
      <c r="K35" s="82"/>
      <c r="L35" s="82"/>
      <c r="M35" s="42" t="str">
        <f t="shared" si="6"/>
        <v xml:space="preserve">Cocina y Aseo Institucional, S.A. de C.V.  </v>
      </c>
      <c r="N35" s="991" t="s">
        <v>198</v>
      </c>
      <c r="O35" s="991" t="s">
        <v>1255</v>
      </c>
      <c r="P35" s="991" t="s">
        <v>1348</v>
      </c>
      <c r="Q35" s="992">
        <v>3336682.14</v>
      </c>
      <c r="R35" s="44">
        <f t="shared" si="7"/>
        <v>533869.14240000001</v>
      </c>
      <c r="S35" s="45">
        <f t="shared" si="9"/>
        <v>3870551.2823999999</v>
      </c>
      <c r="T35" s="46">
        <v>1334672.8500000001</v>
      </c>
      <c r="U35" s="47">
        <f t="shared" si="8"/>
        <v>1548220.5060000001</v>
      </c>
      <c r="V35" s="44">
        <f t="shared" si="4"/>
        <v>3870551.2823999999</v>
      </c>
      <c r="W35" s="993" t="s">
        <v>156</v>
      </c>
      <c r="X35" s="48">
        <v>43544</v>
      </c>
      <c r="Y35" s="39" t="s">
        <v>234</v>
      </c>
      <c r="Z35" s="48">
        <v>43539</v>
      </c>
      <c r="AA35" s="48">
        <v>43830</v>
      </c>
      <c r="AB35" s="38" t="s">
        <v>182</v>
      </c>
      <c r="AC35" s="49"/>
      <c r="AD35" s="49"/>
      <c r="AE35" s="49"/>
      <c r="AF35" s="49"/>
      <c r="AG35" s="39" t="s">
        <v>156</v>
      </c>
      <c r="AH35" s="38"/>
      <c r="AI35" s="38"/>
      <c r="AJ35" s="50"/>
      <c r="AK35" s="44"/>
      <c r="AL35" s="39" t="str">
        <f t="shared" ca="1" si="5"/>
        <v>MUERTO</v>
      </c>
      <c r="AM35" s="39"/>
      <c r="AN35" s="39"/>
      <c r="AO35" s="39" t="s">
        <v>333</v>
      </c>
      <c r="AP35" s="39"/>
      <c r="AQ35" s="39" t="s">
        <v>333</v>
      </c>
      <c r="AR35" s="39"/>
      <c r="AS35" s="39"/>
      <c r="AT35" s="39"/>
      <c r="AU35" s="51"/>
      <c r="AV35" s="50"/>
      <c r="AW35" s="38"/>
      <c r="AX35" s="52"/>
      <c r="AY35" s="50"/>
      <c r="AZ35" s="38"/>
      <c r="BA35" s="38" t="e">
        <f>VLOOKUP(I35,#REF!,2,0)</f>
        <v>#REF!</v>
      </c>
      <c r="BB35" s="71"/>
      <c r="BC35" s="59">
        <v>43501</v>
      </c>
      <c r="BD35" s="59">
        <v>43539</v>
      </c>
      <c r="BE35" s="59">
        <v>43546</v>
      </c>
      <c r="BF35" s="59">
        <v>43550</v>
      </c>
      <c r="BG35" s="59">
        <v>43552</v>
      </c>
      <c r="BH35" s="59" t="s">
        <v>1349</v>
      </c>
      <c r="BI35" s="39" t="e">
        <f>NETWORKDAYS(BF35,BG35,#REF!)</f>
        <v>#REF!</v>
      </c>
      <c r="BJ35" s="59" t="s">
        <v>1349</v>
      </c>
      <c r="BK35" s="59" t="s">
        <v>1350</v>
      </c>
      <c r="BL35" s="59" t="s">
        <v>1279</v>
      </c>
      <c r="BM35" s="59">
        <v>43587</v>
      </c>
      <c r="BN35" s="59">
        <v>43559</v>
      </c>
      <c r="BO35" s="59">
        <v>43556</v>
      </c>
      <c r="BP35" s="59">
        <v>43592</v>
      </c>
      <c r="BQ35" s="62">
        <v>43589</v>
      </c>
      <c r="BR35" s="68" t="e">
        <f xml:space="preserve"> NETWORKDAYS(BC35,BM35,#REF!)</f>
        <v>#REF!</v>
      </c>
      <c r="BS35" s="69" t="e">
        <f>NETWORKDAYS(BC35,BN35,#REF!)</f>
        <v>#REF!</v>
      </c>
      <c r="BT35" s="62" t="s">
        <v>900</v>
      </c>
      <c r="BU35" s="84"/>
      <c r="BV35" s="84"/>
      <c r="BW35" s="84"/>
      <c r="BX35" s="84"/>
      <c r="BY35" s="84"/>
      <c r="BZ35" s="84"/>
    </row>
    <row r="36" spans="1:78" ht="120" hidden="1" x14ac:dyDescent="0.25">
      <c r="A36" s="598" t="s">
        <v>1351</v>
      </c>
      <c r="B36" s="39">
        <v>34</v>
      </c>
      <c r="C36" s="38" t="s">
        <v>225</v>
      </c>
      <c r="D36" s="991" t="s">
        <v>1346</v>
      </c>
      <c r="E36" s="4" t="s">
        <v>173</v>
      </c>
      <c r="F36" s="39" t="s">
        <v>326</v>
      </c>
      <c r="G36" s="39" t="s">
        <v>175</v>
      </c>
      <c r="H36" s="39"/>
      <c r="I36" s="81" t="s">
        <v>1352</v>
      </c>
      <c r="J36" s="82"/>
      <c r="K36" s="82"/>
      <c r="L36" s="82"/>
      <c r="M36" s="42" t="str">
        <f t="shared" si="6"/>
        <v xml:space="preserve">Aba-Mexa, S.A. de C.V.  </v>
      </c>
      <c r="N36" s="991" t="s">
        <v>198</v>
      </c>
      <c r="O36" s="991" t="s">
        <v>1255</v>
      </c>
      <c r="P36" s="991" t="s">
        <v>1353</v>
      </c>
      <c r="Q36" s="992">
        <v>621432.81000000006</v>
      </c>
      <c r="R36" s="44">
        <f t="shared" si="7"/>
        <v>99429.24960000001</v>
      </c>
      <c r="S36" s="45">
        <f t="shared" si="9"/>
        <v>720862.05960000004</v>
      </c>
      <c r="T36" s="46">
        <v>240784.78</v>
      </c>
      <c r="U36" s="47">
        <f t="shared" si="8"/>
        <v>279310.34480000002</v>
      </c>
      <c r="V36" s="44">
        <f t="shared" ref="V36:V67" si="10">S36+AK36</f>
        <v>720862.05960000004</v>
      </c>
      <c r="W36" s="993" t="s">
        <v>156</v>
      </c>
      <c r="X36" s="48">
        <v>43544</v>
      </c>
      <c r="Y36" s="39" t="s">
        <v>234</v>
      </c>
      <c r="Z36" s="48">
        <v>43539</v>
      </c>
      <c r="AA36" s="48">
        <v>43830</v>
      </c>
      <c r="AB36" s="38" t="s">
        <v>182</v>
      </c>
      <c r="AC36" s="49"/>
      <c r="AD36" s="49"/>
      <c r="AE36" s="49"/>
      <c r="AF36" s="49"/>
      <c r="AG36" s="39" t="s">
        <v>156</v>
      </c>
      <c r="AH36" s="38"/>
      <c r="AI36" s="38"/>
      <c r="AJ36" s="50"/>
      <c r="AK36" s="44"/>
      <c r="AL36" s="39" t="str">
        <f t="shared" ca="1" si="5"/>
        <v>MUERTO</v>
      </c>
      <c r="AM36" s="39"/>
      <c r="AN36" s="39"/>
      <c r="AO36" s="39" t="s">
        <v>234</v>
      </c>
      <c r="AP36" s="39" t="s">
        <v>333</v>
      </c>
      <c r="AQ36" s="39" t="s">
        <v>333</v>
      </c>
      <c r="AR36" s="39"/>
      <c r="AS36" s="39"/>
      <c r="AT36" s="39"/>
      <c r="AU36" s="51"/>
      <c r="AV36" s="50"/>
      <c r="AW36" s="38"/>
      <c r="AX36" s="52"/>
      <c r="AY36" s="50"/>
      <c r="AZ36" s="38"/>
      <c r="BA36" s="38" t="e">
        <f>VLOOKUP(I36,#REF!,2,0)</f>
        <v>#REF!</v>
      </c>
      <c r="BB36" s="71"/>
      <c r="BC36" s="59">
        <v>43539</v>
      </c>
      <c r="BD36" s="59">
        <v>43539</v>
      </c>
      <c r="BE36" s="59">
        <v>43546</v>
      </c>
      <c r="BF36" s="59">
        <v>43551</v>
      </c>
      <c r="BG36" s="59">
        <v>43560</v>
      </c>
      <c r="BH36" s="59" t="s">
        <v>1354</v>
      </c>
      <c r="BI36" s="39" t="e">
        <f>NETWORKDAYS(BF36,BG36,#REF!)</f>
        <v>#REF!</v>
      </c>
      <c r="BJ36" s="59" t="s">
        <v>1355</v>
      </c>
      <c r="BK36" s="59" t="s">
        <v>1356</v>
      </c>
      <c r="BL36" s="59" t="s">
        <v>1279</v>
      </c>
      <c r="BM36" s="59">
        <v>43633</v>
      </c>
      <c r="BN36" s="59">
        <v>43559</v>
      </c>
      <c r="BO36" s="59">
        <v>43556</v>
      </c>
      <c r="BP36" s="59">
        <v>43579</v>
      </c>
      <c r="BQ36" s="62">
        <v>43559</v>
      </c>
      <c r="BR36" s="68" t="e">
        <f xml:space="preserve"> NETWORKDAYS(BC36,BM36,#REF!)</f>
        <v>#REF!</v>
      </c>
      <c r="BS36" s="69" t="e">
        <f>NETWORKDAYS(BC36,BN36,#REF!)</f>
        <v>#REF!</v>
      </c>
      <c r="BT36" s="62" t="s">
        <v>900</v>
      </c>
      <c r="BU36" s="84"/>
      <c r="BV36" s="84"/>
      <c r="BW36" s="84"/>
      <c r="BX36" s="84"/>
      <c r="BY36" s="84"/>
      <c r="BZ36" s="84"/>
    </row>
    <row r="37" spans="1:78" ht="225" hidden="1" x14ac:dyDescent="0.25">
      <c r="A37" s="598" t="s">
        <v>1357</v>
      </c>
      <c r="B37" s="39">
        <v>35</v>
      </c>
      <c r="C37" s="38" t="s">
        <v>225</v>
      </c>
      <c r="D37" s="991" t="s">
        <v>1346</v>
      </c>
      <c r="E37" s="4" t="s">
        <v>173</v>
      </c>
      <c r="F37" s="39" t="s">
        <v>326</v>
      </c>
      <c r="G37" s="39" t="s">
        <v>175</v>
      </c>
      <c r="H37" s="39"/>
      <c r="I37" s="81" t="s">
        <v>1358</v>
      </c>
      <c r="J37" s="82"/>
      <c r="K37" s="82"/>
      <c r="L37" s="82"/>
      <c r="M37" s="42" t="str">
        <f t="shared" si="6"/>
        <v xml:space="preserve">Maquilas Plásticas Poliducto C, S.A. de C.V.  </v>
      </c>
      <c r="N37" s="991" t="s">
        <v>1359</v>
      </c>
      <c r="O37" s="991" t="s">
        <v>1360</v>
      </c>
      <c r="P37" s="991" t="s">
        <v>1361</v>
      </c>
      <c r="Q37" s="992">
        <v>1496008.24</v>
      </c>
      <c r="R37" s="44">
        <f t="shared" si="7"/>
        <v>239361.31839999999</v>
      </c>
      <c r="S37" s="45">
        <f t="shared" si="9"/>
        <v>1735369.5584</v>
      </c>
      <c r="T37" s="46">
        <v>598403.29</v>
      </c>
      <c r="U37" s="47">
        <f t="shared" si="8"/>
        <v>694147.81640000001</v>
      </c>
      <c r="V37" s="44">
        <f t="shared" si="10"/>
        <v>1735369.5584</v>
      </c>
      <c r="W37" s="993" t="s">
        <v>156</v>
      </c>
      <c r="X37" s="48">
        <v>43544</v>
      </c>
      <c r="Y37" s="39" t="s">
        <v>234</v>
      </c>
      <c r="Z37" s="48" t="s">
        <v>1362</v>
      </c>
      <c r="AA37" s="48">
        <v>43830</v>
      </c>
      <c r="AB37" s="38" t="s">
        <v>182</v>
      </c>
      <c r="AC37" s="49"/>
      <c r="AD37" s="49"/>
      <c r="AE37" s="49"/>
      <c r="AF37" s="49"/>
      <c r="AG37" s="39" t="s">
        <v>156</v>
      </c>
      <c r="AH37" s="38"/>
      <c r="AI37" s="38"/>
      <c r="AJ37" s="50"/>
      <c r="AK37" s="44"/>
      <c r="AL37" s="39" t="str">
        <f t="shared" ca="1" si="5"/>
        <v>MUERTO</v>
      </c>
      <c r="AM37" s="39"/>
      <c r="AN37" s="39"/>
      <c r="AO37" s="39" t="s">
        <v>234</v>
      </c>
      <c r="AP37" s="39" t="s">
        <v>333</v>
      </c>
      <c r="AQ37" s="39" t="s">
        <v>333</v>
      </c>
      <c r="AR37" s="39"/>
      <c r="AS37" s="39"/>
      <c r="AT37" s="39"/>
      <c r="AU37" s="51"/>
      <c r="AV37" s="50"/>
      <c r="AW37" s="38"/>
      <c r="AX37" s="52"/>
      <c r="AY37" s="50"/>
      <c r="AZ37" s="38"/>
      <c r="BA37" s="38" t="e">
        <f>VLOOKUP(I37,#REF!,2,0)</f>
        <v>#REF!</v>
      </c>
      <c r="BB37" s="71"/>
      <c r="BC37" s="59">
        <v>43539</v>
      </c>
      <c r="BD37" s="59">
        <v>43539</v>
      </c>
      <c r="BE37" s="59">
        <v>43544</v>
      </c>
      <c r="BF37" s="59">
        <v>43556</v>
      </c>
      <c r="BG37" s="59">
        <v>43566</v>
      </c>
      <c r="BH37" s="59">
        <v>43566</v>
      </c>
      <c r="BI37" s="39" t="e">
        <f>NETWORKDAYS(BF37,BG37,#REF!)</f>
        <v>#REF!</v>
      </c>
      <c r="BJ37" s="59">
        <v>43566</v>
      </c>
      <c r="BK37" s="59">
        <v>43578</v>
      </c>
      <c r="BL37" s="59" t="s">
        <v>161</v>
      </c>
      <c r="BM37" s="59">
        <v>43591</v>
      </c>
      <c r="BN37" s="59">
        <v>43591</v>
      </c>
      <c r="BO37" s="59">
        <v>43585</v>
      </c>
      <c r="BP37" s="59">
        <v>43621</v>
      </c>
      <c r="BQ37" s="62">
        <v>43588</v>
      </c>
      <c r="BR37" s="68" t="e">
        <f xml:space="preserve"> NETWORKDAYS(BC37,BM37,#REF!)</f>
        <v>#REF!</v>
      </c>
      <c r="BS37" s="69" t="e">
        <f>NETWORKDAYS(BC37,BN37,#REF!)</f>
        <v>#REF!</v>
      </c>
      <c r="BT37" s="62" t="s">
        <v>900</v>
      </c>
      <c r="BU37" s="84"/>
      <c r="BV37" s="84"/>
      <c r="BW37" s="84"/>
      <c r="BX37" s="84"/>
      <c r="BY37" s="84"/>
      <c r="BZ37" s="84"/>
    </row>
    <row r="38" spans="1:78" ht="345" hidden="1" x14ac:dyDescent="0.25">
      <c r="A38" s="38" t="s">
        <v>1363</v>
      </c>
      <c r="B38" s="39">
        <v>36</v>
      </c>
      <c r="C38" s="38" t="s">
        <v>225</v>
      </c>
      <c r="D38" s="991" t="s">
        <v>1177</v>
      </c>
      <c r="E38" s="81" t="s">
        <v>163</v>
      </c>
      <c r="F38" s="39" t="s">
        <v>1364</v>
      </c>
      <c r="G38" s="81" t="s">
        <v>163</v>
      </c>
      <c r="H38" s="81" t="s">
        <v>163</v>
      </c>
      <c r="I38" s="81" t="s">
        <v>1365</v>
      </c>
      <c r="J38" s="82"/>
      <c r="K38" s="82"/>
      <c r="L38" s="82"/>
      <c r="M38" s="42" t="str">
        <f t="shared" si="6"/>
        <v xml:space="preserve">Aerovías de México, S.A. de C.V.  </v>
      </c>
      <c r="N38" s="991" t="s">
        <v>1366</v>
      </c>
      <c r="O38" s="991" t="s">
        <v>1367</v>
      </c>
      <c r="P38" s="991" t="s">
        <v>1368</v>
      </c>
      <c r="Q38" s="992">
        <v>0</v>
      </c>
      <c r="R38" s="44">
        <f t="shared" si="7"/>
        <v>0</v>
      </c>
      <c r="S38" s="45">
        <f t="shared" si="9"/>
        <v>0</v>
      </c>
      <c r="T38" s="46">
        <v>0</v>
      </c>
      <c r="U38" s="47">
        <f t="shared" si="8"/>
        <v>0</v>
      </c>
      <c r="V38" s="44">
        <f t="shared" si="10"/>
        <v>0</v>
      </c>
      <c r="W38" s="993" t="s">
        <v>183</v>
      </c>
      <c r="X38" s="48">
        <v>43553</v>
      </c>
      <c r="Y38" s="39" t="s">
        <v>234</v>
      </c>
      <c r="Z38" s="48">
        <v>43556</v>
      </c>
      <c r="AA38" s="48" t="s">
        <v>1369</v>
      </c>
      <c r="AB38" s="38" t="s">
        <v>1370</v>
      </c>
      <c r="AC38" s="49"/>
      <c r="AD38" s="49"/>
      <c r="AE38" s="49"/>
      <c r="AF38" s="49"/>
      <c r="AG38" s="39"/>
      <c r="AH38" s="103" t="s">
        <v>1371</v>
      </c>
      <c r="AI38" s="103" t="s">
        <v>1372</v>
      </c>
      <c r="AJ38" s="117" t="s">
        <v>1373</v>
      </c>
      <c r="AK38" s="44">
        <v>0</v>
      </c>
      <c r="AL38" s="39" t="str">
        <f t="shared" ca="1" si="5"/>
        <v>VIGENTE</v>
      </c>
      <c r="AM38" s="39"/>
      <c r="AN38" s="39"/>
      <c r="AO38" s="39" t="s">
        <v>333</v>
      </c>
      <c r="AP38" s="39"/>
      <c r="AQ38" s="39" t="s">
        <v>333</v>
      </c>
      <c r="AR38" s="39"/>
      <c r="AS38" s="39"/>
      <c r="AT38" s="39"/>
      <c r="AU38" s="51"/>
      <c r="AV38" s="50"/>
      <c r="AW38" s="38"/>
      <c r="AX38" s="52"/>
      <c r="AY38" s="50"/>
      <c r="AZ38" s="38"/>
      <c r="BA38" s="38" t="e">
        <f>VLOOKUP(I38,#REF!,2,0)</f>
        <v>#REF!</v>
      </c>
      <c r="BB38" s="71"/>
      <c r="BC38" s="59">
        <v>43523</v>
      </c>
      <c r="BD38" s="59">
        <v>43549</v>
      </c>
      <c r="BE38" s="59">
        <v>43558</v>
      </c>
      <c r="BF38" s="59" t="s">
        <v>1297</v>
      </c>
      <c r="BG38" s="59" t="s">
        <v>161</v>
      </c>
      <c r="BH38" s="59" t="s">
        <v>161</v>
      </c>
      <c r="BI38" s="39" t="s">
        <v>1297</v>
      </c>
      <c r="BJ38" s="39" t="s">
        <v>1297</v>
      </c>
      <c r="BK38" s="39" t="s">
        <v>1297</v>
      </c>
      <c r="BL38" s="39" t="s">
        <v>1297</v>
      </c>
      <c r="BM38" s="59" t="s">
        <v>1374</v>
      </c>
      <c r="BN38" s="59" t="s">
        <v>205</v>
      </c>
      <c r="BO38" s="59" t="s">
        <v>1375</v>
      </c>
      <c r="BP38" s="59" t="s">
        <v>1375</v>
      </c>
      <c r="BQ38" s="62" t="s">
        <v>186</v>
      </c>
      <c r="BR38" s="68" t="e">
        <f xml:space="preserve"> NETWORKDAYS(BC38,BM38,#REF!)</f>
        <v>#VALUE!</v>
      </c>
      <c r="BS38" s="69" t="e">
        <f>NETWORKDAYS(BC38,BN38,#REF!)</f>
        <v>#VALUE!</v>
      </c>
      <c r="BT38" s="62" t="s">
        <v>1376</v>
      </c>
      <c r="BU38" s="84"/>
      <c r="BV38" s="86" t="s">
        <v>1377</v>
      </c>
      <c r="BW38" s="84"/>
      <c r="BX38" s="84"/>
      <c r="BY38" s="84"/>
      <c r="BZ38" s="84"/>
    </row>
    <row r="39" spans="1:78" ht="345" hidden="1" x14ac:dyDescent="0.25">
      <c r="A39" s="38" t="s">
        <v>1378</v>
      </c>
      <c r="B39" s="39">
        <v>37</v>
      </c>
      <c r="C39" s="38" t="s">
        <v>149</v>
      </c>
      <c r="D39" s="991" t="s">
        <v>1177</v>
      </c>
      <c r="E39" s="81" t="s">
        <v>163</v>
      </c>
      <c r="F39" s="39" t="s">
        <v>1364</v>
      </c>
      <c r="G39" s="81" t="s">
        <v>163</v>
      </c>
      <c r="H39" s="81" t="s">
        <v>163</v>
      </c>
      <c r="I39" s="81" t="s">
        <v>1379</v>
      </c>
      <c r="J39" s="82"/>
      <c r="K39" s="82"/>
      <c r="L39" s="82"/>
      <c r="M39" s="42" t="str">
        <f t="shared" si="6"/>
        <v xml:space="preserve">Viajes Gengis Khan, S.A. de C.V.  </v>
      </c>
      <c r="N39" s="991" t="s">
        <v>1366</v>
      </c>
      <c r="O39" s="991" t="s">
        <v>1367</v>
      </c>
      <c r="P39" s="991" t="s">
        <v>1368</v>
      </c>
      <c r="Q39" s="992">
        <v>0</v>
      </c>
      <c r="R39" s="44">
        <f t="shared" si="7"/>
        <v>0</v>
      </c>
      <c r="S39" s="45">
        <f t="shared" si="9"/>
        <v>0</v>
      </c>
      <c r="T39" s="46">
        <v>0</v>
      </c>
      <c r="U39" s="47">
        <f t="shared" si="8"/>
        <v>0</v>
      </c>
      <c r="V39" s="44">
        <f t="shared" si="10"/>
        <v>0</v>
      </c>
      <c r="W39" s="993" t="s">
        <v>183</v>
      </c>
      <c r="X39" s="48">
        <v>43553</v>
      </c>
      <c r="Y39" s="39" t="s">
        <v>234</v>
      </c>
      <c r="Z39" s="48">
        <v>43556</v>
      </c>
      <c r="AA39" s="48">
        <v>44196</v>
      </c>
      <c r="AB39" s="38" t="s">
        <v>1370</v>
      </c>
      <c r="AC39" s="49"/>
      <c r="AD39" s="49"/>
      <c r="AE39" s="49"/>
      <c r="AF39" s="49"/>
      <c r="AG39" s="39"/>
      <c r="AH39" s="38"/>
      <c r="AI39" s="38"/>
      <c r="AJ39" s="50"/>
      <c r="AK39" s="44"/>
      <c r="AL39" s="39" t="str">
        <f t="shared" ca="1" si="5"/>
        <v>MUERTO</v>
      </c>
      <c r="AM39" s="39"/>
      <c r="AN39" s="39"/>
      <c r="AO39" s="39" t="s">
        <v>333</v>
      </c>
      <c r="AP39" s="39"/>
      <c r="AQ39" s="39" t="s">
        <v>333</v>
      </c>
      <c r="AR39" s="39"/>
      <c r="AS39" s="39"/>
      <c r="AT39" s="39"/>
      <c r="AU39" s="51"/>
      <c r="AV39" s="50"/>
      <c r="AW39" s="38"/>
      <c r="AX39" s="52"/>
      <c r="AY39" s="50"/>
      <c r="AZ39" s="38"/>
      <c r="BA39" s="38" t="e">
        <f>VLOOKUP(I39,#REF!,2,0)</f>
        <v>#REF!</v>
      </c>
      <c r="BB39" s="71"/>
      <c r="BC39" s="59">
        <v>43523</v>
      </c>
      <c r="BD39" s="59">
        <v>43549</v>
      </c>
      <c r="BE39" s="59">
        <v>43558</v>
      </c>
      <c r="BF39" s="59" t="s">
        <v>1297</v>
      </c>
      <c r="BG39" s="59" t="s">
        <v>161</v>
      </c>
      <c r="BH39" s="59" t="s">
        <v>161</v>
      </c>
      <c r="BI39" s="39" t="s">
        <v>1297</v>
      </c>
      <c r="BJ39" s="59" t="s">
        <v>161</v>
      </c>
      <c r="BK39" s="59" t="s">
        <v>161</v>
      </c>
      <c r="BL39" s="59" t="s">
        <v>1297</v>
      </c>
      <c r="BM39" s="59">
        <v>43585</v>
      </c>
      <c r="BN39" s="59">
        <v>43585</v>
      </c>
      <c r="BO39" s="59">
        <v>43585</v>
      </c>
      <c r="BP39" s="59">
        <v>43594</v>
      </c>
      <c r="BQ39" s="62" t="s">
        <v>186</v>
      </c>
      <c r="BR39" s="68" t="e">
        <f xml:space="preserve"> NETWORKDAYS(BC39,BM39,#REF!)</f>
        <v>#REF!</v>
      </c>
      <c r="BS39" s="69" t="e">
        <f>NETWORKDAYS(BC39,BN39,#REF!)</f>
        <v>#REF!</v>
      </c>
      <c r="BT39" s="62" t="s">
        <v>900</v>
      </c>
      <c r="BU39" s="84"/>
      <c r="BV39" s="86" t="s">
        <v>1377</v>
      </c>
      <c r="BW39" s="84"/>
      <c r="BX39" s="84"/>
      <c r="BY39" s="84"/>
      <c r="BZ39" s="84"/>
    </row>
    <row r="40" spans="1:78" ht="345" hidden="1" x14ac:dyDescent="0.25">
      <c r="A40" s="38" t="s">
        <v>1380</v>
      </c>
      <c r="B40" s="39">
        <v>38</v>
      </c>
      <c r="C40" s="38" t="s">
        <v>149</v>
      </c>
      <c r="D40" s="991" t="s">
        <v>1177</v>
      </c>
      <c r="E40" s="81" t="s">
        <v>163</v>
      </c>
      <c r="F40" s="39" t="s">
        <v>1364</v>
      </c>
      <c r="G40" s="81" t="s">
        <v>163</v>
      </c>
      <c r="H40" s="81" t="s">
        <v>163</v>
      </c>
      <c r="I40" s="81" t="s">
        <v>1381</v>
      </c>
      <c r="J40" s="82"/>
      <c r="K40" s="82"/>
      <c r="L40" s="82"/>
      <c r="M40" s="42" t="str">
        <f t="shared" si="6"/>
        <v xml:space="preserve">Viajes Escalona, S.A.  </v>
      </c>
      <c r="N40" s="991" t="s">
        <v>1366</v>
      </c>
      <c r="O40" s="991" t="s">
        <v>1367</v>
      </c>
      <c r="P40" s="991" t="s">
        <v>1368</v>
      </c>
      <c r="Q40" s="992">
        <v>0</v>
      </c>
      <c r="R40" s="44">
        <f t="shared" si="7"/>
        <v>0</v>
      </c>
      <c r="S40" s="45">
        <f t="shared" si="9"/>
        <v>0</v>
      </c>
      <c r="T40" s="46">
        <v>0</v>
      </c>
      <c r="U40" s="47">
        <f t="shared" si="8"/>
        <v>0</v>
      </c>
      <c r="V40" s="44">
        <f t="shared" si="10"/>
        <v>0</v>
      </c>
      <c r="W40" s="993" t="s">
        <v>183</v>
      </c>
      <c r="X40" s="48">
        <v>43553</v>
      </c>
      <c r="Y40" s="39" t="s">
        <v>234</v>
      </c>
      <c r="Z40" s="48">
        <v>43556</v>
      </c>
      <c r="AA40" s="48">
        <v>44196</v>
      </c>
      <c r="AB40" s="38" t="s">
        <v>1370</v>
      </c>
      <c r="AC40" s="49"/>
      <c r="AD40" s="49"/>
      <c r="AE40" s="49"/>
      <c r="AF40" s="49"/>
      <c r="AG40" s="39"/>
      <c r="AH40" s="50"/>
      <c r="AI40" s="38"/>
      <c r="AJ40" s="50"/>
      <c r="AK40" s="44"/>
      <c r="AL40" s="39" t="str">
        <f t="shared" ca="1" si="5"/>
        <v>MUERTO</v>
      </c>
      <c r="AM40" s="39"/>
      <c r="AN40" s="39"/>
      <c r="AO40" s="39" t="s">
        <v>333</v>
      </c>
      <c r="AP40" s="39"/>
      <c r="AQ40" s="39" t="s">
        <v>333</v>
      </c>
      <c r="AR40" s="39"/>
      <c r="AS40" s="39"/>
      <c r="AT40" s="39"/>
      <c r="AU40" s="51"/>
      <c r="AV40" s="50"/>
      <c r="AW40" s="38"/>
      <c r="AX40" s="52"/>
      <c r="AY40" s="50"/>
      <c r="AZ40" s="38"/>
      <c r="BA40" s="38" t="e">
        <f>VLOOKUP(I40,#REF!,2,0)</f>
        <v>#REF!</v>
      </c>
      <c r="BB40" s="71"/>
      <c r="BC40" s="59">
        <v>43523</v>
      </c>
      <c r="BD40" s="59">
        <v>43549</v>
      </c>
      <c r="BE40" s="59">
        <v>43558</v>
      </c>
      <c r="BF40" s="59" t="s">
        <v>1297</v>
      </c>
      <c r="BG40" s="59" t="s">
        <v>161</v>
      </c>
      <c r="BH40" s="59" t="s">
        <v>161</v>
      </c>
      <c r="BI40" s="39" t="s">
        <v>1297</v>
      </c>
      <c r="BJ40" s="59" t="s">
        <v>161</v>
      </c>
      <c r="BK40" s="59" t="s">
        <v>161</v>
      </c>
      <c r="BL40" s="59" t="s">
        <v>1297</v>
      </c>
      <c r="BM40" s="59">
        <v>43585</v>
      </c>
      <c r="BN40" s="59">
        <v>43585</v>
      </c>
      <c r="BO40" s="59">
        <v>43585</v>
      </c>
      <c r="BP40" s="59">
        <v>43592</v>
      </c>
      <c r="BQ40" s="62" t="s">
        <v>186</v>
      </c>
      <c r="BR40" s="68" t="e">
        <f xml:space="preserve"> NETWORKDAYS(BC40,BM40,#REF!)</f>
        <v>#REF!</v>
      </c>
      <c r="BS40" s="69" t="e">
        <f>NETWORKDAYS(BC40,BN40,#REF!)</f>
        <v>#REF!</v>
      </c>
      <c r="BT40" s="62" t="s">
        <v>900</v>
      </c>
      <c r="BU40" s="84"/>
      <c r="BV40" s="86" t="s">
        <v>1377</v>
      </c>
      <c r="BW40" s="84"/>
      <c r="BX40" s="84"/>
      <c r="BY40" s="84"/>
      <c r="BZ40" s="84"/>
    </row>
    <row r="41" spans="1:78" ht="345" hidden="1" x14ac:dyDescent="0.25">
      <c r="A41" s="38" t="s">
        <v>1382</v>
      </c>
      <c r="B41" s="39">
        <v>39</v>
      </c>
      <c r="C41" s="38" t="s">
        <v>149</v>
      </c>
      <c r="D41" s="991" t="s">
        <v>1177</v>
      </c>
      <c r="E41" s="81" t="s">
        <v>163</v>
      </c>
      <c r="F41" s="39" t="s">
        <v>1364</v>
      </c>
      <c r="G41" s="81" t="s">
        <v>163</v>
      </c>
      <c r="H41" s="81" t="s">
        <v>163</v>
      </c>
      <c r="I41" s="81" t="s">
        <v>1383</v>
      </c>
      <c r="J41" s="82"/>
      <c r="K41" s="82"/>
      <c r="L41" s="82"/>
      <c r="M41" s="42" t="str">
        <f t="shared" si="6"/>
        <v xml:space="preserve">Operadora Onis, S.A. de C.V.  </v>
      </c>
      <c r="N41" s="991" t="s">
        <v>1366</v>
      </c>
      <c r="O41" s="991" t="s">
        <v>1367</v>
      </c>
      <c r="P41" s="991" t="s">
        <v>1368</v>
      </c>
      <c r="Q41" s="992">
        <v>0</v>
      </c>
      <c r="R41" s="44">
        <f t="shared" si="7"/>
        <v>0</v>
      </c>
      <c r="S41" s="45">
        <f t="shared" si="9"/>
        <v>0</v>
      </c>
      <c r="T41" s="46">
        <v>0</v>
      </c>
      <c r="U41" s="47">
        <f t="shared" si="8"/>
        <v>0</v>
      </c>
      <c r="V41" s="44">
        <f t="shared" si="10"/>
        <v>0</v>
      </c>
      <c r="W41" s="993" t="s">
        <v>183</v>
      </c>
      <c r="X41" s="48">
        <v>43552</v>
      </c>
      <c r="Y41" s="39" t="s">
        <v>234</v>
      </c>
      <c r="Z41" s="48">
        <v>43556</v>
      </c>
      <c r="AA41" s="48">
        <v>44196</v>
      </c>
      <c r="AB41" s="38" t="s">
        <v>1370</v>
      </c>
      <c r="AC41" s="49"/>
      <c r="AD41" s="49"/>
      <c r="AE41" s="49"/>
      <c r="AF41" s="49"/>
      <c r="AG41" s="39"/>
      <c r="AH41" s="38"/>
      <c r="AI41" s="38"/>
      <c r="AJ41" s="50"/>
      <c r="AK41" s="44"/>
      <c r="AL41" s="39" t="str">
        <f t="shared" ca="1" si="5"/>
        <v>MUERTO</v>
      </c>
      <c r="AM41" s="39"/>
      <c r="AN41" s="39"/>
      <c r="AO41" s="39" t="s">
        <v>333</v>
      </c>
      <c r="AP41" s="39"/>
      <c r="AQ41" s="39" t="s">
        <v>333</v>
      </c>
      <c r="AR41" s="39"/>
      <c r="AS41" s="39"/>
      <c r="AT41" s="39"/>
      <c r="AU41" s="51"/>
      <c r="AV41" s="50"/>
      <c r="AW41" s="38"/>
      <c r="AX41" s="52"/>
      <c r="AY41" s="50"/>
      <c r="AZ41" s="38"/>
      <c r="BA41" s="38" t="e">
        <f>VLOOKUP(I41,#REF!,2,0)</f>
        <v>#REF!</v>
      </c>
      <c r="BB41" s="71"/>
      <c r="BC41" s="59">
        <v>43523</v>
      </c>
      <c r="BD41" s="59">
        <v>43549</v>
      </c>
      <c r="BE41" s="59">
        <v>43558</v>
      </c>
      <c r="BF41" s="59" t="s">
        <v>1297</v>
      </c>
      <c r="BG41" s="59" t="s">
        <v>161</v>
      </c>
      <c r="BH41" s="59" t="s">
        <v>161</v>
      </c>
      <c r="BI41" s="39" t="s">
        <v>1297</v>
      </c>
      <c r="BJ41" s="59" t="s">
        <v>161</v>
      </c>
      <c r="BK41" s="59" t="s">
        <v>161</v>
      </c>
      <c r="BL41" s="59" t="s">
        <v>1297</v>
      </c>
      <c r="BM41" s="59">
        <v>43585</v>
      </c>
      <c r="BN41" s="59">
        <v>43585</v>
      </c>
      <c r="BO41" s="59">
        <v>43585</v>
      </c>
      <c r="BP41" s="59">
        <v>43591</v>
      </c>
      <c r="BQ41" s="62" t="s">
        <v>186</v>
      </c>
      <c r="BR41" s="68" t="e">
        <f xml:space="preserve"> NETWORKDAYS(BC41,BM41,#REF!)</f>
        <v>#REF!</v>
      </c>
      <c r="BS41" s="69" t="e">
        <f>NETWORKDAYS(BC41,BN41,#REF!)</f>
        <v>#REF!</v>
      </c>
      <c r="BT41" s="62" t="s">
        <v>900</v>
      </c>
      <c r="BU41" s="84"/>
      <c r="BV41" s="86" t="s">
        <v>1377</v>
      </c>
      <c r="BW41" s="84"/>
      <c r="BX41" s="84"/>
      <c r="BY41" s="84"/>
      <c r="BZ41" s="84"/>
    </row>
    <row r="42" spans="1:78" ht="345" hidden="1" x14ac:dyDescent="0.25">
      <c r="A42" s="38" t="s">
        <v>1384</v>
      </c>
      <c r="B42" s="39">
        <v>40</v>
      </c>
      <c r="C42" s="38" t="s">
        <v>149</v>
      </c>
      <c r="D42" s="991" t="s">
        <v>1177</v>
      </c>
      <c r="E42" s="81" t="s">
        <v>163</v>
      </c>
      <c r="F42" s="39" t="s">
        <v>1364</v>
      </c>
      <c r="G42" s="81" t="s">
        <v>163</v>
      </c>
      <c r="H42" s="81" t="s">
        <v>163</v>
      </c>
      <c r="I42" s="81" t="s">
        <v>1385</v>
      </c>
      <c r="J42" s="82"/>
      <c r="K42" s="82"/>
      <c r="L42" s="82"/>
      <c r="M42" s="42" t="str">
        <f t="shared" si="6"/>
        <v xml:space="preserve">Viajes Alpandeire, S.A. de C.V.  </v>
      </c>
      <c r="N42" s="991" t="s">
        <v>1366</v>
      </c>
      <c r="O42" s="991" t="s">
        <v>1367</v>
      </c>
      <c r="P42" s="991" t="s">
        <v>1368</v>
      </c>
      <c r="Q42" s="992">
        <v>0</v>
      </c>
      <c r="R42" s="44">
        <f t="shared" si="7"/>
        <v>0</v>
      </c>
      <c r="S42" s="45">
        <f t="shared" si="9"/>
        <v>0</v>
      </c>
      <c r="T42" s="46">
        <v>0</v>
      </c>
      <c r="U42" s="47">
        <f t="shared" si="8"/>
        <v>0</v>
      </c>
      <c r="V42" s="44">
        <f t="shared" si="10"/>
        <v>0</v>
      </c>
      <c r="W42" s="993" t="s">
        <v>183</v>
      </c>
      <c r="X42" s="48">
        <v>43552</v>
      </c>
      <c r="Y42" s="39" t="s">
        <v>234</v>
      </c>
      <c r="Z42" s="48">
        <v>43556</v>
      </c>
      <c r="AA42" s="48">
        <v>44196</v>
      </c>
      <c r="AB42" s="38" t="s">
        <v>1370</v>
      </c>
      <c r="AC42" s="49"/>
      <c r="AD42" s="49"/>
      <c r="AE42" s="49"/>
      <c r="AF42" s="49"/>
      <c r="AG42" s="39"/>
      <c r="AH42" s="38" t="s">
        <v>1386</v>
      </c>
      <c r="AI42" s="38" t="s">
        <v>1387</v>
      </c>
      <c r="AJ42" s="50"/>
      <c r="AK42" s="44"/>
      <c r="AL42" s="39" t="s">
        <v>1388</v>
      </c>
      <c r="AM42" s="39"/>
      <c r="AN42" s="39"/>
      <c r="AO42" s="39" t="s">
        <v>333</v>
      </c>
      <c r="AP42" s="39"/>
      <c r="AQ42" s="39" t="s">
        <v>333</v>
      </c>
      <c r="AR42" s="39"/>
      <c r="AS42" s="39"/>
      <c r="AT42" s="39"/>
      <c r="AU42" s="51"/>
      <c r="AV42" s="50"/>
      <c r="AW42" s="38"/>
      <c r="AX42" s="52"/>
      <c r="AY42" s="50"/>
      <c r="AZ42" s="38"/>
      <c r="BA42" s="38" t="e">
        <f>VLOOKUP(I42,#REF!,2,0)</f>
        <v>#REF!</v>
      </c>
      <c r="BB42" s="71"/>
      <c r="BC42" s="59">
        <v>43523</v>
      </c>
      <c r="BD42" s="59">
        <v>43549</v>
      </c>
      <c r="BE42" s="59">
        <v>43558</v>
      </c>
      <c r="BF42" s="59" t="s">
        <v>1297</v>
      </c>
      <c r="BG42" s="59" t="s">
        <v>161</v>
      </c>
      <c r="BH42" s="59" t="s">
        <v>161</v>
      </c>
      <c r="BI42" s="39" t="s">
        <v>1297</v>
      </c>
      <c r="BJ42" s="59" t="s">
        <v>161</v>
      </c>
      <c r="BK42" s="59" t="s">
        <v>161</v>
      </c>
      <c r="BL42" s="59" t="s">
        <v>1297</v>
      </c>
      <c r="BM42" s="59" t="s">
        <v>1389</v>
      </c>
      <c r="BN42" s="59">
        <v>43585</v>
      </c>
      <c r="BO42" s="59">
        <v>43585</v>
      </c>
      <c r="BP42" s="59">
        <v>43592</v>
      </c>
      <c r="BQ42" s="62" t="s">
        <v>186</v>
      </c>
      <c r="BR42" s="68" t="e">
        <f xml:space="preserve"> NETWORKDAYS(BC42,BM42,#REF!)</f>
        <v>#VALUE!</v>
      </c>
      <c r="BS42" s="69" t="e">
        <f>NETWORKDAYS(BC42,BN42,#REF!)</f>
        <v>#REF!</v>
      </c>
      <c r="BT42" s="62" t="s">
        <v>900</v>
      </c>
      <c r="BU42" s="84"/>
      <c r="BV42" s="86" t="s">
        <v>1377</v>
      </c>
      <c r="BW42" s="84"/>
      <c r="BX42" s="84"/>
      <c r="BY42" s="84"/>
      <c r="BZ42" s="84"/>
    </row>
    <row r="43" spans="1:78" ht="345" hidden="1" x14ac:dyDescent="0.25">
      <c r="A43" s="38" t="s">
        <v>1390</v>
      </c>
      <c r="B43" s="39">
        <v>41</v>
      </c>
      <c r="C43" s="38" t="s">
        <v>149</v>
      </c>
      <c r="D43" s="991" t="s">
        <v>1177</v>
      </c>
      <c r="E43" s="81" t="s">
        <v>163</v>
      </c>
      <c r="F43" s="39" t="s">
        <v>1364</v>
      </c>
      <c r="G43" s="81" t="s">
        <v>163</v>
      </c>
      <c r="H43" s="81" t="s">
        <v>163</v>
      </c>
      <c r="I43" s="81" t="s">
        <v>1391</v>
      </c>
      <c r="J43" s="82"/>
      <c r="K43" s="82"/>
      <c r="L43" s="82"/>
      <c r="M43" s="42" t="str">
        <f t="shared" si="6"/>
        <v xml:space="preserve">Viajes Helvetia, S.A. de C.V.  </v>
      </c>
      <c r="N43" s="991" t="s">
        <v>1366</v>
      </c>
      <c r="O43" s="991" t="s">
        <v>1367</v>
      </c>
      <c r="P43" s="991" t="s">
        <v>1368</v>
      </c>
      <c r="Q43" s="992">
        <v>0</v>
      </c>
      <c r="R43" s="44">
        <f t="shared" si="7"/>
        <v>0</v>
      </c>
      <c r="S43" s="45">
        <f t="shared" si="9"/>
        <v>0</v>
      </c>
      <c r="T43" s="46">
        <v>0</v>
      </c>
      <c r="U43" s="47">
        <f t="shared" si="8"/>
        <v>0</v>
      </c>
      <c r="V43" s="44">
        <f t="shared" si="10"/>
        <v>0</v>
      </c>
      <c r="W43" s="993" t="s">
        <v>183</v>
      </c>
      <c r="X43" s="48">
        <v>43552</v>
      </c>
      <c r="Y43" s="39" t="s">
        <v>234</v>
      </c>
      <c r="Z43" s="48">
        <v>43556</v>
      </c>
      <c r="AA43" s="48">
        <v>44196</v>
      </c>
      <c r="AB43" s="38" t="s">
        <v>1370</v>
      </c>
      <c r="AC43" s="49"/>
      <c r="AD43" s="49"/>
      <c r="AE43" s="49"/>
      <c r="AF43" s="49"/>
      <c r="AG43" s="39"/>
      <c r="AH43" s="38"/>
      <c r="AI43" s="38"/>
      <c r="AJ43" s="50"/>
      <c r="AK43" s="44"/>
      <c r="AL43" s="39" t="str">
        <f t="shared" ref="AL43:AL74" ca="1" si="11">IF(ISBLANK(AA43),"",IF(AA43&gt;=TODAY(),"VIGENTE","MUERTO"))</f>
        <v>MUERTO</v>
      </c>
      <c r="AM43" s="39"/>
      <c r="AN43" s="39"/>
      <c r="AO43" s="39" t="s">
        <v>333</v>
      </c>
      <c r="AP43" s="39"/>
      <c r="AQ43" s="39" t="s">
        <v>333</v>
      </c>
      <c r="AR43" s="39"/>
      <c r="AS43" s="39"/>
      <c r="AT43" s="39"/>
      <c r="AU43" s="51"/>
      <c r="AV43" s="50"/>
      <c r="AW43" s="38"/>
      <c r="AX43" s="52"/>
      <c r="AY43" s="50"/>
      <c r="AZ43" s="38"/>
      <c r="BA43" s="38" t="e">
        <f>VLOOKUP(I43,#REF!,2,0)</f>
        <v>#REF!</v>
      </c>
      <c r="BB43" s="71"/>
      <c r="BC43" s="59">
        <v>43523</v>
      </c>
      <c r="BD43" s="59">
        <v>43549</v>
      </c>
      <c r="BE43" s="59">
        <v>43558</v>
      </c>
      <c r="BF43" s="59" t="s">
        <v>1297</v>
      </c>
      <c r="BG43" s="59" t="s">
        <v>161</v>
      </c>
      <c r="BH43" s="59" t="s">
        <v>161</v>
      </c>
      <c r="BI43" s="39" t="s">
        <v>1297</v>
      </c>
      <c r="BJ43" s="59" t="s">
        <v>161</v>
      </c>
      <c r="BK43" s="59" t="s">
        <v>161</v>
      </c>
      <c r="BL43" s="59" t="s">
        <v>1297</v>
      </c>
      <c r="BM43" s="59">
        <v>43585</v>
      </c>
      <c r="BN43" s="59">
        <v>43585</v>
      </c>
      <c r="BO43" s="59">
        <v>43585</v>
      </c>
      <c r="BP43" s="59">
        <v>43591</v>
      </c>
      <c r="BQ43" s="62" t="s">
        <v>186</v>
      </c>
      <c r="BR43" s="68" t="e">
        <f xml:space="preserve"> NETWORKDAYS(BC43,BM43,#REF!)</f>
        <v>#REF!</v>
      </c>
      <c r="BS43" s="69" t="e">
        <f>NETWORKDAYS(BC43,BN43,#REF!)</f>
        <v>#REF!</v>
      </c>
      <c r="BT43" s="62" t="s">
        <v>900</v>
      </c>
      <c r="BU43" s="84"/>
      <c r="BV43" s="86" t="s">
        <v>1377</v>
      </c>
      <c r="BW43" s="84"/>
      <c r="BX43" s="84"/>
      <c r="BY43" s="84"/>
      <c r="BZ43" s="84"/>
    </row>
    <row r="44" spans="1:78" ht="135" hidden="1" x14ac:dyDescent="0.25">
      <c r="A44" s="598" t="s">
        <v>1392</v>
      </c>
      <c r="B44" s="39">
        <v>42</v>
      </c>
      <c r="C44" s="38" t="s">
        <v>225</v>
      </c>
      <c r="D44" s="991" t="s">
        <v>1393</v>
      </c>
      <c r="E44" s="4" t="s">
        <v>173</v>
      </c>
      <c r="F44" s="39" t="s">
        <v>326</v>
      </c>
      <c r="G44" s="39" t="s">
        <v>175</v>
      </c>
      <c r="H44" s="39"/>
      <c r="I44" s="81" t="s">
        <v>719</v>
      </c>
      <c r="J44" s="82"/>
      <c r="K44" s="82"/>
      <c r="L44" s="82"/>
      <c r="M44" s="42" t="str">
        <f t="shared" si="6"/>
        <v xml:space="preserve">Sí Vale México, S.A. de C.V.  </v>
      </c>
      <c r="N44" s="991" t="s">
        <v>556</v>
      </c>
      <c r="O44" s="991" t="s">
        <v>1394</v>
      </c>
      <c r="P44" s="991" t="s">
        <v>1395</v>
      </c>
      <c r="Q44" s="992">
        <v>539460</v>
      </c>
      <c r="R44" s="44">
        <v>0</v>
      </c>
      <c r="S44" s="45">
        <f t="shared" si="9"/>
        <v>539460</v>
      </c>
      <c r="T44" s="46">
        <v>179820</v>
      </c>
      <c r="U44" s="47">
        <v>179820</v>
      </c>
      <c r="V44" s="44">
        <f t="shared" si="10"/>
        <v>539460</v>
      </c>
      <c r="W44" s="993" t="s">
        <v>156</v>
      </c>
      <c r="X44" s="48">
        <v>43556</v>
      </c>
      <c r="Y44" s="39" t="s">
        <v>333</v>
      </c>
      <c r="Z44" s="48">
        <v>43556</v>
      </c>
      <c r="AA44" s="48">
        <v>43830</v>
      </c>
      <c r="AB44" s="38" t="s">
        <v>182</v>
      </c>
      <c r="AC44" s="49"/>
      <c r="AD44" s="49"/>
      <c r="AE44" s="49"/>
      <c r="AF44" s="49"/>
      <c r="AG44" s="39" t="s">
        <v>156</v>
      </c>
      <c r="AH44" s="100" t="s">
        <v>1396</v>
      </c>
      <c r="AI44" s="100" t="s">
        <v>1397</v>
      </c>
      <c r="AJ44" s="101" t="s">
        <v>1398</v>
      </c>
      <c r="AK44" s="102">
        <v>0</v>
      </c>
      <c r="AL44" s="39" t="str">
        <f t="shared" ca="1" si="11"/>
        <v>MUERTO</v>
      </c>
      <c r="AM44" s="39"/>
      <c r="AN44" s="39"/>
      <c r="AO44" s="39" t="s">
        <v>333</v>
      </c>
      <c r="AP44" s="39" t="s">
        <v>1324</v>
      </c>
      <c r="AQ44" s="39" t="s">
        <v>333</v>
      </c>
      <c r="AR44" s="39"/>
      <c r="AS44" s="39"/>
      <c r="AT44" s="39"/>
      <c r="AU44" s="51"/>
      <c r="AV44" s="50"/>
      <c r="AW44" s="38"/>
      <c r="AX44" s="52"/>
      <c r="AY44" s="50"/>
      <c r="AZ44" s="38"/>
      <c r="BA44" s="38" t="e">
        <f>VLOOKUP(I44,#REF!,2,0)</f>
        <v>#REF!</v>
      </c>
      <c r="BB44" s="71"/>
      <c r="BC44" s="59">
        <v>43546</v>
      </c>
      <c r="BD44" s="59">
        <v>43551</v>
      </c>
      <c r="BE44" s="59">
        <v>43558</v>
      </c>
      <c r="BF44" s="59">
        <v>43587</v>
      </c>
      <c r="BG44" s="59" t="s">
        <v>161</v>
      </c>
      <c r="BH44" s="59" t="s">
        <v>1399</v>
      </c>
      <c r="BI44" s="39" t="s">
        <v>1133</v>
      </c>
      <c r="BJ44" s="59" t="s">
        <v>1399</v>
      </c>
      <c r="BK44" s="59" t="s">
        <v>1399</v>
      </c>
      <c r="BL44" s="59" t="s">
        <v>1399</v>
      </c>
      <c r="BM44" s="59" t="s">
        <v>1399</v>
      </c>
      <c r="BN44" s="59" t="s">
        <v>1399</v>
      </c>
      <c r="BO44" s="59" t="s">
        <v>1399</v>
      </c>
      <c r="BP44" s="59" t="s">
        <v>1399</v>
      </c>
      <c r="BQ44" s="62" t="s">
        <v>1399</v>
      </c>
      <c r="BR44" s="68" t="e">
        <f xml:space="preserve"> NETWORKDAYS(BC44,BM44,#REF!)</f>
        <v>#VALUE!</v>
      </c>
      <c r="BS44" s="69" t="e">
        <f>NETWORKDAYS(BC44,BN44,#REF!)</f>
        <v>#VALUE!</v>
      </c>
      <c r="BT44" s="62"/>
      <c r="BU44" s="84"/>
      <c r="BV44" s="84"/>
      <c r="BW44" s="84"/>
      <c r="BX44" s="84"/>
      <c r="BY44" s="84"/>
      <c r="BZ44" s="84"/>
    </row>
    <row r="45" spans="1:78" ht="105" hidden="1" x14ac:dyDescent="0.25">
      <c r="A45" s="598" t="s">
        <v>1400</v>
      </c>
      <c r="B45" s="39">
        <v>43</v>
      </c>
      <c r="C45" s="38" t="s">
        <v>225</v>
      </c>
      <c r="D45" s="991" t="s">
        <v>1393</v>
      </c>
      <c r="E45" s="4" t="s">
        <v>173</v>
      </c>
      <c r="F45" s="39" t="s">
        <v>326</v>
      </c>
      <c r="G45" s="39" t="s">
        <v>175</v>
      </c>
      <c r="H45" s="39"/>
      <c r="I45" s="81" t="s">
        <v>1401</v>
      </c>
      <c r="J45" s="82"/>
      <c r="K45" s="82"/>
      <c r="L45" s="82"/>
      <c r="M45" s="42" t="str">
        <f t="shared" si="6"/>
        <v xml:space="preserve">Servicios Broxel, S.A.P.I. de C.V.  </v>
      </c>
      <c r="N45" s="991" t="s">
        <v>370</v>
      </c>
      <c r="O45" s="991" t="s">
        <v>1402</v>
      </c>
      <c r="P45" s="991" t="s">
        <v>1403</v>
      </c>
      <c r="Q45" s="992">
        <v>34118390.149999999</v>
      </c>
      <c r="R45" s="44">
        <v>0</v>
      </c>
      <c r="S45" s="45">
        <f t="shared" si="9"/>
        <v>34118390.149999999</v>
      </c>
      <c r="T45" s="46">
        <v>30803761.25</v>
      </c>
      <c r="U45" s="47">
        <v>30803761.25</v>
      </c>
      <c r="V45" s="44">
        <f t="shared" si="10"/>
        <v>42647987.6875</v>
      </c>
      <c r="W45" s="61" t="s">
        <v>156</v>
      </c>
      <c r="X45" s="48">
        <v>43556</v>
      </c>
      <c r="Y45" s="39" t="s">
        <v>333</v>
      </c>
      <c r="Z45" s="48">
        <v>43556</v>
      </c>
      <c r="AA45" s="48">
        <v>43830</v>
      </c>
      <c r="AB45" s="38" t="s">
        <v>182</v>
      </c>
      <c r="AC45" s="49"/>
      <c r="AD45" s="49"/>
      <c r="AE45" s="49"/>
      <c r="AF45" s="49"/>
      <c r="AG45" s="39" t="s">
        <v>156</v>
      </c>
      <c r="AH45" s="100" t="s">
        <v>1404</v>
      </c>
      <c r="AI45" s="100" t="s">
        <v>1405</v>
      </c>
      <c r="AJ45" s="101">
        <v>43840</v>
      </c>
      <c r="AK45" s="47">
        <f>S45*0.25</f>
        <v>8529597.5374999996</v>
      </c>
      <c r="AL45" s="39" t="str">
        <f t="shared" ca="1" si="11"/>
        <v>MUERTO</v>
      </c>
      <c r="AM45" s="39"/>
      <c r="AN45" s="39"/>
      <c r="AO45" s="39" t="s">
        <v>333</v>
      </c>
      <c r="AP45" s="39" t="s">
        <v>157</v>
      </c>
      <c r="AQ45" s="39" t="s">
        <v>333</v>
      </c>
      <c r="AR45" s="39"/>
      <c r="AS45" s="39"/>
      <c r="AT45" s="39"/>
      <c r="AU45" s="51"/>
      <c r="AV45" s="50"/>
      <c r="AW45" s="38"/>
      <c r="AX45" s="52"/>
      <c r="AY45" s="50"/>
      <c r="AZ45" s="38"/>
      <c r="BA45" s="38" t="e">
        <f>VLOOKUP(I45,#REF!,2,0)</f>
        <v>#REF!</v>
      </c>
      <c r="BB45" s="71"/>
      <c r="BC45" s="59">
        <v>43549</v>
      </c>
      <c r="BD45" s="59">
        <v>43551</v>
      </c>
      <c r="BE45" s="59">
        <v>43558</v>
      </c>
      <c r="BF45" s="59">
        <v>43585</v>
      </c>
      <c r="BG45" s="59">
        <v>43585</v>
      </c>
      <c r="BH45" s="59" t="s">
        <v>1406</v>
      </c>
      <c r="BI45" s="39" t="e">
        <f>NETWORKDAYS(BF45,BG45,#REF!)</f>
        <v>#REF!</v>
      </c>
      <c r="BJ45" s="59" t="s">
        <v>1407</v>
      </c>
      <c r="BK45" s="59" t="s">
        <v>1408</v>
      </c>
      <c r="BL45" s="59" t="s">
        <v>1409</v>
      </c>
      <c r="BM45" s="59">
        <v>43613</v>
      </c>
      <c r="BN45" s="59">
        <v>43600</v>
      </c>
      <c r="BO45" s="59">
        <v>43594</v>
      </c>
      <c r="BP45" s="59">
        <v>43608</v>
      </c>
      <c r="BQ45" s="62" t="s">
        <v>186</v>
      </c>
      <c r="BR45" s="68" t="e">
        <f xml:space="preserve"> NETWORKDAYS(BC45,BM45,#REF!)</f>
        <v>#REF!</v>
      </c>
      <c r="BS45" s="69" t="e">
        <f>NETWORKDAYS(BC45,BN45,#REF!)</f>
        <v>#REF!</v>
      </c>
      <c r="BT45" s="62"/>
      <c r="BU45" s="84"/>
      <c r="BV45" s="84"/>
      <c r="BW45" s="84"/>
      <c r="BX45" s="84"/>
      <c r="BY45" s="84"/>
      <c r="BZ45" s="84"/>
    </row>
    <row r="46" spans="1:78" ht="345" hidden="1" x14ac:dyDescent="0.25">
      <c r="A46" s="38" t="s">
        <v>1410</v>
      </c>
      <c r="B46" s="39">
        <v>44</v>
      </c>
      <c r="C46" s="38" t="s">
        <v>149</v>
      </c>
      <c r="D46" s="991" t="s">
        <v>1177</v>
      </c>
      <c r="E46" s="81" t="s">
        <v>163</v>
      </c>
      <c r="F46" s="39" t="s">
        <v>1364</v>
      </c>
      <c r="G46" s="81" t="s">
        <v>163</v>
      </c>
      <c r="H46" s="81" t="s">
        <v>163</v>
      </c>
      <c r="I46" s="81" t="s">
        <v>1411</v>
      </c>
      <c r="J46" s="82"/>
      <c r="K46" s="82"/>
      <c r="L46" s="82"/>
      <c r="M46" s="42" t="str">
        <f t="shared" si="6"/>
        <v xml:space="preserve">G-Travel Express, S.A. de C.V.  </v>
      </c>
      <c r="N46" s="991" t="s">
        <v>1366</v>
      </c>
      <c r="O46" s="991" t="s">
        <v>1367</v>
      </c>
      <c r="P46" s="991" t="s">
        <v>1368</v>
      </c>
      <c r="Q46" s="992">
        <v>0</v>
      </c>
      <c r="R46" s="44">
        <f t="shared" ref="R46:R67" si="12">Q46*0.16</f>
        <v>0</v>
      </c>
      <c r="S46" s="45">
        <f t="shared" si="9"/>
        <v>0</v>
      </c>
      <c r="T46" s="46">
        <v>0</v>
      </c>
      <c r="U46" s="47">
        <f t="shared" ref="U46:U67" si="13">(T46*0.16)+(T46)</f>
        <v>0</v>
      </c>
      <c r="V46" s="44">
        <f t="shared" si="10"/>
        <v>0</v>
      </c>
      <c r="W46" s="993" t="s">
        <v>183</v>
      </c>
      <c r="X46" s="48">
        <v>43556</v>
      </c>
      <c r="Y46" s="39" t="s">
        <v>333</v>
      </c>
      <c r="Z46" s="48">
        <v>43556</v>
      </c>
      <c r="AA46" s="48">
        <v>44196</v>
      </c>
      <c r="AB46" s="38" t="s">
        <v>1370</v>
      </c>
      <c r="AC46" s="49"/>
      <c r="AD46" s="49"/>
      <c r="AE46" s="49"/>
      <c r="AF46" s="49"/>
      <c r="AG46" s="39"/>
      <c r="AH46" s="38"/>
      <c r="AI46" s="38"/>
      <c r="AJ46" s="50"/>
      <c r="AK46" s="44"/>
      <c r="AL46" s="39" t="str">
        <f t="shared" ca="1" si="11"/>
        <v>MUERTO</v>
      </c>
      <c r="AM46" s="39"/>
      <c r="AN46" s="39"/>
      <c r="AO46" s="39" t="s">
        <v>333</v>
      </c>
      <c r="AP46" s="39"/>
      <c r="AQ46" s="39" t="s">
        <v>333</v>
      </c>
      <c r="AR46" s="39"/>
      <c r="AS46" s="39"/>
      <c r="AT46" s="39"/>
      <c r="AU46" s="51"/>
      <c r="AV46" s="50"/>
      <c r="AW46" s="38"/>
      <c r="AX46" s="52"/>
      <c r="AY46" s="50"/>
      <c r="AZ46" s="38"/>
      <c r="BA46" s="38" t="e">
        <f>VLOOKUP(I46,#REF!,2,0)</f>
        <v>#REF!</v>
      </c>
      <c r="BB46" s="71"/>
      <c r="BC46" s="59">
        <v>43523</v>
      </c>
      <c r="BD46" s="59">
        <v>43553</v>
      </c>
      <c r="BE46" s="59">
        <v>43558</v>
      </c>
      <c r="BF46" s="59" t="s">
        <v>1297</v>
      </c>
      <c r="BG46" s="59" t="s">
        <v>161</v>
      </c>
      <c r="BH46" s="59" t="s">
        <v>161</v>
      </c>
      <c r="BI46" s="39" t="s">
        <v>1297</v>
      </c>
      <c r="BJ46" s="59" t="s">
        <v>161</v>
      </c>
      <c r="BK46" s="59" t="s">
        <v>161</v>
      </c>
      <c r="BL46" s="59" t="s">
        <v>1297</v>
      </c>
      <c r="BM46" s="59">
        <v>43585</v>
      </c>
      <c r="BN46" s="59">
        <v>43585</v>
      </c>
      <c r="BO46" s="59">
        <v>43559</v>
      </c>
      <c r="BP46" s="59">
        <v>43593</v>
      </c>
      <c r="BQ46" s="62" t="s">
        <v>186</v>
      </c>
      <c r="BR46" s="68" t="e">
        <f xml:space="preserve"> NETWORKDAYS(BC46,BM46,#REF!)</f>
        <v>#REF!</v>
      </c>
      <c r="BS46" s="69" t="e">
        <f>NETWORKDAYS(BC46,BN46,#REF!)</f>
        <v>#REF!</v>
      </c>
      <c r="BT46" s="62" t="s">
        <v>900</v>
      </c>
      <c r="BU46" s="84"/>
      <c r="BV46" s="86" t="s">
        <v>1377</v>
      </c>
      <c r="BW46" s="84"/>
      <c r="BX46" s="84"/>
      <c r="BY46" s="84"/>
      <c r="BZ46" s="84"/>
    </row>
    <row r="47" spans="1:78" ht="210" hidden="1" x14ac:dyDescent="0.25">
      <c r="A47" s="38" t="s">
        <v>1412</v>
      </c>
      <c r="B47" s="39">
        <v>45</v>
      </c>
      <c r="C47" s="38" t="s">
        <v>149</v>
      </c>
      <c r="D47" s="991" t="s">
        <v>1177</v>
      </c>
      <c r="E47" s="81" t="s">
        <v>163</v>
      </c>
      <c r="F47" s="39" t="s">
        <v>164</v>
      </c>
      <c r="G47" s="81" t="s">
        <v>163</v>
      </c>
      <c r="H47" s="81" t="s">
        <v>163</v>
      </c>
      <c r="I47" s="81" t="s">
        <v>1305</v>
      </c>
      <c r="J47" s="82"/>
      <c r="K47" s="82"/>
      <c r="L47" s="82"/>
      <c r="M47" s="42" t="str">
        <f t="shared" si="6"/>
        <v xml:space="preserve">Fonatur Infraestructura, S.A. de C.V.  </v>
      </c>
      <c r="N47" s="991" t="s">
        <v>198</v>
      </c>
      <c r="O47" s="991" t="s">
        <v>947</v>
      </c>
      <c r="P47" s="991" t="s">
        <v>1306</v>
      </c>
      <c r="Q47" s="992">
        <v>44788383.57</v>
      </c>
      <c r="R47" s="44">
        <f t="shared" si="12"/>
        <v>7166141.3711999999</v>
      </c>
      <c r="S47" s="45">
        <f t="shared" si="9"/>
        <v>51954524.941200003</v>
      </c>
      <c r="T47" s="46">
        <v>13457491.359999999</v>
      </c>
      <c r="U47" s="47">
        <f t="shared" si="13"/>
        <v>15610689.977599999</v>
      </c>
      <c r="V47" s="44">
        <f t="shared" si="10"/>
        <v>64943156.173600003</v>
      </c>
      <c r="W47" s="993" t="s">
        <v>156</v>
      </c>
      <c r="X47" s="48">
        <v>43556</v>
      </c>
      <c r="Y47" s="39" t="s">
        <v>333</v>
      </c>
      <c r="Z47" s="48">
        <v>43556</v>
      </c>
      <c r="AA47" s="48">
        <v>43830</v>
      </c>
      <c r="AB47" s="38" t="s">
        <v>1062</v>
      </c>
      <c r="AC47" s="49"/>
      <c r="AD47" s="49"/>
      <c r="AE47" s="49"/>
      <c r="AF47" s="49"/>
      <c r="AG47" s="39"/>
      <c r="AH47" s="100" t="s">
        <v>1413</v>
      </c>
      <c r="AI47" s="100" t="s">
        <v>1414</v>
      </c>
      <c r="AJ47" s="107" t="s">
        <v>1415</v>
      </c>
      <c r="AK47" s="102">
        <f>11197095.89*1.16</f>
        <v>12988631.2324</v>
      </c>
      <c r="AL47" s="39" t="str">
        <f t="shared" ca="1" si="11"/>
        <v>MUERTO</v>
      </c>
      <c r="AM47" s="39"/>
      <c r="AN47" s="39"/>
      <c r="AO47" s="39" t="s">
        <v>333</v>
      </c>
      <c r="AP47" s="39" t="s">
        <v>1324</v>
      </c>
      <c r="AQ47" s="39" t="s">
        <v>333</v>
      </c>
      <c r="AR47" s="39"/>
      <c r="AS47" s="39"/>
      <c r="AT47" s="39"/>
      <c r="AU47" s="51"/>
      <c r="AV47" s="50"/>
      <c r="AW47" s="38"/>
      <c r="AX47" s="52"/>
      <c r="AY47" s="50"/>
      <c r="AZ47" s="38"/>
      <c r="BA47" s="38" t="e">
        <f>VLOOKUP(I47,#REF!,2,0)</f>
        <v>#REF!</v>
      </c>
      <c r="BB47" s="71"/>
      <c r="BC47" s="59">
        <v>43553</v>
      </c>
      <c r="BD47" s="59">
        <v>43553</v>
      </c>
      <c r="BE47" s="59">
        <v>43564</v>
      </c>
      <c r="BF47" s="59" t="s">
        <v>1308</v>
      </c>
      <c r="BG47" s="59" t="s">
        <v>161</v>
      </c>
      <c r="BH47" s="59" t="s">
        <v>161</v>
      </c>
      <c r="BI47" s="39" t="s">
        <v>1133</v>
      </c>
      <c r="BJ47" s="59" t="s">
        <v>161</v>
      </c>
      <c r="BK47" s="59" t="s">
        <v>161</v>
      </c>
      <c r="BL47" s="59" t="s">
        <v>161</v>
      </c>
      <c r="BM47" s="59">
        <v>43587</v>
      </c>
      <c r="BN47" s="59">
        <v>43587</v>
      </c>
      <c r="BO47" s="59">
        <v>43587</v>
      </c>
      <c r="BP47" s="59">
        <v>43585</v>
      </c>
      <c r="BQ47" s="62">
        <v>43587</v>
      </c>
      <c r="BR47" s="68" t="e">
        <f xml:space="preserve"> NETWORKDAYS(BC47,BM47,#REF!)</f>
        <v>#REF!</v>
      </c>
      <c r="BS47" s="69" t="e">
        <f>NETWORKDAYS(BC47,BN47,#REF!)</f>
        <v>#REF!</v>
      </c>
      <c r="BT47" s="62"/>
      <c r="BU47" s="84"/>
      <c r="BV47" s="84"/>
      <c r="BW47" s="84"/>
      <c r="BX47" s="84"/>
      <c r="BY47" s="84"/>
      <c r="BZ47" s="84"/>
    </row>
    <row r="48" spans="1:78" ht="120" hidden="1" x14ac:dyDescent="0.25">
      <c r="A48" s="38" t="s">
        <v>1416</v>
      </c>
      <c r="B48" s="39">
        <v>46</v>
      </c>
      <c r="C48" s="38" t="s">
        <v>149</v>
      </c>
      <c r="D48" s="991" t="s">
        <v>1177</v>
      </c>
      <c r="E48" s="81" t="s">
        <v>163</v>
      </c>
      <c r="F48" s="39" t="s">
        <v>164</v>
      </c>
      <c r="G48" s="81" t="s">
        <v>163</v>
      </c>
      <c r="H48" s="81" t="s">
        <v>163</v>
      </c>
      <c r="I48" s="81" t="s">
        <v>1305</v>
      </c>
      <c r="J48" s="82"/>
      <c r="K48" s="82"/>
      <c r="L48" s="82"/>
      <c r="M48" s="42" t="str">
        <f t="shared" si="6"/>
        <v xml:space="preserve">Fonatur Infraestructura, S.A. de C.V.  </v>
      </c>
      <c r="N48" s="991" t="s">
        <v>198</v>
      </c>
      <c r="O48" s="991" t="s">
        <v>947</v>
      </c>
      <c r="P48" s="991" t="s">
        <v>1311</v>
      </c>
      <c r="Q48" s="992">
        <v>33643728.409999996</v>
      </c>
      <c r="R48" s="44">
        <f t="shared" si="12"/>
        <v>5382996.5455999998</v>
      </c>
      <c r="S48" s="45">
        <f t="shared" si="9"/>
        <v>39026724.955599993</v>
      </c>
      <c r="T48" s="46">
        <v>17915353.43</v>
      </c>
      <c r="U48" s="47">
        <f t="shared" si="13"/>
        <v>20781809.978799999</v>
      </c>
      <c r="V48" s="44">
        <f t="shared" si="10"/>
        <v>48783406.191599995</v>
      </c>
      <c r="W48" s="993" t="s">
        <v>156</v>
      </c>
      <c r="X48" s="48">
        <v>43556</v>
      </c>
      <c r="Y48" s="39" t="s">
        <v>333</v>
      </c>
      <c r="Z48" s="48">
        <v>43556</v>
      </c>
      <c r="AA48" s="48">
        <v>43830</v>
      </c>
      <c r="AB48" s="38" t="s">
        <v>1062</v>
      </c>
      <c r="AC48" s="49"/>
      <c r="AD48" s="49"/>
      <c r="AE48" s="49"/>
      <c r="AF48" s="49"/>
      <c r="AG48" s="39"/>
      <c r="AH48" s="100" t="s">
        <v>1417</v>
      </c>
      <c r="AI48" s="100" t="s">
        <v>1418</v>
      </c>
      <c r="AJ48" s="101">
        <v>43840</v>
      </c>
      <c r="AK48" s="102">
        <f>8410932.1*1.16</f>
        <v>9756681.2359999996</v>
      </c>
      <c r="AL48" s="39" t="str">
        <f t="shared" ca="1" si="11"/>
        <v>MUERTO</v>
      </c>
      <c r="AM48" s="39"/>
      <c r="AN48" s="39"/>
      <c r="AO48" s="39" t="s">
        <v>333</v>
      </c>
      <c r="AP48" s="39" t="s">
        <v>157</v>
      </c>
      <c r="AQ48" s="39" t="s">
        <v>333</v>
      </c>
      <c r="AR48" s="39"/>
      <c r="AS48" s="39"/>
      <c r="AT48" s="39"/>
      <c r="AU48" s="51"/>
      <c r="AV48" s="50"/>
      <c r="AW48" s="38"/>
      <c r="AX48" s="52"/>
      <c r="AY48" s="50"/>
      <c r="AZ48" s="38"/>
      <c r="BA48" s="38" t="e">
        <f>VLOOKUP(I48,#REF!,2,0)</f>
        <v>#REF!</v>
      </c>
      <c r="BB48" s="71"/>
      <c r="BC48" s="59">
        <v>43553</v>
      </c>
      <c r="BD48" s="59">
        <v>43553</v>
      </c>
      <c r="BE48" s="59">
        <v>43564</v>
      </c>
      <c r="BF48" s="59" t="s">
        <v>1308</v>
      </c>
      <c r="BG48" s="59" t="s">
        <v>161</v>
      </c>
      <c r="BH48" s="59" t="s">
        <v>161</v>
      </c>
      <c r="BI48" s="39" t="s">
        <v>1133</v>
      </c>
      <c r="BJ48" s="59" t="s">
        <v>161</v>
      </c>
      <c r="BK48" s="59" t="s">
        <v>161</v>
      </c>
      <c r="BL48" s="59" t="s">
        <v>161</v>
      </c>
      <c r="BM48" s="59">
        <v>43587</v>
      </c>
      <c r="BN48" s="59">
        <v>43587</v>
      </c>
      <c r="BO48" s="59">
        <v>43587</v>
      </c>
      <c r="BP48" s="59">
        <v>43585</v>
      </c>
      <c r="BQ48" s="62">
        <v>43587</v>
      </c>
      <c r="BR48" s="68" t="e">
        <f xml:space="preserve"> NETWORKDAYS(BC48,BM48,#REF!)</f>
        <v>#REF!</v>
      </c>
      <c r="BS48" s="69" t="e">
        <f>NETWORKDAYS(BC48,BN48,#REF!)</f>
        <v>#REF!</v>
      </c>
      <c r="BT48" s="62"/>
      <c r="BU48" s="84"/>
      <c r="BV48" s="84"/>
      <c r="BW48" s="84"/>
      <c r="BX48" s="84"/>
      <c r="BY48" s="84"/>
      <c r="BZ48" s="84"/>
    </row>
    <row r="49" spans="1:78" ht="105" hidden="1" x14ac:dyDescent="0.25">
      <c r="A49" s="38" t="s">
        <v>1419</v>
      </c>
      <c r="B49" s="39">
        <v>47</v>
      </c>
      <c r="C49" s="38" t="s">
        <v>149</v>
      </c>
      <c r="D49" s="991" t="s">
        <v>1420</v>
      </c>
      <c r="E49" s="39" t="s">
        <v>151</v>
      </c>
      <c r="F49" s="39" t="s">
        <v>152</v>
      </c>
      <c r="G49" s="39" t="s">
        <v>151</v>
      </c>
      <c r="H49" s="39"/>
      <c r="I49" s="81" t="s">
        <v>1421</v>
      </c>
      <c r="J49" s="82"/>
      <c r="K49" s="82"/>
      <c r="L49" s="82"/>
      <c r="M49" s="42" t="str">
        <f t="shared" si="6"/>
        <v xml:space="preserve">Manatie Prod, S.A. de C.V.  </v>
      </c>
      <c r="N49" s="991" t="s">
        <v>1422</v>
      </c>
      <c r="O49" s="991" t="s">
        <v>1422</v>
      </c>
      <c r="P49" s="991" t="s">
        <v>1423</v>
      </c>
      <c r="Q49" s="992">
        <v>367200</v>
      </c>
      <c r="R49" s="44">
        <f t="shared" si="12"/>
        <v>58752</v>
      </c>
      <c r="S49" s="45">
        <f t="shared" si="9"/>
        <v>425952</v>
      </c>
      <c r="T49" s="46">
        <v>0</v>
      </c>
      <c r="U49" s="47">
        <f t="shared" si="13"/>
        <v>0</v>
      </c>
      <c r="V49" s="44">
        <f t="shared" si="10"/>
        <v>494392</v>
      </c>
      <c r="W49" s="993" t="s">
        <v>156</v>
      </c>
      <c r="X49" s="48">
        <v>43558</v>
      </c>
      <c r="Y49" s="39" t="s">
        <v>333</v>
      </c>
      <c r="Z49" s="48">
        <v>43571</v>
      </c>
      <c r="AA49" s="48">
        <v>43830</v>
      </c>
      <c r="AB49" s="38" t="s">
        <v>182</v>
      </c>
      <c r="AC49" s="49"/>
      <c r="AD49" s="49"/>
      <c r="AE49" s="49"/>
      <c r="AF49" s="49"/>
      <c r="AG49" s="39" t="s">
        <v>156</v>
      </c>
      <c r="AH49" s="100" t="s">
        <v>1424</v>
      </c>
      <c r="AI49" s="100" t="s">
        <v>1405</v>
      </c>
      <c r="AJ49" s="101">
        <v>43836</v>
      </c>
      <c r="AK49" s="102">
        <f>59000*1.16</f>
        <v>68440</v>
      </c>
      <c r="AL49" s="39" t="str">
        <f t="shared" ca="1" si="11"/>
        <v>MUERTO</v>
      </c>
      <c r="AM49" s="39"/>
      <c r="AN49" s="39"/>
      <c r="AO49" s="39" t="s">
        <v>333</v>
      </c>
      <c r="AP49" s="39" t="s">
        <v>193</v>
      </c>
      <c r="AQ49" s="39" t="s">
        <v>333</v>
      </c>
      <c r="AR49" s="39"/>
      <c r="AS49" s="39"/>
      <c r="AT49" s="39"/>
      <c r="AU49" s="51"/>
      <c r="AV49" s="50"/>
      <c r="AW49" s="38"/>
      <c r="AX49" s="52"/>
      <c r="AY49" s="50"/>
      <c r="AZ49" s="38"/>
      <c r="BA49" s="38" t="e">
        <f>VLOOKUP(I49,#REF!,2,0)</f>
        <v>#REF!</v>
      </c>
      <c r="BB49" s="71"/>
      <c r="BC49" s="59">
        <v>43545</v>
      </c>
      <c r="BD49" s="59">
        <v>43553</v>
      </c>
      <c r="BE49" s="59">
        <v>43564</v>
      </c>
      <c r="BF49" s="59">
        <v>43584</v>
      </c>
      <c r="BG49" s="59">
        <v>43591</v>
      </c>
      <c r="BH49" s="59" t="s">
        <v>1425</v>
      </c>
      <c r="BI49" s="39" t="e">
        <f>NETWORKDAYS(BF49,BG49,#REF!)</f>
        <v>#REF!</v>
      </c>
      <c r="BJ49" s="59" t="s">
        <v>1426</v>
      </c>
      <c r="BK49" s="59" t="s">
        <v>1427</v>
      </c>
      <c r="BL49" s="59" t="s">
        <v>1279</v>
      </c>
      <c r="BM49" s="59">
        <v>43616</v>
      </c>
      <c r="BN49" s="59">
        <v>43605</v>
      </c>
      <c r="BO49" s="59">
        <v>43600</v>
      </c>
      <c r="BP49" s="59">
        <v>43605</v>
      </c>
      <c r="BQ49" s="62">
        <v>43605</v>
      </c>
      <c r="BR49" s="68" t="e">
        <f xml:space="preserve"> NETWORKDAYS(BC49,BM49,#REF!)</f>
        <v>#REF!</v>
      </c>
      <c r="BS49" s="69" t="e">
        <f>NETWORKDAYS(BC49,BN49,#REF!)</f>
        <v>#REF!</v>
      </c>
      <c r="BT49" s="62"/>
      <c r="BU49" s="84"/>
      <c r="BV49" s="84"/>
      <c r="BW49" s="84"/>
      <c r="BX49" s="84"/>
      <c r="BY49" s="84"/>
      <c r="BZ49" s="84"/>
    </row>
    <row r="50" spans="1:78" ht="210" hidden="1" x14ac:dyDescent="0.25">
      <c r="A50" s="38" t="s">
        <v>1428</v>
      </c>
      <c r="B50" s="39">
        <v>48</v>
      </c>
      <c r="C50" s="38" t="s">
        <v>149</v>
      </c>
      <c r="D50" s="991" t="s">
        <v>1429</v>
      </c>
      <c r="E50" s="39" t="s">
        <v>151</v>
      </c>
      <c r="F50" s="39" t="s">
        <v>152</v>
      </c>
      <c r="G50" s="39" t="s">
        <v>151</v>
      </c>
      <c r="H50" s="39"/>
      <c r="I50" s="81" t="s">
        <v>1430</v>
      </c>
      <c r="J50" s="82"/>
      <c r="K50" s="82"/>
      <c r="L50" s="82"/>
      <c r="M50" s="42" t="str">
        <f t="shared" si="6"/>
        <v xml:space="preserve">Impulso Metropolitano de Vivienda S.A. de C.V.  </v>
      </c>
      <c r="N50" s="991" t="s">
        <v>1431</v>
      </c>
      <c r="O50" s="991" t="s">
        <v>1432</v>
      </c>
      <c r="P50" s="991" t="s">
        <v>1433</v>
      </c>
      <c r="Q50" s="992">
        <v>627245.68999999994</v>
      </c>
      <c r="R50" s="44">
        <f t="shared" si="12"/>
        <v>100359.31039999999</v>
      </c>
      <c r="S50" s="45">
        <f t="shared" si="9"/>
        <v>727605.0003999999</v>
      </c>
      <c r="T50" s="46">
        <v>263829.31</v>
      </c>
      <c r="U50" s="47">
        <f t="shared" si="13"/>
        <v>306041.99959999998</v>
      </c>
      <c r="V50" s="44">
        <f t="shared" si="10"/>
        <v>765105.0003999999</v>
      </c>
      <c r="W50" s="992" t="s">
        <v>156</v>
      </c>
      <c r="X50" s="48">
        <v>43556</v>
      </c>
      <c r="Y50" s="39" t="s">
        <v>333</v>
      </c>
      <c r="Z50" s="48">
        <v>43556</v>
      </c>
      <c r="AA50" s="48">
        <v>43830</v>
      </c>
      <c r="AB50" s="38" t="s">
        <v>1434</v>
      </c>
      <c r="AC50" s="49"/>
      <c r="AD50" s="49"/>
      <c r="AE50" s="49"/>
      <c r="AF50" s="49"/>
      <c r="AG50" s="39" t="s">
        <v>156</v>
      </c>
      <c r="AH50" s="38" t="s">
        <v>1435</v>
      </c>
      <c r="AI50" s="38" t="s">
        <v>1436</v>
      </c>
      <c r="AJ50" s="50">
        <v>43754</v>
      </c>
      <c r="AK50" s="44">
        <v>37500</v>
      </c>
      <c r="AL50" s="39" t="str">
        <f t="shared" ca="1" si="11"/>
        <v>MUERTO</v>
      </c>
      <c r="AM50" s="39"/>
      <c r="AN50" s="39"/>
      <c r="AO50" s="39" t="s">
        <v>333</v>
      </c>
      <c r="AP50" s="39" t="s">
        <v>881</v>
      </c>
      <c r="AQ50" s="39" t="s">
        <v>333</v>
      </c>
      <c r="AR50" s="39"/>
      <c r="AS50" s="39"/>
      <c r="AT50" s="39"/>
      <c r="AU50" s="51"/>
      <c r="AV50" s="50"/>
      <c r="AW50" s="38"/>
      <c r="AX50" s="52"/>
      <c r="AY50" s="50"/>
      <c r="AZ50" s="38"/>
      <c r="BA50" s="38" t="e">
        <f>VLOOKUP(I50,#REF!,2,0)</f>
        <v>#REF!</v>
      </c>
      <c r="BB50" s="71"/>
      <c r="BC50" s="59">
        <v>43538</v>
      </c>
      <c r="BD50" s="59">
        <v>43551</v>
      </c>
      <c r="BE50" s="59">
        <v>43564</v>
      </c>
      <c r="BF50" s="59">
        <v>43566</v>
      </c>
      <c r="BG50" s="59">
        <v>43600</v>
      </c>
      <c r="BH50" s="59" t="s">
        <v>1437</v>
      </c>
      <c r="BI50" s="39" t="e">
        <f>NETWORKDAYS(BF50,BG50,#REF!)</f>
        <v>#REF!</v>
      </c>
      <c r="BJ50" s="59" t="s">
        <v>1438</v>
      </c>
      <c r="BK50" s="59" t="s">
        <v>1439</v>
      </c>
      <c r="BL50" s="59" t="s">
        <v>1440</v>
      </c>
      <c r="BM50" s="59" t="s">
        <v>1441</v>
      </c>
      <c r="BN50" s="59">
        <v>43579</v>
      </c>
      <c r="BO50" s="59">
        <v>43579</v>
      </c>
      <c r="BP50" s="59">
        <v>43588</v>
      </c>
      <c r="BQ50" s="62">
        <v>43579</v>
      </c>
      <c r="BR50" s="68" t="e">
        <f xml:space="preserve"> NETWORKDAYS(BC50,BM50,#REF!)</f>
        <v>#VALUE!</v>
      </c>
      <c r="BS50" s="69" t="e">
        <f>NETWORKDAYS(BC50,BN50,#REF!)</f>
        <v>#REF!</v>
      </c>
      <c r="BT50" s="62" t="s">
        <v>1442</v>
      </c>
      <c r="BU50" s="84"/>
      <c r="BV50" s="84"/>
      <c r="BW50" s="84"/>
      <c r="BX50" s="84"/>
      <c r="BY50" s="84"/>
      <c r="BZ50" s="84"/>
    </row>
    <row r="51" spans="1:78" ht="105" hidden="1" x14ac:dyDescent="0.25">
      <c r="A51" s="598" t="s">
        <v>1443</v>
      </c>
      <c r="B51" s="39">
        <v>49</v>
      </c>
      <c r="C51" s="38" t="s">
        <v>225</v>
      </c>
      <c r="D51" s="991" t="s">
        <v>1444</v>
      </c>
      <c r="E51" s="39" t="s">
        <v>151</v>
      </c>
      <c r="F51" s="39" t="s">
        <v>152</v>
      </c>
      <c r="G51" s="39" t="s">
        <v>151</v>
      </c>
      <c r="H51" s="39"/>
      <c r="I51" s="81" t="s">
        <v>1445</v>
      </c>
      <c r="J51" s="82"/>
      <c r="K51" s="82"/>
      <c r="L51" s="82"/>
      <c r="M51" s="42" t="str">
        <f t="shared" si="6"/>
        <v xml:space="preserve">Distribuidora Comercial Ronyte, S.A. de C.V.  </v>
      </c>
      <c r="N51" s="991" t="s">
        <v>198</v>
      </c>
      <c r="O51" s="991" t="s">
        <v>947</v>
      </c>
      <c r="P51" s="991" t="s">
        <v>1446</v>
      </c>
      <c r="Q51" s="992">
        <v>190000</v>
      </c>
      <c r="R51" s="44">
        <f t="shared" si="12"/>
        <v>30400</v>
      </c>
      <c r="S51" s="45">
        <f t="shared" si="9"/>
        <v>220400</v>
      </c>
      <c r="T51" s="46">
        <v>5000</v>
      </c>
      <c r="U51" s="47">
        <f t="shared" si="13"/>
        <v>5800</v>
      </c>
      <c r="V51" s="44">
        <f t="shared" si="10"/>
        <v>220400</v>
      </c>
      <c r="W51" s="993" t="s">
        <v>156</v>
      </c>
      <c r="X51" s="48">
        <v>43556</v>
      </c>
      <c r="Y51" s="39" t="s">
        <v>333</v>
      </c>
      <c r="Z51" s="48">
        <v>43556</v>
      </c>
      <c r="AA51" s="48">
        <v>43830</v>
      </c>
      <c r="AB51" s="38" t="s">
        <v>182</v>
      </c>
      <c r="AC51" s="49"/>
      <c r="AD51" s="49"/>
      <c r="AE51" s="49"/>
      <c r="AF51" s="49"/>
      <c r="AG51" s="39" t="s">
        <v>156</v>
      </c>
      <c r="AH51" s="38"/>
      <c r="AI51" s="38"/>
      <c r="AJ51" s="50"/>
      <c r="AK51" s="44"/>
      <c r="AL51" s="39" t="str">
        <f t="shared" ca="1" si="11"/>
        <v>MUERTO</v>
      </c>
      <c r="AM51" s="39"/>
      <c r="AN51" s="39"/>
      <c r="AO51" s="39" t="s">
        <v>333</v>
      </c>
      <c r="AP51" s="39"/>
      <c r="AQ51" s="39" t="s">
        <v>333</v>
      </c>
      <c r="AR51" s="39"/>
      <c r="AS51" s="39"/>
      <c r="AT51" s="39"/>
      <c r="AU51" s="51"/>
      <c r="AV51" s="50"/>
      <c r="AW51" s="38"/>
      <c r="AX51" s="52"/>
      <c r="AY51" s="50"/>
      <c r="AZ51" s="38"/>
      <c r="BA51" s="38" t="e">
        <f>VLOOKUP(I51,#REF!,2,0)</f>
        <v>#REF!</v>
      </c>
      <c r="BB51" s="71"/>
      <c r="BC51" s="59">
        <v>43543</v>
      </c>
      <c r="BD51" s="59">
        <v>43551</v>
      </c>
      <c r="BE51" s="59">
        <v>43564</v>
      </c>
      <c r="BF51" s="59">
        <v>43565</v>
      </c>
      <c r="BG51" s="59">
        <v>43578</v>
      </c>
      <c r="BH51" s="59">
        <v>43578</v>
      </c>
      <c r="BI51" s="39" t="e">
        <f>NETWORKDAYS(BF51,BG51,#REF!)</f>
        <v>#REF!</v>
      </c>
      <c r="BJ51" s="59">
        <v>43579</v>
      </c>
      <c r="BK51" s="59">
        <v>43587</v>
      </c>
      <c r="BL51" s="59" t="s">
        <v>161</v>
      </c>
      <c r="BM51" s="59">
        <v>43591</v>
      </c>
      <c r="BN51" s="59">
        <v>43587</v>
      </c>
      <c r="BO51" s="59">
        <v>43581</v>
      </c>
      <c r="BP51" s="59">
        <v>43588</v>
      </c>
      <c r="BQ51" s="62">
        <v>43587</v>
      </c>
      <c r="BR51" s="68" t="e">
        <f xml:space="preserve"> NETWORKDAYS(BC51,BM51,#REF!)</f>
        <v>#REF!</v>
      </c>
      <c r="BS51" s="69" t="e">
        <f>NETWORKDAYS(BC51,BN51,#REF!)</f>
        <v>#REF!</v>
      </c>
      <c r="BT51" s="62"/>
      <c r="BU51" s="84"/>
      <c r="BV51" s="84"/>
      <c r="BW51" s="84"/>
      <c r="BX51" s="84"/>
      <c r="BY51" s="84"/>
      <c r="BZ51" s="84"/>
    </row>
    <row r="52" spans="1:78" ht="180" hidden="1" x14ac:dyDescent="0.25">
      <c r="A52" s="38" t="s">
        <v>1447</v>
      </c>
      <c r="B52" s="39">
        <v>50</v>
      </c>
      <c r="C52" s="38" t="s">
        <v>149</v>
      </c>
      <c r="D52" s="991" t="s">
        <v>1448</v>
      </c>
      <c r="E52" s="39" t="s">
        <v>151</v>
      </c>
      <c r="F52" s="39" t="s">
        <v>152</v>
      </c>
      <c r="G52" s="39" t="s">
        <v>151</v>
      </c>
      <c r="H52" s="39"/>
      <c r="I52" s="81"/>
      <c r="J52" s="82" t="s">
        <v>288</v>
      </c>
      <c r="K52" s="82" t="s">
        <v>289</v>
      </c>
      <c r="L52" s="82" t="s">
        <v>290</v>
      </c>
      <c r="M52" s="42" t="str">
        <f t="shared" si="6"/>
        <v>Eliseo Madera Olague</v>
      </c>
      <c r="N52" s="991" t="s">
        <v>1431</v>
      </c>
      <c r="O52" s="991" t="s">
        <v>1432</v>
      </c>
      <c r="P52" s="991" t="s">
        <v>1449</v>
      </c>
      <c r="Q52" s="992">
        <v>611429.94999999995</v>
      </c>
      <c r="R52" s="44">
        <f t="shared" si="12"/>
        <v>97828.792000000001</v>
      </c>
      <c r="S52" s="45">
        <f t="shared" si="9"/>
        <v>709258.74199999997</v>
      </c>
      <c r="T52" s="46">
        <v>279054.75</v>
      </c>
      <c r="U52" s="47">
        <f t="shared" si="13"/>
        <v>323703.51</v>
      </c>
      <c r="V52" s="44">
        <f t="shared" si="10"/>
        <v>809259.32199999993</v>
      </c>
      <c r="W52" s="993" t="s">
        <v>156</v>
      </c>
      <c r="X52" s="48">
        <v>43556</v>
      </c>
      <c r="Y52" s="39" t="s">
        <v>333</v>
      </c>
      <c r="Z52" s="48">
        <v>43556</v>
      </c>
      <c r="AA52" s="48">
        <v>43830</v>
      </c>
      <c r="AB52" s="38" t="s">
        <v>1450</v>
      </c>
      <c r="AC52" s="49"/>
      <c r="AD52" s="49"/>
      <c r="AE52" s="49"/>
      <c r="AF52" s="49"/>
      <c r="AG52" s="39" t="s">
        <v>156</v>
      </c>
      <c r="AH52" s="100" t="s">
        <v>1451</v>
      </c>
      <c r="AI52" s="100" t="s">
        <v>1452</v>
      </c>
      <c r="AJ52" s="101" t="s">
        <v>1453</v>
      </c>
      <c r="AK52" s="102">
        <v>100000.58</v>
      </c>
      <c r="AL52" s="39" t="str">
        <f t="shared" ca="1" si="11"/>
        <v>MUERTO</v>
      </c>
      <c r="AM52" s="39"/>
      <c r="AN52" s="39"/>
      <c r="AO52" s="39" t="s">
        <v>333</v>
      </c>
      <c r="AP52" s="39" t="s">
        <v>1324</v>
      </c>
      <c r="AQ52" s="39" t="s">
        <v>333</v>
      </c>
      <c r="AR52" s="39"/>
      <c r="AS52" s="39"/>
      <c r="AT52" s="39"/>
      <c r="AU52" s="51"/>
      <c r="AV52" s="50"/>
      <c r="AW52" s="38"/>
      <c r="AX52" s="52"/>
      <c r="AY52" s="50"/>
      <c r="AZ52" s="38"/>
      <c r="BA52" s="38" t="e">
        <f>VLOOKUP(I52,#REF!,2,0)</f>
        <v>#REF!</v>
      </c>
      <c r="BB52" s="71"/>
      <c r="BC52" s="59">
        <v>43546</v>
      </c>
      <c r="BD52" s="59">
        <v>43551</v>
      </c>
      <c r="BE52" s="59">
        <v>43564</v>
      </c>
      <c r="BF52" s="59">
        <v>43565</v>
      </c>
      <c r="BG52" s="59">
        <v>43608</v>
      </c>
      <c r="BH52" s="59" t="s">
        <v>1454</v>
      </c>
      <c r="BI52" s="39" t="e">
        <f>NETWORKDAYS(BF52,BG52,#REF!)</f>
        <v>#REF!</v>
      </c>
      <c r="BJ52" s="59" t="s">
        <v>1455</v>
      </c>
      <c r="BK52" s="59" t="s">
        <v>1456</v>
      </c>
      <c r="BL52" s="59" t="s">
        <v>479</v>
      </c>
      <c r="BM52" s="59">
        <v>43616</v>
      </c>
      <c r="BN52" s="59">
        <v>43585</v>
      </c>
      <c r="BO52" s="59">
        <v>43577</v>
      </c>
      <c r="BP52" s="59">
        <v>43585</v>
      </c>
      <c r="BQ52" s="62">
        <v>43585</v>
      </c>
      <c r="BR52" s="68" t="e">
        <f xml:space="preserve"> NETWORKDAYS(BC52,BM52,#REF!)</f>
        <v>#REF!</v>
      </c>
      <c r="BS52" s="69" t="e">
        <f>NETWORKDAYS(BC52,BN52,#REF!)</f>
        <v>#REF!</v>
      </c>
      <c r="BT52" s="62" t="s">
        <v>900</v>
      </c>
      <c r="BU52" s="84"/>
      <c r="BV52" s="84"/>
      <c r="BW52" s="84"/>
      <c r="BX52" s="84"/>
      <c r="BY52" s="84"/>
      <c r="BZ52" s="84"/>
    </row>
    <row r="53" spans="1:78" ht="285" hidden="1" x14ac:dyDescent="0.25">
      <c r="A53" s="38" t="s">
        <v>1457</v>
      </c>
      <c r="B53" s="39">
        <v>51</v>
      </c>
      <c r="C53" s="38" t="s">
        <v>149</v>
      </c>
      <c r="D53" s="991" t="s">
        <v>1458</v>
      </c>
      <c r="E53" s="4" t="s">
        <v>173</v>
      </c>
      <c r="F53" s="39" t="s">
        <v>326</v>
      </c>
      <c r="G53" s="39" t="s">
        <v>175</v>
      </c>
      <c r="H53" s="39"/>
      <c r="I53" s="81" t="s">
        <v>351</v>
      </c>
      <c r="J53" s="82"/>
      <c r="K53" s="82"/>
      <c r="L53" s="82"/>
      <c r="M53" s="42" t="str">
        <f t="shared" si="6"/>
        <v xml:space="preserve">Alos Mantenimiento Integral, S.A. de C.V.  </v>
      </c>
      <c r="N53" s="991" t="s">
        <v>1431</v>
      </c>
      <c r="O53" s="991" t="s">
        <v>1459</v>
      </c>
      <c r="P53" s="991" t="s">
        <v>1460</v>
      </c>
      <c r="Q53" s="992">
        <v>1145297.8700000001</v>
      </c>
      <c r="R53" s="44">
        <f t="shared" si="12"/>
        <v>183247.65920000002</v>
      </c>
      <c r="S53" s="45">
        <f t="shared" si="9"/>
        <v>1328545.5292000002</v>
      </c>
      <c r="T53" s="46">
        <v>458119.14600000001</v>
      </c>
      <c r="U53" s="47">
        <f t="shared" si="13"/>
        <v>531418.20935999998</v>
      </c>
      <c r="V53" s="44">
        <f t="shared" si="10"/>
        <v>1652179.2188000001</v>
      </c>
      <c r="W53" s="993" t="s">
        <v>156</v>
      </c>
      <c r="X53" s="48">
        <v>43558</v>
      </c>
      <c r="Y53" s="39" t="s">
        <v>333</v>
      </c>
      <c r="Z53" s="48">
        <v>43556</v>
      </c>
      <c r="AA53" s="48">
        <v>43830</v>
      </c>
      <c r="AB53" s="38" t="s">
        <v>1461</v>
      </c>
      <c r="AC53" s="49"/>
      <c r="AD53" s="49"/>
      <c r="AE53" s="49"/>
      <c r="AF53" s="49"/>
      <c r="AG53" s="39" t="s">
        <v>156</v>
      </c>
      <c r="AH53" s="100" t="s">
        <v>1462</v>
      </c>
      <c r="AI53" s="100" t="s">
        <v>1218</v>
      </c>
      <c r="AJ53" s="101">
        <v>43825</v>
      </c>
      <c r="AK53" s="102">
        <f>278994.56*1.16</f>
        <v>323633.68959999998</v>
      </c>
      <c r="AL53" s="39" t="str">
        <f t="shared" ca="1" si="11"/>
        <v>MUERTO</v>
      </c>
      <c r="AM53" s="39"/>
      <c r="AN53" s="39"/>
      <c r="AO53" s="39" t="s">
        <v>333</v>
      </c>
      <c r="AP53" s="39" t="s">
        <v>924</v>
      </c>
      <c r="AQ53" s="39" t="s">
        <v>333</v>
      </c>
      <c r="AR53" s="39"/>
      <c r="AS53" s="39"/>
      <c r="AT53" s="39"/>
      <c r="AU53" s="51"/>
      <c r="AV53" s="50"/>
      <c r="AW53" s="38"/>
      <c r="AX53" s="52"/>
      <c r="AY53" s="50"/>
      <c r="AZ53" s="38"/>
      <c r="BA53" s="38" t="e">
        <f>VLOOKUP(I53,#REF!,2,0)</f>
        <v>#REF!</v>
      </c>
      <c r="BB53" s="71"/>
      <c r="BC53" s="59">
        <v>43553</v>
      </c>
      <c r="BD53" s="59">
        <v>43553</v>
      </c>
      <c r="BE53" s="59">
        <v>43564</v>
      </c>
      <c r="BF53" s="59">
        <v>43570</v>
      </c>
      <c r="BG53" s="59">
        <v>43598</v>
      </c>
      <c r="BH53" s="59" t="s">
        <v>1463</v>
      </c>
      <c r="BI53" s="39" t="e">
        <f>NETWORKDAYS(BF53,BG53,#REF!)</f>
        <v>#REF!</v>
      </c>
      <c r="BJ53" s="59" t="s">
        <v>1464</v>
      </c>
      <c r="BK53" s="59" t="s">
        <v>1465</v>
      </c>
      <c r="BL53" s="59" t="s">
        <v>1466</v>
      </c>
      <c r="BM53" s="59">
        <v>43642</v>
      </c>
      <c r="BN53" s="59">
        <v>43587</v>
      </c>
      <c r="BO53" s="59">
        <v>43581</v>
      </c>
      <c r="BP53" s="59">
        <v>43627</v>
      </c>
      <c r="BQ53" s="62">
        <v>43587</v>
      </c>
      <c r="BR53" s="68" t="e">
        <f xml:space="preserve"> NETWORKDAYS(BC53,BM53,#REF!)</f>
        <v>#REF!</v>
      </c>
      <c r="BS53" s="69" t="e">
        <f>NETWORKDAYS(BC53,BN53,#REF!)</f>
        <v>#REF!</v>
      </c>
      <c r="BT53" s="62" t="s">
        <v>900</v>
      </c>
      <c r="BU53" s="84"/>
      <c r="BV53" s="84"/>
      <c r="BW53" s="84"/>
      <c r="BX53" s="84"/>
      <c r="BY53" s="84"/>
      <c r="BZ53" s="84"/>
    </row>
    <row r="54" spans="1:78" ht="150" hidden="1" x14ac:dyDescent="0.25">
      <c r="A54" s="598" t="s">
        <v>1467</v>
      </c>
      <c r="B54" s="39">
        <v>52</v>
      </c>
      <c r="C54" s="38" t="s">
        <v>225</v>
      </c>
      <c r="D54" s="991" t="s">
        <v>1468</v>
      </c>
      <c r="E54" s="4" t="s">
        <v>173</v>
      </c>
      <c r="F54" s="39" t="s">
        <v>326</v>
      </c>
      <c r="G54" s="39" t="s">
        <v>175</v>
      </c>
      <c r="H54" s="39"/>
      <c r="I54" s="81"/>
      <c r="J54" s="82" t="s">
        <v>1469</v>
      </c>
      <c r="K54" s="82" t="s">
        <v>453</v>
      </c>
      <c r="L54" s="82" t="s">
        <v>454</v>
      </c>
      <c r="M54" s="42" t="str">
        <f t="shared" si="6"/>
        <v>Claudia Angélica López Flores</v>
      </c>
      <c r="N54" s="991" t="s">
        <v>301</v>
      </c>
      <c r="O54" s="991" t="s">
        <v>302</v>
      </c>
      <c r="P54" s="991" t="s">
        <v>1470</v>
      </c>
      <c r="Q54" s="992">
        <v>1084969.3400000001</v>
      </c>
      <c r="R54" s="44">
        <f t="shared" si="12"/>
        <v>173595.09440000003</v>
      </c>
      <c r="S54" s="45">
        <f t="shared" si="9"/>
        <v>1258564.4344000001</v>
      </c>
      <c r="T54" s="46">
        <v>433987.73</v>
      </c>
      <c r="U54" s="47">
        <f t="shared" si="13"/>
        <v>503425.76679999998</v>
      </c>
      <c r="V54" s="44">
        <f t="shared" si="10"/>
        <v>1258564.4344000001</v>
      </c>
      <c r="W54" s="993" t="s">
        <v>156</v>
      </c>
      <c r="X54" s="48">
        <v>43556</v>
      </c>
      <c r="Y54" s="39" t="s">
        <v>333</v>
      </c>
      <c r="Z54" s="48">
        <v>43556</v>
      </c>
      <c r="AA54" s="48">
        <v>43830</v>
      </c>
      <c r="AB54" s="38" t="s">
        <v>182</v>
      </c>
      <c r="AC54" s="49"/>
      <c r="AD54" s="49"/>
      <c r="AE54" s="49"/>
      <c r="AF54" s="49"/>
      <c r="AG54" s="39" t="s">
        <v>156</v>
      </c>
      <c r="AH54" s="100" t="s">
        <v>1471</v>
      </c>
      <c r="AI54" s="100" t="s">
        <v>1472</v>
      </c>
      <c r="AJ54" s="101">
        <v>44179</v>
      </c>
      <c r="AK54" s="102">
        <v>0</v>
      </c>
      <c r="AL54" s="39" t="str">
        <f t="shared" ca="1" si="11"/>
        <v>MUERTO</v>
      </c>
      <c r="AM54" s="39"/>
      <c r="AN54" s="39"/>
      <c r="AO54" s="39" t="s">
        <v>333</v>
      </c>
      <c r="AP54" s="39"/>
      <c r="AQ54" s="39" t="s">
        <v>333</v>
      </c>
      <c r="AR54" s="39"/>
      <c r="AS54" s="39"/>
      <c r="AT54" s="39"/>
      <c r="AU54" s="51"/>
      <c r="AV54" s="50"/>
      <c r="AW54" s="38"/>
      <c r="AX54" s="52"/>
      <c r="AY54" s="50"/>
      <c r="AZ54" s="38"/>
      <c r="BA54" s="38" t="e">
        <f>VLOOKUP(I54,#REF!,2,0)</f>
        <v>#REF!</v>
      </c>
      <c r="BB54" s="71"/>
      <c r="BC54" s="59">
        <v>43553</v>
      </c>
      <c r="BD54" s="59">
        <v>43556</v>
      </c>
      <c r="BE54" s="59">
        <v>43565</v>
      </c>
      <c r="BF54" s="59">
        <v>43567</v>
      </c>
      <c r="BG54" s="59"/>
      <c r="BH54" s="59" t="s">
        <v>1399</v>
      </c>
      <c r="BI54" s="39" t="e">
        <f>NETWORKDAYS(BF54,BG54,#REF!)</f>
        <v>#REF!</v>
      </c>
      <c r="BJ54" s="59" t="s">
        <v>1399</v>
      </c>
      <c r="BK54" s="59" t="s">
        <v>1399</v>
      </c>
      <c r="BL54" s="59" t="s">
        <v>1399</v>
      </c>
      <c r="BM54" s="59" t="s">
        <v>1399</v>
      </c>
      <c r="BN54" s="59" t="s">
        <v>1399</v>
      </c>
      <c r="BO54" s="59" t="s">
        <v>1399</v>
      </c>
      <c r="BP54" s="59" t="s">
        <v>1399</v>
      </c>
      <c r="BQ54" s="62" t="s">
        <v>1399</v>
      </c>
      <c r="BR54" s="68" t="e">
        <f xml:space="preserve"> NETWORKDAYS(BC54,BM54,#REF!)</f>
        <v>#VALUE!</v>
      </c>
      <c r="BS54" s="69" t="e">
        <f>NETWORKDAYS(BC54,BN54,#REF!)</f>
        <v>#VALUE!</v>
      </c>
      <c r="BT54" s="62"/>
      <c r="BU54" s="84"/>
      <c r="BV54" s="84"/>
      <c r="BW54" s="84"/>
      <c r="BX54" s="84"/>
      <c r="BY54" s="84"/>
      <c r="BZ54" s="84"/>
    </row>
    <row r="55" spans="1:78" ht="150" hidden="1" x14ac:dyDescent="0.25">
      <c r="A55" s="598" t="s">
        <v>1473</v>
      </c>
      <c r="B55" s="39">
        <v>53</v>
      </c>
      <c r="C55" s="38" t="s">
        <v>225</v>
      </c>
      <c r="D55" s="991" t="s">
        <v>1468</v>
      </c>
      <c r="E55" s="4" t="s">
        <v>173</v>
      </c>
      <c r="F55" s="39" t="s">
        <v>326</v>
      </c>
      <c r="G55" s="39" t="s">
        <v>175</v>
      </c>
      <c r="H55" s="39"/>
      <c r="I55" s="81"/>
      <c r="J55" s="82" t="s">
        <v>1469</v>
      </c>
      <c r="K55" s="82" t="s">
        <v>453</v>
      </c>
      <c r="L55" s="82" t="s">
        <v>454</v>
      </c>
      <c r="M55" s="42" t="str">
        <f t="shared" si="6"/>
        <v>Claudia Angélica López Flores</v>
      </c>
      <c r="N55" s="991" t="s">
        <v>301</v>
      </c>
      <c r="O55" s="991" t="s">
        <v>302</v>
      </c>
      <c r="P55" s="991" t="s">
        <v>1474</v>
      </c>
      <c r="Q55" s="992">
        <v>92610</v>
      </c>
      <c r="R55" s="44">
        <f t="shared" si="12"/>
        <v>14817.6</v>
      </c>
      <c r="S55" s="45">
        <f t="shared" si="9"/>
        <v>107427.6</v>
      </c>
      <c r="T55" s="46">
        <v>37044</v>
      </c>
      <c r="U55" s="47">
        <f t="shared" si="13"/>
        <v>42971.040000000001</v>
      </c>
      <c r="V55" s="44">
        <f t="shared" si="10"/>
        <v>107427.6</v>
      </c>
      <c r="W55" s="993" t="s">
        <v>156</v>
      </c>
      <c r="X55" s="48">
        <v>43556</v>
      </c>
      <c r="Y55" s="39" t="s">
        <v>333</v>
      </c>
      <c r="Z55" s="48">
        <v>43556</v>
      </c>
      <c r="AA55" s="48">
        <v>43830</v>
      </c>
      <c r="AB55" s="38" t="s">
        <v>182</v>
      </c>
      <c r="AC55" s="49"/>
      <c r="AD55" s="49"/>
      <c r="AE55" s="49"/>
      <c r="AF55" s="49"/>
      <c r="AG55" s="39" t="s">
        <v>156</v>
      </c>
      <c r="AH55" s="38"/>
      <c r="AI55" s="38"/>
      <c r="AJ55" s="50"/>
      <c r="AK55" s="44"/>
      <c r="AL55" s="39" t="str">
        <f t="shared" ca="1" si="11"/>
        <v>MUERTO</v>
      </c>
      <c r="AM55" s="39"/>
      <c r="AN55" s="39"/>
      <c r="AO55" s="39" t="s">
        <v>333</v>
      </c>
      <c r="AP55" s="39"/>
      <c r="AQ55" s="39" t="s">
        <v>333</v>
      </c>
      <c r="AR55" s="39"/>
      <c r="AS55" s="39"/>
      <c r="AT55" s="39"/>
      <c r="AU55" s="51"/>
      <c r="AV55" s="50"/>
      <c r="AW55" s="38"/>
      <c r="AX55" s="52"/>
      <c r="AY55" s="50"/>
      <c r="AZ55" s="38"/>
      <c r="BA55" s="38" t="e">
        <f>VLOOKUP(I55,#REF!,2,0)</f>
        <v>#REF!</v>
      </c>
      <c r="BB55" s="71"/>
      <c r="BC55" s="59">
        <v>43553</v>
      </c>
      <c r="BD55" s="59">
        <v>43556</v>
      </c>
      <c r="BE55" s="59">
        <v>43565</v>
      </c>
      <c r="BF55" s="59">
        <v>43567</v>
      </c>
      <c r="BG55" s="59"/>
      <c r="BH55" s="59" t="s">
        <v>1399</v>
      </c>
      <c r="BI55" s="39" t="e">
        <f>NETWORKDAYS(BF55,BG55,#REF!)</f>
        <v>#REF!</v>
      </c>
      <c r="BJ55" s="59" t="s">
        <v>1399</v>
      </c>
      <c r="BK55" s="59" t="s">
        <v>1399</v>
      </c>
      <c r="BL55" s="59"/>
      <c r="BM55" s="59"/>
      <c r="BN55" s="59">
        <v>43591</v>
      </c>
      <c r="BO55" s="59">
        <v>43587</v>
      </c>
      <c r="BP55" s="59">
        <v>43593</v>
      </c>
      <c r="BQ55" s="62">
        <v>43588</v>
      </c>
      <c r="BR55" s="68" t="e">
        <f xml:space="preserve"> NETWORKDAYS(BC55,BM55,#REF!)</f>
        <v>#REF!</v>
      </c>
      <c r="BS55" s="69" t="e">
        <f>NETWORKDAYS(BC55,BN55,#REF!)</f>
        <v>#REF!</v>
      </c>
      <c r="BT55" s="62"/>
      <c r="BU55" s="84"/>
      <c r="BV55" s="84"/>
      <c r="BW55" s="84"/>
      <c r="BX55" s="84"/>
      <c r="BY55" s="84"/>
      <c r="BZ55" s="84"/>
    </row>
    <row r="56" spans="1:78" ht="90" hidden="1" x14ac:dyDescent="0.25">
      <c r="A56" s="38" t="s">
        <v>1475</v>
      </c>
      <c r="B56" s="39">
        <v>54</v>
      </c>
      <c r="C56" s="38" t="s">
        <v>149</v>
      </c>
      <c r="D56" s="991" t="s">
        <v>1476</v>
      </c>
      <c r="E56" s="81" t="s">
        <v>163</v>
      </c>
      <c r="F56" s="39" t="s">
        <v>607</v>
      </c>
      <c r="G56" s="39" t="s">
        <v>1477</v>
      </c>
      <c r="H56" s="685" t="s">
        <v>546</v>
      </c>
      <c r="I56" s="81" t="s">
        <v>1478</v>
      </c>
      <c r="J56" s="82"/>
      <c r="K56" s="82"/>
      <c r="L56" s="82"/>
      <c r="M56" s="42" t="str">
        <f t="shared" ref="M56:M87" si="14">I56&amp;J56&amp;" "&amp;K56&amp;" "&amp;L56</f>
        <v xml:space="preserve">QPN Monterrey, S.A. de C.V.  </v>
      </c>
      <c r="N56" s="991" t="s">
        <v>301</v>
      </c>
      <c r="O56" s="991" t="s">
        <v>302</v>
      </c>
      <c r="P56" s="991" t="s">
        <v>1479</v>
      </c>
      <c r="Q56" s="992">
        <v>2074039.53</v>
      </c>
      <c r="R56" s="44">
        <f t="shared" si="12"/>
        <v>331846.3248</v>
      </c>
      <c r="S56" s="45">
        <f t="shared" si="9"/>
        <v>2405885.8547999999</v>
      </c>
      <c r="T56" s="46">
        <v>850152.33</v>
      </c>
      <c r="U56" s="47">
        <f t="shared" si="13"/>
        <v>986176.70279999997</v>
      </c>
      <c r="V56" s="44">
        <f t="shared" si="10"/>
        <v>2405885.8547999999</v>
      </c>
      <c r="W56" s="993" t="s">
        <v>156</v>
      </c>
      <c r="X56" s="48">
        <v>43558</v>
      </c>
      <c r="Y56" s="39" t="s">
        <v>333</v>
      </c>
      <c r="Z56" s="48">
        <v>43556</v>
      </c>
      <c r="AA56" s="48">
        <v>43830</v>
      </c>
      <c r="AB56" s="38" t="s">
        <v>1450</v>
      </c>
      <c r="AC56" s="49"/>
      <c r="AD56" s="49"/>
      <c r="AE56" s="49"/>
      <c r="AF56" s="49"/>
      <c r="AG56" s="39" t="s">
        <v>156</v>
      </c>
      <c r="AH56" s="38"/>
      <c r="AI56" s="100" t="s">
        <v>1480</v>
      </c>
      <c r="AJ56" s="50"/>
      <c r="AK56" s="44"/>
      <c r="AL56" s="39" t="str">
        <f t="shared" ca="1" si="11"/>
        <v>MUERTO</v>
      </c>
      <c r="AM56" s="39"/>
      <c r="AN56" s="39"/>
      <c r="AO56" s="39" t="s">
        <v>333</v>
      </c>
      <c r="AP56" s="39" t="s">
        <v>496</v>
      </c>
      <c r="AQ56" s="39" t="s">
        <v>333</v>
      </c>
      <c r="AR56" s="39"/>
      <c r="AS56" s="39"/>
      <c r="AT56" s="39"/>
      <c r="AU56" s="51"/>
      <c r="AV56" s="50"/>
      <c r="AW56" s="38"/>
      <c r="AX56" s="52"/>
      <c r="AY56" s="50"/>
      <c r="AZ56" s="38"/>
      <c r="BA56" s="38" t="e">
        <f>VLOOKUP(I56,#REF!,2,0)</f>
        <v>#REF!</v>
      </c>
      <c r="BB56" s="71"/>
      <c r="BC56" s="59">
        <v>43551</v>
      </c>
      <c r="BD56" s="59">
        <v>43553</v>
      </c>
      <c r="BE56" s="59">
        <v>43564</v>
      </c>
      <c r="BF56" s="59">
        <v>43564</v>
      </c>
      <c r="BG56" s="59" t="s">
        <v>161</v>
      </c>
      <c r="BH56" s="59" t="s">
        <v>1481</v>
      </c>
      <c r="BI56" s="39" t="s">
        <v>1133</v>
      </c>
      <c r="BJ56" s="59" t="s">
        <v>1481</v>
      </c>
      <c r="BK56" s="59" t="s">
        <v>1481</v>
      </c>
      <c r="BL56" s="59" t="s">
        <v>1481</v>
      </c>
      <c r="BM56" s="59" t="s">
        <v>1481</v>
      </c>
      <c r="BN56" s="59" t="s">
        <v>1481</v>
      </c>
      <c r="BO56" s="59" t="s">
        <v>1481</v>
      </c>
      <c r="BP56" s="59" t="s">
        <v>1481</v>
      </c>
      <c r="BQ56" s="62" t="s">
        <v>1481</v>
      </c>
      <c r="BR56" s="68" t="e">
        <f xml:space="preserve"> NETWORKDAYS(BC56,BM56,#REF!)</f>
        <v>#VALUE!</v>
      </c>
      <c r="BS56" s="69" t="e">
        <f>NETWORKDAYS(BC56,BN56,#REF!)</f>
        <v>#VALUE!</v>
      </c>
      <c r="BT56" s="62"/>
      <c r="BU56" s="84"/>
      <c r="BV56" s="84"/>
      <c r="BW56" s="84"/>
      <c r="BX56" s="84"/>
      <c r="BY56" s="84"/>
      <c r="BZ56" s="84"/>
    </row>
    <row r="57" spans="1:78" ht="120" hidden="1" x14ac:dyDescent="0.25">
      <c r="A57" s="38" t="s">
        <v>1482</v>
      </c>
      <c r="B57" s="39">
        <v>55</v>
      </c>
      <c r="C57" s="38" t="s">
        <v>149</v>
      </c>
      <c r="D57" s="991" t="s">
        <v>1483</v>
      </c>
      <c r="E57" s="39" t="s">
        <v>151</v>
      </c>
      <c r="F57" s="39" t="s">
        <v>152</v>
      </c>
      <c r="G57" s="39" t="s">
        <v>151</v>
      </c>
      <c r="H57" s="39"/>
      <c r="I57" s="81" t="s">
        <v>1484</v>
      </c>
      <c r="J57" s="82"/>
      <c r="K57" s="82"/>
      <c r="L57" s="82"/>
      <c r="M57" s="42" t="str">
        <f t="shared" si="14"/>
        <v xml:space="preserve">Compañía Impresora y Editora Angema, S.A. de C.V.  </v>
      </c>
      <c r="N57" s="991" t="s">
        <v>154</v>
      </c>
      <c r="O57" s="991"/>
      <c r="P57" s="991" t="s">
        <v>1485</v>
      </c>
      <c r="Q57" s="992">
        <v>290075</v>
      </c>
      <c r="R57" s="44">
        <f t="shared" si="12"/>
        <v>46412</v>
      </c>
      <c r="S57" s="45">
        <f t="shared" si="9"/>
        <v>336487</v>
      </c>
      <c r="T57" s="46">
        <v>176875</v>
      </c>
      <c r="U57" s="47">
        <f t="shared" si="13"/>
        <v>205175</v>
      </c>
      <c r="V57" s="44">
        <f t="shared" si="10"/>
        <v>336487</v>
      </c>
      <c r="W57" s="993" t="s">
        <v>156</v>
      </c>
      <c r="X57" s="48">
        <v>43558</v>
      </c>
      <c r="Y57" s="39" t="s">
        <v>333</v>
      </c>
      <c r="Z57" s="48">
        <v>43556</v>
      </c>
      <c r="AA57" s="48">
        <v>43830</v>
      </c>
      <c r="AB57" s="38" t="s">
        <v>182</v>
      </c>
      <c r="AC57" s="49"/>
      <c r="AD57" s="49"/>
      <c r="AE57" s="49"/>
      <c r="AF57" s="49"/>
      <c r="AG57" s="39" t="s">
        <v>156</v>
      </c>
      <c r="AH57" s="38"/>
      <c r="AI57" s="38"/>
      <c r="AJ57" s="50"/>
      <c r="AK57" s="44"/>
      <c r="AL57" s="39" t="str">
        <f t="shared" ca="1" si="11"/>
        <v>MUERTO</v>
      </c>
      <c r="AM57" s="39"/>
      <c r="AN57" s="39"/>
      <c r="AO57" s="39" t="s">
        <v>333</v>
      </c>
      <c r="AP57" s="39"/>
      <c r="AQ57" s="39" t="s">
        <v>333</v>
      </c>
      <c r="AR57" s="39"/>
      <c r="AS57" s="39"/>
      <c r="AT57" s="39"/>
      <c r="AU57" s="51"/>
      <c r="AV57" s="50"/>
      <c r="AW57" s="38"/>
      <c r="AX57" s="52"/>
      <c r="AY57" s="50"/>
      <c r="AZ57" s="38"/>
      <c r="BA57" s="38" t="e">
        <f>VLOOKUP(I57,#REF!,2,0)</f>
        <v>#REF!</v>
      </c>
      <c r="BB57" s="71"/>
      <c r="BC57" s="59">
        <v>43549</v>
      </c>
      <c r="BD57" s="59">
        <v>43553</v>
      </c>
      <c r="BE57" s="59">
        <v>43564</v>
      </c>
      <c r="BF57" s="59">
        <v>43585</v>
      </c>
      <c r="BG57" s="59">
        <v>43605</v>
      </c>
      <c r="BH57" s="59">
        <v>43605</v>
      </c>
      <c r="BI57" s="39" t="e">
        <f>NETWORKDAYS(BF57,BG57,#REF!)</f>
        <v>#REF!</v>
      </c>
      <c r="BJ57" s="59">
        <v>43605</v>
      </c>
      <c r="BK57" s="59">
        <v>43614</v>
      </c>
      <c r="BL57" s="59" t="s">
        <v>161</v>
      </c>
      <c r="BM57" s="59">
        <v>43616</v>
      </c>
      <c r="BN57" s="59">
        <v>43614</v>
      </c>
      <c r="BO57" s="59">
        <v>43587</v>
      </c>
      <c r="BP57" s="59">
        <v>43615</v>
      </c>
      <c r="BQ57" s="62">
        <v>43614</v>
      </c>
      <c r="BR57" s="68" t="e">
        <f xml:space="preserve"> NETWORKDAYS(BC57,BM57,#REF!)</f>
        <v>#REF!</v>
      </c>
      <c r="BS57" s="69" t="e">
        <f>NETWORKDAYS(BC57,BN57,#REF!)</f>
        <v>#REF!</v>
      </c>
      <c r="BT57" s="62"/>
      <c r="BU57" s="84"/>
      <c r="BV57" s="84"/>
      <c r="BW57" s="84"/>
      <c r="BX57" s="84"/>
      <c r="BY57" s="84"/>
      <c r="BZ57" s="84"/>
    </row>
    <row r="58" spans="1:78" ht="315" hidden="1" x14ac:dyDescent="0.25">
      <c r="A58" s="38" t="s">
        <v>1486</v>
      </c>
      <c r="B58" s="39">
        <v>56</v>
      </c>
      <c r="C58" s="38" t="s">
        <v>149</v>
      </c>
      <c r="D58" s="991" t="s">
        <v>1177</v>
      </c>
      <c r="E58" s="81" t="s">
        <v>163</v>
      </c>
      <c r="F58" s="39" t="s">
        <v>312</v>
      </c>
      <c r="G58" s="81" t="s">
        <v>163</v>
      </c>
      <c r="H58" s="685" t="s">
        <v>546</v>
      </c>
      <c r="I58" s="81" t="s">
        <v>1487</v>
      </c>
      <c r="J58" s="82"/>
      <c r="K58" s="82"/>
      <c r="L58" s="82"/>
      <c r="M58" s="42" t="str">
        <f t="shared" si="14"/>
        <v xml:space="preserve">Johnson Controls BE Operations México, S.de R.L. de C.V  </v>
      </c>
      <c r="N58" s="991" t="s">
        <v>198</v>
      </c>
      <c r="O58" s="991" t="s">
        <v>416</v>
      </c>
      <c r="P58" s="991" t="s">
        <v>1488</v>
      </c>
      <c r="Q58" s="992">
        <v>5200000</v>
      </c>
      <c r="R58" s="44">
        <f t="shared" si="12"/>
        <v>832000</v>
      </c>
      <c r="S58" s="45">
        <f t="shared" si="9"/>
        <v>6032000</v>
      </c>
      <c r="T58" s="46">
        <v>3997080.72</v>
      </c>
      <c r="U58" s="47">
        <f t="shared" si="13"/>
        <v>4636613.6352000004</v>
      </c>
      <c r="V58" s="44">
        <f t="shared" si="10"/>
        <v>7540000</v>
      </c>
      <c r="W58" s="993" t="s">
        <v>156</v>
      </c>
      <c r="X58" s="48">
        <v>43559</v>
      </c>
      <c r="Y58" s="39" t="s">
        <v>333</v>
      </c>
      <c r="Z58" s="48">
        <v>43556</v>
      </c>
      <c r="AA58" s="48">
        <v>43830</v>
      </c>
      <c r="AB58" s="38" t="s">
        <v>1450</v>
      </c>
      <c r="AC58" s="49"/>
      <c r="AD58" s="49"/>
      <c r="AE58" s="49"/>
      <c r="AF58" s="49"/>
      <c r="AG58" s="39" t="s">
        <v>1489</v>
      </c>
      <c r="AH58" s="100" t="s">
        <v>1490</v>
      </c>
      <c r="AI58" s="100" t="s">
        <v>1491</v>
      </c>
      <c r="AJ58" s="101">
        <v>43825</v>
      </c>
      <c r="AK58" s="102">
        <f>1300000*1.16</f>
        <v>1508000</v>
      </c>
      <c r="AL58" s="39" t="str">
        <f t="shared" ca="1" si="11"/>
        <v>MUERTO</v>
      </c>
      <c r="AM58" s="39"/>
      <c r="AN58" s="39"/>
      <c r="AO58" s="39" t="s">
        <v>333</v>
      </c>
      <c r="AP58" s="39" t="s">
        <v>924</v>
      </c>
      <c r="AQ58" s="39" t="s">
        <v>333</v>
      </c>
      <c r="AR58" s="39"/>
      <c r="AS58" s="39"/>
      <c r="AT58" s="39"/>
      <c r="AU58" s="51"/>
      <c r="AV58" s="50"/>
      <c r="AW58" s="38"/>
      <c r="AX58" s="52"/>
      <c r="AY58" s="50"/>
      <c r="AZ58" s="38"/>
      <c r="BA58" s="38" t="e">
        <f>VLOOKUP(I58,#REF!,2,0)</f>
        <v>#REF!</v>
      </c>
      <c r="BB58" s="71"/>
      <c r="BC58" s="59">
        <v>43550</v>
      </c>
      <c r="BD58" s="59">
        <v>43553</v>
      </c>
      <c r="BE58" s="59">
        <v>43564</v>
      </c>
      <c r="BF58" s="59">
        <v>43566</v>
      </c>
      <c r="BG58" s="59">
        <v>43662</v>
      </c>
      <c r="BH58" s="59" t="s">
        <v>1492</v>
      </c>
      <c r="BI58" s="39" t="e">
        <f>NETWORKDAYS(BF58,BG58,#REF!)</f>
        <v>#REF!</v>
      </c>
      <c r="BJ58" s="59" t="s">
        <v>1493</v>
      </c>
      <c r="BK58" s="59" t="s">
        <v>1494</v>
      </c>
      <c r="BL58" s="59" t="s">
        <v>1495</v>
      </c>
      <c r="BM58" s="59" t="s">
        <v>1496</v>
      </c>
      <c r="BN58" s="59">
        <v>43614</v>
      </c>
      <c r="BO58" s="59">
        <v>43609</v>
      </c>
      <c r="BP58" s="59">
        <v>43621</v>
      </c>
      <c r="BQ58" s="62">
        <v>43614</v>
      </c>
      <c r="BR58" s="68" t="e">
        <f xml:space="preserve"> NETWORKDAYS(BC58,BM58,#REF!)</f>
        <v>#VALUE!</v>
      </c>
      <c r="BS58" s="69" t="e">
        <f>NETWORKDAYS(BC58,BN58,#REF!)</f>
        <v>#REF!</v>
      </c>
      <c r="BT58" s="62"/>
      <c r="BU58" s="84"/>
      <c r="BV58" s="84"/>
      <c r="BW58" s="84"/>
      <c r="BX58" s="84"/>
      <c r="BY58" s="84"/>
      <c r="BZ58" s="84"/>
    </row>
    <row r="59" spans="1:78" ht="360" hidden="1" x14ac:dyDescent="0.25">
      <c r="A59" s="38" t="s">
        <v>1497</v>
      </c>
      <c r="B59" s="39">
        <v>57</v>
      </c>
      <c r="C59" s="38" t="s">
        <v>149</v>
      </c>
      <c r="D59" s="991" t="s">
        <v>1177</v>
      </c>
      <c r="E59" s="81" t="s">
        <v>163</v>
      </c>
      <c r="F59" s="39" t="s">
        <v>1246</v>
      </c>
      <c r="G59" s="81" t="s">
        <v>163</v>
      </c>
      <c r="H59" s="685" t="s">
        <v>546</v>
      </c>
      <c r="I59" s="81" t="s">
        <v>1487</v>
      </c>
      <c r="J59" s="82"/>
      <c r="K59" s="82"/>
      <c r="L59" s="82"/>
      <c r="M59" s="42" t="str">
        <f t="shared" si="14"/>
        <v xml:space="preserve">Johnson Controls BE Operations México, S.de R.L. de C.V  </v>
      </c>
      <c r="N59" s="991" t="s">
        <v>198</v>
      </c>
      <c r="O59" s="991" t="s">
        <v>416</v>
      </c>
      <c r="P59" s="991" t="s">
        <v>1498</v>
      </c>
      <c r="Q59" s="992">
        <v>5000000</v>
      </c>
      <c r="R59" s="44">
        <f t="shared" si="12"/>
        <v>800000</v>
      </c>
      <c r="S59" s="45">
        <f t="shared" si="9"/>
        <v>5800000</v>
      </c>
      <c r="T59" s="46">
        <v>3996121.95</v>
      </c>
      <c r="U59" s="47">
        <f t="shared" si="13"/>
        <v>4635501.4620000003</v>
      </c>
      <c r="V59" s="44">
        <f t="shared" si="10"/>
        <v>7250000</v>
      </c>
      <c r="W59" s="993" t="s">
        <v>156</v>
      </c>
      <c r="X59" s="48">
        <v>43559</v>
      </c>
      <c r="Y59" s="39" t="s">
        <v>333</v>
      </c>
      <c r="Z59" s="48">
        <v>43556</v>
      </c>
      <c r="AA59" s="48">
        <v>43830</v>
      </c>
      <c r="AB59" s="38" t="s">
        <v>1450</v>
      </c>
      <c r="AC59" s="49"/>
      <c r="AD59" s="49"/>
      <c r="AE59" s="49"/>
      <c r="AF59" s="49"/>
      <c r="AG59" s="39" t="s">
        <v>1489</v>
      </c>
      <c r="AH59" s="100" t="s">
        <v>1499</v>
      </c>
      <c r="AI59" s="100" t="s">
        <v>1491</v>
      </c>
      <c r="AJ59" s="101">
        <v>43825</v>
      </c>
      <c r="AK59" s="102">
        <f>1250000*1.16</f>
        <v>1450000</v>
      </c>
      <c r="AL59" s="39" t="str">
        <f t="shared" ca="1" si="11"/>
        <v>MUERTO</v>
      </c>
      <c r="AM59" s="39"/>
      <c r="AN59" s="39"/>
      <c r="AO59" s="39" t="s">
        <v>333</v>
      </c>
      <c r="AP59" s="39" t="s">
        <v>924</v>
      </c>
      <c r="AQ59" s="39" t="s">
        <v>333</v>
      </c>
      <c r="AR59" s="39"/>
      <c r="AS59" s="39"/>
      <c r="AT59" s="39"/>
      <c r="AU59" s="51"/>
      <c r="AV59" s="50"/>
      <c r="AW59" s="38"/>
      <c r="AX59" s="52"/>
      <c r="AY59" s="50"/>
      <c r="AZ59" s="38"/>
      <c r="BA59" s="38" t="e">
        <f>VLOOKUP(I59,#REF!,2,0)</f>
        <v>#REF!</v>
      </c>
      <c r="BB59" s="71"/>
      <c r="BC59" s="59">
        <v>43545</v>
      </c>
      <c r="BD59" s="59">
        <v>43556</v>
      </c>
      <c r="BE59" s="59">
        <v>43564</v>
      </c>
      <c r="BF59" s="59">
        <v>43566</v>
      </c>
      <c r="BG59" s="59">
        <v>43662</v>
      </c>
      <c r="BH59" s="59" t="s">
        <v>1492</v>
      </c>
      <c r="BI59" s="39" t="e">
        <f>NETWORKDAYS(BF59,BG59,#REF!)</f>
        <v>#REF!</v>
      </c>
      <c r="BJ59" s="59" t="s">
        <v>1493</v>
      </c>
      <c r="BK59" s="59" t="s">
        <v>1494</v>
      </c>
      <c r="BL59" s="59" t="s">
        <v>1495</v>
      </c>
      <c r="BM59" s="59" t="s">
        <v>1496</v>
      </c>
      <c r="BN59" s="59">
        <v>43614</v>
      </c>
      <c r="BO59" s="59">
        <v>43609</v>
      </c>
      <c r="BP59" s="59">
        <v>43621</v>
      </c>
      <c r="BQ59" s="62">
        <v>43614</v>
      </c>
      <c r="BR59" s="68" t="e">
        <f xml:space="preserve"> NETWORKDAYS(BC59,BM59,#REF!)</f>
        <v>#VALUE!</v>
      </c>
      <c r="BS59" s="69" t="e">
        <f>NETWORKDAYS(BC59,BN59,#REF!)</f>
        <v>#REF!</v>
      </c>
      <c r="BT59" s="62"/>
      <c r="BU59" s="84"/>
      <c r="BV59" s="84"/>
      <c r="BW59" s="84"/>
      <c r="BX59" s="84"/>
      <c r="BY59" s="84"/>
      <c r="BZ59" s="84"/>
    </row>
    <row r="60" spans="1:78" ht="255" hidden="1" x14ac:dyDescent="0.25">
      <c r="A60" s="108" t="s">
        <v>1500</v>
      </c>
      <c r="B60" s="39">
        <v>58</v>
      </c>
      <c r="C60" s="38" t="s">
        <v>149</v>
      </c>
      <c r="D60" s="991" t="s">
        <v>1177</v>
      </c>
      <c r="E60" s="81" t="s">
        <v>163</v>
      </c>
      <c r="F60" s="39" t="s">
        <v>1246</v>
      </c>
      <c r="G60" s="81" t="s">
        <v>163</v>
      </c>
      <c r="H60" s="685" t="s">
        <v>546</v>
      </c>
      <c r="I60" s="81" t="s">
        <v>1501</v>
      </c>
      <c r="J60" s="82"/>
      <c r="K60" s="82"/>
      <c r="L60" s="82"/>
      <c r="M60" s="42" t="str">
        <f t="shared" si="14"/>
        <v xml:space="preserve">Teletec de México S.A.P.I. de C.V.  </v>
      </c>
      <c r="N60" s="991" t="s">
        <v>198</v>
      </c>
      <c r="O60" s="991" t="s">
        <v>416</v>
      </c>
      <c r="P60" s="991" t="s">
        <v>1502</v>
      </c>
      <c r="Q60" s="992">
        <v>3008332</v>
      </c>
      <c r="R60" s="44">
        <f t="shared" si="12"/>
        <v>481333.12</v>
      </c>
      <c r="S60" s="45">
        <f t="shared" si="9"/>
        <v>3489665.12</v>
      </c>
      <c r="T60" s="46">
        <v>2458332</v>
      </c>
      <c r="U60" s="47">
        <f t="shared" si="13"/>
        <v>2851665.12</v>
      </c>
      <c r="V60" s="44">
        <f t="shared" si="10"/>
        <v>4362081.4000000004</v>
      </c>
      <c r="W60" s="993" t="s">
        <v>156</v>
      </c>
      <c r="X60" s="48">
        <v>43559</v>
      </c>
      <c r="Y60" s="39" t="s">
        <v>333</v>
      </c>
      <c r="Z60" s="48">
        <v>43556</v>
      </c>
      <c r="AA60" s="48">
        <v>43830</v>
      </c>
      <c r="AB60" s="38" t="s">
        <v>1450</v>
      </c>
      <c r="AC60" s="49"/>
      <c r="AD60" s="49"/>
      <c r="AE60" s="49"/>
      <c r="AF60" s="49"/>
      <c r="AG60" s="39" t="s">
        <v>156</v>
      </c>
      <c r="AH60" s="100" t="s">
        <v>1118</v>
      </c>
      <c r="AI60" s="100" t="s">
        <v>1118</v>
      </c>
      <c r="AJ60" s="101" t="s">
        <v>1118</v>
      </c>
      <c r="AK60" s="102">
        <f>752083*1.16</f>
        <v>872416.27999999991</v>
      </c>
      <c r="AL60" s="39" t="str">
        <f t="shared" ca="1" si="11"/>
        <v>MUERTO</v>
      </c>
      <c r="AM60" s="39"/>
      <c r="AN60" s="39"/>
      <c r="AO60" s="39" t="s">
        <v>333</v>
      </c>
      <c r="AP60" s="39" t="s">
        <v>924</v>
      </c>
      <c r="AQ60" s="39" t="s">
        <v>333</v>
      </c>
      <c r="AR60" s="39"/>
      <c r="AS60" s="39"/>
      <c r="AT60" s="39"/>
      <c r="AU60" s="51"/>
      <c r="AV60" s="50"/>
      <c r="AW60" s="38"/>
      <c r="AX60" s="52"/>
      <c r="AY60" s="50"/>
      <c r="AZ60" s="38"/>
      <c r="BA60" s="38" t="e">
        <f>VLOOKUP(I60,#REF!,2,0)</f>
        <v>#REF!</v>
      </c>
      <c r="BB60" s="71"/>
      <c r="BC60" s="59">
        <v>43550</v>
      </c>
      <c r="BD60" s="59">
        <v>43556</v>
      </c>
      <c r="BE60" s="59">
        <v>43565</v>
      </c>
      <c r="BF60" s="59">
        <v>43567</v>
      </c>
      <c r="BG60" s="59">
        <v>43578</v>
      </c>
      <c r="BH60" s="59" t="s">
        <v>1503</v>
      </c>
      <c r="BI60" s="39" t="e">
        <f>NETWORKDAYS(BF60,BG60,#REF!)</f>
        <v>#REF!</v>
      </c>
      <c r="BJ60" s="59" t="s">
        <v>1504</v>
      </c>
      <c r="BK60" s="59" t="s">
        <v>1505</v>
      </c>
      <c r="BL60" s="59" t="s">
        <v>1506</v>
      </c>
      <c r="BM60" s="59">
        <v>43602</v>
      </c>
      <c r="BN60" s="59">
        <v>43584</v>
      </c>
      <c r="BO60" s="59">
        <v>43577</v>
      </c>
      <c r="BP60" s="59">
        <v>43591</v>
      </c>
      <c r="BQ60" s="62">
        <v>43585</v>
      </c>
      <c r="BR60" s="68" t="e">
        <f xml:space="preserve"> NETWORKDAYS(BC60,BM60,#REF!)</f>
        <v>#REF!</v>
      </c>
      <c r="BS60" s="69" t="e">
        <f>NETWORKDAYS(BC60,BN60,#REF!)</f>
        <v>#REF!</v>
      </c>
      <c r="BT60" s="62" t="s">
        <v>900</v>
      </c>
      <c r="BU60" s="84"/>
      <c r="BV60" s="84"/>
      <c r="BW60" s="84"/>
      <c r="BX60" s="84"/>
      <c r="BY60" s="84"/>
      <c r="BZ60" s="84"/>
    </row>
    <row r="61" spans="1:78" ht="150" hidden="1" x14ac:dyDescent="0.25">
      <c r="A61" s="38" t="s">
        <v>1507</v>
      </c>
      <c r="B61" s="39">
        <v>59</v>
      </c>
      <c r="C61" s="38" t="s">
        <v>149</v>
      </c>
      <c r="D61" s="991" t="s">
        <v>1508</v>
      </c>
      <c r="E61" s="39" t="s">
        <v>151</v>
      </c>
      <c r="F61" s="39" t="s">
        <v>152</v>
      </c>
      <c r="G61" s="39" t="s">
        <v>151</v>
      </c>
      <c r="H61" s="39"/>
      <c r="I61" s="81" t="s">
        <v>1509</v>
      </c>
      <c r="J61" s="82"/>
      <c r="K61" s="82"/>
      <c r="L61" s="82"/>
      <c r="M61" s="42" t="str">
        <f t="shared" si="14"/>
        <v xml:space="preserve">A.N.A. Compañía de Seguros, S.A. de C.V.  </v>
      </c>
      <c r="N61" s="991" t="s">
        <v>270</v>
      </c>
      <c r="O61" s="991" t="s">
        <v>1077</v>
      </c>
      <c r="P61" s="991" t="s">
        <v>1510</v>
      </c>
      <c r="Q61" s="992">
        <v>571156.05000000005</v>
      </c>
      <c r="R61" s="44">
        <f t="shared" si="12"/>
        <v>91384.968000000008</v>
      </c>
      <c r="S61" s="45">
        <f t="shared" si="9"/>
        <v>662541.01800000004</v>
      </c>
      <c r="T61" s="46">
        <v>0</v>
      </c>
      <c r="U61" s="47">
        <f t="shared" si="13"/>
        <v>0</v>
      </c>
      <c r="V61" s="44">
        <f t="shared" si="10"/>
        <v>662541.01800000004</v>
      </c>
      <c r="W61" s="993" t="s">
        <v>156</v>
      </c>
      <c r="X61" s="48">
        <v>43559</v>
      </c>
      <c r="Y61" s="39" t="s">
        <v>333</v>
      </c>
      <c r="Z61" s="48">
        <v>43556</v>
      </c>
      <c r="AA61" s="48">
        <v>43830</v>
      </c>
      <c r="AB61" s="38" t="s">
        <v>161</v>
      </c>
      <c r="AC61" s="49"/>
      <c r="AD61" s="49"/>
      <c r="AE61" s="49"/>
      <c r="AF61" s="49"/>
      <c r="AG61" s="39"/>
      <c r="AH61" s="38"/>
      <c r="AI61" s="38"/>
      <c r="AJ61" s="50"/>
      <c r="AK61" s="44"/>
      <c r="AL61" s="39" t="str">
        <f t="shared" ca="1" si="11"/>
        <v>MUERTO</v>
      </c>
      <c r="AM61" s="39"/>
      <c r="AN61" s="39"/>
      <c r="AO61" s="39" t="s">
        <v>333</v>
      </c>
      <c r="AP61" s="39"/>
      <c r="AQ61" s="39" t="s">
        <v>333</v>
      </c>
      <c r="AR61" s="39"/>
      <c r="AS61" s="39"/>
      <c r="AT61" s="39"/>
      <c r="AU61" s="51"/>
      <c r="AV61" s="50"/>
      <c r="AW61" s="38"/>
      <c r="AX61" s="52"/>
      <c r="AY61" s="50"/>
      <c r="AZ61" s="38"/>
      <c r="BA61" s="38" t="e">
        <f>VLOOKUP(I61,#REF!,2,0)</f>
        <v>#REF!</v>
      </c>
      <c r="BB61" s="71"/>
      <c r="BC61" s="59">
        <v>43549</v>
      </c>
      <c r="BD61" s="59">
        <v>43556</v>
      </c>
      <c r="BE61" s="59">
        <v>43565</v>
      </c>
      <c r="BF61" s="59" t="s">
        <v>161</v>
      </c>
      <c r="BG61" s="59" t="s">
        <v>161</v>
      </c>
      <c r="BH61" s="59" t="s">
        <v>161</v>
      </c>
      <c r="BI61" s="39" t="s">
        <v>1297</v>
      </c>
      <c r="BJ61" s="59" t="s">
        <v>161</v>
      </c>
      <c r="BK61" s="59" t="s">
        <v>161</v>
      </c>
      <c r="BL61" s="59" t="s">
        <v>161</v>
      </c>
      <c r="BM61" s="59">
        <v>43587</v>
      </c>
      <c r="BN61" s="59">
        <v>43587</v>
      </c>
      <c r="BO61" s="59">
        <v>43581</v>
      </c>
      <c r="BP61" s="59">
        <v>43594</v>
      </c>
      <c r="BQ61" s="62">
        <v>43587</v>
      </c>
      <c r="BR61" s="68" t="e">
        <f xml:space="preserve"> NETWORKDAYS(BC61,BM61,#REF!)</f>
        <v>#REF!</v>
      </c>
      <c r="BS61" s="69" t="e">
        <f>NETWORKDAYS(BC61,BN61,#REF!)</f>
        <v>#REF!</v>
      </c>
      <c r="BT61" s="62"/>
      <c r="BU61" s="84"/>
      <c r="BV61" s="84"/>
      <c r="BW61" s="84"/>
      <c r="BX61" s="84"/>
      <c r="BY61" s="84"/>
      <c r="BZ61" s="84"/>
    </row>
    <row r="62" spans="1:78" ht="285" hidden="1" x14ac:dyDescent="0.25">
      <c r="A62" s="38" t="s">
        <v>1511</v>
      </c>
      <c r="B62" s="39">
        <v>60</v>
      </c>
      <c r="C62" s="38" t="s">
        <v>149</v>
      </c>
      <c r="D62" s="991" t="s">
        <v>1512</v>
      </c>
      <c r="E62" s="4" t="s">
        <v>173</v>
      </c>
      <c r="F62" s="39" t="s">
        <v>326</v>
      </c>
      <c r="G62" s="39" t="s">
        <v>175</v>
      </c>
      <c r="H62" s="39"/>
      <c r="I62" s="81" t="s">
        <v>1338</v>
      </c>
      <c r="J62" s="82"/>
      <c r="K62" s="82"/>
      <c r="L62" s="82"/>
      <c r="M62" s="42" t="str">
        <f t="shared" si="14"/>
        <v xml:space="preserve">Corporate Accon en conocimientos e Ingeniería, S.A. de C.V.  </v>
      </c>
      <c r="N62" s="991" t="s">
        <v>301</v>
      </c>
      <c r="O62" s="991" t="s">
        <v>302</v>
      </c>
      <c r="P62" s="991" t="s">
        <v>1513</v>
      </c>
      <c r="Q62" s="992">
        <v>1516000</v>
      </c>
      <c r="R62" s="44">
        <f t="shared" si="12"/>
        <v>242560</v>
      </c>
      <c r="S62" s="45">
        <f t="shared" si="9"/>
        <v>1758560</v>
      </c>
      <c r="T62" s="46">
        <v>0</v>
      </c>
      <c r="U62" s="47">
        <f t="shared" si="13"/>
        <v>0</v>
      </c>
      <c r="V62" s="44">
        <f t="shared" si="10"/>
        <v>1758560</v>
      </c>
      <c r="W62" s="993" t="s">
        <v>156</v>
      </c>
      <c r="X62" s="48">
        <v>43559</v>
      </c>
      <c r="Y62" s="39" t="s">
        <v>333</v>
      </c>
      <c r="Z62" s="48">
        <v>43556</v>
      </c>
      <c r="AA62" s="48">
        <v>43830</v>
      </c>
      <c r="AB62" s="38" t="s">
        <v>1450</v>
      </c>
      <c r="AC62" s="49"/>
      <c r="AD62" s="49"/>
      <c r="AE62" s="49"/>
      <c r="AF62" s="49"/>
      <c r="AG62" s="39" t="s">
        <v>156</v>
      </c>
      <c r="AH62" s="100" t="s">
        <v>1514</v>
      </c>
      <c r="AI62" s="100" t="s">
        <v>1515</v>
      </c>
      <c r="AJ62" s="106">
        <v>43798</v>
      </c>
      <c r="AK62" s="44"/>
      <c r="AL62" s="39" t="str">
        <f t="shared" ca="1" si="11"/>
        <v>MUERTO</v>
      </c>
      <c r="AM62" s="39"/>
      <c r="AN62" s="39"/>
      <c r="AO62" s="39" t="s">
        <v>333</v>
      </c>
      <c r="AP62" s="39" t="s">
        <v>924</v>
      </c>
      <c r="AQ62" s="39" t="s">
        <v>333</v>
      </c>
      <c r="AR62" s="39"/>
      <c r="AS62" s="39"/>
      <c r="AT62" s="39"/>
      <c r="AU62" s="51"/>
      <c r="AV62" s="50"/>
      <c r="AW62" s="38"/>
      <c r="AX62" s="52"/>
      <c r="AY62" s="50"/>
      <c r="AZ62" s="38"/>
      <c r="BA62" s="38" t="e">
        <f>VLOOKUP(I62,#REF!,2,0)</f>
        <v>#REF!</v>
      </c>
      <c r="BB62" s="71"/>
      <c r="BC62" s="59">
        <v>43553</v>
      </c>
      <c r="BD62" s="59">
        <v>43556</v>
      </c>
      <c r="BE62" s="59">
        <v>43566</v>
      </c>
      <c r="BF62" s="59">
        <v>43567</v>
      </c>
      <c r="BG62" s="59">
        <v>43578</v>
      </c>
      <c r="BH62" s="59" t="s">
        <v>1516</v>
      </c>
      <c r="BI62" s="39" t="e">
        <f>NETWORKDAYS(BF62,BG62,#REF!)</f>
        <v>#REF!</v>
      </c>
      <c r="BJ62" s="59" t="s">
        <v>1517</v>
      </c>
      <c r="BK62" s="59" t="s">
        <v>1518</v>
      </c>
      <c r="BL62" s="59" t="s">
        <v>1519</v>
      </c>
      <c r="BM62" s="59">
        <v>43614</v>
      </c>
      <c r="BN62" s="59">
        <v>43585</v>
      </c>
      <c r="BO62" s="59">
        <v>43579</v>
      </c>
      <c r="BP62" s="59">
        <v>43592</v>
      </c>
      <c r="BQ62" s="62">
        <v>43585</v>
      </c>
      <c r="BR62" s="68" t="e">
        <f xml:space="preserve"> NETWORKDAYS(BC62,BM62,#REF!)</f>
        <v>#REF!</v>
      </c>
      <c r="BS62" s="69" t="e">
        <f>NETWORKDAYS(BC62,BN62,#REF!)</f>
        <v>#REF!</v>
      </c>
      <c r="BT62" s="62"/>
      <c r="BU62" s="84"/>
      <c r="BV62" s="84"/>
      <c r="BW62" s="84"/>
      <c r="BX62" s="84"/>
      <c r="BY62" s="84"/>
      <c r="BZ62" s="84"/>
    </row>
    <row r="63" spans="1:78" ht="255" hidden="1" x14ac:dyDescent="0.25">
      <c r="A63" s="38" t="s">
        <v>1520</v>
      </c>
      <c r="B63" s="39">
        <v>61</v>
      </c>
      <c r="C63" s="38" t="s">
        <v>149</v>
      </c>
      <c r="D63" s="991" t="s">
        <v>1521</v>
      </c>
      <c r="E63" s="39" t="s">
        <v>151</v>
      </c>
      <c r="F63" s="39" t="s">
        <v>152</v>
      </c>
      <c r="G63" s="39" t="s">
        <v>151</v>
      </c>
      <c r="H63" s="39"/>
      <c r="I63" s="81" t="s">
        <v>1338</v>
      </c>
      <c r="J63" s="82"/>
      <c r="K63" s="82"/>
      <c r="L63" s="82"/>
      <c r="M63" s="42" t="str">
        <f t="shared" si="14"/>
        <v xml:space="preserve">Corporate Accon en conocimientos e Ingeniería, S.A. de C.V.  </v>
      </c>
      <c r="N63" s="991" t="s">
        <v>315</v>
      </c>
      <c r="O63" s="991" t="s">
        <v>416</v>
      </c>
      <c r="P63" s="991" t="s">
        <v>1522</v>
      </c>
      <c r="Q63" s="992">
        <v>351000</v>
      </c>
      <c r="R63" s="44">
        <f t="shared" si="12"/>
        <v>56160</v>
      </c>
      <c r="S63" s="45">
        <f t="shared" si="9"/>
        <v>407160</v>
      </c>
      <c r="T63" s="46">
        <v>0</v>
      </c>
      <c r="U63" s="47">
        <f t="shared" si="13"/>
        <v>0</v>
      </c>
      <c r="V63" s="44">
        <f t="shared" si="10"/>
        <v>0</v>
      </c>
      <c r="W63" s="993" t="s">
        <v>156</v>
      </c>
      <c r="X63" s="48">
        <v>43559</v>
      </c>
      <c r="Y63" s="58" t="s">
        <v>333</v>
      </c>
      <c r="Z63" s="48">
        <v>43556</v>
      </c>
      <c r="AA63" s="48">
        <v>43830</v>
      </c>
      <c r="AB63" s="38" t="s">
        <v>1450</v>
      </c>
      <c r="AC63" s="49"/>
      <c r="AD63" s="49"/>
      <c r="AE63" s="49"/>
      <c r="AF63" s="49"/>
      <c r="AG63" s="39" t="s">
        <v>156</v>
      </c>
      <c r="AH63" s="38"/>
      <c r="AI63" s="100" t="s">
        <v>1523</v>
      </c>
      <c r="AJ63" s="101">
        <v>43706</v>
      </c>
      <c r="AK63" s="102">
        <v>-407160</v>
      </c>
      <c r="AL63" s="39" t="str">
        <f t="shared" ca="1" si="11"/>
        <v>MUERTO</v>
      </c>
      <c r="AM63" s="39"/>
      <c r="AN63" s="39"/>
      <c r="AO63" s="39" t="s">
        <v>333</v>
      </c>
      <c r="AP63" s="39"/>
      <c r="AQ63" s="39" t="s">
        <v>333</v>
      </c>
      <c r="AR63" s="39"/>
      <c r="AS63" s="39"/>
      <c r="AT63" s="39"/>
      <c r="AU63" s="51"/>
      <c r="AV63" s="50"/>
      <c r="AW63" s="38"/>
      <c r="AX63" s="52"/>
      <c r="AY63" s="50"/>
      <c r="AZ63" s="38"/>
      <c r="BA63" s="38" t="e">
        <f>VLOOKUP(I63,#REF!,2,0)</f>
        <v>#REF!</v>
      </c>
      <c r="BB63" s="71"/>
      <c r="BC63" s="59">
        <v>43553</v>
      </c>
      <c r="BD63" s="59">
        <v>43556</v>
      </c>
      <c r="BE63" s="59">
        <v>43566</v>
      </c>
      <c r="BF63" s="59">
        <v>43567</v>
      </c>
      <c r="BG63" s="59">
        <v>43578</v>
      </c>
      <c r="BH63" s="59" t="s">
        <v>1524</v>
      </c>
      <c r="BI63" s="39" t="e">
        <f>NETWORKDAYS(BF63,BG63,#REF!)</f>
        <v>#REF!</v>
      </c>
      <c r="BJ63" s="59" t="s">
        <v>1525</v>
      </c>
      <c r="BK63" s="59" t="s">
        <v>1526</v>
      </c>
      <c r="BL63" s="59" t="s">
        <v>479</v>
      </c>
      <c r="BM63" s="59" t="s">
        <v>1374</v>
      </c>
      <c r="BN63" s="59">
        <v>43585</v>
      </c>
      <c r="BO63" s="59">
        <v>43577</v>
      </c>
      <c r="BP63" s="59">
        <v>43592</v>
      </c>
      <c r="BQ63" s="62">
        <v>43585</v>
      </c>
      <c r="BR63" s="68" t="e">
        <f xml:space="preserve"> NETWORKDAYS(BC63,BM63,#REF!)</f>
        <v>#VALUE!</v>
      </c>
      <c r="BS63" s="69" t="e">
        <f>NETWORKDAYS(BC63,BN63,#REF!)</f>
        <v>#REF!</v>
      </c>
      <c r="BT63" s="62" t="s">
        <v>1527</v>
      </c>
      <c r="BU63" s="84"/>
      <c r="BV63" s="84"/>
      <c r="BW63" s="84"/>
      <c r="BX63" s="84"/>
      <c r="BY63" s="84"/>
      <c r="BZ63" s="84"/>
    </row>
    <row r="64" spans="1:78" ht="345" hidden="1" x14ac:dyDescent="0.25">
      <c r="A64" s="38" t="s">
        <v>1528</v>
      </c>
      <c r="B64" s="39">
        <v>62</v>
      </c>
      <c r="C64" s="38" t="s">
        <v>149</v>
      </c>
      <c r="D64" s="991" t="s">
        <v>1529</v>
      </c>
      <c r="E64" s="4" t="s">
        <v>173</v>
      </c>
      <c r="F64" s="39" t="s">
        <v>326</v>
      </c>
      <c r="G64" s="39" t="s">
        <v>175</v>
      </c>
      <c r="H64" s="39"/>
      <c r="I64" s="81" t="s">
        <v>1530</v>
      </c>
      <c r="J64" s="82"/>
      <c r="K64" s="82"/>
      <c r="L64" s="82"/>
      <c r="M64" s="42" t="str">
        <f t="shared" si="14"/>
        <v xml:space="preserve">Mer Solutions, S.A. de C.V.  </v>
      </c>
      <c r="N64" s="991" t="s">
        <v>198</v>
      </c>
      <c r="O64" s="991" t="s">
        <v>947</v>
      </c>
      <c r="P64" s="991" t="s">
        <v>1531</v>
      </c>
      <c r="Q64" s="992">
        <v>638458.29</v>
      </c>
      <c r="R64" s="44">
        <f t="shared" si="12"/>
        <v>102153.32640000001</v>
      </c>
      <c r="S64" s="45">
        <f t="shared" si="9"/>
        <v>740611.61640000006</v>
      </c>
      <c r="T64" s="46">
        <v>186206.9</v>
      </c>
      <c r="U64" s="47">
        <f t="shared" si="13"/>
        <v>216000.00399999999</v>
      </c>
      <c r="V64" s="44">
        <f t="shared" si="10"/>
        <v>925764.51760000002</v>
      </c>
      <c r="W64" s="993" t="s">
        <v>156</v>
      </c>
      <c r="X64" s="48">
        <v>43566</v>
      </c>
      <c r="Y64" s="39" t="s">
        <v>333</v>
      </c>
      <c r="Z64" s="48">
        <v>43565</v>
      </c>
      <c r="AA64" s="48">
        <v>43830</v>
      </c>
      <c r="AB64" s="38" t="s">
        <v>1461</v>
      </c>
      <c r="AC64" s="49"/>
      <c r="AD64" s="49"/>
      <c r="AE64" s="49"/>
      <c r="AF64" s="49"/>
      <c r="AG64" s="39" t="s">
        <v>156</v>
      </c>
      <c r="AH64" s="100" t="s">
        <v>1532</v>
      </c>
      <c r="AI64" s="100" t="s">
        <v>1491</v>
      </c>
      <c r="AJ64" s="101">
        <v>43837</v>
      </c>
      <c r="AK64" s="102">
        <f>159614.57*1.16</f>
        <v>185152.90119999999</v>
      </c>
      <c r="AL64" s="39" t="str">
        <f t="shared" ca="1" si="11"/>
        <v>MUERTO</v>
      </c>
      <c r="AM64" s="39"/>
      <c r="AN64" s="39"/>
      <c r="AO64" s="39"/>
      <c r="AP64" s="39" t="s">
        <v>924</v>
      </c>
      <c r="AQ64" s="39" t="s">
        <v>333</v>
      </c>
      <c r="AR64" s="39"/>
      <c r="AS64" s="39"/>
      <c r="AT64" s="39"/>
      <c r="AU64" s="51"/>
      <c r="AV64" s="50"/>
      <c r="AW64" s="38"/>
      <c r="AX64" s="52"/>
      <c r="AY64" s="50"/>
      <c r="AZ64" s="38"/>
      <c r="BA64" s="38" t="e">
        <f>VLOOKUP(I64,#REF!,2,0)</f>
        <v>#REF!</v>
      </c>
      <c r="BB64" s="71"/>
      <c r="BC64" s="59">
        <v>43563</v>
      </c>
      <c r="BD64" s="59">
        <v>43564</v>
      </c>
      <c r="BE64" s="59">
        <v>43577</v>
      </c>
      <c r="BF64" s="59">
        <v>43578</v>
      </c>
      <c r="BG64" s="59">
        <v>43600</v>
      </c>
      <c r="BH64" s="59" t="s">
        <v>1533</v>
      </c>
      <c r="BI64" s="39" t="e">
        <f>NETWORKDAYS(BF64,BG64,#REF!)</f>
        <v>#REF!</v>
      </c>
      <c r="BJ64" s="59" t="s">
        <v>1533</v>
      </c>
      <c r="BK64" s="59" t="s">
        <v>1534</v>
      </c>
      <c r="BL64" s="59"/>
      <c r="BM64" s="59" t="s">
        <v>1535</v>
      </c>
      <c r="BN64" s="59">
        <v>43593</v>
      </c>
      <c r="BO64" s="59">
        <v>43591</v>
      </c>
      <c r="BP64" s="59">
        <v>43592</v>
      </c>
      <c r="BQ64" s="62">
        <v>43593</v>
      </c>
      <c r="BR64" s="68" t="e">
        <f xml:space="preserve"> NETWORKDAYS(BC64,BM64,#REF!)</f>
        <v>#VALUE!</v>
      </c>
      <c r="BS64" s="69" t="e">
        <f>NETWORKDAYS(BC64,BN64,#REF!)</f>
        <v>#REF!</v>
      </c>
      <c r="BT64" s="62"/>
      <c r="BU64" s="84"/>
      <c r="BV64" s="84"/>
      <c r="BW64" s="84"/>
      <c r="BX64" s="84"/>
      <c r="BY64" s="84"/>
      <c r="BZ64" s="84"/>
    </row>
    <row r="65" spans="1:78" ht="345" hidden="1" x14ac:dyDescent="0.25">
      <c r="A65" s="38" t="s">
        <v>1536</v>
      </c>
      <c r="B65" s="39">
        <v>63</v>
      </c>
      <c r="C65" s="38" t="s">
        <v>149</v>
      </c>
      <c r="D65" s="991" t="s">
        <v>1529</v>
      </c>
      <c r="E65" s="4" t="s">
        <v>173</v>
      </c>
      <c r="F65" s="39" t="s">
        <v>326</v>
      </c>
      <c r="G65" s="39" t="s">
        <v>175</v>
      </c>
      <c r="H65" s="39"/>
      <c r="I65" s="81" t="s">
        <v>1537</v>
      </c>
      <c r="J65" s="82"/>
      <c r="K65" s="82"/>
      <c r="L65" s="82"/>
      <c r="M65" s="42" t="str">
        <f t="shared" si="14"/>
        <v xml:space="preserve">Criservices, S.A. de C.V.  </v>
      </c>
      <c r="N65" s="991" t="s">
        <v>198</v>
      </c>
      <c r="O65" s="991" t="s">
        <v>947</v>
      </c>
      <c r="P65" s="991" t="s">
        <v>1538</v>
      </c>
      <c r="Q65" s="992">
        <v>403382.32</v>
      </c>
      <c r="R65" s="44">
        <f t="shared" si="12"/>
        <v>64541.171200000004</v>
      </c>
      <c r="S65" s="45">
        <f t="shared" ref="S65:S96" si="15">Q65+R65</f>
        <v>467923.49119999999</v>
      </c>
      <c r="T65" s="46">
        <v>134482.76</v>
      </c>
      <c r="U65" s="47">
        <f t="shared" si="13"/>
        <v>156000.00160000002</v>
      </c>
      <c r="V65" s="44">
        <f t="shared" si="10"/>
        <v>467923.49119999999</v>
      </c>
      <c r="W65" s="993" t="s">
        <v>156</v>
      </c>
      <c r="X65" s="48">
        <v>43566</v>
      </c>
      <c r="Y65" s="39" t="s">
        <v>333</v>
      </c>
      <c r="Z65" s="48">
        <v>43565</v>
      </c>
      <c r="AA65" s="48">
        <v>43830</v>
      </c>
      <c r="AB65" s="38" t="s">
        <v>1450</v>
      </c>
      <c r="AC65" s="49"/>
      <c r="AD65" s="49"/>
      <c r="AE65" s="49"/>
      <c r="AF65" s="49"/>
      <c r="AG65" s="39" t="s">
        <v>156</v>
      </c>
      <c r="AH65" s="38" t="s">
        <v>1539</v>
      </c>
      <c r="AI65" s="110" t="s">
        <v>1540</v>
      </c>
      <c r="AJ65" s="50"/>
      <c r="AK65" s="44"/>
      <c r="AL65" s="39" t="str">
        <f t="shared" ca="1" si="11"/>
        <v>MUERTO</v>
      </c>
      <c r="AM65" s="39"/>
      <c r="AN65" s="39"/>
      <c r="AO65" s="39"/>
      <c r="AP65" s="39" t="s">
        <v>924</v>
      </c>
      <c r="AQ65" s="39" t="s">
        <v>333</v>
      </c>
      <c r="AR65" s="39"/>
      <c r="AS65" s="39"/>
      <c r="AT65" s="39"/>
      <c r="AU65" s="51"/>
      <c r="AV65" s="50"/>
      <c r="AW65" s="38"/>
      <c r="AX65" s="52"/>
      <c r="AY65" s="50"/>
      <c r="AZ65" s="38"/>
      <c r="BA65" s="38" t="e">
        <f>VLOOKUP(I65,#REF!,2,0)</f>
        <v>#REF!</v>
      </c>
      <c r="BB65" s="71"/>
      <c r="BC65" s="59">
        <v>43563</v>
      </c>
      <c r="BD65" s="59">
        <v>43564</v>
      </c>
      <c r="BE65" s="59">
        <v>43577</v>
      </c>
      <c r="BF65" s="59">
        <v>43585</v>
      </c>
      <c r="BG65" s="59">
        <v>43599</v>
      </c>
      <c r="BH65" s="59" t="s">
        <v>1541</v>
      </c>
      <c r="BI65" s="39" t="e">
        <f>NETWORKDAYS(BF65,BG65,#REF!)</f>
        <v>#REF!</v>
      </c>
      <c r="BJ65" s="59" t="s">
        <v>1542</v>
      </c>
      <c r="BK65" s="59" t="s">
        <v>1543</v>
      </c>
      <c r="BL65" s="59" t="s">
        <v>1544</v>
      </c>
      <c r="BM65" s="59" t="s">
        <v>1535</v>
      </c>
      <c r="BN65" s="59">
        <v>43614</v>
      </c>
      <c r="BO65" s="59">
        <v>43605</v>
      </c>
      <c r="BP65" s="59">
        <v>43615</v>
      </c>
      <c r="BQ65" s="62">
        <v>43614</v>
      </c>
      <c r="BR65" s="68" t="e">
        <f xml:space="preserve"> NETWORKDAYS(BC65,BM65,#REF!)</f>
        <v>#VALUE!</v>
      </c>
      <c r="BS65" s="69" t="e">
        <f>NETWORKDAYS(BC65,BN65,#REF!)</f>
        <v>#REF!</v>
      </c>
      <c r="BT65" s="62"/>
      <c r="BU65" s="84"/>
      <c r="BV65" s="84"/>
      <c r="BW65" s="84"/>
      <c r="BX65" s="84"/>
      <c r="BY65" s="84"/>
      <c r="BZ65" s="84"/>
    </row>
    <row r="66" spans="1:78" ht="150" hidden="1" x14ac:dyDescent="0.25">
      <c r="A66" s="38" t="s">
        <v>1545</v>
      </c>
      <c r="B66" s="39">
        <v>64</v>
      </c>
      <c r="C66" s="38" t="s">
        <v>149</v>
      </c>
      <c r="D66" s="991" t="s">
        <v>1546</v>
      </c>
      <c r="E66" s="39" t="s">
        <v>151</v>
      </c>
      <c r="F66" s="39" t="s">
        <v>152</v>
      </c>
      <c r="G66" s="39" t="s">
        <v>151</v>
      </c>
      <c r="H66" s="39"/>
      <c r="I66" s="81" t="s">
        <v>1547</v>
      </c>
      <c r="J66" s="82"/>
      <c r="K66" s="82"/>
      <c r="L66" s="82"/>
      <c r="M66" s="42" t="str">
        <f t="shared" si="14"/>
        <v xml:space="preserve">Amarello Tecnologías de Información, S.A. de C.V.  </v>
      </c>
      <c r="N66" s="991" t="s">
        <v>1548</v>
      </c>
      <c r="O66" s="991" t="s">
        <v>1549</v>
      </c>
      <c r="P66" s="991" t="s">
        <v>1550</v>
      </c>
      <c r="Q66" s="992">
        <v>705000</v>
      </c>
      <c r="R66" s="44">
        <f t="shared" si="12"/>
        <v>112800</v>
      </c>
      <c r="S66" s="45">
        <f t="shared" si="15"/>
        <v>817800</v>
      </c>
      <c r="T66" s="46">
        <v>0</v>
      </c>
      <c r="U66" s="47">
        <f t="shared" si="13"/>
        <v>0</v>
      </c>
      <c r="V66" s="44">
        <f t="shared" si="10"/>
        <v>817800</v>
      </c>
      <c r="W66" s="993" t="s">
        <v>156</v>
      </c>
      <c r="X66" s="48">
        <v>43570</v>
      </c>
      <c r="Y66" s="39" t="s">
        <v>333</v>
      </c>
      <c r="Z66" s="48">
        <v>43570</v>
      </c>
      <c r="AA66" s="48">
        <v>43830</v>
      </c>
      <c r="AB66" s="38" t="s">
        <v>182</v>
      </c>
      <c r="AC66" s="49"/>
      <c r="AD66" s="49"/>
      <c r="AE66" s="49"/>
      <c r="AF66" s="49"/>
      <c r="AG66" s="39" t="s">
        <v>156</v>
      </c>
      <c r="AH66" s="38"/>
      <c r="AI66" s="38"/>
      <c r="AJ66" s="50"/>
      <c r="AK66" s="44"/>
      <c r="AL66" s="39" t="str">
        <f t="shared" ca="1" si="11"/>
        <v>MUERTO</v>
      </c>
      <c r="AM66" s="39"/>
      <c r="AN66" s="39"/>
      <c r="AO66" s="39"/>
      <c r="AP66" s="39"/>
      <c r="AQ66" s="39" t="s">
        <v>333</v>
      </c>
      <c r="AR66" s="39"/>
      <c r="AS66" s="39"/>
      <c r="AT66" s="39"/>
      <c r="AU66" s="51"/>
      <c r="AV66" s="50"/>
      <c r="AW66" s="38"/>
      <c r="AX66" s="52"/>
      <c r="AY66" s="50"/>
      <c r="AZ66" s="38"/>
      <c r="BA66" s="38" t="e">
        <f>VLOOKUP(I66,#REF!,2,0)</f>
        <v>#REF!</v>
      </c>
      <c r="BB66" s="71"/>
      <c r="BC66" s="59">
        <v>43563</v>
      </c>
      <c r="BD66" s="59">
        <v>43565</v>
      </c>
      <c r="BE66" s="59">
        <v>43577</v>
      </c>
      <c r="BF66" s="59">
        <v>43578</v>
      </c>
      <c r="BG66" s="59">
        <v>43594</v>
      </c>
      <c r="BH66" s="59">
        <v>43594</v>
      </c>
      <c r="BI66" s="39" t="e">
        <f>NETWORKDAYS(BF66,BG66,#REF!)</f>
        <v>#REF!</v>
      </c>
      <c r="BJ66" s="59">
        <v>43594</v>
      </c>
      <c r="BK66" s="59">
        <v>43600</v>
      </c>
      <c r="BL66" s="59" t="s">
        <v>479</v>
      </c>
      <c r="BM66" s="59">
        <v>43602</v>
      </c>
      <c r="BN66" s="59">
        <v>43585</v>
      </c>
      <c r="BO66" s="59">
        <v>43580</v>
      </c>
      <c r="BP66" s="59">
        <v>43622</v>
      </c>
      <c r="BQ66" s="62" t="s">
        <v>186</v>
      </c>
      <c r="BR66" s="68" t="e">
        <f xml:space="preserve"> NETWORKDAYS(BC66,BM66,#REF!)</f>
        <v>#REF!</v>
      </c>
      <c r="BS66" s="69" t="e">
        <f>NETWORKDAYS(BC66,BN66,#REF!)</f>
        <v>#REF!</v>
      </c>
      <c r="BT66" s="62" t="s">
        <v>900</v>
      </c>
      <c r="BU66" s="84"/>
      <c r="BV66" s="84"/>
      <c r="BW66" s="84"/>
      <c r="BX66" s="84"/>
      <c r="BY66" s="84"/>
      <c r="BZ66" s="84"/>
    </row>
    <row r="67" spans="1:78" ht="120" hidden="1" x14ac:dyDescent="0.25">
      <c r="A67" s="598" t="s">
        <v>1551</v>
      </c>
      <c r="B67" s="39">
        <v>65</v>
      </c>
      <c r="C67" s="38" t="s">
        <v>225</v>
      </c>
      <c r="D67" s="991" t="s">
        <v>1552</v>
      </c>
      <c r="E67" s="39" t="s">
        <v>151</v>
      </c>
      <c r="F67" s="39" t="s">
        <v>152</v>
      </c>
      <c r="G67" s="39" t="s">
        <v>151</v>
      </c>
      <c r="H67" s="39"/>
      <c r="I67" s="81" t="s">
        <v>631</v>
      </c>
      <c r="J67" s="82"/>
      <c r="K67" s="82"/>
      <c r="L67" s="82"/>
      <c r="M67" s="42" t="str">
        <f t="shared" si="14"/>
        <v xml:space="preserve">Grupo Besh, S.A. de C.V.  </v>
      </c>
      <c r="N67" s="991" t="s">
        <v>1553</v>
      </c>
      <c r="O67" s="991" t="s">
        <v>1554</v>
      </c>
      <c r="P67" s="991" t="s">
        <v>1555</v>
      </c>
      <c r="Q67" s="992">
        <v>366500</v>
      </c>
      <c r="R67" s="44">
        <f t="shared" si="12"/>
        <v>58640</v>
      </c>
      <c r="S67" s="45">
        <f t="shared" si="15"/>
        <v>425140</v>
      </c>
      <c r="T67" s="46">
        <v>0</v>
      </c>
      <c r="U67" s="47">
        <f t="shared" si="13"/>
        <v>0</v>
      </c>
      <c r="V67" s="44">
        <f t="shared" si="10"/>
        <v>425140</v>
      </c>
      <c r="W67" s="993" t="s">
        <v>156</v>
      </c>
      <c r="X67" s="48">
        <v>43570</v>
      </c>
      <c r="Y67" s="39" t="s">
        <v>333</v>
      </c>
      <c r="Z67" s="48">
        <v>43570</v>
      </c>
      <c r="AA67" s="48">
        <v>43708</v>
      </c>
      <c r="AB67" s="38" t="s">
        <v>182</v>
      </c>
      <c r="AC67" s="49"/>
      <c r="AD67" s="49"/>
      <c r="AE67" s="49"/>
      <c r="AF67" s="49"/>
      <c r="AG67" s="39" t="s">
        <v>156</v>
      </c>
      <c r="AH67" s="38"/>
      <c r="AI67" s="38"/>
      <c r="AJ67" s="50"/>
      <c r="AK67" s="44"/>
      <c r="AL67" s="39" t="str">
        <f t="shared" ca="1" si="11"/>
        <v>MUERTO</v>
      </c>
      <c r="AM67" s="39"/>
      <c r="AN67" s="39"/>
      <c r="AO67" s="39"/>
      <c r="AP67" s="39"/>
      <c r="AQ67" s="39" t="s">
        <v>333</v>
      </c>
      <c r="AR67" s="39"/>
      <c r="AS67" s="39"/>
      <c r="AT67" s="39"/>
      <c r="AU67" s="51"/>
      <c r="AV67" s="50"/>
      <c r="AW67" s="38"/>
      <c r="AX67" s="52"/>
      <c r="AY67" s="50"/>
      <c r="AZ67" s="38"/>
      <c r="BA67" s="38" t="e">
        <f>VLOOKUP(I67,#REF!,2,0)</f>
        <v>#REF!</v>
      </c>
      <c r="BB67" s="71"/>
      <c r="BC67" s="59">
        <v>43563</v>
      </c>
      <c r="BD67" s="58">
        <v>43565</v>
      </c>
      <c r="BE67" s="58">
        <v>43577</v>
      </c>
      <c r="BF67" s="58">
        <v>43577</v>
      </c>
      <c r="BG67" s="58">
        <v>43584</v>
      </c>
      <c r="BH67" s="59" t="s">
        <v>1556</v>
      </c>
      <c r="BI67" s="39" t="e">
        <f>NETWORKDAYS(BF67,BG67,#REF!)</f>
        <v>#REF!</v>
      </c>
      <c r="BJ67" s="59">
        <v>43599</v>
      </c>
      <c r="BK67" s="59" t="s">
        <v>1557</v>
      </c>
      <c r="BL67" s="59" t="s">
        <v>1558</v>
      </c>
      <c r="BM67" s="59">
        <v>43605</v>
      </c>
      <c r="BN67" s="59">
        <v>43584</v>
      </c>
      <c r="BO67" s="59">
        <v>43579</v>
      </c>
      <c r="BP67" s="59">
        <v>43592</v>
      </c>
      <c r="BQ67" s="62">
        <v>43585</v>
      </c>
      <c r="BR67" s="68" t="e">
        <f xml:space="preserve"> NETWORKDAYS(BC67,BM67,#REF!)</f>
        <v>#REF!</v>
      </c>
      <c r="BS67" s="69" t="e">
        <f>NETWORKDAYS(BC67,BN67,#REF!)</f>
        <v>#REF!</v>
      </c>
      <c r="BT67" s="62"/>
      <c r="BU67" s="84"/>
      <c r="BV67" s="84"/>
      <c r="BW67" s="84"/>
      <c r="BX67" s="84"/>
      <c r="BY67" s="84"/>
      <c r="BZ67" s="84"/>
    </row>
    <row r="68" spans="1:78" ht="135" hidden="1" x14ac:dyDescent="0.25">
      <c r="A68" s="598" t="s">
        <v>1559</v>
      </c>
      <c r="B68" s="39">
        <v>66</v>
      </c>
      <c r="C68" s="38" t="s">
        <v>225</v>
      </c>
      <c r="D68" s="991" t="s">
        <v>1560</v>
      </c>
      <c r="E68" s="4" t="s">
        <v>173</v>
      </c>
      <c r="F68" s="39" t="s">
        <v>326</v>
      </c>
      <c r="G68" s="39" t="s">
        <v>175</v>
      </c>
      <c r="H68" s="39"/>
      <c r="I68" s="81"/>
      <c r="J68" s="82" t="s">
        <v>1561</v>
      </c>
      <c r="K68" s="82" t="s">
        <v>1562</v>
      </c>
      <c r="L68" s="82" t="s">
        <v>1563</v>
      </c>
      <c r="M68" s="42" t="str">
        <f t="shared" si="14"/>
        <v>Marleny Uscanga Aboytes</v>
      </c>
      <c r="N68" s="991" t="s">
        <v>270</v>
      </c>
      <c r="O68" s="991" t="s">
        <v>271</v>
      </c>
      <c r="P68" s="991" t="s">
        <v>1564</v>
      </c>
      <c r="Q68" s="992">
        <v>856991.45</v>
      </c>
      <c r="R68" s="44">
        <v>0</v>
      </c>
      <c r="S68" s="45">
        <f t="shared" si="15"/>
        <v>856991.45</v>
      </c>
      <c r="T68" s="46">
        <v>342796.58</v>
      </c>
      <c r="U68" s="46">
        <v>342796.58</v>
      </c>
      <c r="V68" s="44">
        <f t="shared" ref="V68:V99" si="16">S68+AK68</f>
        <v>856991.45</v>
      </c>
      <c r="W68" s="993" t="s">
        <v>156</v>
      </c>
      <c r="X68" s="48">
        <v>43570</v>
      </c>
      <c r="Y68" s="39" t="s">
        <v>333</v>
      </c>
      <c r="Z68" s="48">
        <v>43570</v>
      </c>
      <c r="AA68" s="48">
        <v>43830</v>
      </c>
      <c r="AB68" s="38" t="s">
        <v>182</v>
      </c>
      <c r="AC68" s="54"/>
      <c r="AD68" s="54"/>
      <c r="AE68" s="54"/>
      <c r="AF68" s="54"/>
      <c r="AG68" s="39" t="s">
        <v>156</v>
      </c>
      <c r="AH68" s="38"/>
      <c r="AI68" s="38"/>
      <c r="AJ68" s="50"/>
      <c r="AK68" s="44"/>
      <c r="AL68" s="39" t="str">
        <f t="shared" ca="1" si="11"/>
        <v>MUERTO</v>
      </c>
      <c r="AM68" s="39"/>
      <c r="AN68" s="39"/>
      <c r="AO68" s="39"/>
      <c r="AP68" s="39"/>
      <c r="AQ68" s="39" t="s">
        <v>333</v>
      </c>
      <c r="AR68" s="39"/>
      <c r="AS68" s="39"/>
      <c r="AT68" s="39"/>
      <c r="AU68" s="51"/>
      <c r="AV68" s="50"/>
      <c r="AW68" s="38"/>
      <c r="AX68" s="52"/>
      <c r="AY68" s="50"/>
      <c r="AZ68" s="38"/>
      <c r="BA68" s="38" t="e">
        <f>VLOOKUP(I68,#REF!,2,0)</f>
        <v>#REF!</v>
      </c>
      <c r="BB68" s="71"/>
      <c r="BC68" s="59">
        <v>43566</v>
      </c>
      <c r="BD68" s="58">
        <v>43567</v>
      </c>
      <c r="BE68" s="58">
        <v>43577</v>
      </c>
      <c r="BF68" s="58">
        <v>43578</v>
      </c>
      <c r="BG68" s="58">
        <v>43598</v>
      </c>
      <c r="BH68" s="59" t="s">
        <v>1565</v>
      </c>
      <c r="BI68" s="39" t="e">
        <f>NETWORKDAYS(BF68,BG68,#REF!)</f>
        <v>#REF!</v>
      </c>
      <c r="BJ68" s="59" t="s">
        <v>1566</v>
      </c>
      <c r="BK68" s="59" t="s">
        <v>1567</v>
      </c>
      <c r="BL68" s="59" t="s">
        <v>1568</v>
      </c>
      <c r="BM68" s="59">
        <v>43616</v>
      </c>
      <c r="BN68" s="59">
        <v>43614</v>
      </c>
      <c r="BO68" s="59">
        <v>43612</v>
      </c>
      <c r="BP68" s="59">
        <v>43615</v>
      </c>
      <c r="BQ68" s="62">
        <v>43614</v>
      </c>
      <c r="BR68" s="68" t="e">
        <f xml:space="preserve"> NETWORKDAYS(BC68,BM68,#REF!)</f>
        <v>#REF!</v>
      </c>
      <c r="BS68" s="69" t="e">
        <f>NETWORKDAYS(BC68,BN68,#REF!)</f>
        <v>#REF!</v>
      </c>
      <c r="BT68" s="62"/>
      <c r="BU68" s="84"/>
      <c r="BV68" s="84"/>
      <c r="BW68" s="84"/>
      <c r="BX68" s="84"/>
      <c r="BY68" s="84"/>
      <c r="BZ68" s="84"/>
    </row>
    <row r="69" spans="1:78" ht="150" hidden="1" x14ac:dyDescent="0.25">
      <c r="A69" s="38" t="s">
        <v>1569</v>
      </c>
      <c r="B69" s="39">
        <v>67</v>
      </c>
      <c r="C69" s="38" t="s">
        <v>225</v>
      </c>
      <c r="D69" s="991" t="s">
        <v>1560</v>
      </c>
      <c r="E69" s="4" t="s">
        <v>173</v>
      </c>
      <c r="F69" s="39" t="s">
        <v>326</v>
      </c>
      <c r="G69" s="39" t="s">
        <v>175</v>
      </c>
      <c r="H69" s="39"/>
      <c r="I69" s="81"/>
      <c r="J69" s="82" t="s">
        <v>1570</v>
      </c>
      <c r="K69" s="82" t="s">
        <v>259</v>
      </c>
      <c r="L69" s="82" t="s">
        <v>1571</v>
      </c>
      <c r="M69" s="42" t="str">
        <f t="shared" si="14"/>
        <v>María Bertha Guillermina Patricia Contreras Espinosa</v>
      </c>
      <c r="N69" s="991" t="s">
        <v>270</v>
      </c>
      <c r="O69" s="991" t="s">
        <v>271</v>
      </c>
      <c r="P69" s="991" t="s">
        <v>1572</v>
      </c>
      <c r="Q69" s="992">
        <v>324265.84000000003</v>
      </c>
      <c r="R69" s="44">
        <f>Q69*0.16</f>
        <v>51882.534400000004</v>
      </c>
      <c r="S69" s="45">
        <f t="shared" si="15"/>
        <v>376148.37440000003</v>
      </c>
      <c r="T69" s="46">
        <v>129706.34</v>
      </c>
      <c r="U69" s="47">
        <f t="shared" ref="U69:U100" si="17">(T69*0.16)+(T69)</f>
        <v>150459.35440000001</v>
      </c>
      <c r="V69" s="44">
        <f t="shared" si="16"/>
        <v>376148.37440000003</v>
      </c>
      <c r="W69" s="993" t="s">
        <v>156</v>
      </c>
      <c r="X69" s="48">
        <v>43570</v>
      </c>
      <c r="Y69" s="39" t="s">
        <v>333</v>
      </c>
      <c r="Z69" s="48">
        <v>43570</v>
      </c>
      <c r="AA69" s="48">
        <v>43830</v>
      </c>
      <c r="AB69" s="38" t="s">
        <v>182</v>
      </c>
      <c r="AC69" s="49"/>
      <c r="AD69" s="49"/>
      <c r="AE69" s="49"/>
      <c r="AF69" s="49"/>
      <c r="AG69" s="39" t="s">
        <v>156</v>
      </c>
      <c r="AH69" s="38"/>
      <c r="AI69" s="38"/>
      <c r="AJ69" s="50"/>
      <c r="AK69" s="44"/>
      <c r="AL69" s="39" t="str">
        <f t="shared" ca="1" si="11"/>
        <v>MUERTO</v>
      </c>
      <c r="AM69" s="39"/>
      <c r="AN69" s="39"/>
      <c r="AO69" s="39"/>
      <c r="AP69" s="39"/>
      <c r="AQ69" s="39" t="s">
        <v>333</v>
      </c>
      <c r="AR69" s="39"/>
      <c r="AS69" s="39"/>
      <c r="AT69" s="39"/>
      <c r="AU69" s="51"/>
      <c r="AV69" s="50"/>
      <c r="AW69" s="38"/>
      <c r="AX69" s="52"/>
      <c r="AY69" s="50"/>
      <c r="AZ69" s="38"/>
      <c r="BA69" s="38" t="e">
        <f>VLOOKUP(I69,#REF!,2,0)</f>
        <v>#REF!</v>
      </c>
      <c r="BB69" s="71"/>
      <c r="BC69" s="59">
        <v>43566</v>
      </c>
      <c r="BD69" s="58">
        <v>43567</v>
      </c>
      <c r="BE69" s="58">
        <v>43577</v>
      </c>
      <c r="BF69" s="58">
        <v>43593</v>
      </c>
      <c r="BG69" s="58">
        <v>43593</v>
      </c>
      <c r="BH69" s="59">
        <v>43593</v>
      </c>
      <c r="BI69" s="39" t="e">
        <f>NETWORKDAYS(BF69,BG69,#REF!)</f>
        <v>#REF!</v>
      </c>
      <c r="BJ69" s="59">
        <v>43593</v>
      </c>
      <c r="BK69" s="59">
        <v>43598</v>
      </c>
      <c r="BL69" s="59" t="s">
        <v>479</v>
      </c>
      <c r="BM69" s="59" t="s">
        <v>1573</v>
      </c>
      <c r="BN69" s="59" t="s">
        <v>1574</v>
      </c>
      <c r="BO69" s="59">
        <v>43615</v>
      </c>
      <c r="BP69" s="59" t="s">
        <v>1574</v>
      </c>
      <c r="BQ69" s="62" t="s">
        <v>1574</v>
      </c>
      <c r="BR69" s="68" t="e">
        <f xml:space="preserve"> NETWORKDAYS(BC69,BM69,#REF!)</f>
        <v>#VALUE!</v>
      </c>
      <c r="BS69" s="69" t="e">
        <f>NETWORKDAYS(BC69,BN69,#REF!)</f>
        <v>#VALUE!</v>
      </c>
      <c r="BT69" s="62" t="s">
        <v>1575</v>
      </c>
      <c r="BU69" s="84"/>
      <c r="BV69" s="84"/>
      <c r="BW69" s="84"/>
      <c r="BX69" s="84"/>
      <c r="BY69" s="84"/>
      <c r="BZ69" s="84"/>
    </row>
    <row r="70" spans="1:78" ht="180" hidden="1" x14ac:dyDescent="0.25">
      <c r="A70" s="38" t="s">
        <v>1576</v>
      </c>
      <c r="B70" s="39">
        <v>68</v>
      </c>
      <c r="C70" s="38" t="s">
        <v>225</v>
      </c>
      <c r="D70" s="991" t="s">
        <v>1560</v>
      </c>
      <c r="E70" s="4" t="s">
        <v>173</v>
      </c>
      <c r="F70" s="39" t="s">
        <v>326</v>
      </c>
      <c r="G70" s="39" t="s">
        <v>175</v>
      </c>
      <c r="H70" s="39"/>
      <c r="I70" s="81" t="s">
        <v>528</v>
      </c>
      <c r="J70" s="82"/>
      <c r="K70" s="82"/>
      <c r="L70" s="82"/>
      <c r="M70" s="42" t="str">
        <f t="shared" si="14"/>
        <v xml:space="preserve">Café 1810, S.A. de C.V.  </v>
      </c>
      <c r="N70" s="991" t="s">
        <v>270</v>
      </c>
      <c r="O70" s="991" t="s">
        <v>271</v>
      </c>
      <c r="P70" s="991" t="s">
        <v>1577</v>
      </c>
      <c r="Q70" s="992">
        <v>814855.4</v>
      </c>
      <c r="R70" s="44">
        <v>0</v>
      </c>
      <c r="S70" s="45">
        <f t="shared" si="15"/>
        <v>814855.4</v>
      </c>
      <c r="T70" s="46">
        <v>325942.15999999997</v>
      </c>
      <c r="U70" s="47">
        <f t="shared" si="17"/>
        <v>378092.90559999994</v>
      </c>
      <c r="V70" s="44">
        <f t="shared" si="16"/>
        <v>814855.4</v>
      </c>
      <c r="W70" s="993" t="s">
        <v>156</v>
      </c>
      <c r="X70" s="48">
        <v>43570</v>
      </c>
      <c r="Y70" s="39" t="s">
        <v>333</v>
      </c>
      <c r="Z70" s="48">
        <v>43570</v>
      </c>
      <c r="AA70" s="48">
        <v>43830</v>
      </c>
      <c r="AB70" s="38" t="s">
        <v>182</v>
      </c>
      <c r="AC70" s="49"/>
      <c r="AD70" s="49"/>
      <c r="AE70" s="49"/>
      <c r="AF70" s="49"/>
      <c r="AG70" s="39" t="s">
        <v>156</v>
      </c>
      <c r="AH70" s="38"/>
      <c r="AI70" s="38"/>
      <c r="AJ70" s="50"/>
      <c r="AK70" s="44"/>
      <c r="AL70" s="39" t="str">
        <f t="shared" ca="1" si="11"/>
        <v>MUERTO</v>
      </c>
      <c r="AM70" s="39"/>
      <c r="AN70" s="39"/>
      <c r="AO70" s="39"/>
      <c r="AP70" s="39"/>
      <c r="AQ70" s="39" t="s">
        <v>333</v>
      </c>
      <c r="AR70" s="39"/>
      <c r="AS70" s="39"/>
      <c r="AT70" s="39"/>
      <c r="AU70" s="51"/>
      <c r="AV70" s="50"/>
      <c r="AW70" s="38"/>
      <c r="AX70" s="52"/>
      <c r="AY70" s="50"/>
      <c r="AZ70" s="38"/>
      <c r="BA70" s="38" t="e">
        <f>VLOOKUP(I70,#REF!,2,0)</f>
        <v>#REF!</v>
      </c>
      <c r="BB70" s="71"/>
      <c r="BC70" s="59">
        <v>43566</v>
      </c>
      <c r="BD70" s="58">
        <v>43567</v>
      </c>
      <c r="BE70" s="58">
        <v>43578</v>
      </c>
      <c r="BF70" s="58" t="s">
        <v>204</v>
      </c>
      <c r="BG70" s="58"/>
      <c r="BH70" s="59" t="s">
        <v>1578</v>
      </c>
      <c r="BI70" s="39" t="e">
        <f>NETWORKDAYS(BF70,BG70,#REF!)</f>
        <v>#VALUE!</v>
      </c>
      <c r="BJ70" s="59" t="s">
        <v>1578</v>
      </c>
      <c r="BK70" s="59" t="s">
        <v>1579</v>
      </c>
      <c r="BL70" s="59" t="s">
        <v>1580</v>
      </c>
      <c r="BM70" s="59" t="s">
        <v>1573</v>
      </c>
      <c r="BN70" s="59" t="s">
        <v>1574</v>
      </c>
      <c r="BO70" s="59" t="s">
        <v>1574</v>
      </c>
      <c r="BP70" s="59" t="s">
        <v>1574</v>
      </c>
      <c r="BQ70" s="62" t="s">
        <v>1574</v>
      </c>
      <c r="BR70" s="68" t="e">
        <f xml:space="preserve"> NETWORKDAYS(BC70,BM70,#REF!)</f>
        <v>#VALUE!</v>
      </c>
      <c r="BS70" s="69" t="e">
        <f>NETWORKDAYS(BC70,BN70,#REF!)</f>
        <v>#VALUE!</v>
      </c>
      <c r="BT70" s="62" t="s">
        <v>1581</v>
      </c>
      <c r="BU70" s="84"/>
      <c r="BV70" s="84"/>
      <c r="BW70" s="84"/>
      <c r="BX70" s="84"/>
      <c r="BY70" s="84"/>
      <c r="BZ70" s="84"/>
    </row>
    <row r="71" spans="1:78" ht="120" hidden="1" x14ac:dyDescent="0.25">
      <c r="A71" s="598" t="s">
        <v>1582</v>
      </c>
      <c r="B71" s="39">
        <v>69</v>
      </c>
      <c r="C71" s="38" t="s">
        <v>225</v>
      </c>
      <c r="D71" s="991" t="s">
        <v>1560</v>
      </c>
      <c r="E71" s="4" t="s">
        <v>173</v>
      </c>
      <c r="F71" s="39" t="s">
        <v>326</v>
      </c>
      <c r="G71" s="39" t="s">
        <v>175</v>
      </c>
      <c r="H71" s="39"/>
      <c r="I71" s="81" t="s">
        <v>528</v>
      </c>
      <c r="J71" s="82"/>
      <c r="K71" s="82"/>
      <c r="L71" s="82"/>
      <c r="M71" s="42" t="str">
        <f t="shared" si="14"/>
        <v xml:space="preserve">Café 1810, S.A. de C.V.  </v>
      </c>
      <c r="N71" s="991" t="s">
        <v>190</v>
      </c>
      <c r="O71" s="991" t="s">
        <v>1184</v>
      </c>
      <c r="P71" s="991" t="s">
        <v>1583</v>
      </c>
      <c r="Q71" s="992">
        <v>1560000</v>
      </c>
      <c r="R71" s="44">
        <f t="shared" ref="R71:R102" si="18">Q71*0.16</f>
        <v>249600</v>
      </c>
      <c r="S71" s="45">
        <f t="shared" si="15"/>
        <v>1809600</v>
      </c>
      <c r="T71" s="46">
        <v>312000</v>
      </c>
      <c r="U71" s="47">
        <f t="shared" si="17"/>
        <v>361920</v>
      </c>
      <c r="V71" s="44">
        <f t="shared" si="16"/>
        <v>1809600</v>
      </c>
      <c r="W71" s="993" t="s">
        <v>156</v>
      </c>
      <c r="X71" s="48">
        <v>43570</v>
      </c>
      <c r="Y71" s="39" t="s">
        <v>333</v>
      </c>
      <c r="Z71" s="48">
        <v>43570</v>
      </c>
      <c r="AA71" s="48">
        <v>43830</v>
      </c>
      <c r="AB71" s="38" t="s">
        <v>182</v>
      </c>
      <c r="AC71" s="49"/>
      <c r="AD71" s="49"/>
      <c r="AE71" s="49"/>
      <c r="AF71" s="49"/>
      <c r="AG71" s="39" t="s">
        <v>156</v>
      </c>
      <c r="AH71" s="38"/>
      <c r="AI71" s="38"/>
      <c r="AJ71" s="50"/>
      <c r="AK71" s="44"/>
      <c r="AL71" s="39" t="str">
        <f t="shared" ca="1" si="11"/>
        <v>MUERTO</v>
      </c>
      <c r="AM71" s="39"/>
      <c r="AN71" s="39"/>
      <c r="AO71" s="39"/>
      <c r="AP71" s="39"/>
      <c r="AQ71" s="39" t="s">
        <v>333</v>
      </c>
      <c r="AR71" s="39"/>
      <c r="AS71" s="39"/>
      <c r="AT71" s="39"/>
      <c r="AU71" s="51"/>
      <c r="AV71" s="50"/>
      <c r="AW71" s="38"/>
      <c r="AX71" s="52"/>
      <c r="AY71" s="50"/>
      <c r="AZ71" s="38"/>
      <c r="BA71" s="38" t="e">
        <f>VLOOKUP(I71,#REF!,2,0)</f>
        <v>#REF!</v>
      </c>
      <c r="BB71" s="71"/>
      <c r="BC71" s="59">
        <v>43566</v>
      </c>
      <c r="BD71" s="58">
        <v>43567</v>
      </c>
      <c r="BE71" s="58">
        <v>43578</v>
      </c>
      <c r="BF71" s="58">
        <v>43598</v>
      </c>
      <c r="BG71" s="58">
        <v>43601</v>
      </c>
      <c r="BH71" s="59" t="s">
        <v>1584</v>
      </c>
      <c r="BI71" s="39" t="e">
        <f>NETWORKDAYS(BF71,BG71,#REF!)</f>
        <v>#REF!</v>
      </c>
      <c r="BJ71" s="59" t="s">
        <v>1585</v>
      </c>
      <c r="BK71" s="59" t="s">
        <v>1579</v>
      </c>
      <c r="BL71" s="59" t="s">
        <v>1586</v>
      </c>
      <c r="BM71" s="59" t="s">
        <v>1573</v>
      </c>
      <c r="BN71" s="59">
        <v>43602</v>
      </c>
      <c r="BO71" s="59">
        <v>43599</v>
      </c>
      <c r="BP71" s="59">
        <v>43603</v>
      </c>
      <c r="BQ71" s="62" t="s">
        <v>186</v>
      </c>
      <c r="BR71" s="68" t="e">
        <f xml:space="preserve"> NETWORKDAYS(BC71,BM71,#REF!)</f>
        <v>#VALUE!</v>
      </c>
      <c r="BS71" s="69" t="e">
        <f>NETWORKDAYS(BC71,BN71,#REF!)</f>
        <v>#REF!</v>
      </c>
      <c r="BT71" s="62" t="s">
        <v>1587</v>
      </c>
      <c r="BU71" s="84"/>
      <c r="BV71" s="84"/>
      <c r="BW71" s="84"/>
      <c r="BX71" s="84"/>
      <c r="BY71" s="84"/>
      <c r="BZ71" s="84"/>
    </row>
    <row r="72" spans="1:78" ht="225" hidden="1" x14ac:dyDescent="0.25">
      <c r="A72" s="38" t="s">
        <v>1588</v>
      </c>
      <c r="B72" s="39">
        <v>70</v>
      </c>
      <c r="C72" s="38" t="s">
        <v>149</v>
      </c>
      <c r="D72" s="991" t="s">
        <v>1589</v>
      </c>
      <c r="E72" s="39" t="s">
        <v>151</v>
      </c>
      <c r="F72" s="39" t="s">
        <v>152</v>
      </c>
      <c r="G72" s="39" t="s">
        <v>151</v>
      </c>
      <c r="H72" s="39"/>
      <c r="I72" s="81" t="s">
        <v>1590</v>
      </c>
      <c r="J72" s="82"/>
      <c r="K72" s="82"/>
      <c r="L72" s="82"/>
      <c r="M72" s="42" t="str">
        <f t="shared" si="14"/>
        <v xml:space="preserve">Sistema de Energía Ininterrumpida, S.A. de C.V.  </v>
      </c>
      <c r="N72" s="991" t="s">
        <v>198</v>
      </c>
      <c r="O72" s="991" t="s">
        <v>1591</v>
      </c>
      <c r="P72" s="991" t="s">
        <v>1592</v>
      </c>
      <c r="Q72" s="992">
        <v>234482.76</v>
      </c>
      <c r="R72" s="44">
        <f t="shared" si="18"/>
        <v>37517.241600000001</v>
      </c>
      <c r="S72" s="45">
        <f t="shared" si="15"/>
        <v>272000.00160000002</v>
      </c>
      <c r="T72" s="46">
        <v>93793.1</v>
      </c>
      <c r="U72" s="47">
        <f t="shared" si="17"/>
        <v>108799.99600000001</v>
      </c>
      <c r="V72" s="44">
        <f t="shared" si="16"/>
        <v>272000.00160000002</v>
      </c>
      <c r="W72" s="993" t="s">
        <v>156</v>
      </c>
      <c r="X72" s="48">
        <v>43572</v>
      </c>
      <c r="Y72" s="39" t="s">
        <v>333</v>
      </c>
      <c r="Z72" s="48">
        <v>43570</v>
      </c>
      <c r="AA72" s="48">
        <v>43830</v>
      </c>
      <c r="AB72" s="991" t="s">
        <v>1593</v>
      </c>
      <c r="AC72" s="49"/>
      <c r="AD72" s="49"/>
      <c r="AE72" s="49"/>
      <c r="AF72" s="49"/>
      <c r="AG72" s="39" t="s">
        <v>156</v>
      </c>
      <c r="AH72" s="38"/>
      <c r="AI72" s="38"/>
      <c r="AJ72" s="50"/>
      <c r="AK72" s="44"/>
      <c r="AL72" s="39" t="str">
        <f t="shared" ca="1" si="11"/>
        <v>MUERTO</v>
      </c>
      <c r="AM72" s="39"/>
      <c r="AN72" s="39"/>
      <c r="AO72" s="39"/>
      <c r="AP72" s="39"/>
      <c r="AQ72" s="39" t="s">
        <v>333</v>
      </c>
      <c r="AR72" s="39"/>
      <c r="AS72" s="39"/>
      <c r="AT72" s="39"/>
      <c r="AU72" s="51"/>
      <c r="AV72" s="50"/>
      <c r="AW72" s="38"/>
      <c r="AX72" s="52"/>
      <c r="AY72" s="50"/>
      <c r="AZ72" s="38"/>
      <c r="BA72" s="38" t="e">
        <f>VLOOKUP(I72,#REF!,2,0)</f>
        <v>#REF!</v>
      </c>
      <c r="BB72" s="71"/>
      <c r="BC72" s="59">
        <v>43567</v>
      </c>
      <c r="BD72" s="58">
        <v>43567</v>
      </c>
      <c r="BE72" s="58">
        <v>43580</v>
      </c>
      <c r="BF72" s="58">
        <v>43612</v>
      </c>
      <c r="BG72" s="58">
        <v>43651</v>
      </c>
      <c r="BH72" s="59" t="s">
        <v>1594</v>
      </c>
      <c r="BI72" s="39" t="e">
        <f>NETWORKDAYS(BF72,BG72,#REF!)</f>
        <v>#REF!</v>
      </c>
      <c r="BJ72" s="59" t="s">
        <v>1594</v>
      </c>
      <c r="BK72" s="59" t="s">
        <v>1595</v>
      </c>
      <c r="BL72" s="59" t="s">
        <v>1596</v>
      </c>
      <c r="BM72" s="59" t="s">
        <v>1573</v>
      </c>
      <c r="BN72" s="59" t="s">
        <v>1574</v>
      </c>
      <c r="BO72" s="59">
        <v>43612</v>
      </c>
      <c r="BP72" s="59" t="s">
        <v>1574</v>
      </c>
      <c r="BQ72" s="62" t="s">
        <v>1574</v>
      </c>
      <c r="BR72" s="68" t="e">
        <f xml:space="preserve"> NETWORKDAYS(BC72,BM72,#REF!)</f>
        <v>#VALUE!</v>
      </c>
      <c r="BS72" s="69" t="e">
        <f>NETWORKDAYS(BC72,BN72,#REF!)</f>
        <v>#VALUE!</v>
      </c>
      <c r="BT72" s="62" t="s">
        <v>1597</v>
      </c>
      <c r="BU72" s="84"/>
      <c r="BV72" s="84"/>
      <c r="BW72" s="84"/>
      <c r="BX72" s="84"/>
      <c r="BY72" s="84"/>
      <c r="BZ72" s="84"/>
    </row>
    <row r="73" spans="1:78" ht="165" hidden="1" x14ac:dyDescent="0.25">
      <c r="A73" s="38" t="s">
        <v>1598</v>
      </c>
      <c r="B73" s="39">
        <v>71</v>
      </c>
      <c r="C73" s="38" t="s">
        <v>149</v>
      </c>
      <c r="D73" s="991" t="s">
        <v>1599</v>
      </c>
      <c r="E73" s="81" t="s">
        <v>163</v>
      </c>
      <c r="F73" s="39" t="s">
        <v>607</v>
      </c>
      <c r="G73" s="39" t="s">
        <v>1477</v>
      </c>
      <c r="H73" s="685" t="s">
        <v>546</v>
      </c>
      <c r="I73" s="81"/>
      <c r="J73" s="82" t="s">
        <v>1600</v>
      </c>
      <c r="K73" s="82" t="s">
        <v>240</v>
      </c>
      <c r="L73" s="82" t="s">
        <v>241</v>
      </c>
      <c r="M73" s="42" t="str">
        <f t="shared" si="14"/>
        <v>Alfredo  Muñoz Herranz</v>
      </c>
      <c r="N73" s="991" t="s">
        <v>179</v>
      </c>
      <c r="O73" s="991" t="s">
        <v>1215</v>
      </c>
      <c r="P73" s="991" t="s">
        <v>1601</v>
      </c>
      <c r="Q73" s="992">
        <v>457600</v>
      </c>
      <c r="R73" s="44">
        <f t="shared" si="18"/>
        <v>73216</v>
      </c>
      <c r="S73" s="45">
        <f t="shared" si="15"/>
        <v>530816</v>
      </c>
      <c r="T73" s="46">
        <v>0</v>
      </c>
      <c r="U73" s="47">
        <f t="shared" si="17"/>
        <v>0</v>
      </c>
      <c r="V73" s="44">
        <f t="shared" si="16"/>
        <v>530816</v>
      </c>
      <c r="W73" s="993" t="s">
        <v>156</v>
      </c>
      <c r="X73" s="48">
        <v>43587</v>
      </c>
      <c r="Y73" s="39" t="s">
        <v>559</v>
      </c>
      <c r="Z73" s="48">
        <v>43586</v>
      </c>
      <c r="AA73" s="48">
        <v>43830</v>
      </c>
      <c r="AB73" s="38" t="s">
        <v>1205</v>
      </c>
      <c r="AC73" s="49"/>
      <c r="AD73" s="49"/>
      <c r="AE73" s="49"/>
      <c r="AF73" s="49"/>
      <c r="AG73" s="39" t="s">
        <v>156</v>
      </c>
      <c r="AH73" s="38"/>
      <c r="AI73" s="38"/>
      <c r="AJ73" s="50"/>
      <c r="AK73" s="44"/>
      <c r="AL73" s="39" t="str">
        <f t="shared" ca="1" si="11"/>
        <v>MUERTO</v>
      </c>
      <c r="AM73" s="39"/>
      <c r="AN73" s="39"/>
      <c r="AO73" s="39"/>
      <c r="AP73" s="39"/>
      <c r="AQ73" s="39" t="s">
        <v>1602</v>
      </c>
      <c r="AR73" s="39"/>
      <c r="AS73" s="39"/>
      <c r="AT73" s="39"/>
      <c r="AU73" s="51"/>
      <c r="AV73" s="50"/>
      <c r="AW73" s="38"/>
      <c r="AX73" s="52"/>
      <c r="AY73" s="50"/>
      <c r="AZ73" s="38"/>
      <c r="BA73" s="38" t="e">
        <f>VLOOKUP(I73,#REF!,2,0)</f>
        <v>#REF!</v>
      </c>
      <c r="BB73" s="71"/>
      <c r="BC73" s="59">
        <v>43584</v>
      </c>
      <c r="BD73" s="58">
        <v>43584</v>
      </c>
      <c r="BE73" s="58">
        <v>43593</v>
      </c>
      <c r="BF73" s="58">
        <v>43594</v>
      </c>
      <c r="BG73" s="58">
        <v>43612</v>
      </c>
      <c r="BH73" s="59" t="s">
        <v>1603</v>
      </c>
      <c r="BI73" s="39" t="e">
        <f>NETWORKDAYS(BF73,BG73,#REF!)</f>
        <v>#REF!</v>
      </c>
      <c r="BJ73" s="59" t="s">
        <v>1604</v>
      </c>
      <c r="BK73" s="59" t="s">
        <v>1605</v>
      </c>
      <c r="BL73" s="59" t="s">
        <v>1606</v>
      </c>
      <c r="BM73" s="59">
        <v>43621</v>
      </c>
      <c r="BN73" s="59">
        <v>43621</v>
      </c>
      <c r="BO73" s="59">
        <v>43612</v>
      </c>
      <c r="BP73" s="59">
        <v>43621</v>
      </c>
      <c r="BQ73" s="62" t="s">
        <v>186</v>
      </c>
      <c r="BR73" s="68" t="e">
        <f xml:space="preserve"> NETWORKDAYS(BC73,BM73,#REF!)</f>
        <v>#REF!</v>
      </c>
      <c r="BS73" s="69" t="e">
        <f>NETWORKDAYS(BC73,BN73,#REF!)</f>
        <v>#REF!</v>
      </c>
      <c r="BT73" s="62"/>
      <c r="BU73" s="84"/>
      <c r="BV73" s="84"/>
      <c r="BW73" s="84"/>
      <c r="BX73" s="84"/>
      <c r="BY73" s="84"/>
      <c r="BZ73" s="84"/>
    </row>
    <row r="74" spans="1:78" ht="270" hidden="1" x14ac:dyDescent="0.25">
      <c r="A74" s="38" t="s">
        <v>1607</v>
      </c>
      <c r="B74" s="39">
        <v>72</v>
      </c>
      <c r="C74" s="38" t="s">
        <v>149</v>
      </c>
      <c r="D74" s="991" t="s">
        <v>1599</v>
      </c>
      <c r="E74" s="81" t="s">
        <v>163</v>
      </c>
      <c r="F74" s="39" t="s">
        <v>607</v>
      </c>
      <c r="G74" s="39" t="s">
        <v>1477</v>
      </c>
      <c r="H74" s="685" t="s">
        <v>546</v>
      </c>
      <c r="I74" s="81"/>
      <c r="J74" s="82" t="s">
        <v>1600</v>
      </c>
      <c r="K74" s="82" t="s">
        <v>240</v>
      </c>
      <c r="L74" s="82" t="s">
        <v>241</v>
      </c>
      <c r="M74" s="42" t="str">
        <f t="shared" si="14"/>
        <v>Alfredo  Muñoz Herranz</v>
      </c>
      <c r="N74" s="991" t="s">
        <v>179</v>
      </c>
      <c r="O74" s="991" t="s">
        <v>1215</v>
      </c>
      <c r="P74" s="991" t="s">
        <v>1608</v>
      </c>
      <c r="Q74" s="992">
        <v>251790</v>
      </c>
      <c r="R74" s="44">
        <f t="shared" si="18"/>
        <v>40286.400000000001</v>
      </c>
      <c r="S74" s="45">
        <f t="shared" si="15"/>
        <v>292076.40000000002</v>
      </c>
      <c r="T74" s="46">
        <v>0</v>
      </c>
      <c r="U74" s="47">
        <f t="shared" si="17"/>
        <v>0</v>
      </c>
      <c r="V74" s="44">
        <f t="shared" si="16"/>
        <v>292076.40000000002</v>
      </c>
      <c r="W74" s="993" t="s">
        <v>156</v>
      </c>
      <c r="X74" s="48">
        <v>43587</v>
      </c>
      <c r="Y74" s="39" t="s">
        <v>559</v>
      </c>
      <c r="Z74" s="48">
        <v>43586</v>
      </c>
      <c r="AA74" s="48">
        <v>43830</v>
      </c>
      <c r="AB74" s="38" t="s">
        <v>1205</v>
      </c>
      <c r="AC74" s="49"/>
      <c r="AD74" s="49"/>
      <c r="AE74" s="49"/>
      <c r="AF74" s="49"/>
      <c r="AG74" s="39" t="s">
        <v>156</v>
      </c>
      <c r="AH74" s="38"/>
      <c r="AI74" s="38"/>
      <c r="AJ74" s="50"/>
      <c r="AK74" s="44"/>
      <c r="AL74" s="39" t="str">
        <f t="shared" ca="1" si="11"/>
        <v>MUERTO</v>
      </c>
      <c r="AM74" s="39"/>
      <c r="AN74" s="39"/>
      <c r="AO74" s="39"/>
      <c r="AP74" s="39"/>
      <c r="AQ74" s="39" t="s">
        <v>1602</v>
      </c>
      <c r="AR74" s="39"/>
      <c r="AS74" s="39"/>
      <c r="AT74" s="39"/>
      <c r="AU74" s="51"/>
      <c r="AV74" s="50"/>
      <c r="AW74" s="38"/>
      <c r="AX74" s="52"/>
      <c r="AY74" s="50"/>
      <c r="AZ74" s="38"/>
      <c r="BA74" s="38" t="e">
        <f>VLOOKUP(I74,#REF!,2,0)</f>
        <v>#REF!</v>
      </c>
      <c r="BB74" s="71"/>
      <c r="BC74" s="59">
        <v>43584</v>
      </c>
      <c r="BD74" s="58">
        <v>43584</v>
      </c>
      <c r="BE74" s="58">
        <v>43591</v>
      </c>
      <c r="BF74" s="58">
        <v>43594</v>
      </c>
      <c r="BG74" s="58">
        <v>43607</v>
      </c>
      <c r="BH74" s="59" t="s">
        <v>1609</v>
      </c>
      <c r="BI74" s="39" t="e">
        <f>NETWORKDAYS(BF74,BG74,#REF!)</f>
        <v>#REF!</v>
      </c>
      <c r="BJ74" s="59" t="s">
        <v>1609</v>
      </c>
      <c r="BK74" s="59" t="s">
        <v>1610</v>
      </c>
      <c r="BL74" s="59" t="s">
        <v>1606</v>
      </c>
      <c r="BM74" s="59">
        <v>43620</v>
      </c>
      <c r="BN74" s="59">
        <v>43615</v>
      </c>
      <c r="BO74" s="59">
        <v>43615</v>
      </c>
      <c r="BP74" s="59">
        <v>43620</v>
      </c>
      <c r="BQ74" s="62" t="s">
        <v>186</v>
      </c>
      <c r="BR74" s="68" t="e">
        <f xml:space="preserve"> NETWORKDAYS(BC74,BM74,#REF!)</f>
        <v>#REF!</v>
      </c>
      <c r="BS74" s="69" t="e">
        <f>NETWORKDAYS(BC74,BN74,#REF!)</f>
        <v>#REF!</v>
      </c>
      <c r="BT74" s="62"/>
      <c r="BU74" s="84"/>
      <c r="BV74" s="84"/>
      <c r="BW74" s="84"/>
      <c r="BX74" s="84"/>
      <c r="BY74" s="84"/>
      <c r="BZ74" s="84"/>
    </row>
    <row r="75" spans="1:78" ht="270" hidden="1" x14ac:dyDescent="0.25">
      <c r="A75" s="38" t="s">
        <v>1611</v>
      </c>
      <c r="B75" s="39">
        <v>73</v>
      </c>
      <c r="C75" s="38" t="s">
        <v>149</v>
      </c>
      <c r="D75" s="991" t="s">
        <v>1599</v>
      </c>
      <c r="E75" s="81" t="s">
        <v>163</v>
      </c>
      <c r="F75" s="39" t="s">
        <v>607</v>
      </c>
      <c r="G75" s="39" t="s">
        <v>1477</v>
      </c>
      <c r="H75" s="685" t="s">
        <v>546</v>
      </c>
      <c r="I75" s="81"/>
      <c r="J75" s="82" t="s">
        <v>258</v>
      </c>
      <c r="K75" s="82" t="s">
        <v>259</v>
      </c>
      <c r="L75" s="82" t="s">
        <v>260</v>
      </c>
      <c r="M75" s="42" t="str">
        <f t="shared" si="14"/>
        <v>Aureliano Contreras Morales</v>
      </c>
      <c r="N75" s="991" t="s">
        <v>179</v>
      </c>
      <c r="O75" s="991" t="s">
        <v>1215</v>
      </c>
      <c r="P75" s="991" t="s">
        <v>1612</v>
      </c>
      <c r="Q75" s="992">
        <v>279720</v>
      </c>
      <c r="R75" s="44">
        <f t="shared" si="18"/>
        <v>44755.200000000004</v>
      </c>
      <c r="S75" s="45">
        <f t="shared" si="15"/>
        <v>324475.2</v>
      </c>
      <c r="T75" s="46">
        <v>0</v>
      </c>
      <c r="U75" s="47">
        <f t="shared" si="17"/>
        <v>0</v>
      </c>
      <c r="V75" s="44">
        <f t="shared" si="16"/>
        <v>324475.2</v>
      </c>
      <c r="W75" s="993" t="s">
        <v>156</v>
      </c>
      <c r="X75" s="48">
        <v>43587</v>
      </c>
      <c r="Y75" s="39" t="s">
        <v>559</v>
      </c>
      <c r="Z75" s="48">
        <v>43586</v>
      </c>
      <c r="AA75" s="48">
        <v>43830</v>
      </c>
      <c r="AB75" s="38" t="s">
        <v>1205</v>
      </c>
      <c r="AC75" s="49"/>
      <c r="AD75" s="49"/>
      <c r="AE75" s="49"/>
      <c r="AF75" s="49"/>
      <c r="AG75" s="39" t="s">
        <v>156</v>
      </c>
      <c r="AH75" s="38"/>
      <c r="AI75" s="38"/>
      <c r="AJ75" s="50"/>
      <c r="AK75" s="44"/>
      <c r="AL75" s="39" t="str">
        <f t="shared" ref="AL75:AL106" ca="1" si="19">IF(ISBLANK(AA75),"",IF(AA75&gt;=TODAY(),"VIGENTE","MUERTO"))</f>
        <v>MUERTO</v>
      </c>
      <c r="AM75" s="39"/>
      <c r="AN75" s="39"/>
      <c r="AO75" s="39"/>
      <c r="AP75" s="39"/>
      <c r="AQ75" s="39" t="s">
        <v>1613</v>
      </c>
      <c r="AR75" s="39"/>
      <c r="AS75" s="39"/>
      <c r="AT75" s="39"/>
      <c r="AU75" s="51"/>
      <c r="AV75" s="50"/>
      <c r="AW75" s="38"/>
      <c r="AX75" s="52"/>
      <c r="AY75" s="50"/>
      <c r="AZ75" s="38"/>
      <c r="BA75" s="38" t="e">
        <f>VLOOKUP(I75,#REF!,2,0)</f>
        <v>#REF!</v>
      </c>
      <c r="BB75" s="71"/>
      <c r="BC75" s="59">
        <v>43584</v>
      </c>
      <c r="BD75" s="58">
        <v>43584</v>
      </c>
      <c r="BE75" s="58">
        <v>43593</v>
      </c>
      <c r="BF75" s="58">
        <v>43594</v>
      </c>
      <c r="BG75" s="58">
        <v>43607</v>
      </c>
      <c r="BH75" s="59" t="s">
        <v>1614</v>
      </c>
      <c r="BI75" s="39" t="e">
        <f>NETWORKDAYS(BF75,BG75,#REF!)</f>
        <v>#REF!</v>
      </c>
      <c r="BJ75" s="59" t="s">
        <v>1614</v>
      </c>
      <c r="BK75" s="59" t="s">
        <v>1615</v>
      </c>
      <c r="BL75" s="59"/>
      <c r="BM75" s="59">
        <v>43620</v>
      </c>
      <c r="BN75" s="59">
        <v>43615</v>
      </c>
      <c r="BO75" s="59">
        <v>43615</v>
      </c>
      <c r="BP75" s="59">
        <v>43620</v>
      </c>
      <c r="BQ75" s="62" t="s">
        <v>186</v>
      </c>
      <c r="BR75" s="68" t="e">
        <f xml:space="preserve"> NETWORKDAYS(BC75,BM75,#REF!)</f>
        <v>#REF!</v>
      </c>
      <c r="BS75" s="69" t="e">
        <f>NETWORKDAYS(BC75,BN75,#REF!)</f>
        <v>#REF!</v>
      </c>
      <c r="BT75" s="62"/>
      <c r="BU75" s="84"/>
      <c r="BV75" s="84"/>
      <c r="BW75" s="84"/>
      <c r="BX75" s="84"/>
      <c r="BY75" s="84"/>
      <c r="BZ75" s="84"/>
    </row>
    <row r="76" spans="1:78" ht="330" hidden="1" x14ac:dyDescent="0.25">
      <c r="A76" s="38" t="s">
        <v>1616</v>
      </c>
      <c r="B76" s="39">
        <v>74</v>
      </c>
      <c r="C76" s="38" t="s">
        <v>149</v>
      </c>
      <c r="D76" s="991" t="s">
        <v>1617</v>
      </c>
      <c r="E76" s="81" t="s">
        <v>163</v>
      </c>
      <c r="F76" s="39" t="s">
        <v>1618</v>
      </c>
      <c r="G76" s="39" t="s">
        <v>1111</v>
      </c>
      <c r="H76" s="685" t="s">
        <v>546</v>
      </c>
      <c r="I76" s="81" t="s">
        <v>1619</v>
      </c>
      <c r="J76" s="82"/>
      <c r="K76" s="82"/>
      <c r="L76" s="82"/>
      <c r="M76" s="42" t="str">
        <f t="shared" si="14"/>
        <v xml:space="preserve">Sr &amp; Friends, S.A. de C.V.  </v>
      </c>
      <c r="N76" s="991" t="s">
        <v>179</v>
      </c>
      <c r="O76" s="991" t="s">
        <v>1620</v>
      </c>
      <c r="P76" s="991" t="s">
        <v>1621</v>
      </c>
      <c r="Q76" s="992">
        <v>900000</v>
      </c>
      <c r="R76" s="44">
        <f t="shared" si="18"/>
        <v>144000</v>
      </c>
      <c r="S76" s="45">
        <f t="shared" si="15"/>
        <v>1044000</v>
      </c>
      <c r="T76" s="46">
        <v>0</v>
      </c>
      <c r="U76" s="47">
        <f t="shared" si="17"/>
        <v>0</v>
      </c>
      <c r="V76" s="44">
        <f t="shared" si="16"/>
        <v>1305000</v>
      </c>
      <c r="W76" s="993" t="s">
        <v>156</v>
      </c>
      <c r="X76" s="48">
        <v>43588</v>
      </c>
      <c r="Y76" s="39" t="s">
        <v>559</v>
      </c>
      <c r="Z76" s="48">
        <v>43586</v>
      </c>
      <c r="AA76" s="48">
        <v>43830</v>
      </c>
      <c r="AB76" s="38" t="s">
        <v>1622</v>
      </c>
      <c r="AC76" s="49"/>
      <c r="AD76" s="49"/>
      <c r="AE76" s="49"/>
      <c r="AF76" s="49"/>
      <c r="AG76" s="39" t="s">
        <v>156</v>
      </c>
      <c r="AH76" s="100" t="s">
        <v>1623</v>
      </c>
      <c r="AI76" s="100" t="s">
        <v>1624</v>
      </c>
      <c r="AJ76" s="101">
        <v>43844</v>
      </c>
      <c r="AK76" s="102">
        <f>225000*1.16</f>
        <v>260999.99999999997</v>
      </c>
      <c r="AL76" s="39" t="str">
        <f t="shared" ca="1" si="19"/>
        <v>MUERTO</v>
      </c>
      <c r="AM76" s="39"/>
      <c r="AN76" s="39"/>
      <c r="AO76" s="39"/>
      <c r="AP76" s="39" t="s">
        <v>157</v>
      </c>
      <c r="AQ76" s="39" t="s">
        <v>1613</v>
      </c>
      <c r="AR76" s="39"/>
      <c r="AS76" s="39"/>
      <c r="AT76" s="39"/>
      <c r="AU76" s="51"/>
      <c r="AV76" s="50"/>
      <c r="AW76" s="38"/>
      <c r="AX76" s="52"/>
      <c r="AY76" s="50"/>
      <c r="AZ76" s="38"/>
      <c r="BA76" s="38" t="e">
        <f>VLOOKUP(I76,#REF!,2,0)</f>
        <v>#REF!</v>
      </c>
      <c r="BB76" s="71"/>
      <c r="BC76" s="59">
        <v>43585</v>
      </c>
      <c r="BD76" s="58">
        <v>43585</v>
      </c>
      <c r="BE76" s="58">
        <v>43593</v>
      </c>
      <c r="BF76" s="58">
        <v>43613</v>
      </c>
      <c r="BG76" s="58">
        <v>43622</v>
      </c>
      <c r="BH76" s="59">
        <v>43622</v>
      </c>
      <c r="BI76" s="39" t="e">
        <f>NETWORKDAYS(BF76,BG76,#REF!)</f>
        <v>#REF!</v>
      </c>
      <c r="BJ76" s="59">
        <v>43623</v>
      </c>
      <c r="BK76" s="59" t="s">
        <v>1574</v>
      </c>
      <c r="BL76" s="59" t="s">
        <v>1574</v>
      </c>
      <c r="BM76" s="59" t="s">
        <v>1574</v>
      </c>
      <c r="BN76" s="59" t="s">
        <v>1574</v>
      </c>
      <c r="BO76" s="59">
        <v>43620</v>
      </c>
      <c r="BP76" s="59"/>
      <c r="BQ76" s="62" t="s">
        <v>186</v>
      </c>
      <c r="BR76" s="68" t="e">
        <f xml:space="preserve"> NETWORKDAYS(BC76,BM76,#REF!)</f>
        <v>#VALUE!</v>
      </c>
      <c r="BS76" s="69" t="e">
        <f>NETWORKDAYS(BC76,BN76,#REF!)</f>
        <v>#VALUE!</v>
      </c>
      <c r="BT76" s="62"/>
      <c r="BU76" s="84"/>
      <c r="BV76" s="84"/>
      <c r="BW76" s="84"/>
      <c r="BX76" s="84"/>
      <c r="BY76" s="84"/>
      <c r="BZ76" s="84"/>
    </row>
    <row r="77" spans="1:78" ht="195" hidden="1" x14ac:dyDescent="0.25">
      <c r="A77" s="38" t="s">
        <v>1625</v>
      </c>
      <c r="B77" s="39">
        <v>75</v>
      </c>
      <c r="C77" s="38" t="s">
        <v>149</v>
      </c>
      <c r="D77" s="991" t="s">
        <v>1617</v>
      </c>
      <c r="E77" s="81" t="s">
        <v>163</v>
      </c>
      <c r="F77" s="39" t="s">
        <v>1618</v>
      </c>
      <c r="G77" s="39" t="s">
        <v>1111</v>
      </c>
      <c r="H77" s="685" t="s">
        <v>546</v>
      </c>
      <c r="I77" s="81" t="s">
        <v>1626</v>
      </c>
      <c r="J77" s="82"/>
      <c r="K77" s="82"/>
      <c r="L77" s="82"/>
      <c r="M77" s="42" t="str">
        <f t="shared" si="14"/>
        <v xml:space="preserve">Grupo Arte y Comunicación S.C.  </v>
      </c>
      <c r="N77" s="991" t="s">
        <v>179</v>
      </c>
      <c r="O77" s="991" t="s">
        <v>1620</v>
      </c>
      <c r="P77" s="991" t="s">
        <v>1627</v>
      </c>
      <c r="Q77" s="992">
        <v>475862</v>
      </c>
      <c r="R77" s="44">
        <f t="shared" si="18"/>
        <v>76137.919999999998</v>
      </c>
      <c r="S77" s="45">
        <f t="shared" si="15"/>
        <v>551999.92000000004</v>
      </c>
      <c r="T77" s="46">
        <v>0</v>
      </c>
      <c r="U77" s="47">
        <f t="shared" si="17"/>
        <v>0</v>
      </c>
      <c r="V77" s="44">
        <f t="shared" si="16"/>
        <v>689999.9</v>
      </c>
      <c r="W77" s="993" t="s">
        <v>156</v>
      </c>
      <c r="X77" s="48">
        <v>43588</v>
      </c>
      <c r="Y77" s="39" t="s">
        <v>559</v>
      </c>
      <c r="Z77" s="48">
        <v>43586</v>
      </c>
      <c r="AA77" s="48">
        <v>43830</v>
      </c>
      <c r="AB77" s="38" t="s">
        <v>1622</v>
      </c>
      <c r="AC77" s="49"/>
      <c r="AD77" s="49"/>
      <c r="AE77" s="49"/>
      <c r="AF77" s="49"/>
      <c r="AG77" s="39" t="s">
        <v>156</v>
      </c>
      <c r="AH77" s="100" t="s">
        <v>1628</v>
      </c>
      <c r="AI77" s="100" t="s">
        <v>1624</v>
      </c>
      <c r="AJ77" s="101">
        <v>43844</v>
      </c>
      <c r="AK77" s="102">
        <f>118965.5*1.16</f>
        <v>137999.97999999998</v>
      </c>
      <c r="AL77" s="39" t="str">
        <f t="shared" ca="1" si="19"/>
        <v>MUERTO</v>
      </c>
      <c r="AM77" s="39"/>
      <c r="AN77" s="39"/>
      <c r="AO77" s="39"/>
      <c r="AP77" s="39" t="s">
        <v>157</v>
      </c>
      <c r="AQ77" s="39" t="s">
        <v>1613</v>
      </c>
      <c r="AR77" s="39"/>
      <c r="AS77" s="39"/>
      <c r="AT77" s="39"/>
      <c r="AU77" s="51"/>
      <c r="AV77" s="50"/>
      <c r="AW77" s="38"/>
      <c r="AX77" s="52"/>
      <c r="AY77" s="50"/>
      <c r="AZ77" s="38"/>
      <c r="BA77" s="38" t="e">
        <f>VLOOKUP(I77,#REF!,2,0)</f>
        <v>#REF!</v>
      </c>
      <c r="BB77" s="71"/>
      <c r="BC77" s="59">
        <v>43553</v>
      </c>
      <c r="BD77" s="58">
        <v>43585</v>
      </c>
      <c r="BE77" s="58">
        <v>43593</v>
      </c>
      <c r="BF77" s="58">
        <v>43595</v>
      </c>
      <c r="BG77" s="58">
        <v>43600</v>
      </c>
      <c r="BH77" s="59">
        <v>43600</v>
      </c>
      <c r="BI77" s="39" t="e">
        <f>NETWORKDAYS(BF77,BG77,#REF!)</f>
        <v>#REF!</v>
      </c>
      <c r="BJ77" s="59">
        <v>43600</v>
      </c>
      <c r="BK77" s="59">
        <v>43605</v>
      </c>
      <c r="BL77" s="59" t="s">
        <v>161</v>
      </c>
      <c r="BM77" s="59">
        <v>43616</v>
      </c>
      <c r="BN77" s="59">
        <v>43616</v>
      </c>
      <c r="BO77" s="59">
        <v>43612</v>
      </c>
      <c r="BP77" s="59">
        <v>43626</v>
      </c>
      <c r="BQ77" s="62" t="s">
        <v>186</v>
      </c>
      <c r="BR77" s="68" t="e">
        <f xml:space="preserve"> NETWORKDAYS(BC77,BM77,#REF!)</f>
        <v>#REF!</v>
      </c>
      <c r="BS77" s="69" t="e">
        <f>NETWORKDAYS(BC77,BN77,#REF!)</f>
        <v>#REF!</v>
      </c>
      <c r="BT77" s="62"/>
      <c r="BU77" s="84"/>
      <c r="BV77" s="84"/>
      <c r="BW77" s="84"/>
      <c r="BX77" s="84"/>
      <c r="BY77" s="84"/>
      <c r="BZ77" s="84"/>
    </row>
    <row r="78" spans="1:78" ht="315" hidden="1" x14ac:dyDescent="0.25">
      <c r="A78" s="38" t="s">
        <v>1629</v>
      </c>
      <c r="B78" s="39">
        <v>76</v>
      </c>
      <c r="C78" s="38" t="s">
        <v>149</v>
      </c>
      <c r="D78" s="991" t="s">
        <v>1617</v>
      </c>
      <c r="E78" s="81" t="s">
        <v>163</v>
      </c>
      <c r="F78" s="39" t="s">
        <v>312</v>
      </c>
      <c r="G78" s="39" t="s">
        <v>1111</v>
      </c>
      <c r="H78" s="685" t="s">
        <v>546</v>
      </c>
      <c r="I78" s="81" t="s">
        <v>1038</v>
      </c>
      <c r="J78" s="82"/>
      <c r="K78" s="82"/>
      <c r="L78" s="82"/>
      <c r="M78" s="42" t="str">
        <f t="shared" si="14"/>
        <v xml:space="preserve">Sistemas Neumáticos de Envíos, S.A. de C.V.  </v>
      </c>
      <c r="N78" s="991" t="s">
        <v>301</v>
      </c>
      <c r="O78" s="991" t="s">
        <v>302</v>
      </c>
      <c r="P78" s="991" t="s">
        <v>1630</v>
      </c>
      <c r="Q78" s="992">
        <v>1892350.28</v>
      </c>
      <c r="R78" s="44">
        <f t="shared" si="18"/>
        <v>302776.04480000003</v>
      </c>
      <c r="S78" s="45">
        <f t="shared" si="15"/>
        <v>2195126.3248000001</v>
      </c>
      <c r="T78" s="46">
        <v>0</v>
      </c>
      <c r="U78" s="47">
        <f t="shared" si="17"/>
        <v>0</v>
      </c>
      <c r="V78" s="44">
        <f t="shared" si="16"/>
        <v>2195126.3248000001</v>
      </c>
      <c r="W78" s="993" t="s">
        <v>156</v>
      </c>
      <c r="X78" s="48">
        <v>43588</v>
      </c>
      <c r="Y78" s="39" t="s">
        <v>559</v>
      </c>
      <c r="Z78" s="48">
        <v>43586</v>
      </c>
      <c r="AA78" s="48">
        <v>43830</v>
      </c>
      <c r="AB78" s="991" t="s">
        <v>1631</v>
      </c>
      <c r="AC78" s="49"/>
      <c r="AD78" s="49"/>
      <c r="AE78" s="49"/>
      <c r="AF78" s="49"/>
      <c r="AG78" s="39" t="s">
        <v>156</v>
      </c>
      <c r="AH78" s="38"/>
      <c r="AI78" s="38"/>
      <c r="AJ78" s="50"/>
      <c r="AK78" s="44"/>
      <c r="AL78" s="39" t="str">
        <f t="shared" ca="1" si="19"/>
        <v>MUERTO</v>
      </c>
      <c r="AM78" s="39"/>
      <c r="AN78" s="39"/>
      <c r="AO78" s="39"/>
      <c r="AP78" s="39"/>
      <c r="AQ78" s="39" t="s">
        <v>1613</v>
      </c>
      <c r="AR78" s="39"/>
      <c r="AS78" s="39"/>
      <c r="AT78" s="39"/>
      <c r="AU78" s="51"/>
      <c r="AV78" s="50"/>
      <c r="AW78" s="38"/>
      <c r="AX78" s="52"/>
      <c r="AY78" s="50"/>
      <c r="AZ78" s="38"/>
      <c r="BA78" s="38" t="e">
        <f>VLOOKUP(I78,#REF!,2,0)</f>
        <v>#REF!</v>
      </c>
      <c r="BB78" s="71"/>
      <c r="BC78" s="59">
        <v>43584</v>
      </c>
      <c r="BD78" s="58">
        <v>43584</v>
      </c>
      <c r="BE78" s="58">
        <v>43598</v>
      </c>
      <c r="BF78" s="58">
        <v>43599</v>
      </c>
      <c r="BG78" s="58">
        <v>43612</v>
      </c>
      <c r="BH78" s="59" t="s">
        <v>1632</v>
      </c>
      <c r="BI78" s="39" t="e">
        <f>NETWORKDAYS(BF78,BG78,#REF!)</f>
        <v>#REF!</v>
      </c>
      <c r="BJ78" s="59" t="s">
        <v>1633</v>
      </c>
      <c r="BK78" s="59" t="s">
        <v>1634</v>
      </c>
      <c r="BL78" s="59" t="s">
        <v>1344</v>
      </c>
      <c r="BM78" s="59" t="s">
        <v>1574</v>
      </c>
      <c r="BN78" s="59" t="s">
        <v>1574</v>
      </c>
      <c r="BO78" s="59" t="s">
        <v>1574</v>
      </c>
      <c r="BP78" s="59" t="s">
        <v>1574</v>
      </c>
      <c r="BQ78" s="62" t="s">
        <v>1574</v>
      </c>
      <c r="BR78" s="68" t="e">
        <f xml:space="preserve"> NETWORKDAYS(BC78,BM78,#REF!)</f>
        <v>#VALUE!</v>
      </c>
      <c r="BS78" s="69" t="e">
        <f>NETWORKDAYS(BC78,BN78,#REF!)</f>
        <v>#VALUE!</v>
      </c>
      <c r="BT78" s="62"/>
      <c r="BU78" s="84"/>
      <c r="BV78" s="84"/>
      <c r="BW78" s="84"/>
      <c r="BX78" s="84"/>
      <c r="BY78" s="84"/>
      <c r="BZ78" s="84"/>
    </row>
    <row r="79" spans="1:78" ht="195" hidden="1" x14ac:dyDescent="0.25">
      <c r="A79" s="38" t="s">
        <v>1635</v>
      </c>
      <c r="B79" s="39">
        <v>77</v>
      </c>
      <c r="C79" s="38" t="s">
        <v>149</v>
      </c>
      <c r="D79" s="991" t="s">
        <v>1599</v>
      </c>
      <c r="E79" s="81" t="s">
        <v>163</v>
      </c>
      <c r="F79" s="39" t="s">
        <v>607</v>
      </c>
      <c r="G79" s="39" t="s">
        <v>1477</v>
      </c>
      <c r="H79" s="685" t="s">
        <v>546</v>
      </c>
      <c r="I79" s="81" t="s">
        <v>1636</v>
      </c>
      <c r="J79" s="82"/>
      <c r="K79" s="82"/>
      <c r="L79" s="82"/>
      <c r="M79" s="42" t="str">
        <f t="shared" si="14"/>
        <v xml:space="preserve">Caja Electrónica, S.A.  </v>
      </c>
      <c r="N79" s="991" t="s">
        <v>179</v>
      </c>
      <c r="O79" s="991" t="s">
        <v>1215</v>
      </c>
      <c r="P79" s="991" t="s">
        <v>1637</v>
      </c>
      <c r="Q79" s="992">
        <v>238595.36</v>
      </c>
      <c r="R79" s="44">
        <f t="shared" si="18"/>
        <v>38175.257599999997</v>
      </c>
      <c r="S79" s="45">
        <f t="shared" si="15"/>
        <v>276770.6176</v>
      </c>
      <c r="T79" s="46">
        <v>0</v>
      </c>
      <c r="U79" s="47">
        <f t="shared" si="17"/>
        <v>0</v>
      </c>
      <c r="V79" s="44">
        <f t="shared" si="16"/>
        <v>276770.6176</v>
      </c>
      <c r="W79" s="993" t="s">
        <v>156</v>
      </c>
      <c r="X79" s="48">
        <v>43588</v>
      </c>
      <c r="Y79" s="39" t="s">
        <v>559</v>
      </c>
      <c r="Z79" s="48">
        <v>43586</v>
      </c>
      <c r="AA79" s="48">
        <v>43830</v>
      </c>
      <c r="AB79" s="38" t="s">
        <v>1205</v>
      </c>
      <c r="AC79" s="49"/>
      <c r="AD79" s="49"/>
      <c r="AE79" s="49"/>
      <c r="AF79" s="49"/>
      <c r="AG79" s="39" t="s">
        <v>156</v>
      </c>
      <c r="AH79" s="38"/>
      <c r="AI79" s="38"/>
      <c r="AJ79" s="50"/>
      <c r="AK79" s="44"/>
      <c r="AL79" s="39" t="str">
        <f t="shared" ca="1" si="19"/>
        <v>MUERTO</v>
      </c>
      <c r="AM79" s="39"/>
      <c r="AN79" s="39"/>
      <c r="AO79" s="39"/>
      <c r="AP79" s="39"/>
      <c r="AQ79" s="39" t="s">
        <v>1613</v>
      </c>
      <c r="AR79" s="39"/>
      <c r="AS79" s="39"/>
      <c r="AT79" s="39"/>
      <c r="AU79" s="51"/>
      <c r="AV79" s="50"/>
      <c r="AW79" s="38"/>
      <c r="AX79" s="52"/>
      <c r="AY79" s="50"/>
      <c r="AZ79" s="38"/>
      <c r="BA79" s="38" t="e">
        <f>VLOOKUP(I79,#REF!,2,0)</f>
        <v>#REF!</v>
      </c>
      <c r="BB79" s="71"/>
      <c r="BC79" s="59">
        <v>43584</v>
      </c>
      <c r="BD79" s="58">
        <v>43584</v>
      </c>
      <c r="BE79" s="58">
        <v>43593</v>
      </c>
      <c r="BF79" s="58">
        <v>43594</v>
      </c>
      <c r="BG79" s="58">
        <v>43612</v>
      </c>
      <c r="BH79" s="59" t="s">
        <v>1638</v>
      </c>
      <c r="BI79" s="39" t="e">
        <f>NETWORKDAYS(BF79,BG79,#REF!)</f>
        <v>#REF!</v>
      </c>
      <c r="BJ79" s="59" t="s">
        <v>1639</v>
      </c>
      <c r="BK79" s="59" t="s">
        <v>1640</v>
      </c>
      <c r="BL79" s="59" t="s">
        <v>1641</v>
      </c>
      <c r="BM79" s="59" t="s">
        <v>1574</v>
      </c>
      <c r="BN79" s="59">
        <v>43616</v>
      </c>
      <c r="BO79" s="59">
        <v>43616</v>
      </c>
      <c r="BP79" s="59">
        <v>43615</v>
      </c>
      <c r="BQ79" s="62" t="s">
        <v>186</v>
      </c>
      <c r="BR79" s="68" t="e">
        <f xml:space="preserve"> NETWORKDAYS(BC79,BM79,#REF!)</f>
        <v>#VALUE!</v>
      </c>
      <c r="BS79" s="69" t="e">
        <f>NETWORKDAYS(BC79,BN79,#REF!)</f>
        <v>#REF!</v>
      </c>
      <c r="BT79" s="62"/>
      <c r="BU79" s="84"/>
      <c r="BV79" s="84"/>
      <c r="BW79" s="84"/>
      <c r="BX79" s="84"/>
      <c r="BY79" s="84"/>
      <c r="BZ79" s="84"/>
    </row>
    <row r="80" spans="1:78" ht="180" hidden="1" x14ac:dyDescent="0.25">
      <c r="A80" s="38" t="s">
        <v>1642</v>
      </c>
      <c r="B80" s="39">
        <v>78</v>
      </c>
      <c r="C80" s="38" t="s">
        <v>149</v>
      </c>
      <c r="D80" s="991" t="s">
        <v>1643</v>
      </c>
      <c r="E80" s="81" t="s">
        <v>163</v>
      </c>
      <c r="F80" s="39" t="s">
        <v>188</v>
      </c>
      <c r="G80" s="39" t="s">
        <v>427</v>
      </c>
      <c r="H80" s="81" t="s">
        <v>163</v>
      </c>
      <c r="I80" s="81" t="s">
        <v>1644</v>
      </c>
      <c r="J80" s="82"/>
      <c r="K80" s="82"/>
      <c r="L80" s="82"/>
      <c r="M80" s="42" t="str">
        <f t="shared" si="14"/>
        <v xml:space="preserve">Colectivo de Investigación, Desarrollo y Educación entre mujeres, A.C.  </v>
      </c>
      <c r="N80" s="991" t="s">
        <v>1645</v>
      </c>
      <c r="O80" s="991" t="s">
        <v>1646</v>
      </c>
      <c r="P80" s="991" t="s">
        <v>1647</v>
      </c>
      <c r="Q80" s="992">
        <v>234287.93</v>
      </c>
      <c r="R80" s="44">
        <f t="shared" si="18"/>
        <v>37486.068800000001</v>
      </c>
      <c r="S80" s="45">
        <f t="shared" si="15"/>
        <v>271773.9988</v>
      </c>
      <c r="T80" s="46">
        <v>0</v>
      </c>
      <c r="U80" s="47">
        <f t="shared" si="17"/>
        <v>0</v>
      </c>
      <c r="V80" s="44">
        <f t="shared" si="16"/>
        <v>271773.9988</v>
      </c>
      <c r="W80" s="993" t="s">
        <v>156</v>
      </c>
      <c r="X80" s="48">
        <v>43598</v>
      </c>
      <c r="Y80" s="39" t="s">
        <v>559</v>
      </c>
      <c r="Z80" s="48">
        <v>43598</v>
      </c>
      <c r="AA80" s="48">
        <v>43633</v>
      </c>
      <c r="AB80" s="38" t="s">
        <v>1648</v>
      </c>
      <c r="AC80" s="49"/>
      <c r="AD80" s="49"/>
      <c r="AE80" s="49"/>
      <c r="AF80" s="49"/>
      <c r="AG80" s="39"/>
      <c r="AH80" s="38"/>
      <c r="AI80" s="38"/>
      <c r="AJ80" s="50"/>
      <c r="AK80" s="44"/>
      <c r="AL80" s="39" t="str">
        <f t="shared" ca="1" si="19"/>
        <v>MUERTO</v>
      </c>
      <c r="AM80" s="39"/>
      <c r="AN80" s="39"/>
      <c r="AO80" s="39"/>
      <c r="AP80" s="39"/>
      <c r="AQ80" s="39" t="s">
        <v>1613</v>
      </c>
      <c r="AR80" s="39"/>
      <c r="AS80" s="39"/>
      <c r="AT80" s="39"/>
      <c r="AU80" s="51"/>
      <c r="AV80" s="50"/>
      <c r="AW80" s="38"/>
      <c r="AX80" s="52"/>
      <c r="AY80" s="50"/>
      <c r="AZ80" s="38"/>
      <c r="BA80" s="38" t="e">
        <f>VLOOKUP(I80,#REF!,2,0)</f>
        <v>#REF!</v>
      </c>
      <c r="BB80" s="71"/>
      <c r="BC80" s="59">
        <v>43593</v>
      </c>
      <c r="BD80" s="58">
        <v>43594</v>
      </c>
      <c r="BE80" s="58">
        <v>43600</v>
      </c>
      <c r="BF80" s="39" t="s">
        <v>1297</v>
      </c>
      <c r="BG80" s="39" t="s">
        <v>161</v>
      </c>
      <c r="BH80" s="39" t="s">
        <v>161</v>
      </c>
      <c r="BI80" s="39" t="s">
        <v>1297</v>
      </c>
      <c r="BJ80" s="39" t="s">
        <v>161</v>
      </c>
      <c r="BK80" s="39" t="s">
        <v>161</v>
      </c>
      <c r="BL80" s="39" t="s">
        <v>161</v>
      </c>
      <c r="BM80" s="59">
        <v>43615</v>
      </c>
      <c r="BN80" s="59">
        <v>43615</v>
      </c>
      <c r="BO80" s="59">
        <v>43605</v>
      </c>
      <c r="BP80" s="59">
        <v>43615</v>
      </c>
      <c r="BQ80" s="62">
        <v>43615</v>
      </c>
      <c r="BR80" s="68" t="e">
        <f xml:space="preserve"> NETWORKDAYS(BC80,BM80,#REF!)</f>
        <v>#REF!</v>
      </c>
      <c r="BS80" s="69" t="e">
        <f>NETWORKDAYS(BC80,BN80,#REF!)</f>
        <v>#REF!</v>
      </c>
      <c r="BT80" s="62"/>
      <c r="BU80" s="84"/>
      <c r="BV80" s="84"/>
      <c r="BW80" s="84"/>
      <c r="BX80" s="84"/>
      <c r="BY80" s="84"/>
      <c r="BZ80" s="84"/>
    </row>
    <row r="81" spans="1:79" ht="105" hidden="1" x14ac:dyDescent="0.25">
      <c r="A81" s="598" t="s">
        <v>1649</v>
      </c>
      <c r="B81" s="39">
        <v>79</v>
      </c>
      <c r="C81" s="38" t="s">
        <v>225</v>
      </c>
      <c r="D81" s="991" t="s">
        <v>1177</v>
      </c>
      <c r="E81" s="81" t="s">
        <v>163</v>
      </c>
      <c r="F81" s="39" t="s">
        <v>237</v>
      </c>
      <c r="G81" s="39" t="s">
        <v>1272</v>
      </c>
      <c r="H81" s="81" t="s">
        <v>163</v>
      </c>
      <c r="I81" s="81" t="s">
        <v>1650</v>
      </c>
      <c r="J81" s="82"/>
      <c r="K81" s="82"/>
      <c r="L81" s="82"/>
      <c r="M81" s="42" t="str">
        <f t="shared" si="14"/>
        <v xml:space="preserve">Acrom, S.A. de C.V.  </v>
      </c>
      <c r="N81" s="991" t="s">
        <v>301</v>
      </c>
      <c r="O81" s="991" t="s">
        <v>302</v>
      </c>
      <c r="P81" s="991" t="s">
        <v>1651</v>
      </c>
      <c r="Q81" s="992">
        <v>650981.6</v>
      </c>
      <c r="R81" s="44">
        <f t="shared" si="18"/>
        <v>104157.056</v>
      </c>
      <c r="S81" s="45">
        <f t="shared" si="15"/>
        <v>755138.65599999996</v>
      </c>
      <c r="T81" s="46">
        <v>260392.65</v>
      </c>
      <c r="U81" s="47">
        <f t="shared" si="17"/>
        <v>302055.47399999999</v>
      </c>
      <c r="V81" s="44">
        <f t="shared" si="16"/>
        <v>755138.65599999996</v>
      </c>
      <c r="W81" s="993" t="s">
        <v>156</v>
      </c>
      <c r="X81" s="48">
        <v>43598</v>
      </c>
      <c r="Y81" s="39" t="s">
        <v>559</v>
      </c>
      <c r="Z81" s="48">
        <v>43595</v>
      </c>
      <c r="AA81" s="48">
        <v>43830</v>
      </c>
      <c r="AB81" s="38" t="s">
        <v>182</v>
      </c>
      <c r="AC81" s="49"/>
      <c r="AD81" s="49"/>
      <c r="AE81" s="49"/>
      <c r="AF81" s="49"/>
      <c r="AG81" s="39" t="s">
        <v>156</v>
      </c>
      <c r="AH81" s="38"/>
      <c r="AI81" s="38"/>
      <c r="AJ81" s="50"/>
      <c r="AK81" s="44"/>
      <c r="AL81" s="39" t="str">
        <f t="shared" ca="1" si="19"/>
        <v>MUERTO</v>
      </c>
      <c r="AM81" s="39"/>
      <c r="AN81" s="39"/>
      <c r="AO81" s="39"/>
      <c r="AP81" s="39"/>
      <c r="AQ81" s="39" t="s">
        <v>1613</v>
      </c>
      <c r="AR81" s="39"/>
      <c r="AS81" s="39"/>
      <c r="AT81" s="39"/>
      <c r="AU81" s="51"/>
      <c r="AV81" s="50"/>
      <c r="AW81" s="38"/>
      <c r="AX81" s="52"/>
      <c r="AY81" s="50"/>
      <c r="AZ81" s="38"/>
      <c r="BA81" s="38" t="e">
        <f>VLOOKUP(I81,#REF!,2,0)</f>
        <v>#REF!</v>
      </c>
      <c r="BB81" s="71"/>
      <c r="BC81" s="59">
        <v>43593</v>
      </c>
      <c r="BD81" s="58">
        <v>43594</v>
      </c>
      <c r="BE81" s="58">
        <v>43600</v>
      </c>
      <c r="BF81" s="58">
        <v>43600</v>
      </c>
      <c r="BG81" s="58"/>
      <c r="BH81" s="39" t="s">
        <v>1652</v>
      </c>
      <c r="BI81" s="39" t="e">
        <f>NETWORKDAYS(BF81,BG81,#REF!)</f>
        <v>#REF!</v>
      </c>
      <c r="BJ81" s="39" t="s">
        <v>1652</v>
      </c>
      <c r="BK81" s="39" t="s">
        <v>1652</v>
      </c>
      <c r="BL81" s="39" t="s">
        <v>1652</v>
      </c>
      <c r="BM81" s="39" t="s">
        <v>1652</v>
      </c>
      <c r="BN81" s="59">
        <v>43615</v>
      </c>
      <c r="BO81" s="59">
        <v>43608</v>
      </c>
      <c r="BP81" s="59">
        <v>43616</v>
      </c>
      <c r="BQ81" s="62">
        <v>43615</v>
      </c>
      <c r="BR81" s="68" t="e">
        <f xml:space="preserve"> NETWORKDAYS(BC81,BM81,#REF!)</f>
        <v>#VALUE!</v>
      </c>
      <c r="BS81" s="69" t="e">
        <f>NETWORKDAYS(BC81,BN81,#REF!)</f>
        <v>#REF!</v>
      </c>
      <c r="BT81" s="62"/>
      <c r="BU81" s="84"/>
      <c r="BV81" s="84"/>
      <c r="BW81" s="84"/>
      <c r="BX81" s="84"/>
      <c r="BY81" s="84"/>
      <c r="BZ81" s="84"/>
    </row>
    <row r="82" spans="1:79" ht="120" hidden="1" x14ac:dyDescent="0.25">
      <c r="A82" s="598" t="s">
        <v>1653</v>
      </c>
      <c r="B82" s="39">
        <v>80</v>
      </c>
      <c r="C82" s="38" t="s">
        <v>225</v>
      </c>
      <c r="D82" s="991" t="s">
        <v>1654</v>
      </c>
      <c r="E82" s="4" t="s">
        <v>173</v>
      </c>
      <c r="F82" s="39" t="s">
        <v>326</v>
      </c>
      <c r="G82" s="39" t="s">
        <v>175</v>
      </c>
      <c r="H82" s="39"/>
      <c r="I82" s="81" t="s">
        <v>1655</v>
      </c>
      <c r="J82" s="82"/>
      <c r="K82" s="82"/>
      <c r="L82" s="82"/>
      <c r="M82" s="42" t="str">
        <f t="shared" si="14"/>
        <v xml:space="preserve">Comercializadora Dopaj, S.A. de C.V.  </v>
      </c>
      <c r="N82" s="991" t="s">
        <v>270</v>
      </c>
      <c r="O82" s="991" t="s">
        <v>1656</v>
      </c>
      <c r="P82" s="991" t="s">
        <v>1657</v>
      </c>
      <c r="Q82" s="992">
        <v>12359408.25</v>
      </c>
      <c r="R82" s="44">
        <f t="shared" si="18"/>
        <v>1977505.32</v>
      </c>
      <c r="S82" s="45">
        <f t="shared" si="15"/>
        <v>14336913.57</v>
      </c>
      <c r="T82" s="46">
        <v>4943763.3</v>
      </c>
      <c r="U82" s="47">
        <f t="shared" si="17"/>
        <v>5734765.4279999994</v>
      </c>
      <c r="V82" s="44">
        <f t="shared" si="16"/>
        <v>14336913.57</v>
      </c>
      <c r="W82" s="993" t="s">
        <v>156</v>
      </c>
      <c r="X82" s="48">
        <v>43600</v>
      </c>
      <c r="Y82" s="39" t="s">
        <v>559</v>
      </c>
      <c r="Z82" s="48">
        <v>43600</v>
      </c>
      <c r="AA82" s="48">
        <v>43830</v>
      </c>
      <c r="AB82" s="38" t="s">
        <v>182</v>
      </c>
      <c r="AC82" s="49"/>
      <c r="AD82" s="49"/>
      <c r="AE82" s="49"/>
      <c r="AF82" s="49"/>
      <c r="AG82" s="39" t="s">
        <v>156</v>
      </c>
      <c r="AH82" s="100" t="s">
        <v>1658</v>
      </c>
      <c r="AI82" s="100" t="s">
        <v>1659</v>
      </c>
      <c r="AJ82" s="101">
        <v>43770</v>
      </c>
      <c r="AK82" s="102">
        <v>0</v>
      </c>
      <c r="AL82" s="39" t="str">
        <f t="shared" ca="1" si="19"/>
        <v>MUERTO</v>
      </c>
      <c r="AM82" s="39"/>
      <c r="AN82" s="39"/>
      <c r="AO82" s="39"/>
      <c r="AP82" s="39" t="s">
        <v>924</v>
      </c>
      <c r="AQ82" s="39" t="s">
        <v>1613</v>
      </c>
      <c r="AR82" s="39"/>
      <c r="AS82" s="39"/>
      <c r="AT82" s="39"/>
      <c r="AU82" s="51"/>
      <c r="AV82" s="50"/>
      <c r="AW82" s="38"/>
      <c r="AX82" s="52"/>
      <c r="AY82" s="50"/>
      <c r="AZ82" s="38"/>
      <c r="BA82" s="38" t="e">
        <f>VLOOKUP(I82,#REF!,2,0)</f>
        <v>#REF!</v>
      </c>
      <c r="BB82" s="71"/>
      <c r="BC82" s="59">
        <v>43599</v>
      </c>
      <c r="BD82" s="58">
        <v>43599</v>
      </c>
      <c r="BE82" s="58">
        <v>43602</v>
      </c>
      <c r="BF82" s="58">
        <v>43602</v>
      </c>
      <c r="BG82" s="58">
        <v>43613</v>
      </c>
      <c r="BH82" s="59" t="s">
        <v>1660</v>
      </c>
      <c r="BI82" s="39" t="e">
        <f>NETWORKDAYS(BF82,BG82,#REF!)</f>
        <v>#REF!</v>
      </c>
      <c r="BJ82" s="59" t="s">
        <v>1661</v>
      </c>
      <c r="BK82" s="59" t="s">
        <v>1662</v>
      </c>
      <c r="BL82" s="59" t="s">
        <v>1558</v>
      </c>
      <c r="BM82" s="39" t="s">
        <v>1652</v>
      </c>
      <c r="BN82" s="39" t="s">
        <v>1652</v>
      </c>
      <c r="BO82" s="39" t="s">
        <v>1652</v>
      </c>
      <c r="BP82" s="39" t="s">
        <v>1652</v>
      </c>
      <c r="BQ82" s="63" t="s">
        <v>1652</v>
      </c>
      <c r="BR82" s="68" t="e">
        <f xml:space="preserve"> NETWORKDAYS(BC82,BM82,#REF!)</f>
        <v>#VALUE!</v>
      </c>
      <c r="BS82" s="69" t="e">
        <f>NETWORKDAYS(BC82,BN82,#REF!)</f>
        <v>#VALUE!</v>
      </c>
      <c r="BT82" s="63"/>
      <c r="BU82" s="84"/>
      <c r="BV82" s="84"/>
      <c r="BW82" s="84"/>
      <c r="BX82" s="84"/>
      <c r="BY82" s="84"/>
      <c r="BZ82" s="84"/>
    </row>
    <row r="83" spans="1:79" ht="180" hidden="1" x14ac:dyDescent="0.25">
      <c r="A83" s="598" t="s">
        <v>1663</v>
      </c>
      <c r="B83" s="39">
        <v>81</v>
      </c>
      <c r="C83" s="38" t="s">
        <v>225</v>
      </c>
      <c r="D83" s="991" t="s">
        <v>1664</v>
      </c>
      <c r="E83" s="4" t="s">
        <v>173</v>
      </c>
      <c r="F83" s="39" t="s">
        <v>326</v>
      </c>
      <c r="G83" s="39" t="s">
        <v>175</v>
      </c>
      <c r="H83" s="39"/>
      <c r="I83" s="81" t="s">
        <v>446</v>
      </c>
      <c r="J83" s="82"/>
      <c r="K83" s="82"/>
      <c r="L83" s="82"/>
      <c r="M83" s="42" t="str">
        <f t="shared" si="14"/>
        <v xml:space="preserve">Internacional Proveedora de Industrias, S.A. de C.V.  </v>
      </c>
      <c r="N83" s="991" t="s">
        <v>270</v>
      </c>
      <c r="O83" s="991" t="s">
        <v>1656</v>
      </c>
      <c r="P83" s="991" t="s">
        <v>1665</v>
      </c>
      <c r="Q83" s="992">
        <v>1266810.04</v>
      </c>
      <c r="R83" s="44">
        <f t="shared" si="18"/>
        <v>202689.60640000002</v>
      </c>
      <c r="S83" s="45">
        <f t="shared" si="15"/>
        <v>1469499.6464</v>
      </c>
      <c r="T83" s="46">
        <v>506724.02</v>
      </c>
      <c r="U83" s="47">
        <f t="shared" si="17"/>
        <v>587799.86320000002</v>
      </c>
      <c r="V83" s="44">
        <f t="shared" si="16"/>
        <v>1008053.3864</v>
      </c>
      <c r="W83" s="993" t="s">
        <v>156</v>
      </c>
      <c r="X83" s="48">
        <v>43600</v>
      </c>
      <c r="Y83" s="39" t="s">
        <v>559</v>
      </c>
      <c r="Z83" s="48">
        <v>43600</v>
      </c>
      <c r="AA83" s="48">
        <v>43830</v>
      </c>
      <c r="AB83" s="38" t="s">
        <v>182</v>
      </c>
      <c r="AC83" s="49"/>
      <c r="AD83" s="49"/>
      <c r="AE83" s="49"/>
      <c r="AF83" s="49"/>
      <c r="AG83" s="39" t="s">
        <v>156</v>
      </c>
      <c r="AH83" s="38" t="s">
        <v>1666</v>
      </c>
      <c r="AI83" s="38" t="s">
        <v>1667</v>
      </c>
      <c r="AJ83" s="50">
        <v>43774</v>
      </c>
      <c r="AK83" s="44">
        <v>-461446.26</v>
      </c>
      <c r="AL83" s="39" t="str">
        <f t="shared" ca="1" si="19"/>
        <v>MUERTO</v>
      </c>
      <c r="AM83" s="39"/>
      <c r="AN83" s="39"/>
      <c r="AO83" s="39"/>
      <c r="AP83" s="39" t="s">
        <v>1668</v>
      </c>
      <c r="AQ83" s="39" t="s">
        <v>1613</v>
      </c>
      <c r="AR83" s="39"/>
      <c r="AS83" s="39"/>
      <c r="AT83" s="39"/>
      <c r="AU83" s="51"/>
      <c r="AV83" s="50"/>
      <c r="AW83" s="51"/>
      <c r="AX83" s="52"/>
      <c r="AY83" s="50"/>
      <c r="AZ83" s="38"/>
      <c r="BA83" s="38" t="e">
        <f>VLOOKUP(I83,#REF!,2,0)</f>
        <v>#REF!</v>
      </c>
      <c r="BB83" s="71"/>
      <c r="BC83" s="59">
        <v>43594</v>
      </c>
      <c r="BD83" s="58">
        <v>43599</v>
      </c>
      <c r="BE83" s="58">
        <v>43602</v>
      </c>
      <c r="BF83" s="58">
        <v>43606</v>
      </c>
      <c r="BG83" s="58">
        <v>43633</v>
      </c>
      <c r="BH83" s="59">
        <v>43633</v>
      </c>
      <c r="BI83" s="39" t="e">
        <f>NETWORKDAYS(BF83,BG83,#REF!)</f>
        <v>#REF!</v>
      </c>
      <c r="BJ83" s="59" t="s">
        <v>1669</v>
      </c>
      <c r="BK83" s="59" t="s">
        <v>1669</v>
      </c>
      <c r="BL83" s="59" t="s">
        <v>1652</v>
      </c>
      <c r="BM83" s="39" t="s">
        <v>1652</v>
      </c>
      <c r="BN83" s="59">
        <v>43615</v>
      </c>
      <c r="BO83" s="59">
        <v>43612</v>
      </c>
      <c r="BP83" s="59">
        <v>43622</v>
      </c>
      <c r="BQ83" s="62">
        <v>43615</v>
      </c>
      <c r="BR83" s="68" t="e">
        <f xml:space="preserve"> NETWORKDAYS(BC83,BM83,#REF!)</f>
        <v>#VALUE!</v>
      </c>
      <c r="BS83" s="69" t="e">
        <f>NETWORKDAYS(BC83,BN83,#REF!)</f>
        <v>#REF!</v>
      </c>
      <c r="BT83" s="62"/>
      <c r="BU83" s="84"/>
      <c r="BV83" s="84"/>
      <c r="BW83" s="84"/>
      <c r="BX83" s="84"/>
      <c r="BY83" s="84"/>
      <c r="BZ83" s="84"/>
    </row>
    <row r="84" spans="1:79" ht="165" hidden="1" x14ac:dyDescent="0.25">
      <c r="A84" s="598" t="s">
        <v>1670</v>
      </c>
      <c r="B84" s="39">
        <v>82</v>
      </c>
      <c r="C84" s="38" t="s">
        <v>225</v>
      </c>
      <c r="D84" s="991" t="s">
        <v>1654</v>
      </c>
      <c r="E84" s="4" t="s">
        <v>173</v>
      </c>
      <c r="F84" s="39" t="s">
        <v>326</v>
      </c>
      <c r="G84" s="39" t="s">
        <v>175</v>
      </c>
      <c r="H84" s="39"/>
      <c r="I84" s="81" t="s">
        <v>511</v>
      </c>
      <c r="J84" s="82"/>
      <c r="K84" s="82"/>
      <c r="L84" s="82"/>
      <c r="M84" s="42" t="str">
        <f t="shared" si="14"/>
        <v xml:space="preserve">Cicovisa, S.A. de C.V.  </v>
      </c>
      <c r="N84" s="991" t="s">
        <v>270</v>
      </c>
      <c r="O84" s="991" t="s">
        <v>1656</v>
      </c>
      <c r="P84" s="991" t="s">
        <v>1671</v>
      </c>
      <c r="Q84" s="992">
        <v>2516852.2400000002</v>
      </c>
      <c r="R84" s="44">
        <f t="shared" si="18"/>
        <v>402696.35840000003</v>
      </c>
      <c r="S84" s="45">
        <f t="shared" si="15"/>
        <v>2919548.5984000005</v>
      </c>
      <c r="T84" s="46">
        <v>1006740.9</v>
      </c>
      <c r="U84" s="47">
        <f t="shared" si="17"/>
        <v>1167819.4440000001</v>
      </c>
      <c r="V84" s="44">
        <f t="shared" si="16"/>
        <v>2919548.5984000005</v>
      </c>
      <c r="W84" s="993" t="s">
        <v>156</v>
      </c>
      <c r="X84" s="48">
        <v>43600</v>
      </c>
      <c r="Y84" s="39" t="s">
        <v>559</v>
      </c>
      <c r="Z84" s="48">
        <v>43600</v>
      </c>
      <c r="AA84" s="48">
        <v>43830</v>
      </c>
      <c r="AB84" s="38" t="s">
        <v>182</v>
      </c>
      <c r="AC84" s="49"/>
      <c r="AD84" s="49"/>
      <c r="AE84" s="49"/>
      <c r="AF84" s="49"/>
      <c r="AG84" s="39" t="s">
        <v>156</v>
      </c>
      <c r="AH84" s="38"/>
      <c r="AI84" s="38"/>
      <c r="AJ84" s="50"/>
      <c r="AK84" s="44"/>
      <c r="AL84" s="39" t="str">
        <f t="shared" ca="1" si="19"/>
        <v>MUERTO</v>
      </c>
      <c r="AM84" s="39"/>
      <c r="AN84" s="39"/>
      <c r="AO84" s="39"/>
      <c r="AP84" s="39"/>
      <c r="AQ84" s="39" t="s">
        <v>1613</v>
      </c>
      <c r="AR84" s="39"/>
      <c r="AS84" s="39"/>
      <c r="AT84" s="39"/>
      <c r="AU84" s="51"/>
      <c r="AV84" s="50"/>
      <c r="AW84" s="38"/>
      <c r="AX84" s="52"/>
      <c r="AY84" s="50"/>
      <c r="AZ84" s="38"/>
      <c r="BA84" s="38" t="e">
        <f>VLOOKUP(I84,#REF!,2,0)</f>
        <v>#REF!</v>
      </c>
      <c r="BB84" s="71"/>
      <c r="BC84" s="59">
        <v>43599</v>
      </c>
      <c r="BD84" s="58">
        <v>43599</v>
      </c>
      <c r="BE84" s="58">
        <v>43605</v>
      </c>
      <c r="BF84" s="58">
        <v>43609</v>
      </c>
      <c r="BG84" s="58">
        <v>43613</v>
      </c>
      <c r="BH84" s="59" t="s">
        <v>1672</v>
      </c>
      <c r="BI84" s="39" t="e">
        <f>NETWORKDAYS(BF84,BG84,#REF!)</f>
        <v>#REF!</v>
      </c>
      <c r="BJ84" s="59" t="s">
        <v>1673</v>
      </c>
      <c r="BK84" s="59" t="s">
        <v>1674</v>
      </c>
      <c r="BL84" s="59" t="s">
        <v>1675</v>
      </c>
      <c r="BM84" s="39" t="s">
        <v>1652</v>
      </c>
      <c r="BN84" s="39" t="s">
        <v>1652</v>
      </c>
      <c r="BO84" s="39" t="s">
        <v>1652</v>
      </c>
      <c r="BP84" s="39" t="s">
        <v>1652</v>
      </c>
      <c r="BQ84" s="63" t="s">
        <v>1652</v>
      </c>
      <c r="BR84" s="68" t="e">
        <f xml:space="preserve"> NETWORKDAYS(BC84,BM84,#REF!)</f>
        <v>#VALUE!</v>
      </c>
      <c r="BS84" s="69" t="e">
        <f>NETWORKDAYS(BC84,BN84,#REF!)</f>
        <v>#VALUE!</v>
      </c>
      <c r="BT84" s="63"/>
      <c r="BU84" s="84"/>
      <c r="BV84" s="84"/>
      <c r="BW84" s="84"/>
      <c r="BX84" s="84"/>
      <c r="BY84" s="84"/>
      <c r="BZ84" s="84"/>
    </row>
    <row r="85" spans="1:79" ht="165" hidden="1" x14ac:dyDescent="0.25">
      <c r="A85" s="598" t="s">
        <v>1676</v>
      </c>
      <c r="B85" s="39">
        <v>83</v>
      </c>
      <c r="C85" s="38" t="s">
        <v>225</v>
      </c>
      <c r="D85" s="991" t="s">
        <v>1654</v>
      </c>
      <c r="E85" s="4" t="s">
        <v>173</v>
      </c>
      <c r="F85" s="39" t="s">
        <v>326</v>
      </c>
      <c r="G85" s="39" t="s">
        <v>175</v>
      </c>
      <c r="H85" s="39"/>
      <c r="I85" s="81" t="s">
        <v>522</v>
      </c>
      <c r="J85" s="82"/>
      <c r="K85" s="82"/>
      <c r="L85" s="82"/>
      <c r="M85" s="42" t="str">
        <f t="shared" si="14"/>
        <v xml:space="preserve">Papelera Anzures, S.A. de C.V.  </v>
      </c>
      <c r="N85" s="991" t="s">
        <v>270</v>
      </c>
      <c r="O85" s="991" t="s">
        <v>1656</v>
      </c>
      <c r="P85" s="991" t="s">
        <v>1677</v>
      </c>
      <c r="Q85" s="992">
        <v>5653681.2800000003</v>
      </c>
      <c r="R85" s="44">
        <f t="shared" si="18"/>
        <v>904589.00480000011</v>
      </c>
      <c r="S85" s="45">
        <f t="shared" si="15"/>
        <v>6558270.2848000005</v>
      </c>
      <c r="T85" s="46">
        <v>2261472.5</v>
      </c>
      <c r="U85" s="47">
        <f t="shared" si="17"/>
        <v>2623308.1</v>
      </c>
      <c r="V85" s="44">
        <f t="shared" si="16"/>
        <v>6558270.2848000005</v>
      </c>
      <c r="W85" s="993" t="s">
        <v>156</v>
      </c>
      <c r="X85" s="48">
        <v>43600</v>
      </c>
      <c r="Y85" s="39" t="s">
        <v>559</v>
      </c>
      <c r="Z85" s="48">
        <v>43600</v>
      </c>
      <c r="AA85" s="48">
        <v>43830</v>
      </c>
      <c r="AB85" s="38" t="s">
        <v>182</v>
      </c>
      <c r="AC85" s="49"/>
      <c r="AD85" s="49"/>
      <c r="AE85" s="49"/>
      <c r="AF85" s="49"/>
      <c r="AG85" s="39" t="s">
        <v>156</v>
      </c>
      <c r="AH85" s="100" t="s">
        <v>1678</v>
      </c>
      <c r="AI85" s="100" t="s">
        <v>1679</v>
      </c>
      <c r="AJ85" s="101">
        <v>43661</v>
      </c>
      <c r="AK85" s="102">
        <v>0</v>
      </c>
      <c r="AL85" s="39" t="str">
        <f t="shared" ca="1" si="19"/>
        <v>MUERTO</v>
      </c>
      <c r="AM85" s="39"/>
      <c r="AN85" s="39"/>
      <c r="AO85" s="39"/>
      <c r="AP85" s="39" t="s">
        <v>924</v>
      </c>
      <c r="AQ85" s="39" t="s">
        <v>1613</v>
      </c>
      <c r="AR85" s="39"/>
      <c r="AS85" s="39"/>
      <c r="AT85" s="39"/>
      <c r="AU85" s="51"/>
      <c r="AV85" s="50"/>
      <c r="AW85" s="38"/>
      <c r="AX85" s="52"/>
      <c r="AY85" s="50"/>
      <c r="AZ85" s="38"/>
      <c r="BA85" s="38" t="e">
        <f>VLOOKUP(I85,#REF!,2,0)</f>
        <v>#REF!</v>
      </c>
      <c r="BB85" s="71"/>
      <c r="BC85" s="59">
        <v>43599</v>
      </c>
      <c r="BD85" s="58">
        <v>43599</v>
      </c>
      <c r="BE85" s="58">
        <v>43605</v>
      </c>
      <c r="BF85" s="58">
        <v>43605</v>
      </c>
      <c r="BG85" s="58">
        <v>43609</v>
      </c>
      <c r="BH85" s="59">
        <v>43609</v>
      </c>
      <c r="BI85" s="39" t="e">
        <f>NETWORKDAYS(BF85,BG85,#REF!)</f>
        <v>#REF!</v>
      </c>
      <c r="BJ85" s="59">
        <v>43614</v>
      </c>
      <c r="BK85" s="59">
        <v>43619</v>
      </c>
      <c r="BL85" s="59" t="s">
        <v>161</v>
      </c>
      <c r="BM85" s="39" t="s">
        <v>1652</v>
      </c>
      <c r="BN85" s="39" t="s">
        <v>1652</v>
      </c>
      <c r="BO85" s="39" t="s">
        <v>1652</v>
      </c>
      <c r="BP85" s="39" t="s">
        <v>1652</v>
      </c>
      <c r="BQ85" s="63" t="s">
        <v>1652</v>
      </c>
      <c r="BR85" s="68" t="e">
        <f xml:space="preserve"> NETWORKDAYS(BC85,BM85,#REF!)</f>
        <v>#VALUE!</v>
      </c>
      <c r="BS85" s="69" t="e">
        <f>NETWORKDAYS(BC85,BN85,#REF!)</f>
        <v>#VALUE!</v>
      </c>
      <c r="BT85" s="63"/>
      <c r="BU85" s="84"/>
      <c r="BV85" s="84"/>
      <c r="BW85" s="84"/>
      <c r="BX85" s="84"/>
      <c r="BY85" s="84"/>
      <c r="BZ85" s="84"/>
    </row>
    <row r="86" spans="1:79" ht="150" hidden="1" x14ac:dyDescent="0.25">
      <c r="A86" s="598" t="s">
        <v>1680</v>
      </c>
      <c r="B86" s="39">
        <v>84</v>
      </c>
      <c r="C86" s="38" t="s">
        <v>225</v>
      </c>
      <c r="D86" s="991" t="s">
        <v>1654</v>
      </c>
      <c r="E86" s="4" t="s">
        <v>173</v>
      </c>
      <c r="F86" s="39" t="s">
        <v>326</v>
      </c>
      <c r="G86" s="39" t="s">
        <v>175</v>
      </c>
      <c r="H86" s="39"/>
      <c r="I86" s="81"/>
      <c r="J86" s="82" t="s">
        <v>1681</v>
      </c>
      <c r="K86" s="82" t="s">
        <v>1682</v>
      </c>
      <c r="L86" s="82" t="s">
        <v>394</v>
      </c>
      <c r="M86" s="42" t="str">
        <f t="shared" si="14"/>
        <v>Yocelia Vazquez Castro</v>
      </c>
      <c r="N86" s="991" t="s">
        <v>270</v>
      </c>
      <c r="O86" s="991" t="s">
        <v>1656</v>
      </c>
      <c r="P86" s="991" t="s">
        <v>1683</v>
      </c>
      <c r="Q86" s="992">
        <v>343287</v>
      </c>
      <c r="R86" s="44">
        <f t="shared" si="18"/>
        <v>54925.919999999998</v>
      </c>
      <c r="S86" s="45">
        <f t="shared" si="15"/>
        <v>398212.92</v>
      </c>
      <c r="T86" s="46">
        <v>137314.79999999999</v>
      </c>
      <c r="U86" s="47">
        <f t="shared" si="17"/>
        <v>159285.16799999998</v>
      </c>
      <c r="V86" s="44">
        <f t="shared" si="16"/>
        <v>398212.92</v>
      </c>
      <c r="W86" s="993" t="s">
        <v>156</v>
      </c>
      <c r="X86" s="48">
        <v>43599</v>
      </c>
      <c r="Y86" s="39" t="s">
        <v>559</v>
      </c>
      <c r="Z86" s="48">
        <v>43600</v>
      </c>
      <c r="AA86" s="48">
        <v>43830</v>
      </c>
      <c r="AB86" s="38" t="s">
        <v>182</v>
      </c>
      <c r="AC86" s="49"/>
      <c r="AD86" s="49"/>
      <c r="AE86" s="49"/>
      <c r="AF86" s="49"/>
      <c r="AG86" s="39" t="s">
        <v>156</v>
      </c>
      <c r="AH86" s="38"/>
      <c r="AI86" s="38"/>
      <c r="AJ86" s="50"/>
      <c r="AK86" s="44"/>
      <c r="AL86" s="39" t="str">
        <f t="shared" ca="1" si="19"/>
        <v>MUERTO</v>
      </c>
      <c r="AM86" s="39"/>
      <c r="AN86" s="39"/>
      <c r="AO86" s="39"/>
      <c r="AP86" s="39"/>
      <c r="AQ86" s="39" t="s">
        <v>1613</v>
      </c>
      <c r="AR86" s="39"/>
      <c r="AS86" s="39"/>
      <c r="AT86" s="39"/>
      <c r="AU86" s="51"/>
      <c r="AV86" s="50"/>
      <c r="AW86" s="38"/>
      <c r="AX86" s="52"/>
      <c r="AY86" s="50"/>
      <c r="AZ86" s="38"/>
      <c r="BA86" s="38" t="e">
        <f>VLOOKUP(I86,#REF!,2,0)</f>
        <v>#REF!</v>
      </c>
      <c r="BB86" s="71"/>
      <c r="BC86" s="59">
        <v>43599</v>
      </c>
      <c r="BD86" s="58">
        <v>43599</v>
      </c>
      <c r="BE86" s="39" t="s">
        <v>1652</v>
      </c>
      <c r="BF86" s="58">
        <v>43627</v>
      </c>
      <c r="BG86" s="58">
        <v>43629</v>
      </c>
      <c r="BH86" s="59">
        <v>43629</v>
      </c>
      <c r="BI86" s="39" t="e">
        <f>NETWORKDAYS(BF86,BG86,#REF!)</f>
        <v>#REF!</v>
      </c>
      <c r="BJ86" s="59">
        <v>43630</v>
      </c>
      <c r="BK86" s="59">
        <v>43634</v>
      </c>
      <c r="BL86" s="59" t="s">
        <v>161</v>
      </c>
      <c r="BM86" s="39" t="s">
        <v>1652</v>
      </c>
      <c r="BN86" s="39" t="s">
        <v>1652</v>
      </c>
      <c r="BO86" s="39" t="s">
        <v>1652</v>
      </c>
      <c r="BP86" s="39" t="s">
        <v>1652</v>
      </c>
      <c r="BQ86" s="63" t="s">
        <v>1652</v>
      </c>
      <c r="BR86" s="68" t="e">
        <f xml:space="preserve"> NETWORKDAYS(BC86,BM86,#REF!)</f>
        <v>#VALUE!</v>
      </c>
      <c r="BS86" s="69" t="e">
        <f>NETWORKDAYS(BC86,BN86,#REF!)</f>
        <v>#VALUE!</v>
      </c>
      <c r="BT86" s="63"/>
      <c r="BU86" s="84"/>
      <c r="BV86" s="84"/>
      <c r="BW86" s="84"/>
      <c r="BX86" s="84"/>
      <c r="BY86" s="84"/>
      <c r="BZ86" s="84"/>
    </row>
    <row r="87" spans="1:79" ht="105" hidden="1" x14ac:dyDescent="0.25">
      <c r="A87" s="38" t="s">
        <v>1684</v>
      </c>
      <c r="B87" s="39">
        <v>85</v>
      </c>
      <c r="C87" s="38" t="s">
        <v>149</v>
      </c>
      <c r="D87" s="991" t="s">
        <v>1685</v>
      </c>
      <c r="E87" s="81" t="s">
        <v>163</v>
      </c>
      <c r="F87" s="39" t="s">
        <v>607</v>
      </c>
      <c r="G87" s="39" t="s">
        <v>1477</v>
      </c>
      <c r="H87" s="685" t="s">
        <v>546</v>
      </c>
      <c r="I87" s="81"/>
      <c r="J87" s="82" t="s">
        <v>176</v>
      </c>
      <c r="K87" s="82" t="s">
        <v>177</v>
      </c>
      <c r="L87" s="82" t="s">
        <v>178</v>
      </c>
      <c r="M87" s="42" t="str">
        <f t="shared" si="14"/>
        <v>Luis Andrade Mendoza</v>
      </c>
      <c r="N87" s="991" t="s">
        <v>179</v>
      </c>
      <c r="O87" s="991" t="s">
        <v>1686</v>
      </c>
      <c r="P87" s="991" t="s">
        <v>1687</v>
      </c>
      <c r="Q87" s="992">
        <v>890407.5</v>
      </c>
      <c r="R87" s="44">
        <f t="shared" si="18"/>
        <v>142465.20000000001</v>
      </c>
      <c r="S87" s="45">
        <f t="shared" si="15"/>
        <v>1032872.7</v>
      </c>
      <c r="T87" s="46">
        <v>716115</v>
      </c>
      <c r="U87" s="47">
        <f t="shared" si="17"/>
        <v>830693.4</v>
      </c>
      <c r="V87" s="44">
        <f t="shared" si="16"/>
        <v>1291090.8699999999</v>
      </c>
      <c r="W87" s="993" t="s">
        <v>156</v>
      </c>
      <c r="X87" s="48">
        <v>43600</v>
      </c>
      <c r="Y87" s="39" t="s">
        <v>559</v>
      </c>
      <c r="Z87" s="48">
        <v>43600</v>
      </c>
      <c r="AA87" s="48">
        <v>43830</v>
      </c>
      <c r="AB87" s="38" t="s">
        <v>182</v>
      </c>
      <c r="AC87" s="49"/>
      <c r="AD87" s="49"/>
      <c r="AE87" s="49"/>
      <c r="AF87" s="49"/>
      <c r="AG87" s="39" t="s">
        <v>156</v>
      </c>
      <c r="AH87" s="38" t="s">
        <v>1688</v>
      </c>
      <c r="AI87" s="38" t="s">
        <v>1689</v>
      </c>
      <c r="AJ87" s="50">
        <v>43755</v>
      </c>
      <c r="AK87" s="44">
        <v>258218.17</v>
      </c>
      <c r="AL87" s="39" t="str">
        <f t="shared" ca="1" si="19"/>
        <v>MUERTO</v>
      </c>
      <c r="AM87" s="39"/>
      <c r="AN87" s="39" t="s">
        <v>183</v>
      </c>
      <c r="AO87" s="39" t="s">
        <v>496</v>
      </c>
      <c r="AP87" s="39" t="s">
        <v>1668</v>
      </c>
      <c r="AQ87" s="39" t="s">
        <v>1613</v>
      </c>
      <c r="AR87" s="39"/>
      <c r="AS87" s="39"/>
      <c r="AT87" s="39" t="s">
        <v>183</v>
      </c>
      <c r="AU87" s="51"/>
      <c r="AV87" s="50"/>
      <c r="AW87" s="38"/>
      <c r="AX87" s="52"/>
      <c r="AY87" s="50"/>
      <c r="AZ87" s="38"/>
      <c r="BA87" s="38" t="e">
        <f>VLOOKUP(I87,#REF!,2,0)</f>
        <v>#REF!</v>
      </c>
      <c r="BB87" s="71"/>
      <c r="BC87" s="59">
        <v>43588</v>
      </c>
      <c r="BD87" s="58">
        <v>43599</v>
      </c>
      <c r="BE87" s="58">
        <v>43607</v>
      </c>
      <c r="BF87" s="58">
        <v>43618</v>
      </c>
      <c r="BG87" s="58">
        <v>43634</v>
      </c>
      <c r="BH87" s="59">
        <v>43634</v>
      </c>
      <c r="BI87" s="39" t="e">
        <f>NETWORKDAYS(BF87,BG87,#REF!)</f>
        <v>#REF!</v>
      </c>
      <c r="BJ87" s="59" t="s">
        <v>1652</v>
      </c>
      <c r="BK87" s="59" t="s">
        <v>1652</v>
      </c>
      <c r="BL87" s="59" t="s">
        <v>1652</v>
      </c>
      <c r="BM87" s="59" t="s">
        <v>1652</v>
      </c>
      <c r="BN87" s="59" t="s">
        <v>1652</v>
      </c>
      <c r="BO87" s="59" t="s">
        <v>1652</v>
      </c>
      <c r="BP87" s="59" t="s">
        <v>1652</v>
      </c>
      <c r="BQ87" s="62" t="s">
        <v>1652</v>
      </c>
      <c r="BR87" s="68" t="e">
        <f xml:space="preserve"> NETWORKDAYS(BC87,BM87,#REF!)</f>
        <v>#VALUE!</v>
      </c>
      <c r="BS87" s="69" t="e">
        <f>NETWORKDAYS(BC87,BN87,#REF!)</f>
        <v>#VALUE!</v>
      </c>
      <c r="BT87" s="62"/>
      <c r="BU87" s="84"/>
      <c r="BV87" s="84"/>
      <c r="BW87" s="84"/>
      <c r="BX87" s="84"/>
      <c r="BY87" s="84"/>
      <c r="BZ87" s="84"/>
    </row>
    <row r="88" spans="1:79" ht="165" hidden="1" x14ac:dyDescent="0.25">
      <c r="A88" s="38" t="s">
        <v>1690</v>
      </c>
      <c r="B88" s="39">
        <v>86</v>
      </c>
      <c r="C88" s="38" t="s">
        <v>149</v>
      </c>
      <c r="D88" s="991" t="s">
        <v>1691</v>
      </c>
      <c r="E88" s="39" t="s">
        <v>151</v>
      </c>
      <c r="F88" s="39" t="s">
        <v>152</v>
      </c>
      <c r="G88" s="39" t="s">
        <v>151</v>
      </c>
      <c r="H88" s="39"/>
      <c r="I88" s="81" t="s">
        <v>1692</v>
      </c>
      <c r="J88" s="82"/>
      <c r="K88" s="82"/>
      <c r="L88" s="82"/>
      <c r="M88" s="42" t="str">
        <f t="shared" ref="M88:M119" si="20">I88&amp;J88&amp;" "&amp;K88&amp;" "&amp;L88</f>
        <v xml:space="preserve">Enforcer Units Fire Service Pluse México, S.A. de C.V.  </v>
      </c>
      <c r="N88" s="991" t="s">
        <v>315</v>
      </c>
      <c r="O88" s="991" t="s">
        <v>416</v>
      </c>
      <c r="P88" s="991" t="s">
        <v>1693</v>
      </c>
      <c r="Q88" s="992">
        <v>482758.62</v>
      </c>
      <c r="R88" s="44">
        <f t="shared" si="18"/>
        <v>77241.379199999996</v>
      </c>
      <c r="S88" s="45">
        <f t="shared" si="15"/>
        <v>559999.99919999996</v>
      </c>
      <c r="T88" s="46">
        <v>0</v>
      </c>
      <c r="U88" s="47">
        <f t="shared" si="17"/>
        <v>0</v>
      </c>
      <c r="V88" s="44">
        <f t="shared" si="16"/>
        <v>559999.99919999996</v>
      </c>
      <c r="W88" s="993" t="s">
        <v>156</v>
      </c>
      <c r="X88" s="48">
        <v>43605</v>
      </c>
      <c r="Y88" s="39" t="s">
        <v>559</v>
      </c>
      <c r="Z88" s="48">
        <v>43600</v>
      </c>
      <c r="AA88" s="48">
        <v>43830</v>
      </c>
      <c r="AB88" s="38" t="s">
        <v>1113</v>
      </c>
      <c r="AC88" s="49">
        <v>72413.789999999994</v>
      </c>
      <c r="AD88" s="49"/>
      <c r="AE88" s="49"/>
      <c r="AF88" s="49"/>
      <c r="AG88" s="39" t="s">
        <v>156</v>
      </c>
      <c r="AH88" s="38"/>
      <c r="AI88" s="38"/>
      <c r="AJ88" s="50"/>
      <c r="AK88" s="44"/>
      <c r="AL88" s="39" t="str">
        <f t="shared" ca="1" si="19"/>
        <v>MUERTO</v>
      </c>
      <c r="AM88" s="39"/>
      <c r="AN88" s="39"/>
      <c r="AO88" s="39"/>
      <c r="AP88" s="39"/>
      <c r="AQ88" s="39" t="s">
        <v>1613</v>
      </c>
      <c r="AR88" s="39"/>
      <c r="AS88" s="39"/>
      <c r="AT88" s="39"/>
      <c r="AU88" s="51"/>
      <c r="AV88" s="50"/>
      <c r="AW88" s="38"/>
      <c r="AX88" s="52"/>
      <c r="AY88" s="50"/>
      <c r="AZ88" s="38"/>
      <c r="BA88" s="38" t="e">
        <f>VLOOKUP(I88,#REF!,2,0)</f>
        <v>#REF!</v>
      </c>
      <c r="BB88" s="71"/>
      <c r="BC88" s="59">
        <v>43600</v>
      </c>
      <c r="BD88" s="58">
        <v>43600</v>
      </c>
      <c r="BE88" s="58">
        <v>43608</v>
      </c>
      <c r="BF88" s="58">
        <v>43613</v>
      </c>
      <c r="BG88" s="58">
        <v>43621</v>
      </c>
      <c r="BH88" s="59" t="s">
        <v>1694</v>
      </c>
      <c r="BI88" s="39" t="e">
        <f>NETWORKDAYS(BF88,BG88,#REF!)</f>
        <v>#REF!</v>
      </c>
      <c r="BJ88" s="59" t="s">
        <v>1694</v>
      </c>
      <c r="BK88" s="59" t="s">
        <v>1695</v>
      </c>
      <c r="BL88" s="59" t="s">
        <v>1696</v>
      </c>
      <c r="BM88" s="59" t="s">
        <v>1652</v>
      </c>
      <c r="BN88" s="59">
        <v>43633</v>
      </c>
      <c r="BO88" s="59">
        <v>43619</v>
      </c>
      <c r="BP88" s="59">
        <v>43633</v>
      </c>
      <c r="BQ88" s="62">
        <v>43630</v>
      </c>
      <c r="BR88" s="68" t="e">
        <f xml:space="preserve"> NETWORKDAYS(BC88,BM88,#REF!)</f>
        <v>#VALUE!</v>
      </c>
      <c r="BS88" s="69" t="e">
        <f>NETWORKDAYS(BC88,BN88,#REF!)</f>
        <v>#REF!</v>
      </c>
      <c r="BT88" s="62"/>
      <c r="BU88" s="84"/>
      <c r="BV88" s="84"/>
      <c r="BW88" s="84"/>
      <c r="BX88" s="84"/>
      <c r="BY88" s="84"/>
      <c r="BZ88" s="84"/>
    </row>
    <row r="89" spans="1:79" ht="180" hidden="1" x14ac:dyDescent="0.25">
      <c r="A89" s="38" t="s">
        <v>1697</v>
      </c>
      <c r="B89" s="39">
        <v>87</v>
      </c>
      <c r="C89" s="38" t="s">
        <v>149</v>
      </c>
      <c r="D89" s="991" t="s">
        <v>1698</v>
      </c>
      <c r="E89" s="39" t="s">
        <v>151</v>
      </c>
      <c r="F89" s="39" t="s">
        <v>152</v>
      </c>
      <c r="G89" s="39" t="s">
        <v>151</v>
      </c>
      <c r="H89" s="39"/>
      <c r="I89" s="81" t="s">
        <v>1699</v>
      </c>
      <c r="J89" s="82"/>
      <c r="K89" s="82"/>
      <c r="L89" s="82"/>
      <c r="M89" s="42" t="str">
        <f t="shared" si="20"/>
        <v xml:space="preserve">Intérpretes y Traductores de Lengua de Señas en la República Mexicana, A.C.  </v>
      </c>
      <c r="N89" s="991" t="s">
        <v>220</v>
      </c>
      <c r="O89" s="991" t="s">
        <v>1700</v>
      </c>
      <c r="P89" s="991" t="s">
        <v>1701</v>
      </c>
      <c r="Q89" s="992">
        <v>991189.7</v>
      </c>
      <c r="R89" s="44">
        <f t="shared" si="18"/>
        <v>158590.35199999998</v>
      </c>
      <c r="S89" s="45">
        <f t="shared" si="15"/>
        <v>1149780.0519999999</v>
      </c>
      <c r="T89" s="46">
        <v>396475.88</v>
      </c>
      <c r="U89" s="47">
        <f t="shared" si="17"/>
        <v>459912.0208</v>
      </c>
      <c r="V89" s="44">
        <f t="shared" si="16"/>
        <v>1437225.102</v>
      </c>
      <c r="W89" s="993" t="s">
        <v>156</v>
      </c>
      <c r="X89" s="48">
        <v>43605</v>
      </c>
      <c r="Y89" s="39" t="s">
        <v>559</v>
      </c>
      <c r="Z89" s="48">
        <v>43600</v>
      </c>
      <c r="AA89" s="48">
        <v>43830</v>
      </c>
      <c r="AB89" s="38" t="s">
        <v>1113</v>
      </c>
      <c r="AC89" s="49"/>
      <c r="AD89" s="49"/>
      <c r="AE89" s="49"/>
      <c r="AF89" s="49"/>
      <c r="AG89" s="39" t="s">
        <v>156</v>
      </c>
      <c r="AH89" s="100" t="s">
        <v>1702</v>
      </c>
      <c r="AI89" s="100" t="s">
        <v>1689</v>
      </c>
      <c r="AJ89" s="101">
        <v>43822</v>
      </c>
      <c r="AK89" s="102">
        <v>287445.05</v>
      </c>
      <c r="AL89" s="39" t="str">
        <f t="shared" ca="1" si="19"/>
        <v>MUERTO</v>
      </c>
      <c r="AM89" s="39"/>
      <c r="AN89" s="39"/>
      <c r="AO89" s="39"/>
      <c r="AP89" s="39" t="s">
        <v>924</v>
      </c>
      <c r="AQ89" s="39" t="s">
        <v>1613</v>
      </c>
      <c r="AR89" s="39"/>
      <c r="AS89" s="39"/>
      <c r="AT89" s="39"/>
      <c r="AU89" s="51"/>
      <c r="AV89" s="50"/>
      <c r="AW89" s="38"/>
      <c r="AX89" s="52"/>
      <c r="AY89" s="50"/>
      <c r="AZ89" s="38"/>
      <c r="BA89" s="38" t="e">
        <f>VLOOKUP(I89,#REF!,2,0)</f>
        <v>#REF!</v>
      </c>
      <c r="BB89" s="71"/>
      <c r="BC89" s="59">
        <v>43600</v>
      </c>
      <c r="BD89" s="58">
        <v>43600</v>
      </c>
      <c r="BE89" s="58">
        <v>43608</v>
      </c>
      <c r="BF89" s="58">
        <v>43608</v>
      </c>
      <c r="BG89" s="58">
        <v>43627</v>
      </c>
      <c r="BH89" s="59" t="s">
        <v>1703</v>
      </c>
      <c r="BI89" s="39" t="e">
        <f>NETWORKDAYS(BF89,BG89,#REF!)</f>
        <v>#REF!</v>
      </c>
      <c r="BJ89" s="59" t="s">
        <v>1704</v>
      </c>
      <c r="BK89" s="59" t="s">
        <v>1705</v>
      </c>
      <c r="BL89" s="59" t="s">
        <v>1706</v>
      </c>
      <c r="BM89" s="59" t="s">
        <v>1652</v>
      </c>
      <c r="BN89" s="59">
        <v>43620</v>
      </c>
      <c r="BO89" s="59">
        <v>43620</v>
      </c>
      <c r="BP89" s="59">
        <v>43622</v>
      </c>
      <c r="BQ89" s="62">
        <v>43621</v>
      </c>
      <c r="BR89" s="68" t="e">
        <f xml:space="preserve"> NETWORKDAYS(BC89,BM89,#REF!)</f>
        <v>#VALUE!</v>
      </c>
      <c r="BS89" s="69" t="e">
        <f>NETWORKDAYS(BC89,BN89,#REF!)</f>
        <v>#REF!</v>
      </c>
      <c r="BT89" s="62"/>
      <c r="BU89" s="84"/>
      <c r="BV89" s="84"/>
      <c r="BW89" s="84"/>
      <c r="BX89" s="84"/>
      <c r="BY89" s="84"/>
      <c r="BZ89" s="84"/>
    </row>
    <row r="90" spans="1:79" ht="105" hidden="1" x14ac:dyDescent="0.25">
      <c r="A90" s="598" t="s">
        <v>1707</v>
      </c>
      <c r="B90" s="39">
        <v>88</v>
      </c>
      <c r="C90" s="38" t="s">
        <v>225</v>
      </c>
      <c r="D90" s="991" t="s">
        <v>1177</v>
      </c>
      <c r="E90" s="81" t="s">
        <v>163</v>
      </c>
      <c r="F90" s="39" t="s">
        <v>237</v>
      </c>
      <c r="G90" s="39" t="s">
        <v>1272</v>
      </c>
      <c r="H90" s="81" t="s">
        <v>163</v>
      </c>
      <c r="I90" s="81" t="s">
        <v>1708</v>
      </c>
      <c r="J90" s="82"/>
      <c r="K90" s="82"/>
      <c r="L90" s="82"/>
      <c r="M90" s="42" t="str">
        <f t="shared" si="20"/>
        <v xml:space="preserve">Índice Dover, S.A. de C.V.  </v>
      </c>
      <c r="N90" s="991" t="s">
        <v>301</v>
      </c>
      <c r="O90" s="991" t="s">
        <v>302</v>
      </c>
      <c r="P90" s="991" t="s">
        <v>1709</v>
      </c>
      <c r="Q90" s="992">
        <v>433987.73</v>
      </c>
      <c r="R90" s="44">
        <f t="shared" si="18"/>
        <v>69438.036800000002</v>
      </c>
      <c r="S90" s="45">
        <f t="shared" si="15"/>
        <v>503425.76679999998</v>
      </c>
      <c r="T90" s="46">
        <v>173987.09</v>
      </c>
      <c r="U90" s="47">
        <f t="shared" si="17"/>
        <v>201825.02439999999</v>
      </c>
      <c r="V90" s="44">
        <f t="shared" si="16"/>
        <v>629282.20559999999</v>
      </c>
      <c r="W90" s="993" t="s">
        <v>156</v>
      </c>
      <c r="X90" s="48">
        <v>43612</v>
      </c>
      <c r="Y90" s="39" t="s">
        <v>559</v>
      </c>
      <c r="Z90" s="48">
        <v>43612</v>
      </c>
      <c r="AA90" s="48">
        <v>43830</v>
      </c>
      <c r="AB90" s="38" t="s">
        <v>182</v>
      </c>
      <c r="AC90" s="49"/>
      <c r="AD90" s="49"/>
      <c r="AE90" s="49"/>
      <c r="AF90" s="49"/>
      <c r="AG90" s="39" t="s">
        <v>156</v>
      </c>
      <c r="AH90" s="100" t="s">
        <v>1710</v>
      </c>
      <c r="AI90" s="100" t="s">
        <v>1711</v>
      </c>
      <c r="AJ90" s="101" t="s">
        <v>1712</v>
      </c>
      <c r="AK90" s="102">
        <f>108496.93*1.16</f>
        <v>125856.43879999999</v>
      </c>
      <c r="AL90" s="39" t="str">
        <f t="shared" ca="1" si="19"/>
        <v>MUERTO</v>
      </c>
      <c r="AM90" s="39"/>
      <c r="AN90" s="39"/>
      <c r="AO90" s="39"/>
      <c r="AP90" s="39" t="s">
        <v>1324</v>
      </c>
      <c r="AQ90" s="39" t="s">
        <v>1613</v>
      </c>
      <c r="AR90" s="39"/>
      <c r="AS90" s="39"/>
      <c r="AT90" s="39"/>
      <c r="AU90" s="51"/>
      <c r="AV90" s="50"/>
      <c r="AW90" s="38"/>
      <c r="AX90" s="52"/>
      <c r="AY90" s="50"/>
      <c r="AZ90" s="38"/>
      <c r="BA90" s="38" t="e">
        <f>VLOOKUP(I90,#REF!,2,0)</f>
        <v>#REF!</v>
      </c>
      <c r="BB90" s="71"/>
      <c r="BC90" s="59">
        <v>43607</v>
      </c>
      <c r="BD90" s="58">
        <v>43608</v>
      </c>
      <c r="BE90" s="58">
        <v>43615</v>
      </c>
      <c r="BF90" s="58">
        <v>43615</v>
      </c>
      <c r="BG90" s="58">
        <v>43634</v>
      </c>
      <c r="BH90" s="59">
        <v>43634</v>
      </c>
      <c r="BI90" s="39" t="e">
        <f>NETWORKDAYS(BF90,BG90,#REF!)</f>
        <v>#REF!</v>
      </c>
      <c r="BJ90" s="59" t="s">
        <v>1652</v>
      </c>
      <c r="BK90" s="59" t="s">
        <v>1652</v>
      </c>
      <c r="BL90" s="59" t="s">
        <v>1652</v>
      </c>
      <c r="BM90" s="59" t="s">
        <v>1652</v>
      </c>
      <c r="BN90" s="59" t="s">
        <v>1652</v>
      </c>
      <c r="BO90" s="59" t="s">
        <v>1652</v>
      </c>
      <c r="BP90" s="59" t="s">
        <v>1652</v>
      </c>
      <c r="BQ90" s="62" t="s">
        <v>1652</v>
      </c>
      <c r="BR90" s="68" t="e">
        <f xml:space="preserve"> NETWORKDAYS(BC90,BM90,#REF!)</f>
        <v>#VALUE!</v>
      </c>
      <c r="BS90" s="69" t="e">
        <f>NETWORKDAYS(BC90,BN90,#REF!)</f>
        <v>#VALUE!</v>
      </c>
      <c r="BT90" s="62"/>
      <c r="BU90" s="84"/>
      <c r="BV90" s="84"/>
      <c r="BW90" s="84"/>
      <c r="BX90" s="84"/>
      <c r="BY90" s="84"/>
      <c r="BZ90" s="84"/>
    </row>
    <row r="91" spans="1:79" ht="180" hidden="1" x14ac:dyDescent="0.25">
      <c r="A91" s="38" t="s">
        <v>1713</v>
      </c>
      <c r="B91" s="39">
        <v>89</v>
      </c>
      <c r="C91" s="38" t="s">
        <v>225</v>
      </c>
      <c r="D91" s="991" t="s">
        <v>1714</v>
      </c>
      <c r="E91" s="81" t="s">
        <v>163</v>
      </c>
      <c r="F91" s="39" t="s">
        <v>237</v>
      </c>
      <c r="G91" s="39" t="s">
        <v>1272</v>
      </c>
      <c r="H91" s="81" t="s">
        <v>163</v>
      </c>
      <c r="I91" s="81" t="s">
        <v>685</v>
      </c>
      <c r="J91" s="82"/>
      <c r="K91" s="82"/>
      <c r="L91" s="82"/>
      <c r="M91" s="42" t="str">
        <f t="shared" si="20"/>
        <v xml:space="preserve">Jasev Computación, S.A. de C.V.  </v>
      </c>
      <c r="N91" s="991" t="s">
        <v>667</v>
      </c>
      <c r="O91" s="991" t="s">
        <v>1715</v>
      </c>
      <c r="P91" s="991" t="s">
        <v>1716</v>
      </c>
      <c r="Q91" s="992">
        <v>900000</v>
      </c>
      <c r="R91" s="44">
        <f t="shared" si="18"/>
        <v>144000</v>
      </c>
      <c r="S91" s="45">
        <f t="shared" si="15"/>
        <v>1044000</v>
      </c>
      <c r="T91" s="46">
        <v>180000</v>
      </c>
      <c r="U91" s="47">
        <f t="shared" si="17"/>
        <v>208800</v>
      </c>
      <c r="V91" s="44">
        <f t="shared" si="16"/>
        <v>1044000</v>
      </c>
      <c r="W91" s="993" t="s">
        <v>156</v>
      </c>
      <c r="X91" s="48">
        <v>43616</v>
      </c>
      <c r="Y91" s="39" t="s">
        <v>559</v>
      </c>
      <c r="Z91" s="48">
        <v>43614</v>
      </c>
      <c r="AA91" s="48">
        <v>43830</v>
      </c>
      <c r="AB91" s="38" t="s">
        <v>182</v>
      </c>
      <c r="AC91" s="49">
        <v>135000</v>
      </c>
      <c r="AD91" s="49"/>
      <c r="AE91" s="49"/>
      <c r="AF91" s="49"/>
      <c r="AG91" s="39" t="s">
        <v>1146</v>
      </c>
      <c r="AH91" s="38"/>
      <c r="AI91" s="38"/>
      <c r="AJ91" s="50"/>
      <c r="AK91" s="44"/>
      <c r="AL91" s="39" t="str">
        <f t="shared" ca="1" si="19"/>
        <v>MUERTO</v>
      </c>
      <c r="AM91" s="39"/>
      <c r="AN91" s="39" t="s">
        <v>183</v>
      </c>
      <c r="AO91" s="39" t="s">
        <v>496</v>
      </c>
      <c r="AP91" s="39"/>
      <c r="AQ91" s="39" t="s">
        <v>1613</v>
      </c>
      <c r="AR91" s="39"/>
      <c r="AS91" s="39"/>
      <c r="AT91" s="39" t="s">
        <v>183</v>
      </c>
      <c r="AU91" s="51"/>
      <c r="AV91" s="50"/>
      <c r="AW91" s="38"/>
      <c r="AX91" s="52"/>
      <c r="AY91" s="50"/>
      <c r="AZ91" s="38"/>
      <c r="BA91" s="38" t="e">
        <f>VLOOKUP(I91,#REF!,2,0)</f>
        <v>#REF!</v>
      </c>
      <c r="BB91" s="71"/>
      <c r="BC91" s="59">
        <v>43609</v>
      </c>
      <c r="BD91" s="58">
        <v>43613</v>
      </c>
      <c r="BE91" s="58">
        <v>43620</v>
      </c>
      <c r="BF91" s="58">
        <v>43620</v>
      </c>
      <c r="BG91" s="58">
        <v>43633</v>
      </c>
      <c r="BH91" s="59">
        <v>43633</v>
      </c>
      <c r="BI91" s="39" t="e">
        <f>NETWORKDAYS(BF91,BG91,#REF!)</f>
        <v>#REF!</v>
      </c>
      <c r="BJ91" s="59">
        <v>43635</v>
      </c>
      <c r="BK91" s="59">
        <v>43637</v>
      </c>
      <c r="BL91" s="59"/>
      <c r="BM91" s="59">
        <v>43641</v>
      </c>
      <c r="BN91" s="59">
        <v>43633</v>
      </c>
      <c r="BO91" s="59">
        <v>43627</v>
      </c>
      <c r="BP91" s="59">
        <v>43633</v>
      </c>
      <c r="BQ91" s="62" t="s">
        <v>186</v>
      </c>
      <c r="BR91" s="68" t="e">
        <f xml:space="preserve"> NETWORKDAYS(BC91,BM91,#REF!)</f>
        <v>#REF!</v>
      </c>
      <c r="BS91" s="69" t="e">
        <f>NETWORKDAYS(BC91,BN91,#REF!)</f>
        <v>#REF!</v>
      </c>
      <c r="BT91" s="62"/>
      <c r="BU91" s="84"/>
      <c r="BV91" s="84"/>
      <c r="BW91" s="84"/>
      <c r="BX91" s="84"/>
      <c r="BY91" s="84"/>
      <c r="BZ91" s="84"/>
    </row>
    <row r="92" spans="1:79" ht="390" hidden="1" x14ac:dyDescent="0.25">
      <c r="A92" s="38" t="s">
        <v>1717</v>
      </c>
      <c r="B92" s="39">
        <v>90</v>
      </c>
      <c r="C92" s="38" t="s">
        <v>149</v>
      </c>
      <c r="D92" s="991" t="s">
        <v>1177</v>
      </c>
      <c r="E92" s="81" t="s">
        <v>163</v>
      </c>
      <c r="F92" s="39" t="s">
        <v>568</v>
      </c>
      <c r="G92" s="81" t="s">
        <v>163</v>
      </c>
      <c r="H92" s="685" t="s">
        <v>546</v>
      </c>
      <c r="I92" s="81" t="s">
        <v>1008</v>
      </c>
      <c r="J92" s="82"/>
      <c r="K92" s="82"/>
      <c r="L92" s="82"/>
      <c r="M92" s="42" t="str">
        <f t="shared" si="20"/>
        <v xml:space="preserve">Dhimex Ciudad de México, S.A. de C.V.  </v>
      </c>
      <c r="N92" s="991" t="s">
        <v>198</v>
      </c>
      <c r="O92" s="991" t="s">
        <v>198</v>
      </c>
      <c r="P92" s="991" t="s">
        <v>1718</v>
      </c>
      <c r="Q92" s="992">
        <v>1995000</v>
      </c>
      <c r="R92" s="44">
        <f t="shared" si="18"/>
        <v>319200</v>
      </c>
      <c r="S92" s="45">
        <f t="shared" si="15"/>
        <v>2314200</v>
      </c>
      <c r="T92" s="46">
        <v>0</v>
      </c>
      <c r="U92" s="47">
        <f t="shared" si="17"/>
        <v>0</v>
      </c>
      <c r="V92" s="44">
        <f t="shared" si="16"/>
        <v>2314200</v>
      </c>
      <c r="W92" s="993" t="s">
        <v>156</v>
      </c>
      <c r="X92" s="48">
        <v>43619</v>
      </c>
      <c r="Y92" s="39" t="s">
        <v>496</v>
      </c>
      <c r="Z92" s="48">
        <v>43617</v>
      </c>
      <c r="AA92" s="48">
        <v>43830</v>
      </c>
      <c r="AB92" s="38" t="s">
        <v>1113</v>
      </c>
      <c r="AC92" s="49"/>
      <c r="AD92" s="49"/>
      <c r="AE92" s="49"/>
      <c r="AF92" s="49"/>
      <c r="AG92" s="39" t="s">
        <v>156</v>
      </c>
      <c r="AH92" s="38"/>
      <c r="AI92" s="38"/>
      <c r="AJ92" s="50"/>
      <c r="AK92" s="44"/>
      <c r="AL92" s="39" t="str">
        <f t="shared" ca="1" si="19"/>
        <v>MUERTO</v>
      </c>
      <c r="AM92" s="39"/>
      <c r="AN92" s="39" t="s">
        <v>183</v>
      </c>
      <c r="AO92" s="39" t="s">
        <v>496</v>
      </c>
      <c r="AP92" s="39"/>
      <c r="AQ92" s="39" t="s">
        <v>1719</v>
      </c>
      <c r="AR92" s="39"/>
      <c r="AS92" s="39"/>
      <c r="AT92" s="39" t="s">
        <v>183</v>
      </c>
      <c r="AU92" s="51"/>
      <c r="AV92" s="50"/>
      <c r="AW92" s="38"/>
      <c r="AX92" s="52"/>
      <c r="AY92" s="50"/>
      <c r="AZ92" s="38"/>
      <c r="BA92" s="38" t="e">
        <f>VLOOKUP(I92,#REF!,2,0)</f>
        <v>#REF!</v>
      </c>
      <c r="BB92" s="71"/>
      <c r="BC92" s="59">
        <v>43607</v>
      </c>
      <c r="BD92" s="58">
        <v>43619</v>
      </c>
      <c r="BE92" s="58">
        <v>43622</v>
      </c>
      <c r="BF92" s="58">
        <v>43627</v>
      </c>
      <c r="BG92" s="58"/>
      <c r="BH92" s="59" t="s">
        <v>1652</v>
      </c>
      <c r="BI92" s="39" t="e">
        <f>NETWORKDAYS(BF92,BG92,#REF!)</f>
        <v>#REF!</v>
      </c>
      <c r="BJ92" s="59" t="s">
        <v>1652</v>
      </c>
      <c r="BK92" s="59" t="s">
        <v>1652</v>
      </c>
      <c r="BL92" s="59" t="s">
        <v>1652</v>
      </c>
      <c r="BM92" s="59" t="s">
        <v>1652</v>
      </c>
      <c r="BN92" s="59" t="s">
        <v>1652</v>
      </c>
      <c r="BO92" s="59">
        <v>43633</v>
      </c>
      <c r="BP92" s="994" t="s">
        <v>1652</v>
      </c>
      <c r="BQ92" s="995" t="s">
        <v>1652</v>
      </c>
      <c r="BR92" s="68" t="e">
        <f xml:space="preserve"> NETWORKDAYS(BC92,BM92,#REF!)</f>
        <v>#VALUE!</v>
      </c>
      <c r="BS92" s="69" t="e">
        <f>NETWORKDAYS(BC92,BN92,#REF!)</f>
        <v>#VALUE!</v>
      </c>
      <c r="BT92" s="995"/>
      <c r="BU92" s="84"/>
      <c r="BV92" s="84"/>
      <c r="BW92" s="84"/>
      <c r="BX92" s="84"/>
      <c r="BY92" s="84"/>
      <c r="BZ92" s="84"/>
    </row>
    <row r="93" spans="1:79" ht="225" hidden="1" x14ac:dyDescent="0.25">
      <c r="A93" s="38" t="s">
        <v>1720</v>
      </c>
      <c r="B93" s="39">
        <v>91</v>
      </c>
      <c r="C93" s="38" t="s">
        <v>149</v>
      </c>
      <c r="D93" s="991" t="s">
        <v>1177</v>
      </c>
      <c r="E93" s="81" t="s">
        <v>163</v>
      </c>
      <c r="F93" s="39" t="s">
        <v>568</v>
      </c>
      <c r="G93" s="81" t="s">
        <v>163</v>
      </c>
      <c r="H93" s="685" t="s">
        <v>546</v>
      </c>
      <c r="I93" s="81" t="s">
        <v>692</v>
      </c>
      <c r="J93" s="82"/>
      <c r="K93" s="82"/>
      <c r="L93" s="82"/>
      <c r="M93" s="42" t="str">
        <f t="shared" si="20"/>
        <v xml:space="preserve">Información Segura, S.A. de C.V.  </v>
      </c>
      <c r="N93" s="991" t="s">
        <v>209</v>
      </c>
      <c r="O93" s="991" t="s">
        <v>209</v>
      </c>
      <c r="P93" s="991" t="s">
        <v>1721</v>
      </c>
      <c r="Q93" s="992">
        <v>1043175.48</v>
      </c>
      <c r="R93" s="44">
        <f t="shared" si="18"/>
        <v>166908.07680000001</v>
      </c>
      <c r="S93" s="45">
        <f t="shared" si="15"/>
        <v>1210083.5567999999</v>
      </c>
      <c r="T93" s="46">
        <v>0</v>
      </c>
      <c r="U93" s="47">
        <f t="shared" si="17"/>
        <v>0</v>
      </c>
      <c r="V93" s="44">
        <f t="shared" si="16"/>
        <v>1512604.446</v>
      </c>
      <c r="W93" s="993" t="s">
        <v>183</v>
      </c>
      <c r="X93" s="48">
        <v>43619</v>
      </c>
      <c r="Y93" s="39" t="s">
        <v>496</v>
      </c>
      <c r="Z93" s="48">
        <v>43617</v>
      </c>
      <c r="AA93" s="48">
        <v>43982</v>
      </c>
      <c r="AB93" s="38" t="s">
        <v>182</v>
      </c>
      <c r="AC93" s="49"/>
      <c r="AD93" s="49"/>
      <c r="AE93" s="49"/>
      <c r="AF93" s="49"/>
      <c r="AG93" s="39" t="s">
        <v>156</v>
      </c>
      <c r="AH93" s="110" t="s">
        <v>1722</v>
      </c>
      <c r="AI93" s="110" t="s">
        <v>1723</v>
      </c>
      <c r="AJ93" s="602">
        <v>43979</v>
      </c>
      <c r="AK93" s="111">
        <v>302520.88920000009</v>
      </c>
      <c r="AL93" s="39" t="str">
        <f t="shared" ca="1" si="19"/>
        <v>MUERTO</v>
      </c>
      <c r="AM93" s="39"/>
      <c r="AN93" s="39" t="s">
        <v>183</v>
      </c>
      <c r="AO93" s="39" t="s">
        <v>496</v>
      </c>
      <c r="AP93" s="39"/>
      <c r="AQ93" s="39" t="s">
        <v>1719</v>
      </c>
      <c r="AR93" s="39"/>
      <c r="AS93" s="39"/>
      <c r="AT93" s="39" t="s">
        <v>183</v>
      </c>
      <c r="AU93" s="51"/>
      <c r="AV93" s="50"/>
      <c r="AW93" s="38"/>
      <c r="AX93" s="52"/>
      <c r="AY93" s="50"/>
      <c r="AZ93" s="38"/>
      <c r="BA93" s="38" t="e">
        <f>VLOOKUP(I93,#REF!,2,0)</f>
        <v>#REF!</v>
      </c>
      <c r="BB93" s="71"/>
      <c r="BC93" s="59">
        <v>43607</v>
      </c>
      <c r="BD93" s="58">
        <v>43619</v>
      </c>
      <c r="BE93" s="58">
        <v>43623</v>
      </c>
      <c r="BF93" s="58">
        <v>43630</v>
      </c>
      <c r="BG93" s="58"/>
      <c r="BH93" s="59" t="s">
        <v>1652</v>
      </c>
      <c r="BI93" s="39" t="e">
        <f>NETWORKDAYS(BF93,BG93,#REF!)</f>
        <v>#REF!</v>
      </c>
      <c r="BJ93" s="59" t="s">
        <v>1652</v>
      </c>
      <c r="BK93" s="59" t="s">
        <v>1652</v>
      </c>
      <c r="BL93" s="59" t="s">
        <v>1652</v>
      </c>
      <c r="BM93" s="59" t="s">
        <v>1652</v>
      </c>
      <c r="BN93" s="59" t="s">
        <v>1652</v>
      </c>
      <c r="BO93" s="59" t="s">
        <v>1652</v>
      </c>
      <c r="BP93" s="59" t="s">
        <v>1652</v>
      </c>
      <c r="BQ93" s="62" t="s">
        <v>1652</v>
      </c>
      <c r="BR93" s="68" t="e">
        <f xml:space="preserve"> NETWORKDAYS(BC93,BM93,#REF!)</f>
        <v>#VALUE!</v>
      </c>
      <c r="BS93" s="69" t="e">
        <f>NETWORKDAYS(BC93,BN93,#REF!)</f>
        <v>#VALUE!</v>
      </c>
      <c r="BT93" s="62"/>
      <c r="BU93" s="84"/>
      <c r="BV93" s="86">
        <f>8276.49*6</f>
        <v>49658.94</v>
      </c>
      <c r="BW93" s="84"/>
      <c r="BX93" s="84"/>
      <c r="BY93" s="84"/>
      <c r="BZ93" s="84"/>
    </row>
    <row r="94" spans="1:79" s="362" customFormat="1" ht="225" hidden="1" x14ac:dyDescent="0.25">
      <c r="A94" s="363" t="s">
        <v>1724</v>
      </c>
      <c r="B94" s="39">
        <v>92</v>
      </c>
      <c r="C94" s="339" t="s">
        <v>149</v>
      </c>
      <c r="D94" s="996" t="s">
        <v>1177</v>
      </c>
      <c r="E94" s="81" t="s">
        <v>163</v>
      </c>
      <c r="F94" s="340" t="s">
        <v>188</v>
      </c>
      <c r="G94" s="81" t="s">
        <v>163</v>
      </c>
      <c r="H94" s="81" t="s">
        <v>163</v>
      </c>
      <c r="I94" s="342" t="s">
        <v>1725</v>
      </c>
      <c r="J94" s="603"/>
      <c r="K94" s="603"/>
      <c r="L94" s="603"/>
      <c r="M94" s="344" t="str">
        <f t="shared" si="20"/>
        <v xml:space="preserve">GRUPO IDSEC, S.A.P.I. DE C.V.  </v>
      </c>
      <c r="N94" s="996" t="s">
        <v>166</v>
      </c>
      <c r="O94" s="996" t="s">
        <v>166</v>
      </c>
      <c r="P94" s="996" t="s">
        <v>1726</v>
      </c>
      <c r="Q94" s="997">
        <v>43853500</v>
      </c>
      <c r="R94" s="345">
        <f t="shared" si="18"/>
        <v>7016560</v>
      </c>
      <c r="S94" s="346">
        <f t="shared" si="15"/>
        <v>50870060</v>
      </c>
      <c r="T94" s="347">
        <v>0</v>
      </c>
      <c r="U94" s="348">
        <f t="shared" si="17"/>
        <v>0</v>
      </c>
      <c r="V94" s="345">
        <f t="shared" si="16"/>
        <v>50870060</v>
      </c>
      <c r="W94" s="998" t="s">
        <v>183</v>
      </c>
      <c r="X94" s="349">
        <v>43622</v>
      </c>
      <c r="Y94" s="349" t="s">
        <v>496</v>
      </c>
      <c r="Z94" s="349">
        <v>43617</v>
      </c>
      <c r="AA94" s="349">
        <v>45443</v>
      </c>
      <c r="AB94" s="339" t="s">
        <v>1727</v>
      </c>
      <c r="AC94" s="350"/>
      <c r="AD94" s="351" t="s">
        <v>1728</v>
      </c>
      <c r="AE94" s="350"/>
      <c r="AF94" s="350"/>
      <c r="AG94" s="340" t="s">
        <v>156</v>
      </c>
      <c r="AH94" s="339" t="s">
        <v>1729</v>
      </c>
      <c r="AI94" s="339" t="s">
        <v>1730</v>
      </c>
      <c r="AJ94" s="352">
        <v>45110</v>
      </c>
      <c r="AK94" s="345">
        <v>0</v>
      </c>
      <c r="AL94" s="340" t="str">
        <f t="shared" ca="1" si="19"/>
        <v>MUERTO</v>
      </c>
      <c r="AM94" s="340"/>
      <c r="AN94" s="340" t="s">
        <v>156</v>
      </c>
      <c r="AO94" s="340" t="s">
        <v>496</v>
      </c>
      <c r="AP94" s="340"/>
      <c r="AQ94" s="340" t="s">
        <v>1719</v>
      </c>
      <c r="AR94" s="340"/>
      <c r="AS94" s="340"/>
      <c r="AT94" s="340" t="s">
        <v>156</v>
      </c>
      <c r="AU94" s="353"/>
      <c r="AV94" s="352"/>
      <c r="AW94" s="339"/>
      <c r="AX94" s="354"/>
      <c r="AY94" s="352"/>
      <c r="AZ94" s="339" t="s">
        <v>1731</v>
      </c>
      <c r="BA94" s="339" t="e">
        <f>VLOOKUP(I94,#REF!,2,0)</f>
        <v>#REF!</v>
      </c>
      <c r="BB94" s="339" t="s">
        <v>1732</v>
      </c>
      <c r="BC94" s="355">
        <v>43585</v>
      </c>
      <c r="BD94" s="356">
        <v>43614</v>
      </c>
      <c r="BE94" s="356">
        <v>43627</v>
      </c>
      <c r="BF94" s="356" t="s">
        <v>1652</v>
      </c>
      <c r="BG94" s="356">
        <v>43658</v>
      </c>
      <c r="BH94" s="356">
        <v>43658</v>
      </c>
      <c r="BI94" s="340" t="e">
        <f>NETWORKDAYS(BF94,BG94,#REF!)</f>
        <v>#VALUE!</v>
      </c>
      <c r="BJ94" s="356" t="s">
        <v>1733</v>
      </c>
      <c r="BK94" s="356" t="s">
        <v>1734</v>
      </c>
      <c r="BL94" s="356" t="s">
        <v>1735</v>
      </c>
      <c r="BM94" s="356" t="s">
        <v>1652</v>
      </c>
      <c r="BN94" s="356" t="s">
        <v>1652</v>
      </c>
      <c r="BO94" s="356" t="s">
        <v>1652</v>
      </c>
      <c r="BP94" s="355" t="s">
        <v>1652</v>
      </c>
      <c r="BQ94" s="357" t="s">
        <v>1652</v>
      </c>
      <c r="BR94" s="358" t="e">
        <f xml:space="preserve"> NETWORKDAYS(BC94,BM94,#REF!)</f>
        <v>#VALUE!</v>
      </c>
      <c r="BS94" s="359" t="e">
        <f>NETWORKDAYS(BC94,BN94,#REF!)</f>
        <v>#VALUE!</v>
      </c>
      <c r="BT94" s="357"/>
      <c r="BU94" s="360">
        <f>43853500*1.16</f>
        <v>50870060</v>
      </c>
      <c r="BV94" s="361">
        <f>16086000*1.16</f>
        <v>18659760</v>
      </c>
      <c r="BW94" s="361">
        <f>16086000*1.16</f>
        <v>18659760</v>
      </c>
      <c r="BX94" s="361">
        <f>16086000*1.16</f>
        <v>18659760</v>
      </c>
      <c r="BY94" s="361">
        <f>16086000*1.16</f>
        <v>18659760</v>
      </c>
      <c r="BZ94" s="360">
        <f>6702500*1.16</f>
        <v>7774899.9999999991</v>
      </c>
      <c r="CA94" s="360">
        <f>BV94+BW94+BX94+BY94+BZ94+BU94</f>
        <v>133284000</v>
      </c>
    </row>
    <row r="95" spans="1:79" ht="165" hidden="1" x14ac:dyDescent="0.25">
      <c r="A95" s="38" t="s">
        <v>1736</v>
      </c>
      <c r="B95" s="39">
        <v>93</v>
      </c>
      <c r="C95" s="38" t="s">
        <v>149</v>
      </c>
      <c r="D95" s="991" t="s">
        <v>1737</v>
      </c>
      <c r="E95" s="81" t="s">
        <v>163</v>
      </c>
      <c r="F95" s="39" t="s">
        <v>188</v>
      </c>
      <c r="G95" s="960" t="s">
        <v>427</v>
      </c>
      <c r="H95" s="81" t="s">
        <v>163</v>
      </c>
      <c r="I95" s="81" t="s">
        <v>1738</v>
      </c>
      <c r="J95" s="82"/>
      <c r="K95" s="82"/>
      <c r="L95" s="82"/>
      <c r="M95" s="42" t="str">
        <f t="shared" si="20"/>
        <v xml:space="preserve">Equipos y Climas de México, S.A. de C.V.  </v>
      </c>
      <c r="N95" s="991" t="s">
        <v>198</v>
      </c>
      <c r="O95" s="991" t="s">
        <v>198</v>
      </c>
      <c r="P95" s="991" t="s">
        <v>1739</v>
      </c>
      <c r="Q95" s="992">
        <v>1885850</v>
      </c>
      <c r="R95" s="44">
        <f t="shared" si="18"/>
        <v>301736</v>
      </c>
      <c r="S95" s="45">
        <f t="shared" si="15"/>
        <v>2187586</v>
      </c>
      <c r="T95" s="46">
        <v>0</v>
      </c>
      <c r="U95" s="47">
        <f t="shared" si="17"/>
        <v>0</v>
      </c>
      <c r="V95" s="44">
        <f t="shared" si="16"/>
        <v>2187586</v>
      </c>
      <c r="W95" s="993" t="s">
        <v>156</v>
      </c>
      <c r="X95" s="48">
        <v>10</v>
      </c>
      <c r="Y95" s="48" t="s">
        <v>496</v>
      </c>
      <c r="Z95" s="48">
        <v>43621</v>
      </c>
      <c r="AA95" s="48">
        <v>43707</v>
      </c>
      <c r="AB95" s="604" t="s">
        <v>1740</v>
      </c>
      <c r="AC95" s="49">
        <v>282877.5</v>
      </c>
      <c r="AD95" s="49">
        <v>377170</v>
      </c>
      <c r="AE95" s="49" t="s">
        <v>159</v>
      </c>
      <c r="AF95" s="49"/>
      <c r="AG95" s="39" t="s">
        <v>1489</v>
      </c>
      <c r="AH95" s="38"/>
      <c r="AI95" s="38"/>
      <c r="AJ95" s="50"/>
      <c r="AK95" s="44"/>
      <c r="AL95" s="39" t="str">
        <f t="shared" ca="1" si="19"/>
        <v>MUERTO</v>
      </c>
      <c r="AM95" s="39"/>
      <c r="AN95" s="39" t="s">
        <v>156</v>
      </c>
      <c r="AO95" s="39" t="s">
        <v>496</v>
      </c>
      <c r="AP95" s="39"/>
      <c r="AQ95" s="39" t="s">
        <v>815</v>
      </c>
      <c r="AR95" s="39"/>
      <c r="AS95" s="39"/>
      <c r="AT95" s="39" t="s">
        <v>156</v>
      </c>
      <c r="AU95" s="51"/>
      <c r="AV95" s="50"/>
      <c r="AW95" s="38"/>
      <c r="AX95" s="52"/>
      <c r="AY95" s="50"/>
      <c r="AZ95" s="38"/>
      <c r="BA95" s="38" t="e">
        <f>VLOOKUP(I95,#REF!,2,0)</f>
        <v>#REF!</v>
      </c>
      <c r="BB95" s="71"/>
      <c r="BC95" s="59">
        <v>43571</v>
      </c>
      <c r="BD95" s="58">
        <v>43616</v>
      </c>
      <c r="BE95" s="58">
        <v>43628</v>
      </c>
      <c r="BF95" s="58">
        <v>43630</v>
      </c>
      <c r="BG95" s="58">
        <v>43683</v>
      </c>
      <c r="BH95" s="58" t="s">
        <v>1741</v>
      </c>
      <c r="BI95" s="39" t="e">
        <f>NETWORKDAYS(BF95,BG95,#REF!)</f>
        <v>#REF!</v>
      </c>
      <c r="BJ95" s="58" t="s">
        <v>1741</v>
      </c>
      <c r="BK95" s="58" t="s">
        <v>1742</v>
      </c>
      <c r="BL95" s="58" t="s">
        <v>1151</v>
      </c>
      <c r="BM95" s="58" t="s">
        <v>1652</v>
      </c>
      <c r="BN95" s="58">
        <v>43642</v>
      </c>
      <c r="BO95" s="58">
        <v>43642</v>
      </c>
      <c r="BP95" s="59">
        <v>43679</v>
      </c>
      <c r="BQ95" s="62">
        <v>43642</v>
      </c>
      <c r="BR95" s="68" t="e">
        <f xml:space="preserve"> NETWORKDAYS(BC95,BM95,#REF!)</f>
        <v>#VALUE!</v>
      </c>
      <c r="BS95" s="69" t="e">
        <f>NETWORKDAYS(BC95,BN95,#REF!)</f>
        <v>#REF!</v>
      </c>
      <c r="BT95" s="62"/>
      <c r="BU95" s="84"/>
      <c r="BV95" s="84"/>
      <c r="BW95" s="84"/>
      <c r="BX95" s="84"/>
      <c r="BY95" s="84"/>
      <c r="BZ95" s="84"/>
    </row>
    <row r="96" spans="1:79" ht="165" hidden="1" x14ac:dyDescent="0.25">
      <c r="A96" s="598" t="s">
        <v>1743</v>
      </c>
      <c r="B96" s="39">
        <v>94</v>
      </c>
      <c r="C96" s="38" t="s">
        <v>225</v>
      </c>
      <c r="D96" s="991" t="s">
        <v>1744</v>
      </c>
      <c r="E96" s="39" t="s">
        <v>151</v>
      </c>
      <c r="F96" s="39" t="s">
        <v>152</v>
      </c>
      <c r="G96" s="39" t="s">
        <v>151</v>
      </c>
      <c r="H96" s="39"/>
      <c r="I96" s="81" t="s">
        <v>569</v>
      </c>
      <c r="J96" s="82"/>
      <c r="K96" s="82"/>
      <c r="L96" s="82"/>
      <c r="M96" s="42" t="str">
        <f t="shared" si="20"/>
        <v xml:space="preserve">Audio Video &amp; Control, S.A. de C.V.  </v>
      </c>
      <c r="N96" s="991" t="s">
        <v>667</v>
      </c>
      <c r="O96" s="991" t="s">
        <v>667</v>
      </c>
      <c r="P96" s="991" t="s">
        <v>1745</v>
      </c>
      <c r="Q96" s="992">
        <v>600000</v>
      </c>
      <c r="R96" s="44">
        <f t="shared" si="18"/>
        <v>96000</v>
      </c>
      <c r="S96" s="45">
        <f t="shared" si="15"/>
        <v>696000</v>
      </c>
      <c r="T96" s="46">
        <v>60000</v>
      </c>
      <c r="U96" s="47">
        <f t="shared" si="17"/>
        <v>69600</v>
      </c>
      <c r="V96" s="44">
        <f t="shared" si="16"/>
        <v>696000</v>
      </c>
      <c r="W96" s="993" t="s">
        <v>156</v>
      </c>
      <c r="X96" s="48">
        <v>43628</v>
      </c>
      <c r="Y96" s="48" t="s">
        <v>496</v>
      </c>
      <c r="Z96" s="48">
        <v>43628</v>
      </c>
      <c r="AA96" s="48">
        <v>43830</v>
      </c>
      <c r="AB96" s="38" t="s">
        <v>182</v>
      </c>
      <c r="AC96" s="49"/>
      <c r="AD96" s="49"/>
      <c r="AE96" s="49"/>
      <c r="AF96" s="49"/>
      <c r="AG96" s="39" t="s">
        <v>156</v>
      </c>
      <c r="AH96" s="38"/>
      <c r="AI96" s="38"/>
      <c r="AJ96" s="50"/>
      <c r="AK96" s="44"/>
      <c r="AL96" s="39" t="str">
        <f t="shared" ca="1" si="19"/>
        <v>MUERTO</v>
      </c>
      <c r="AM96" s="39"/>
      <c r="AN96" s="39" t="s">
        <v>183</v>
      </c>
      <c r="AO96" s="39" t="s">
        <v>496</v>
      </c>
      <c r="AP96" s="39"/>
      <c r="AQ96" s="39" t="s">
        <v>815</v>
      </c>
      <c r="AR96" s="39"/>
      <c r="AS96" s="39"/>
      <c r="AT96" s="39" t="s">
        <v>183</v>
      </c>
      <c r="AU96" s="51"/>
      <c r="AV96" s="50"/>
      <c r="AW96" s="38"/>
      <c r="AX96" s="52"/>
      <c r="AY96" s="50"/>
      <c r="AZ96" s="38"/>
      <c r="BA96" s="38" t="e">
        <f>VLOOKUP(I96,#REF!,2,0)</f>
        <v>#REF!</v>
      </c>
      <c r="BB96" s="71"/>
      <c r="BC96" s="59">
        <v>43627</v>
      </c>
      <c r="BD96" s="58">
        <v>43627</v>
      </c>
      <c r="BE96" s="58">
        <v>43630</v>
      </c>
      <c r="BF96" s="58">
        <v>43635</v>
      </c>
      <c r="BG96" s="59"/>
      <c r="BH96" s="59"/>
      <c r="BI96" s="39" t="e">
        <f>NETWORKDAYS(BF96,BG96,#REF!)</f>
        <v>#REF!</v>
      </c>
      <c r="BJ96" s="59">
        <v>43643</v>
      </c>
      <c r="BK96" s="59"/>
      <c r="BL96" s="59"/>
      <c r="BM96" s="59"/>
      <c r="BN96" s="59"/>
      <c r="BO96" s="59"/>
      <c r="BP96" s="59"/>
      <c r="BQ96" s="62"/>
      <c r="BR96" s="68" t="e">
        <f xml:space="preserve"> NETWORKDAYS(BC96,BM96,#REF!)</f>
        <v>#REF!</v>
      </c>
      <c r="BS96" s="69" t="e">
        <f>NETWORKDAYS(BC96,BN96,#REF!)</f>
        <v>#REF!</v>
      </c>
      <c r="BT96" s="62"/>
      <c r="BU96" s="84"/>
      <c r="BV96" s="84"/>
      <c r="BW96" s="84"/>
      <c r="BX96" s="84"/>
      <c r="BY96" s="84"/>
      <c r="BZ96" s="84"/>
    </row>
    <row r="97" spans="1:80" ht="270" hidden="1" x14ac:dyDescent="0.25">
      <c r="A97" s="38" t="s">
        <v>1746</v>
      </c>
      <c r="B97" s="39">
        <v>95</v>
      </c>
      <c r="C97" s="38" t="s">
        <v>225</v>
      </c>
      <c r="D97" s="991" t="s">
        <v>1747</v>
      </c>
      <c r="E97" s="39" t="s">
        <v>151</v>
      </c>
      <c r="F97" s="39" t="s">
        <v>152</v>
      </c>
      <c r="G97" s="39" t="s">
        <v>151</v>
      </c>
      <c r="H97" s="39"/>
      <c r="I97" s="81" t="s">
        <v>1748</v>
      </c>
      <c r="J97" s="82"/>
      <c r="K97" s="82"/>
      <c r="L97" s="82"/>
      <c r="M97" s="42" t="str">
        <f t="shared" si="20"/>
        <v xml:space="preserve">Atracción Comercial, S.A. de C.V.  </v>
      </c>
      <c r="N97" s="991" t="s">
        <v>198</v>
      </c>
      <c r="O97" s="991" t="s">
        <v>198</v>
      </c>
      <c r="P97" s="991" t="s">
        <v>1749</v>
      </c>
      <c r="Q97" s="992">
        <v>606465.51</v>
      </c>
      <c r="R97" s="44">
        <f t="shared" si="18"/>
        <v>97034.481599999999</v>
      </c>
      <c r="S97" s="45">
        <f t="shared" ref="S97:S128" si="21">Q97+R97</f>
        <v>703499.99160000007</v>
      </c>
      <c r="T97" s="46">
        <v>109482.76</v>
      </c>
      <c r="U97" s="47">
        <f t="shared" si="17"/>
        <v>127000.00159999999</v>
      </c>
      <c r="V97" s="44">
        <f t="shared" si="16"/>
        <v>703499.99160000007</v>
      </c>
      <c r="W97" s="993" t="s">
        <v>156</v>
      </c>
      <c r="X97" s="48">
        <v>43634</v>
      </c>
      <c r="Y97" s="48" t="s">
        <v>496</v>
      </c>
      <c r="Z97" s="48">
        <v>43631</v>
      </c>
      <c r="AA97" s="48">
        <v>43830</v>
      </c>
      <c r="AB97" s="38" t="s">
        <v>182</v>
      </c>
      <c r="AC97" s="49">
        <v>90969.82</v>
      </c>
      <c r="AD97" s="49"/>
      <c r="AE97" s="49"/>
      <c r="AF97" s="49"/>
      <c r="AG97" s="39" t="s">
        <v>1146</v>
      </c>
      <c r="AH97" s="38"/>
      <c r="AI97" s="38"/>
      <c r="AJ97" s="50"/>
      <c r="AK97" s="44"/>
      <c r="AL97" s="39" t="str">
        <f t="shared" ca="1" si="19"/>
        <v>MUERTO</v>
      </c>
      <c r="AM97" s="39"/>
      <c r="AN97" s="39" t="s">
        <v>183</v>
      </c>
      <c r="AO97" s="39" t="s">
        <v>496</v>
      </c>
      <c r="AP97" s="39"/>
      <c r="AQ97" s="39" t="s">
        <v>696</v>
      </c>
      <c r="AR97" s="39"/>
      <c r="AS97" s="39"/>
      <c r="AT97" s="39" t="s">
        <v>183</v>
      </c>
      <c r="AU97" s="51"/>
      <c r="AV97" s="50"/>
      <c r="AW97" s="38"/>
      <c r="AX97" s="52"/>
      <c r="AY97" s="50"/>
      <c r="AZ97" s="38"/>
      <c r="BA97" s="38" t="e">
        <f>VLOOKUP(I97,#REF!,2,0)</f>
        <v>#REF!</v>
      </c>
      <c r="BB97" s="71"/>
      <c r="BC97" s="59">
        <v>43630</v>
      </c>
      <c r="BD97" s="58">
        <v>43633</v>
      </c>
      <c r="BE97" s="58">
        <v>43637</v>
      </c>
      <c r="BF97" s="58">
        <v>43640</v>
      </c>
      <c r="BG97" s="58">
        <v>43658</v>
      </c>
      <c r="BH97" s="39" t="s">
        <v>1750</v>
      </c>
      <c r="BI97" s="39" t="e">
        <f>NETWORKDAYS(BF97,BG97,#REF!)</f>
        <v>#REF!</v>
      </c>
      <c r="BJ97" s="39" t="s">
        <v>1750</v>
      </c>
      <c r="BK97" s="39" t="s">
        <v>1751</v>
      </c>
      <c r="BL97" s="39" t="s">
        <v>1752</v>
      </c>
      <c r="BM97" s="39" t="s">
        <v>1753</v>
      </c>
      <c r="BN97" s="39" t="s">
        <v>1753</v>
      </c>
      <c r="BO97" s="39" t="s">
        <v>1753</v>
      </c>
      <c r="BP97" s="39" t="s">
        <v>1753</v>
      </c>
      <c r="BQ97" s="39" t="s">
        <v>1753</v>
      </c>
      <c r="BR97" s="68" t="e">
        <f xml:space="preserve"> NETWORKDAYS(BC97,BM97,#REF!)</f>
        <v>#VALUE!</v>
      </c>
      <c r="BS97" s="69" t="e">
        <f>NETWORKDAYS(BC97,BN97,#REF!)</f>
        <v>#VALUE!</v>
      </c>
      <c r="BT97" s="62" t="s">
        <v>1754</v>
      </c>
      <c r="BU97" s="84"/>
      <c r="BV97" s="84" t="s">
        <v>213</v>
      </c>
      <c r="BW97" s="84"/>
      <c r="BX97" s="84"/>
      <c r="BY97" s="84"/>
      <c r="BZ97" s="84"/>
    </row>
    <row r="98" spans="1:80" ht="195" hidden="1" x14ac:dyDescent="0.25">
      <c r="A98" s="38" t="s">
        <v>1755</v>
      </c>
      <c r="B98" s="39">
        <v>96</v>
      </c>
      <c r="C98" s="38" t="s">
        <v>225</v>
      </c>
      <c r="D98" s="991" t="s">
        <v>1747</v>
      </c>
      <c r="E98" s="39" t="s">
        <v>151</v>
      </c>
      <c r="F98" s="39" t="s">
        <v>152</v>
      </c>
      <c r="G98" s="39" t="s">
        <v>151</v>
      </c>
      <c r="H98" s="39"/>
      <c r="I98" s="81" t="s">
        <v>1756</v>
      </c>
      <c r="J98" s="82"/>
      <c r="K98" s="82"/>
      <c r="L98" s="82"/>
      <c r="M98" s="42" t="str">
        <f t="shared" si="20"/>
        <v xml:space="preserve">Proveedora Nacional Médica, S.A. de C.V.  </v>
      </c>
      <c r="N98" s="991" t="s">
        <v>198</v>
      </c>
      <c r="O98" s="991" t="s">
        <v>198</v>
      </c>
      <c r="P98" s="991" t="s">
        <v>1757</v>
      </c>
      <c r="Q98" s="992">
        <v>81034.48</v>
      </c>
      <c r="R98" s="44">
        <f t="shared" si="18"/>
        <v>12965.516799999999</v>
      </c>
      <c r="S98" s="45">
        <f t="shared" si="21"/>
        <v>93999.996799999994</v>
      </c>
      <c r="T98" s="46">
        <v>21551.73</v>
      </c>
      <c r="U98" s="47">
        <f t="shared" si="17"/>
        <v>25000.006799999999</v>
      </c>
      <c r="V98" s="44">
        <f t="shared" si="16"/>
        <v>106499.99679999999</v>
      </c>
      <c r="W98" s="993" t="s">
        <v>156</v>
      </c>
      <c r="X98" s="48">
        <v>43635</v>
      </c>
      <c r="Y98" s="48" t="s">
        <v>496</v>
      </c>
      <c r="Z98" s="48">
        <v>43631</v>
      </c>
      <c r="AA98" s="48">
        <v>43830</v>
      </c>
      <c r="AB98" s="38" t="s">
        <v>182</v>
      </c>
      <c r="AC98" s="49"/>
      <c r="AD98" s="49"/>
      <c r="AE98" s="49"/>
      <c r="AF98" s="49"/>
      <c r="AG98" s="39" t="s">
        <v>156</v>
      </c>
      <c r="AH98" s="38" t="s">
        <v>1758</v>
      </c>
      <c r="AI98" s="38" t="s">
        <v>1759</v>
      </c>
      <c r="AJ98" s="50">
        <v>43773</v>
      </c>
      <c r="AK98" s="44">
        <v>12500</v>
      </c>
      <c r="AL98" s="39" t="str">
        <f t="shared" ca="1" si="19"/>
        <v>MUERTO</v>
      </c>
      <c r="AM98" s="39"/>
      <c r="AN98" s="39" t="s">
        <v>183</v>
      </c>
      <c r="AO98" s="39" t="s">
        <v>496</v>
      </c>
      <c r="AP98" s="39" t="s">
        <v>1668</v>
      </c>
      <c r="AQ98" s="39" t="s">
        <v>696</v>
      </c>
      <c r="AR98" s="39"/>
      <c r="AS98" s="39"/>
      <c r="AT98" s="39" t="s">
        <v>183</v>
      </c>
      <c r="AU98" s="51"/>
      <c r="AV98" s="50"/>
      <c r="AW98" s="38"/>
      <c r="AX98" s="52"/>
      <c r="AY98" s="50"/>
      <c r="AZ98" s="38"/>
      <c r="BA98" s="38" t="e">
        <f>VLOOKUP(I98,#REF!,2,0)</f>
        <v>#REF!</v>
      </c>
      <c r="BB98" s="71"/>
      <c r="BC98" s="59">
        <v>43630</v>
      </c>
      <c r="BD98" s="58">
        <v>43633</v>
      </c>
      <c r="BE98" s="58">
        <v>43637</v>
      </c>
      <c r="BF98" s="39" t="s">
        <v>1753</v>
      </c>
      <c r="BG98" s="39"/>
      <c r="BH98" s="39" t="s">
        <v>1753</v>
      </c>
      <c r="BI98" s="39" t="e">
        <f>NETWORKDAYS(BF98,BG98,#REF!)</f>
        <v>#VALUE!</v>
      </c>
      <c r="BJ98" s="39" t="s">
        <v>1753</v>
      </c>
      <c r="BK98" s="39" t="s">
        <v>1753</v>
      </c>
      <c r="BL98" s="39" t="s">
        <v>1753</v>
      </c>
      <c r="BM98" s="39" t="s">
        <v>1753</v>
      </c>
      <c r="BN98" s="39" t="s">
        <v>1753</v>
      </c>
      <c r="BO98" s="39" t="s">
        <v>1753</v>
      </c>
      <c r="BP98" s="39" t="s">
        <v>1753</v>
      </c>
      <c r="BQ98" s="39" t="s">
        <v>1753</v>
      </c>
      <c r="BR98" s="68" t="e">
        <f xml:space="preserve"> NETWORKDAYS(BC98,BM98,#REF!)</f>
        <v>#VALUE!</v>
      </c>
      <c r="BS98" s="69" t="e">
        <f>NETWORKDAYS(BC98,BN98,#REF!)</f>
        <v>#VALUE!</v>
      </c>
      <c r="BT98" s="62"/>
      <c r="BU98" s="84"/>
      <c r="BV98" s="84"/>
      <c r="BW98" s="84"/>
      <c r="BX98" s="84"/>
      <c r="BY98" s="84"/>
      <c r="BZ98" s="84"/>
    </row>
    <row r="99" spans="1:80" ht="180" hidden="1" x14ac:dyDescent="0.25">
      <c r="A99" s="38" t="s">
        <v>1760</v>
      </c>
      <c r="B99" s="39">
        <v>97</v>
      </c>
      <c r="C99" s="38" t="s">
        <v>225</v>
      </c>
      <c r="D99" s="991" t="s">
        <v>1747</v>
      </c>
      <c r="E99" s="39" t="s">
        <v>151</v>
      </c>
      <c r="F99" s="39" t="s">
        <v>152</v>
      </c>
      <c r="G99" s="39" t="s">
        <v>151</v>
      </c>
      <c r="H99" s="39"/>
      <c r="I99" s="81" t="s">
        <v>1761</v>
      </c>
      <c r="J99" s="82"/>
      <c r="K99" s="82"/>
      <c r="L99" s="82"/>
      <c r="M99" s="42" t="str">
        <f t="shared" si="20"/>
        <v xml:space="preserve">Interamericana CMH, S.A. de C.V.  </v>
      </c>
      <c r="N99" s="991" t="s">
        <v>198</v>
      </c>
      <c r="O99" s="991" t="s">
        <v>198</v>
      </c>
      <c r="P99" s="991" t="s">
        <v>1762</v>
      </c>
      <c r="Q99" s="992">
        <v>1240379.32</v>
      </c>
      <c r="R99" s="44">
        <f t="shared" si="18"/>
        <v>198460.6912</v>
      </c>
      <c r="S99" s="45">
        <f t="shared" si="21"/>
        <v>1438840.0112000001</v>
      </c>
      <c r="T99" s="46">
        <v>648706.91</v>
      </c>
      <c r="U99" s="47">
        <f t="shared" si="17"/>
        <v>752500.01560000004</v>
      </c>
      <c r="V99" s="44">
        <f t="shared" si="16"/>
        <v>1438840.0112000001</v>
      </c>
      <c r="W99" s="993" t="s">
        <v>156</v>
      </c>
      <c r="X99" s="48">
        <v>43634</v>
      </c>
      <c r="Y99" s="48" t="s">
        <v>496</v>
      </c>
      <c r="Z99" s="48">
        <v>43631</v>
      </c>
      <c r="AA99" s="48">
        <v>43830</v>
      </c>
      <c r="AB99" s="38" t="s">
        <v>182</v>
      </c>
      <c r="AC99" s="49"/>
      <c r="AD99" s="49"/>
      <c r="AE99" s="49"/>
      <c r="AF99" s="49"/>
      <c r="AG99" s="39" t="s">
        <v>156</v>
      </c>
      <c r="AH99" s="38"/>
      <c r="AI99" s="38"/>
      <c r="AJ99" s="50"/>
      <c r="AK99" s="44"/>
      <c r="AL99" s="39" t="str">
        <f t="shared" ca="1" si="19"/>
        <v>MUERTO</v>
      </c>
      <c r="AM99" s="39"/>
      <c r="AN99" s="39" t="s">
        <v>183</v>
      </c>
      <c r="AO99" s="39" t="s">
        <v>496</v>
      </c>
      <c r="AP99" s="39"/>
      <c r="AQ99" s="39" t="s">
        <v>696</v>
      </c>
      <c r="AR99" s="39"/>
      <c r="AS99" s="39"/>
      <c r="AT99" s="39" t="s">
        <v>183</v>
      </c>
      <c r="AU99" s="51"/>
      <c r="AV99" s="50"/>
      <c r="AW99" s="38"/>
      <c r="AX99" s="52"/>
      <c r="AY99" s="50"/>
      <c r="AZ99" s="38"/>
      <c r="BA99" s="38" t="e">
        <f>VLOOKUP(I99,#REF!,2,0)</f>
        <v>#REF!</v>
      </c>
      <c r="BB99" s="71"/>
      <c r="BC99" s="59">
        <v>43630</v>
      </c>
      <c r="BD99" s="58">
        <v>43633</v>
      </c>
      <c r="BE99" s="58">
        <v>43637</v>
      </c>
      <c r="BF99" s="58">
        <v>43641</v>
      </c>
      <c r="BG99" s="59">
        <v>43676</v>
      </c>
      <c r="BH99" s="59" t="s">
        <v>1763</v>
      </c>
      <c r="BI99" s="39" t="e">
        <f>NETWORKDAYS(BF99,BG99,#REF!)</f>
        <v>#REF!</v>
      </c>
      <c r="BJ99" s="39" t="s">
        <v>1764</v>
      </c>
      <c r="BK99" s="39" t="s">
        <v>1765</v>
      </c>
      <c r="BL99" s="39" t="s">
        <v>479</v>
      </c>
      <c r="BM99" s="39" t="s">
        <v>1753</v>
      </c>
      <c r="BN99" s="39" t="s">
        <v>1753</v>
      </c>
      <c r="BO99" s="39" t="s">
        <v>1753</v>
      </c>
      <c r="BP99" s="39" t="s">
        <v>1753</v>
      </c>
      <c r="BQ99" s="39" t="s">
        <v>1753</v>
      </c>
      <c r="BR99" s="68" t="e">
        <f xml:space="preserve"> NETWORKDAYS(BC99,BM99,#REF!)</f>
        <v>#VALUE!</v>
      </c>
      <c r="BS99" s="69" t="e">
        <f>NETWORKDAYS(BC99,BN99,#REF!)</f>
        <v>#VALUE!</v>
      </c>
      <c r="BT99" s="62"/>
      <c r="BU99" s="84"/>
      <c r="BV99" s="84"/>
      <c r="BW99" s="84"/>
      <c r="BX99" s="84"/>
      <c r="BY99" s="84"/>
      <c r="BZ99" s="84"/>
    </row>
    <row r="100" spans="1:80" ht="60" hidden="1" x14ac:dyDescent="0.25">
      <c r="A100" s="38" t="s">
        <v>1766</v>
      </c>
      <c r="B100" s="39">
        <v>98</v>
      </c>
      <c r="C100" s="38" t="s">
        <v>225</v>
      </c>
      <c r="D100" s="991" t="s">
        <v>1767</v>
      </c>
      <c r="E100" s="39" t="s">
        <v>151</v>
      </c>
      <c r="F100" s="39" t="s">
        <v>152</v>
      </c>
      <c r="G100" s="39" t="s">
        <v>151</v>
      </c>
      <c r="H100" s="39"/>
      <c r="I100" s="81" t="s">
        <v>1768</v>
      </c>
      <c r="J100" s="82"/>
      <c r="K100" s="82"/>
      <c r="L100" s="82"/>
      <c r="M100" s="42" t="str">
        <f t="shared" si="20"/>
        <v xml:space="preserve">Fridmay, S.A. de C.V.  </v>
      </c>
      <c r="N100" s="991" t="s">
        <v>270</v>
      </c>
      <c r="O100" s="991" t="s">
        <v>270</v>
      </c>
      <c r="P100" s="991" t="s">
        <v>1769</v>
      </c>
      <c r="Q100" s="992">
        <v>170249.1</v>
      </c>
      <c r="R100" s="44">
        <f t="shared" si="18"/>
        <v>27239.856</v>
      </c>
      <c r="S100" s="45">
        <f t="shared" si="21"/>
        <v>197488.95600000001</v>
      </c>
      <c r="T100" s="46">
        <v>68099.64</v>
      </c>
      <c r="U100" s="47">
        <f t="shared" si="17"/>
        <v>78995.582399999999</v>
      </c>
      <c r="V100" s="44">
        <f t="shared" ref="V100:V131" si="22">S100+AK100</f>
        <v>197488.95600000001</v>
      </c>
      <c r="W100" s="993" t="s">
        <v>156</v>
      </c>
      <c r="X100" s="48">
        <v>43636</v>
      </c>
      <c r="Y100" s="48" t="s">
        <v>496</v>
      </c>
      <c r="Z100" s="48">
        <v>43635</v>
      </c>
      <c r="AA100" s="48">
        <v>43830</v>
      </c>
      <c r="AB100" s="38" t="s">
        <v>182</v>
      </c>
      <c r="AC100" s="49">
        <v>25537.37</v>
      </c>
      <c r="AD100" s="49">
        <v>0</v>
      </c>
      <c r="AE100" s="49">
        <v>0</v>
      </c>
      <c r="AF100" s="49">
        <v>0</v>
      </c>
      <c r="AG100" s="39" t="s">
        <v>1146</v>
      </c>
      <c r="AH100" s="38"/>
      <c r="AI100" s="38"/>
      <c r="AJ100" s="50"/>
      <c r="AK100" s="44"/>
      <c r="AL100" s="39" t="str">
        <f t="shared" ca="1" si="19"/>
        <v>MUERTO</v>
      </c>
      <c r="AM100" s="39"/>
      <c r="AN100" s="39" t="s">
        <v>183</v>
      </c>
      <c r="AO100" s="39" t="s">
        <v>496</v>
      </c>
      <c r="AP100" s="39"/>
      <c r="AQ100" s="39" t="s">
        <v>696</v>
      </c>
      <c r="AR100" s="39"/>
      <c r="AS100" s="39"/>
      <c r="AT100" s="39" t="s">
        <v>183</v>
      </c>
      <c r="AU100" s="51"/>
      <c r="AV100" s="50"/>
      <c r="AW100" s="38"/>
      <c r="AX100" s="52"/>
      <c r="AY100" s="50"/>
      <c r="AZ100" s="38"/>
      <c r="BA100" s="38" t="e">
        <f>VLOOKUP(I100,#REF!,2,0)</f>
        <v>#REF!</v>
      </c>
      <c r="BB100" s="71"/>
      <c r="BC100" s="59">
        <v>43634</v>
      </c>
      <c r="BD100" s="59">
        <v>43634</v>
      </c>
      <c r="BE100" s="58">
        <v>43637</v>
      </c>
      <c r="BF100" s="58">
        <v>43655</v>
      </c>
      <c r="BG100" s="58">
        <v>43664</v>
      </c>
      <c r="BH100" s="58">
        <v>43655</v>
      </c>
      <c r="BI100" s="39" t="e">
        <f>NETWORKDAYS(BF100,BG100,#REF!)</f>
        <v>#REF!</v>
      </c>
      <c r="BJ100" s="58">
        <v>43665</v>
      </c>
      <c r="BK100" s="58">
        <v>43670</v>
      </c>
      <c r="BL100" s="39" t="s">
        <v>479</v>
      </c>
      <c r="BM100" s="39"/>
      <c r="BN100" s="39"/>
      <c r="BO100" s="39" t="s">
        <v>1753</v>
      </c>
      <c r="BP100" s="58">
        <v>43655</v>
      </c>
      <c r="BQ100" s="39" t="s">
        <v>1753</v>
      </c>
      <c r="BR100" s="68" t="e">
        <f xml:space="preserve"> NETWORKDAYS(BC100,BM100,#REF!)</f>
        <v>#REF!</v>
      </c>
      <c r="BS100" s="69" t="e">
        <f>NETWORKDAYS(BC100,BN100,#REF!)</f>
        <v>#REF!</v>
      </c>
      <c r="BT100" s="62"/>
      <c r="BU100" s="84"/>
      <c r="BV100" s="84"/>
      <c r="BW100" s="84"/>
      <c r="BX100" s="84"/>
      <c r="BY100" s="84"/>
      <c r="BZ100" s="84"/>
    </row>
    <row r="101" spans="1:80" ht="60" hidden="1" x14ac:dyDescent="0.25">
      <c r="A101" s="38" t="s">
        <v>1770</v>
      </c>
      <c r="B101" s="39">
        <v>99</v>
      </c>
      <c r="C101" s="38" t="s">
        <v>225</v>
      </c>
      <c r="D101" s="991" t="s">
        <v>1767</v>
      </c>
      <c r="E101" s="39" t="s">
        <v>151</v>
      </c>
      <c r="F101" s="39" t="s">
        <v>152</v>
      </c>
      <c r="G101" s="39" t="s">
        <v>151</v>
      </c>
      <c r="H101" s="39"/>
      <c r="I101" s="81"/>
      <c r="J101" s="82" t="s">
        <v>465</v>
      </c>
      <c r="K101" s="82" t="s">
        <v>466</v>
      </c>
      <c r="L101" s="82" t="s">
        <v>467</v>
      </c>
      <c r="M101" s="42" t="str">
        <f t="shared" si="20"/>
        <v>José Antonio Medina Gutiérrez</v>
      </c>
      <c r="N101" s="991" t="s">
        <v>270</v>
      </c>
      <c r="O101" s="991" t="s">
        <v>270</v>
      </c>
      <c r="P101" s="991" t="s">
        <v>1771</v>
      </c>
      <c r="Q101" s="992">
        <v>59902.5</v>
      </c>
      <c r="R101" s="44">
        <f t="shared" si="18"/>
        <v>9584.4</v>
      </c>
      <c r="S101" s="45">
        <f t="shared" si="21"/>
        <v>69486.899999999994</v>
      </c>
      <c r="T101" s="46">
        <v>23961</v>
      </c>
      <c r="U101" s="47">
        <f t="shared" ref="U101:U118" si="23">(T101*0.16)+(T101)</f>
        <v>27794.760000000002</v>
      </c>
      <c r="V101" s="44">
        <f t="shared" si="22"/>
        <v>69486.899999999994</v>
      </c>
      <c r="W101" s="993" t="s">
        <v>156</v>
      </c>
      <c r="X101" s="48">
        <v>43636</v>
      </c>
      <c r="Y101" s="48" t="s">
        <v>496</v>
      </c>
      <c r="Z101" s="48">
        <v>43635</v>
      </c>
      <c r="AA101" s="48">
        <v>43830</v>
      </c>
      <c r="AB101" s="38" t="s">
        <v>182</v>
      </c>
      <c r="AC101" s="49">
        <v>8985.3799999999992</v>
      </c>
      <c r="AD101" s="49">
        <v>0</v>
      </c>
      <c r="AE101" s="49">
        <v>0</v>
      </c>
      <c r="AF101" s="49">
        <v>0</v>
      </c>
      <c r="AG101" s="39" t="s">
        <v>1489</v>
      </c>
      <c r="AH101" s="38"/>
      <c r="AI101" s="38"/>
      <c r="AJ101" s="50"/>
      <c r="AK101" s="44"/>
      <c r="AL101" s="39" t="str">
        <f t="shared" ca="1" si="19"/>
        <v>MUERTO</v>
      </c>
      <c r="AM101" s="39"/>
      <c r="AN101" s="39" t="s">
        <v>183</v>
      </c>
      <c r="AO101" s="39" t="s">
        <v>496</v>
      </c>
      <c r="AP101" s="39"/>
      <c r="AQ101" s="39" t="s">
        <v>696</v>
      </c>
      <c r="AR101" s="39"/>
      <c r="AS101" s="39"/>
      <c r="AT101" s="39" t="s">
        <v>183</v>
      </c>
      <c r="AU101" s="51"/>
      <c r="AV101" s="50"/>
      <c r="AW101" s="38"/>
      <c r="AX101" s="52"/>
      <c r="AY101" s="50"/>
      <c r="AZ101" s="38"/>
      <c r="BA101" s="38" t="e">
        <f>VLOOKUP(I101,#REF!,2,0)</f>
        <v>#REF!</v>
      </c>
      <c r="BB101" s="71"/>
      <c r="BC101" s="59">
        <v>43634</v>
      </c>
      <c r="BD101" s="59">
        <v>43634</v>
      </c>
      <c r="BE101" s="58">
        <v>43637</v>
      </c>
      <c r="BF101" s="58">
        <v>43648</v>
      </c>
      <c r="BG101" s="58">
        <v>43696</v>
      </c>
      <c r="BH101" s="58">
        <v>43696</v>
      </c>
      <c r="BI101" s="39" t="e">
        <f>NETWORKDAYS(BF101,BG101,#REF!)</f>
        <v>#REF!</v>
      </c>
      <c r="BJ101" s="58">
        <v>43696</v>
      </c>
      <c r="BK101" s="58">
        <v>43699</v>
      </c>
      <c r="BL101" s="39" t="s">
        <v>479</v>
      </c>
      <c r="BM101" s="39" t="s">
        <v>1753</v>
      </c>
      <c r="BN101" s="39" t="s">
        <v>1753</v>
      </c>
      <c r="BO101" s="39" t="s">
        <v>1753</v>
      </c>
      <c r="BP101" s="39" t="s">
        <v>1753</v>
      </c>
      <c r="BQ101" s="39" t="s">
        <v>1753</v>
      </c>
      <c r="BR101" s="68" t="e">
        <f xml:space="preserve"> NETWORKDAYS(BC101,BM101,#REF!)</f>
        <v>#VALUE!</v>
      </c>
      <c r="BS101" s="69" t="e">
        <f>NETWORKDAYS(BC101,BN101,#REF!)</f>
        <v>#VALUE!</v>
      </c>
      <c r="BT101" s="62"/>
      <c r="BU101" s="84"/>
      <c r="BV101" s="84"/>
      <c r="BW101" s="84"/>
      <c r="BX101" s="84"/>
      <c r="BY101" s="84"/>
      <c r="BZ101" s="84"/>
    </row>
    <row r="102" spans="1:80" ht="165" hidden="1" x14ac:dyDescent="0.25">
      <c r="A102" s="38" t="s">
        <v>1772</v>
      </c>
      <c r="B102" s="39">
        <v>100</v>
      </c>
      <c r="C102" s="38" t="s">
        <v>149</v>
      </c>
      <c r="D102" s="991" t="s">
        <v>1773</v>
      </c>
      <c r="E102" s="81" t="s">
        <v>163</v>
      </c>
      <c r="F102" s="39" t="s">
        <v>607</v>
      </c>
      <c r="G102" s="39" t="s">
        <v>1477</v>
      </c>
      <c r="H102" s="685" t="s">
        <v>546</v>
      </c>
      <c r="I102" s="81" t="s">
        <v>400</v>
      </c>
      <c r="J102" s="82"/>
      <c r="K102" s="82"/>
      <c r="L102" s="82"/>
      <c r="M102" s="42" t="str">
        <f t="shared" si="20"/>
        <v xml:space="preserve">ATML, S.A. de C.V.  </v>
      </c>
      <c r="N102" s="991" t="s">
        <v>209</v>
      </c>
      <c r="O102" s="991" t="s">
        <v>209</v>
      </c>
      <c r="P102" s="991" t="s">
        <v>1774</v>
      </c>
      <c r="Q102" s="992">
        <v>4913706.8</v>
      </c>
      <c r="R102" s="44">
        <f t="shared" si="18"/>
        <v>786193.08799999999</v>
      </c>
      <c r="S102" s="45">
        <f t="shared" si="21"/>
        <v>5699899.8880000003</v>
      </c>
      <c r="T102" s="46">
        <v>0</v>
      </c>
      <c r="U102" s="47">
        <f t="shared" si="23"/>
        <v>0</v>
      </c>
      <c r="V102" s="44">
        <f t="shared" si="22"/>
        <v>5699899.8880000003</v>
      </c>
      <c r="W102" s="999" t="s">
        <v>183</v>
      </c>
      <c r="X102" s="48">
        <v>43640</v>
      </c>
      <c r="Y102" s="48" t="s">
        <v>496</v>
      </c>
      <c r="Z102" s="48">
        <v>43640</v>
      </c>
      <c r="AA102" s="48">
        <v>44002</v>
      </c>
      <c r="AB102" s="604" t="s">
        <v>1740</v>
      </c>
      <c r="AC102" s="49">
        <v>737056.02</v>
      </c>
      <c r="AD102" s="49">
        <v>737056.02</v>
      </c>
      <c r="AE102" s="49"/>
      <c r="AF102" s="49"/>
      <c r="AG102" s="39" t="s">
        <v>1146</v>
      </c>
      <c r="AH102" s="38"/>
      <c r="AI102" s="38"/>
      <c r="AJ102" s="50"/>
      <c r="AK102" s="44"/>
      <c r="AL102" s="39" t="str">
        <f t="shared" ca="1" si="19"/>
        <v>MUERTO</v>
      </c>
      <c r="AM102" s="39"/>
      <c r="AN102" s="39" t="s">
        <v>183</v>
      </c>
      <c r="AO102" s="39" t="s">
        <v>496</v>
      </c>
      <c r="AP102" s="39"/>
      <c r="AQ102" s="39" t="s">
        <v>696</v>
      </c>
      <c r="AR102" s="39"/>
      <c r="AS102" s="39"/>
      <c r="AT102" s="39" t="s">
        <v>183</v>
      </c>
      <c r="AU102" s="51"/>
      <c r="AV102" s="50"/>
      <c r="AW102" s="38"/>
      <c r="AX102" s="52"/>
      <c r="AY102" s="50"/>
      <c r="AZ102" s="38"/>
      <c r="BA102" s="38" t="e">
        <f>VLOOKUP(I102,#REF!,2,0)</f>
        <v>#REF!</v>
      </c>
      <c r="BB102" s="71"/>
      <c r="BC102" s="59">
        <v>43634</v>
      </c>
      <c r="BD102" s="58">
        <v>43640</v>
      </c>
      <c r="BE102" s="58">
        <v>43643</v>
      </c>
      <c r="BF102" s="58">
        <v>43649</v>
      </c>
      <c r="BG102" s="58">
        <v>43661</v>
      </c>
      <c r="BH102" s="39" t="s">
        <v>1775</v>
      </c>
      <c r="BI102" s="39" t="e">
        <f>NETWORKDAYS(BF102,BG102,#REF!)</f>
        <v>#REF!</v>
      </c>
      <c r="BJ102" s="39" t="s">
        <v>1776</v>
      </c>
      <c r="BK102" s="39" t="s">
        <v>1777</v>
      </c>
      <c r="BL102" s="39" t="s">
        <v>1778</v>
      </c>
      <c r="BM102" s="39" t="s">
        <v>1753</v>
      </c>
      <c r="BN102" s="39" t="s">
        <v>1753</v>
      </c>
      <c r="BO102" s="39" t="s">
        <v>1753</v>
      </c>
      <c r="BP102" s="39" t="s">
        <v>1753</v>
      </c>
      <c r="BQ102" s="39" t="s">
        <v>1753</v>
      </c>
      <c r="BR102" s="68" t="e">
        <f xml:space="preserve"> NETWORKDAYS(BC102,BM102,#REF!)</f>
        <v>#VALUE!</v>
      </c>
      <c r="BS102" s="69" t="e">
        <f>NETWORKDAYS(BC102,BN102,#REF!)</f>
        <v>#VALUE!</v>
      </c>
      <c r="BT102" s="62"/>
      <c r="BU102" s="84"/>
      <c r="BV102" s="86" t="s">
        <v>1779</v>
      </c>
      <c r="BW102" s="84"/>
      <c r="BX102" s="84"/>
      <c r="BY102" s="84"/>
      <c r="BZ102" s="84"/>
    </row>
    <row r="103" spans="1:80" ht="240" hidden="1" x14ac:dyDescent="0.25">
      <c r="A103" s="110" t="s">
        <v>1780</v>
      </c>
      <c r="B103" s="39">
        <v>101</v>
      </c>
      <c r="C103" s="38" t="s">
        <v>149</v>
      </c>
      <c r="D103" s="991" t="s">
        <v>1781</v>
      </c>
      <c r="E103" s="4" t="s">
        <v>173</v>
      </c>
      <c r="F103" s="39" t="s">
        <v>326</v>
      </c>
      <c r="G103" s="39" t="s">
        <v>175</v>
      </c>
      <c r="H103" s="39"/>
      <c r="I103" s="81" t="s">
        <v>1782</v>
      </c>
      <c r="J103" s="82"/>
      <c r="K103" s="82"/>
      <c r="L103" s="82"/>
      <c r="M103" s="42" t="str">
        <f t="shared" si="20"/>
        <v xml:space="preserve">Consultores y Soporte AMD, S.A. de C.V.  </v>
      </c>
      <c r="N103" s="991" t="s">
        <v>667</v>
      </c>
      <c r="O103" s="991" t="s">
        <v>667</v>
      </c>
      <c r="P103" s="991" t="s">
        <v>1783</v>
      </c>
      <c r="Q103" s="992">
        <f>43247126.45+21120689.66+21120689.66+21120689.66+14080459.79</f>
        <v>120689655.22</v>
      </c>
      <c r="R103" s="44">
        <f t="shared" ref="R103:R134" si="24">Q103*0.16</f>
        <v>19310344.835200001</v>
      </c>
      <c r="S103" s="45">
        <f t="shared" si="21"/>
        <v>140000000.05520001</v>
      </c>
      <c r="T103" s="46">
        <v>0</v>
      </c>
      <c r="U103" s="47">
        <f t="shared" si="23"/>
        <v>0</v>
      </c>
      <c r="V103" s="44">
        <f t="shared" si="22"/>
        <v>147000000.04520002</v>
      </c>
      <c r="W103" s="993" t="s">
        <v>183</v>
      </c>
      <c r="X103" s="48">
        <v>43644</v>
      </c>
      <c r="Y103" s="48" t="s">
        <v>496</v>
      </c>
      <c r="Z103" s="48">
        <v>43637</v>
      </c>
      <c r="AA103" s="48">
        <v>45159</v>
      </c>
      <c r="AB103" s="38" t="s">
        <v>1784</v>
      </c>
      <c r="AC103" s="59">
        <v>44574</v>
      </c>
      <c r="AD103" s="49">
        <v>44776</v>
      </c>
      <c r="AE103" s="49"/>
      <c r="AF103" s="49"/>
      <c r="AG103" s="39" t="s">
        <v>1146</v>
      </c>
      <c r="AH103" s="110" t="s">
        <v>1785</v>
      </c>
      <c r="AI103" s="38" t="s">
        <v>1786</v>
      </c>
      <c r="AJ103" s="50">
        <v>44393</v>
      </c>
      <c r="AK103" s="44">
        <v>6999999.9900000002</v>
      </c>
      <c r="AL103" s="39" t="s">
        <v>1388</v>
      </c>
      <c r="AM103" s="39">
        <v>32301</v>
      </c>
      <c r="AN103" s="39" t="s">
        <v>183</v>
      </c>
      <c r="AO103" s="39" t="s">
        <v>881</v>
      </c>
      <c r="AP103" s="39"/>
      <c r="AQ103" s="39" t="s">
        <v>696</v>
      </c>
      <c r="AR103" s="39"/>
      <c r="AS103" s="39"/>
      <c r="AT103" s="39"/>
      <c r="AU103" s="51"/>
      <c r="AV103" s="50"/>
      <c r="AW103" s="38"/>
      <c r="AX103" s="52"/>
      <c r="AY103" s="50"/>
      <c r="AZ103" s="38" t="s">
        <v>1787</v>
      </c>
      <c r="BA103" s="38" t="e">
        <f>VLOOKUP(I103,#REF!,2,0)</f>
        <v>#REF!</v>
      </c>
      <c r="BB103" s="71"/>
      <c r="BC103" s="59">
        <v>43636</v>
      </c>
      <c r="BD103" s="58">
        <v>43637</v>
      </c>
      <c r="BE103" s="58">
        <v>43617</v>
      </c>
      <c r="BF103" s="58">
        <v>43648</v>
      </c>
      <c r="BG103" s="58">
        <v>43655</v>
      </c>
      <c r="BH103" s="59">
        <v>43663</v>
      </c>
      <c r="BI103" s="39" t="e">
        <f>NETWORKDAYS(BF103,BG103,#REF!)</f>
        <v>#REF!</v>
      </c>
      <c r="BJ103" s="59">
        <v>43663</v>
      </c>
      <c r="BK103" s="59">
        <v>43664</v>
      </c>
      <c r="BL103" s="59"/>
      <c r="BM103" s="59">
        <v>43669</v>
      </c>
      <c r="BN103" s="59">
        <v>43665</v>
      </c>
      <c r="BO103" s="59">
        <v>43665</v>
      </c>
      <c r="BP103" s="59">
        <v>43664</v>
      </c>
      <c r="BQ103" s="62" t="s">
        <v>1788</v>
      </c>
      <c r="BR103" s="68" t="e">
        <f xml:space="preserve"> NETWORKDAYS(BC103,BM103,#REF!)</f>
        <v>#REF!</v>
      </c>
      <c r="BS103" s="69" t="e">
        <f>NETWORKDAYS(BC103,BN103,#REF!)</f>
        <v>#REF!</v>
      </c>
      <c r="BT103" s="62"/>
      <c r="BU103" s="84">
        <v>43247126.450000003</v>
      </c>
      <c r="BV103" s="86">
        <v>21120689.600000001</v>
      </c>
      <c r="BW103" s="84">
        <v>21120689.600000001</v>
      </c>
      <c r="BX103" s="84">
        <v>21120689.600000001</v>
      </c>
      <c r="BY103" s="84">
        <v>14080459.789999999</v>
      </c>
      <c r="BZ103" s="84"/>
      <c r="CA103" s="84">
        <f>BU103+BV103+BW103+BX103+BY103</f>
        <v>120689655.03999999</v>
      </c>
      <c r="CB103" s="84">
        <f>CA103*1.16</f>
        <v>139999999.84639999</v>
      </c>
    </row>
    <row r="104" spans="1:80" ht="150" hidden="1" x14ac:dyDescent="0.25">
      <c r="A104" s="38" t="s">
        <v>1789</v>
      </c>
      <c r="B104" s="39">
        <v>102</v>
      </c>
      <c r="C104" s="38" t="s">
        <v>149</v>
      </c>
      <c r="D104" s="991" t="s">
        <v>1790</v>
      </c>
      <c r="E104" s="39" t="s">
        <v>151</v>
      </c>
      <c r="F104" s="39" t="s">
        <v>152</v>
      </c>
      <c r="G104" s="39" t="s">
        <v>151</v>
      </c>
      <c r="H104" s="39"/>
      <c r="I104" s="81" t="s">
        <v>1791</v>
      </c>
      <c r="J104" s="82"/>
      <c r="K104" s="82"/>
      <c r="L104" s="82"/>
      <c r="M104" s="42" t="str">
        <f t="shared" si="20"/>
        <v xml:space="preserve">Segudirecto, Agente de Seguros y Fianzas, S.A. de C.V.  </v>
      </c>
      <c r="N104" s="991" t="s">
        <v>270</v>
      </c>
      <c r="O104" s="991" t="s">
        <v>270</v>
      </c>
      <c r="P104" s="991" t="s">
        <v>1792</v>
      </c>
      <c r="Q104" s="992">
        <v>252000</v>
      </c>
      <c r="R104" s="44">
        <f t="shared" si="24"/>
        <v>40320</v>
      </c>
      <c r="S104" s="45">
        <f t="shared" si="21"/>
        <v>292320</v>
      </c>
      <c r="T104" s="46">
        <v>0</v>
      </c>
      <c r="U104" s="47">
        <f t="shared" si="23"/>
        <v>0</v>
      </c>
      <c r="V104" s="44">
        <f t="shared" si="22"/>
        <v>292320</v>
      </c>
      <c r="W104" s="993" t="s">
        <v>156</v>
      </c>
      <c r="X104" s="48">
        <v>43647</v>
      </c>
      <c r="Y104" s="39" t="s">
        <v>696</v>
      </c>
      <c r="Z104" s="48">
        <v>43647</v>
      </c>
      <c r="AA104" s="48">
        <v>43830</v>
      </c>
      <c r="AB104" s="38" t="s">
        <v>182</v>
      </c>
      <c r="AC104" s="49">
        <v>37800</v>
      </c>
      <c r="AD104" s="49"/>
      <c r="AE104" s="49"/>
      <c r="AF104" s="49"/>
      <c r="AG104" s="39" t="s">
        <v>1146</v>
      </c>
      <c r="AH104" s="38"/>
      <c r="AI104" s="38"/>
      <c r="AJ104" s="50"/>
      <c r="AK104" s="44"/>
      <c r="AL104" s="39" t="str">
        <f t="shared" ca="1" si="19"/>
        <v>MUERTO</v>
      </c>
      <c r="AM104" s="39">
        <v>33104</v>
      </c>
      <c r="AN104" s="39" t="s">
        <v>156</v>
      </c>
      <c r="AO104" s="39" t="s">
        <v>696</v>
      </c>
      <c r="AP104" s="39"/>
      <c r="AQ104" s="39" t="s">
        <v>696</v>
      </c>
      <c r="AR104" s="39"/>
      <c r="AS104" s="39"/>
      <c r="AT104" s="39"/>
      <c r="AU104" s="51"/>
      <c r="AV104" s="50"/>
      <c r="AW104" s="38"/>
      <c r="AX104" s="52"/>
      <c r="AY104" s="50"/>
      <c r="AZ104" s="38"/>
      <c r="BA104" s="38" t="e">
        <f>VLOOKUP(I104,#REF!,2,0)</f>
        <v>#REF!</v>
      </c>
      <c r="BB104" s="71"/>
      <c r="BC104" s="59">
        <v>43637</v>
      </c>
      <c r="BD104" s="58">
        <v>43642</v>
      </c>
      <c r="BE104" s="58">
        <v>43649</v>
      </c>
      <c r="BF104" s="58">
        <v>43649</v>
      </c>
      <c r="BG104" s="58">
        <v>43655</v>
      </c>
      <c r="BH104" s="59">
        <v>43662</v>
      </c>
      <c r="BI104" s="39" t="e">
        <f>NETWORKDAYS(BF104,BG104,#REF!)</f>
        <v>#REF!</v>
      </c>
      <c r="BJ104" s="59">
        <v>43662</v>
      </c>
      <c r="BK104" s="59">
        <v>43665</v>
      </c>
      <c r="BL104" s="59"/>
      <c r="BM104" s="59" t="s">
        <v>1788</v>
      </c>
      <c r="BN104" s="59" t="s">
        <v>1788</v>
      </c>
      <c r="BO104" s="59" t="s">
        <v>1788</v>
      </c>
      <c r="BP104" s="59" t="s">
        <v>1788</v>
      </c>
      <c r="BQ104" s="59" t="s">
        <v>1788</v>
      </c>
      <c r="BR104" s="68" t="e">
        <f xml:space="preserve"> NETWORKDAYS(BC104,BM104,#REF!)</f>
        <v>#VALUE!</v>
      </c>
      <c r="BS104" s="69" t="e">
        <f>NETWORKDAYS(BC104,BN104,#REF!)</f>
        <v>#VALUE!</v>
      </c>
      <c r="BT104" s="62"/>
      <c r="BU104" s="84"/>
      <c r="BV104" s="84"/>
      <c r="BW104" s="84"/>
      <c r="BX104" s="84"/>
      <c r="BY104" s="84"/>
      <c r="BZ104" s="84"/>
    </row>
    <row r="105" spans="1:80" ht="135" hidden="1" x14ac:dyDescent="0.25">
      <c r="A105" s="38" t="s">
        <v>1793</v>
      </c>
      <c r="B105" s="39">
        <v>103</v>
      </c>
      <c r="C105" s="38" t="s">
        <v>225</v>
      </c>
      <c r="D105" s="991" t="s">
        <v>1714</v>
      </c>
      <c r="E105" s="81" t="s">
        <v>163</v>
      </c>
      <c r="F105" s="39" t="s">
        <v>237</v>
      </c>
      <c r="G105" s="39" t="s">
        <v>1272</v>
      </c>
      <c r="H105" s="81" t="s">
        <v>163</v>
      </c>
      <c r="I105" s="81" t="s">
        <v>1794</v>
      </c>
      <c r="J105" s="82"/>
      <c r="K105" s="82"/>
      <c r="L105" s="82"/>
      <c r="M105" s="42" t="str">
        <f t="shared" si="20"/>
        <v xml:space="preserve">NYR Tecnología, S.A. de C.V.  </v>
      </c>
      <c r="N105" s="991" t="s">
        <v>667</v>
      </c>
      <c r="O105" s="991" t="s">
        <v>667</v>
      </c>
      <c r="P105" s="991" t="s">
        <v>1795</v>
      </c>
      <c r="Q105" s="992">
        <v>900000</v>
      </c>
      <c r="R105" s="44">
        <f t="shared" si="24"/>
        <v>144000</v>
      </c>
      <c r="S105" s="45">
        <f t="shared" si="21"/>
        <v>1044000</v>
      </c>
      <c r="T105" s="46">
        <v>180000</v>
      </c>
      <c r="U105" s="47">
        <f t="shared" si="23"/>
        <v>208800</v>
      </c>
      <c r="V105" s="44">
        <f t="shared" si="22"/>
        <v>1044000</v>
      </c>
      <c r="W105" s="993" t="s">
        <v>156</v>
      </c>
      <c r="X105" s="48">
        <v>43647</v>
      </c>
      <c r="Y105" s="39" t="s">
        <v>696</v>
      </c>
      <c r="Z105" s="48">
        <v>43647</v>
      </c>
      <c r="AA105" s="48">
        <v>43830</v>
      </c>
      <c r="AB105" s="38" t="s">
        <v>182</v>
      </c>
      <c r="AC105" s="49">
        <v>135000</v>
      </c>
      <c r="AD105" s="49"/>
      <c r="AE105" s="49"/>
      <c r="AF105" s="49"/>
      <c r="AG105" s="39" t="s">
        <v>1489</v>
      </c>
      <c r="AH105" s="38"/>
      <c r="AI105" s="38"/>
      <c r="AJ105" s="50"/>
      <c r="AK105" s="44"/>
      <c r="AL105" s="39" t="str">
        <f t="shared" ca="1" si="19"/>
        <v>MUERTO</v>
      </c>
      <c r="AM105" s="39">
        <v>51501</v>
      </c>
      <c r="AN105" s="39" t="s">
        <v>183</v>
      </c>
      <c r="AO105" s="39" t="s">
        <v>696</v>
      </c>
      <c r="AP105" s="39"/>
      <c r="AQ105" s="39" t="s">
        <v>696</v>
      </c>
      <c r="AR105" s="39"/>
      <c r="AS105" s="39"/>
      <c r="AT105" s="39"/>
      <c r="AU105" s="51"/>
      <c r="AV105" s="50"/>
      <c r="AW105" s="38"/>
      <c r="AX105" s="52"/>
      <c r="AY105" s="50"/>
      <c r="AZ105" s="38"/>
      <c r="BA105" s="38" t="e">
        <f>VLOOKUP(I105,#REF!,2,0)</f>
        <v>#REF!</v>
      </c>
      <c r="BB105" s="71"/>
      <c r="BC105" s="59">
        <v>43642</v>
      </c>
      <c r="BD105" s="58">
        <v>43643</v>
      </c>
      <c r="BE105" s="58">
        <v>43649</v>
      </c>
      <c r="BF105" s="58"/>
      <c r="BG105" s="58">
        <v>43691</v>
      </c>
      <c r="BH105" s="58">
        <v>43691</v>
      </c>
      <c r="BI105" s="39" t="e">
        <f>NETWORKDAYS(BF105,BG105,#REF!)</f>
        <v>#REF!</v>
      </c>
      <c r="BJ105" s="58">
        <v>43691</v>
      </c>
      <c r="BK105" s="58">
        <v>43697</v>
      </c>
      <c r="BL105" s="39" t="s">
        <v>479</v>
      </c>
      <c r="BM105" s="39" t="s">
        <v>1788</v>
      </c>
      <c r="BN105" s="39" t="s">
        <v>1788</v>
      </c>
      <c r="BO105" s="39" t="s">
        <v>1788</v>
      </c>
      <c r="BP105" s="39" t="s">
        <v>1788</v>
      </c>
      <c r="BQ105" s="39" t="s">
        <v>1788</v>
      </c>
      <c r="BR105" s="68" t="e">
        <f xml:space="preserve"> NETWORKDAYS(BC105,BM105,#REF!)</f>
        <v>#VALUE!</v>
      </c>
      <c r="BS105" s="69" t="e">
        <f>NETWORKDAYS(BC105,BN105,#REF!)</f>
        <v>#VALUE!</v>
      </c>
      <c r="BT105" s="62"/>
      <c r="BU105" s="84"/>
      <c r="BV105" s="84"/>
      <c r="BW105" s="84"/>
      <c r="BX105" s="84"/>
      <c r="BY105" s="84"/>
      <c r="BZ105" s="84"/>
    </row>
    <row r="106" spans="1:80" ht="120" hidden="1" x14ac:dyDescent="0.25">
      <c r="A106" s="38" t="s">
        <v>1796</v>
      </c>
      <c r="B106" s="39">
        <v>104</v>
      </c>
      <c r="C106" s="38" t="s">
        <v>225</v>
      </c>
      <c r="D106" s="991" t="s">
        <v>1747</v>
      </c>
      <c r="E106" s="81" t="s">
        <v>163</v>
      </c>
      <c r="F106" s="39" t="s">
        <v>237</v>
      </c>
      <c r="G106" s="39" t="s">
        <v>1272</v>
      </c>
      <c r="H106" s="81" t="s">
        <v>163</v>
      </c>
      <c r="I106" s="81" t="s">
        <v>1797</v>
      </c>
      <c r="J106" s="82"/>
      <c r="K106" s="82"/>
      <c r="L106" s="82"/>
      <c r="M106" s="42" t="str">
        <f t="shared" si="20"/>
        <v xml:space="preserve">Promociones Ludisa, S.A. de C.V.  </v>
      </c>
      <c r="N106" s="991" t="s">
        <v>198</v>
      </c>
      <c r="O106" s="991" t="s">
        <v>198</v>
      </c>
      <c r="P106" s="991" t="s">
        <v>1798</v>
      </c>
      <c r="Q106" s="992">
        <v>107758.62</v>
      </c>
      <c r="R106" s="44">
        <f t="shared" si="24"/>
        <v>17241.379199999999</v>
      </c>
      <c r="S106" s="45">
        <f t="shared" si="21"/>
        <v>124999.99919999999</v>
      </c>
      <c r="T106" s="46">
        <v>15948.28</v>
      </c>
      <c r="U106" s="47">
        <f t="shared" si="23"/>
        <v>18500.004800000002</v>
      </c>
      <c r="V106" s="44">
        <f t="shared" si="22"/>
        <v>156249.99919999999</v>
      </c>
      <c r="W106" s="993" t="s">
        <v>156</v>
      </c>
      <c r="X106" s="48">
        <v>43654</v>
      </c>
      <c r="Y106" s="39" t="s">
        <v>696</v>
      </c>
      <c r="Z106" s="48">
        <v>43654</v>
      </c>
      <c r="AA106" s="48">
        <v>43830</v>
      </c>
      <c r="AB106" s="38" t="s">
        <v>182</v>
      </c>
      <c r="AC106" s="49"/>
      <c r="AD106" s="49"/>
      <c r="AE106" s="49"/>
      <c r="AF106" s="49"/>
      <c r="AG106" s="39" t="s">
        <v>156</v>
      </c>
      <c r="AH106" s="38" t="s">
        <v>1799</v>
      </c>
      <c r="AI106" s="38" t="s">
        <v>1800</v>
      </c>
      <c r="AJ106" s="50">
        <v>43768</v>
      </c>
      <c r="AK106" s="44">
        <v>31250</v>
      </c>
      <c r="AL106" s="39" t="str">
        <f t="shared" ca="1" si="19"/>
        <v>MUERTO</v>
      </c>
      <c r="AM106" s="39" t="s">
        <v>1801</v>
      </c>
      <c r="AN106" s="39" t="s">
        <v>183</v>
      </c>
      <c r="AO106" s="39" t="s">
        <v>696</v>
      </c>
      <c r="AP106" s="39" t="s">
        <v>1668</v>
      </c>
      <c r="AQ106" s="39" t="s">
        <v>696</v>
      </c>
      <c r="AR106" s="39"/>
      <c r="AS106" s="39"/>
      <c r="AT106" s="39"/>
      <c r="AU106" s="51"/>
      <c r="AV106" s="50"/>
      <c r="AW106" s="38"/>
      <c r="AX106" s="52"/>
      <c r="AY106" s="50"/>
      <c r="AZ106" s="38"/>
      <c r="BA106" s="38" t="e">
        <f>VLOOKUP(I106,#REF!,2,0)</f>
        <v>#REF!</v>
      </c>
      <c r="BB106" s="71"/>
      <c r="BC106" s="59">
        <v>43650</v>
      </c>
      <c r="BD106" s="58">
        <v>43651</v>
      </c>
      <c r="BE106" s="58">
        <v>43656</v>
      </c>
      <c r="BF106" s="58">
        <v>43663</v>
      </c>
      <c r="BG106" s="39" t="s">
        <v>1788</v>
      </c>
      <c r="BH106" s="39" t="s">
        <v>1788</v>
      </c>
      <c r="BI106" s="39" t="e">
        <f>NETWORKDAYS(BF106,BG106,#REF!)</f>
        <v>#VALUE!</v>
      </c>
      <c r="BJ106" s="39" t="s">
        <v>1788</v>
      </c>
      <c r="BK106" s="39" t="s">
        <v>1788</v>
      </c>
      <c r="BL106" s="39" t="s">
        <v>1788</v>
      </c>
      <c r="BM106" s="39" t="s">
        <v>1788</v>
      </c>
      <c r="BN106" s="39" t="s">
        <v>1788</v>
      </c>
      <c r="BO106" s="39" t="s">
        <v>1788</v>
      </c>
      <c r="BP106" s="39" t="s">
        <v>1788</v>
      </c>
      <c r="BQ106" s="39" t="s">
        <v>1788</v>
      </c>
      <c r="BR106" s="68" t="e">
        <f xml:space="preserve"> NETWORKDAYS(BC106,BM106,#REF!)</f>
        <v>#VALUE!</v>
      </c>
      <c r="BS106" s="69" t="e">
        <f>NETWORKDAYS(BC106,BN106,#REF!)</f>
        <v>#VALUE!</v>
      </c>
      <c r="BT106" s="62"/>
      <c r="BU106" s="84"/>
      <c r="BV106" s="84"/>
      <c r="BW106" s="84"/>
      <c r="BX106" s="84"/>
      <c r="BY106" s="84"/>
      <c r="BZ106" s="84"/>
    </row>
    <row r="107" spans="1:80" ht="90" hidden="1" x14ac:dyDescent="0.25">
      <c r="A107" s="38" t="s">
        <v>1802</v>
      </c>
      <c r="B107" s="39">
        <v>105</v>
      </c>
      <c r="C107" s="38" t="s">
        <v>225</v>
      </c>
      <c r="D107" s="991" t="s">
        <v>1803</v>
      </c>
      <c r="E107" s="81" t="s">
        <v>163</v>
      </c>
      <c r="F107" s="39" t="s">
        <v>561</v>
      </c>
      <c r="G107" s="960" t="s">
        <v>427</v>
      </c>
      <c r="H107" s="81" t="s">
        <v>163</v>
      </c>
      <c r="I107" s="81" t="s">
        <v>1804</v>
      </c>
      <c r="J107" s="82"/>
      <c r="K107" s="82"/>
      <c r="L107" s="82"/>
      <c r="M107" s="42" t="str">
        <f t="shared" si="20"/>
        <v xml:space="preserve">Surman México, S.A. de C.V.  </v>
      </c>
      <c r="N107" s="991" t="s">
        <v>763</v>
      </c>
      <c r="O107" s="991" t="s">
        <v>763</v>
      </c>
      <c r="P107" s="991" t="s">
        <v>1805</v>
      </c>
      <c r="Q107" s="992">
        <v>1308713.79</v>
      </c>
      <c r="R107" s="44">
        <f t="shared" si="24"/>
        <v>209394.20640000002</v>
      </c>
      <c r="S107" s="45">
        <f t="shared" si="21"/>
        <v>1518107.9964000001</v>
      </c>
      <c r="T107" s="46">
        <v>0</v>
      </c>
      <c r="U107" s="47">
        <f t="shared" si="23"/>
        <v>0</v>
      </c>
      <c r="V107" s="44">
        <f t="shared" si="22"/>
        <v>1518107.9964000001</v>
      </c>
      <c r="W107" s="993" t="s">
        <v>156</v>
      </c>
      <c r="X107" s="48">
        <v>43664</v>
      </c>
      <c r="Y107" s="39" t="s">
        <v>696</v>
      </c>
      <c r="Z107" s="48">
        <v>43666</v>
      </c>
      <c r="AA107" s="48">
        <v>43738</v>
      </c>
      <c r="AB107" s="38" t="s">
        <v>182</v>
      </c>
      <c r="AC107" s="54">
        <v>196307.07</v>
      </c>
      <c r="AD107" s="54"/>
      <c r="AE107" s="54"/>
      <c r="AF107" s="54"/>
      <c r="AG107" s="39" t="s">
        <v>1146</v>
      </c>
      <c r="AH107" s="38"/>
      <c r="AI107" s="38"/>
      <c r="AJ107" s="50"/>
      <c r="AK107" s="44"/>
      <c r="AL107" s="39" t="str">
        <f t="shared" ref="AL107:AL138" ca="1" si="25">IF(ISBLANK(AA107),"",IF(AA107&gt;=TODAY(),"VIGENTE","MUERTO"))</f>
        <v>MUERTO</v>
      </c>
      <c r="AM107" s="39">
        <v>54103</v>
      </c>
      <c r="AN107" s="39" t="s">
        <v>183</v>
      </c>
      <c r="AO107" s="39" t="s">
        <v>696</v>
      </c>
      <c r="AP107" s="39"/>
      <c r="AQ107" s="39" t="s">
        <v>815</v>
      </c>
      <c r="AR107" s="39"/>
      <c r="AS107" s="39"/>
      <c r="AT107" s="39"/>
      <c r="AU107" s="51"/>
      <c r="AV107" s="50"/>
      <c r="AW107" s="38"/>
      <c r="AX107" s="52"/>
      <c r="AY107" s="50"/>
      <c r="AZ107" s="38"/>
      <c r="BA107" s="38" t="e">
        <f>VLOOKUP(I107,#REF!,2,0)</f>
        <v>#REF!</v>
      </c>
      <c r="BB107" s="71"/>
      <c r="BC107" s="59">
        <v>43606</v>
      </c>
      <c r="BD107" s="58">
        <v>43665</v>
      </c>
      <c r="BE107" s="58">
        <v>43665</v>
      </c>
      <c r="BF107" s="58">
        <v>43666</v>
      </c>
      <c r="BG107" s="58">
        <v>43684</v>
      </c>
      <c r="BH107" s="59">
        <v>43684</v>
      </c>
      <c r="BI107" s="39" t="e">
        <f>NETWORKDAYS(BF107,BG107,#REF!)</f>
        <v>#REF!</v>
      </c>
      <c r="BJ107" s="59">
        <v>43684</v>
      </c>
      <c r="BK107" s="59">
        <v>43690</v>
      </c>
      <c r="BL107" s="59"/>
      <c r="BM107" s="59">
        <v>43692</v>
      </c>
      <c r="BN107" s="59">
        <v>43679</v>
      </c>
      <c r="BO107" s="59">
        <v>43678</v>
      </c>
      <c r="BP107" s="59">
        <v>43684</v>
      </c>
      <c r="BQ107" s="62">
        <v>43678</v>
      </c>
      <c r="BR107" s="68" t="e">
        <f xml:space="preserve"> NETWORKDAYS(BC107,BM107,#REF!)</f>
        <v>#REF!</v>
      </c>
      <c r="BS107" s="69" t="e">
        <f>NETWORKDAYS(BC107,BN107,#REF!)</f>
        <v>#REF!</v>
      </c>
      <c r="BT107" s="62"/>
      <c r="BU107" s="84"/>
      <c r="BV107" s="84"/>
      <c r="BW107" s="84"/>
      <c r="BX107" s="84"/>
      <c r="BY107" s="84"/>
      <c r="BZ107" s="84"/>
    </row>
    <row r="108" spans="1:80" ht="75" hidden="1" x14ac:dyDescent="0.25">
      <c r="A108" s="38" t="s">
        <v>1806</v>
      </c>
      <c r="B108" s="39">
        <v>106</v>
      </c>
      <c r="C108" s="38" t="s">
        <v>149</v>
      </c>
      <c r="D108" s="991" t="s">
        <v>1807</v>
      </c>
      <c r="E108" s="81" t="s">
        <v>163</v>
      </c>
      <c r="F108" s="39" t="s">
        <v>568</v>
      </c>
      <c r="G108" s="39" t="s">
        <v>1111</v>
      </c>
      <c r="H108" s="685" t="s">
        <v>546</v>
      </c>
      <c r="I108" s="81" t="s">
        <v>1808</v>
      </c>
      <c r="J108" s="82"/>
      <c r="K108" s="82"/>
      <c r="L108" s="82"/>
      <c r="M108" s="42" t="str">
        <f t="shared" si="20"/>
        <v xml:space="preserve">Estratec, S.A. de C.V.  </v>
      </c>
      <c r="N108" s="991" t="s">
        <v>301</v>
      </c>
      <c r="O108" s="991" t="s">
        <v>301</v>
      </c>
      <c r="P108" s="991" t="s">
        <v>1809</v>
      </c>
      <c r="Q108" s="992">
        <v>3703177.97</v>
      </c>
      <c r="R108" s="44">
        <f t="shared" si="24"/>
        <v>592508.4752000001</v>
      </c>
      <c r="S108" s="45">
        <f t="shared" si="21"/>
        <v>4295686.4452</v>
      </c>
      <c r="T108" s="46">
        <v>2846534.48</v>
      </c>
      <c r="U108" s="47">
        <f t="shared" si="23"/>
        <v>3301979.9967999998</v>
      </c>
      <c r="V108" s="44">
        <f t="shared" si="22"/>
        <v>4295686.4452</v>
      </c>
      <c r="W108" s="993" t="s">
        <v>156</v>
      </c>
      <c r="X108" s="48">
        <v>43664</v>
      </c>
      <c r="Y108" s="39" t="s">
        <v>696</v>
      </c>
      <c r="Z108" s="48">
        <v>43647</v>
      </c>
      <c r="AA108" s="48">
        <v>43830</v>
      </c>
      <c r="AB108" s="38" t="s">
        <v>1810</v>
      </c>
      <c r="AC108" s="49">
        <v>555476.69999999995</v>
      </c>
      <c r="AD108" s="49"/>
      <c r="AE108" s="49"/>
      <c r="AF108" s="49"/>
      <c r="AG108" s="39" t="s">
        <v>156</v>
      </c>
      <c r="AH108" s="100" t="s">
        <v>1811</v>
      </c>
      <c r="AI108" s="100" t="s">
        <v>1812</v>
      </c>
      <c r="AJ108" s="101">
        <v>43844</v>
      </c>
      <c r="AK108" s="102">
        <v>0</v>
      </c>
      <c r="AL108" s="39" t="str">
        <f t="shared" ca="1" si="25"/>
        <v>MUERTO</v>
      </c>
      <c r="AM108" s="39">
        <v>32301</v>
      </c>
      <c r="AN108" s="39" t="s">
        <v>183</v>
      </c>
      <c r="AO108" s="39" t="s">
        <v>696</v>
      </c>
      <c r="AP108" s="39" t="s">
        <v>193</v>
      </c>
      <c r="AQ108" s="39" t="s">
        <v>815</v>
      </c>
      <c r="AR108" s="39"/>
      <c r="AS108" s="39"/>
      <c r="AT108" s="39"/>
      <c r="AU108" s="51"/>
      <c r="AV108" s="50"/>
      <c r="AW108" s="38"/>
      <c r="AX108" s="52"/>
      <c r="AY108" s="50"/>
      <c r="AZ108" s="38"/>
      <c r="BA108" s="38" t="e">
        <f>VLOOKUP(I108,#REF!,2,0)</f>
        <v>#REF!</v>
      </c>
      <c r="BB108" s="71"/>
      <c r="BC108" s="59">
        <v>43647</v>
      </c>
      <c r="BD108" s="58">
        <v>43647</v>
      </c>
      <c r="BE108" s="58">
        <v>43665</v>
      </c>
      <c r="BF108" s="58">
        <v>43672</v>
      </c>
      <c r="BG108" s="58">
        <v>43689</v>
      </c>
      <c r="BH108" s="59">
        <v>43689</v>
      </c>
      <c r="BI108" s="39" t="e">
        <f>NETWORKDAYS(BF108,BG108,#REF!)</f>
        <v>#REF!</v>
      </c>
      <c r="BJ108" s="59">
        <v>43689</v>
      </c>
      <c r="BK108" s="59" t="s">
        <v>1813</v>
      </c>
      <c r="BL108" s="59" t="s">
        <v>1814</v>
      </c>
      <c r="BM108" s="59" t="s">
        <v>1813</v>
      </c>
      <c r="BN108" s="59" t="s">
        <v>1813</v>
      </c>
      <c r="BO108" s="59" t="s">
        <v>1813</v>
      </c>
      <c r="BP108" s="59" t="s">
        <v>1813</v>
      </c>
      <c r="BQ108" s="59" t="s">
        <v>1813</v>
      </c>
      <c r="BR108" s="68" t="e">
        <f xml:space="preserve"> NETWORKDAYS(BC108,BM108,#REF!)</f>
        <v>#VALUE!</v>
      </c>
      <c r="BS108" s="69" t="e">
        <f>NETWORKDAYS(BC108,BN108,#REF!)</f>
        <v>#VALUE!</v>
      </c>
      <c r="BT108" s="62"/>
      <c r="BU108" s="84"/>
      <c r="BV108" s="84"/>
      <c r="BW108" s="84"/>
      <c r="BX108" s="84"/>
      <c r="BY108" s="84"/>
      <c r="BZ108" s="84"/>
    </row>
    <row r="109" spans="1:80" ht="75" hidden="1" x14ac:dyDescent="0.25">
      <c r="A109" s="38" t="s">
        <v>1815</v>
      </c>
      <c r="B109" s="39">
        <v>107</v>
      </c>
      <c r="C109" s="38" t="s">
        <v>149</v>
      </c>
      <c r="D109" s="991" t="s">
        <v>1807</v>
      </c>
      <c r="E109" s="81" t="s">
        <v>163</v>
      </c>
      <c r="F109" s="39" t="s">
        <v>568</v>
      </c>
      <c r="G109" s="39" t="s">
        <v>1111</v>
      </c>
      <c r="H109" s="685" t="s">
        <v>546</v>
      </c>
      <c r="I109" s="81" t="s">
        <v>1816</v>
      </c>
      <c r="J109" s="82"/>
      <c r="K109" s="82"/>
      <c r="L109" s="82"/>
      <c r="M109" s="42" t="str">
        <f t="shared" si="20"/>
        <v xml:space="preserve">Organización Mitamex, S.A. de C.V.  </v>
      </c>
      <c r="N109" s="991" t="s">
        <v>301</v>
      </c>
      <c r="O109" s="991" t="s">
        <v>301</v>
      </c>
      <c r="P109" s="991" t="s">
        <v>1809</v>
      </c>
      <c r="Q109" s="992">
        <v>1614334.96</v>
      </c>
      <c r="R109" s="44">
        <f t="shared" si="24"/>
        <v>258293.59359999999</v>
      </c>
      <c r="S109" s="45">
        <f t="shared" si="21"/>
        <v>1872628.5536</v>
      </c>
      <c r="T109" s="46">
        <v>1032775.86</v>
      </c>
      <c r="U109" s="47">
        <f t="shared" si="23"/>
        <v>1198019.9975999999</v>
      </c>
      <c r="V109" s="44">
        <f t="shared" si="22"/>
        <v>2340785.6919999998</v>
      </c>
      <c r="W109" s="993" t="s">
        <v>156</v>
      </c>
      <c r="X109" s="48">
        <v>43669</v>
      </c>
      <c r="Y109" s="39" t="s">
        <v>696</v>
      </c>
      <c r="Z109" s="48">
        <v>43647</v>
      </c>
      <c r="AA109" s="48">
        <v>43830</v>
      </c>
      <c r="AB109" s="38" t="s">
        <v>1810</v>
      </c>
      <c r="AC109" s="49"/>
      <c r="AD109" s="49"/>
      <c r="AE109" s="49"/>
      <c r="AF109" s="49"/>
      <c r="AG109" s="39" t="s">
        <v>156</v>
      </c>
      <c r="AH109" s="100" t="s">
        <v>1817</v>
      </c>
      <c r="AI109" s="100" t="s">
        <v>1818</v>
      </c>
      <c r="AJ109" s="101">
        <v>43840</v>
      </c>
      <c r="AK109" s="102">
        <f>403583.74*1.16</f>
        <v>468157.13839999994</v>
      </c>
      <c r="AL109" s="39" t="str">
        <f t="shared" ca="1" si="25"/>
        <v>MUERTO</v>
      </c>
      <c r="AM109" s="39">
        <v>32301</v>
      </c>
      <c r="AN109" s="39" t="s">
        <v>183</v>
      </c>
      <c r="AO109" s="39" t="s">
        <v>696</v>
      </c>
      <c r="AP109" s="39" t="s">
        <v>157</v>
      </c>
      <c r="AQ109" s="39" t="s">
        <v>815</v>
      </c>
      <c r="AR109" s="39"/>
      <c r="AS109" s="39"/>
      <c r="AT109" s="39"/>
      <c r="AU109" s="51"/>
      <c r="AV109" s="50"/>
      <c r="AW109" s="38"/>
      <c r="AX109" s="52"/>
      <c r="AY109" s="50"/>
      <c r="AZ109" s="38"/>
      <c r="BA109" s="38" t="e">
        <f>VLOOKUP(I109,#REF!,2,0)</f>
        <v>#REF!</v>
      </c>
      <c r="BB109" s="71"/>
      <c r="BC109" s="59">
        <v>43647</v>
      </c>
      <c r="BD109" s="58">
        <v>43647</v>
      </c>
      <c r="BE109" s="58">
        <v>43670</v>
      </c>
      <c r="BF109" s="39" t="s">
        <v>1819</v>
      </c>
      <c r="BG109" s="39" t="s">
        <v>1819</v>
      </c>
      <c r="BH109" s="39" t="s">
        <v>1819</v>
      </c>
      <c r="BI109" s="39" t="e">
        <f>NETWORKDAYS(BF109,BG109,#REF!)</f>
        <v>#VALUE!</v>
      </c>
      <c r="BJ109" s="39" t="s">
        <v>1819</v>
      </c>
      <c r="BK109" s="39" t="s">
        <v>1819</v>
      </c>
      <c r="BL109" s="39" t="s">
        <v>1819</v>
      </c>
      <c r="BM109" s="39" t="s">
        <v>1819</v>
      </c>
      <c r="BN109" s="39" t="s">
        <v>1819</v>
      </c>
      <c r="BO109" s="39" t="s">
        <v>1819</v>
      </c>
      <c r="BP109" s="39" t="s">
        <v>1819</v>
      </c>
      <c r="BQ109" s="39" t="s">
        <v>1819</v>
      </c>
      <c r="BR109" s="68" t="e">
        <f xml:space="preserve"> NETWORKDAYS(BC109,BM109,#REF!)</f>
        <v>#VALUE!</v>
      </c>
      <c r="BS109" s="69" t="e">
        <f>NETWORKDAYS(BC109,BN109,#REF!)</f>
        <v>#VALUE!</v>
      </c>
      <c r="BT109" s="62"/>
      <c r="BU109" s="84"/>
      <c r="BV109" s="84"/>
      <c r="BW109" s="84"/>
      <c r="BX109" s="84"/>
      <c r="BY109" s="84"/>
      <c r="BZ109" s="84"/>
    </row>
    <row r="110" spans="1:80" ht="409.5" hidden="1" x14ac:dyDescent="0.25">
      <c r="A110" s="110" t="s">
        <v>1820</v>
      </c>
      <c r="B110" s="39">
        <v>108</v>
      </c>
      <c r="C110" s="38" t="s">
        <v>149</v>
      </c>
      <c r="D110" s="991" t="s">
        <v>1803</v>
      </c>
      <c r="E110" s="81" t="s">
        <v>163</v>
      </c>
      <c r="F110" s="39" t="s">
        <v>1821</v>
      </c>
      <c r="G110" s="960" t="s">
        <v>427</v>
      </c>
      <c r="H110" s="81" t="s">
        <v>163</v>
      </c>
      <c r="I110" s="81" t="s">
        <v>1822</v>
      </c>
      <c r="J110" s="82"/>
      <c r="K110" s="82"/>
      <c r="L110" s="82"/>
      <c r="M110" s="42" t="str">
        <f t="shared" si="20"/>
        <v xml:space="preserve">Gestión y Edificación Inmobiliaria, S.A. de C.V.  </v>
      </c>
      <c r="N110" s="991" t="s">
        <v>198</v>
      </c>
      <c r="O110" s="991" t="s">
        <v>198</v>
      </c>
      <c r="P110" s="991" t="s">
        <v>1823</v>
      </c>
      <c r="Q110" s="992">
        <v>4981000</v>
      </c>
      <c r="R110" s="44">
        <f t="shared" si="24"/>
        <v>796960</v>
      </c>
      <c r="S110" s="45">
        <f t="shared" si="21"/>
        <v>5777960</v>
      </c>
      <c r="T110" s="46">
        <v>0</v>
      </c>
      <c r="U110" s="47">
        <f t="shared" si="23"/>
        <v>0</v>
      </c>
      <c r="V110" s="215">
        <f>S110+AK110</f>
        <v>11940979.9584</v>
      </c>
      <c r="W110" s="993" t="s">
        <v>183</v>
      </c>
      <c r="X110" s="48">
        <v>43670</v>
      </c>
      <c r="Y110" s="39" t="s">
        <v>696</v>
      </c>
      <c r="Z110" s="48">
        <v>43672</v>
      </c>
      <c r="AA110" s="213">
        <v>45016</v>
      </c>
      <c r="AB110" s="38" t="s">
        <v>1824</v>
      </c>
      <c r="AC110" s="49"/>
      <c r="AD110" s="58" t="s">
        <v>1825</v>
      </c>
      <c r="AE110" s="49"/>
      <c r="AF110" s="49"/>
      <c r="AG110" s="39" t="s">
        <v>156</v>
      </c>
      <c r="AH110" s="100" t="s">
        <v>1826</v>
      </c>
      <c r="AI110" s="211" t="s">
        <v>1827</v>
      </c>
      <c r="AJ110" s="218">
        <v>45065</v>
      </c>
      <c r="AK110" s="619">
        <v>6163019.9583999999</v>
      </c>
      <c r="AL110" s="39" t="str">
        <f t="shared" ca="1" si="25"/>
        <v>MUERTO</v>
      </c>
      <c r="AM110" s="39">
        <v>62903</v>
      </c>
      <c r="AN110" s="39" t="s">
        <v>156</v>
      </c>
      <c r="AO110" s="39" t="s">
        <v>696</v>
      </c>
      <c r="AP110" s="39"/>
      <c r="AQ110" s="39" t="s">
        <v>815</v>
      </c>
      <c r="AR110" s="39"/>
      <c r="AS110" s="39"/>
      <c r="AT110" s="39"/>
      <c r="AU110" s="51"/>
      <c r="AV110" s="50">
        <v>0</v>
      </c>
      <c r="AW110" s="38"/>
      <c r="AX110" s="52"/>
      <c r="AY110" s="50"/>
      <c r="AZ110" s="605" t="s">
        <v>1828</v>
      </c>
      <c r="BA110" s="38" t="e">
        <f>VLOOKUP(I110,#REF!,2,0)</f>
        <v>#REF!</v>
      </c>
      <c r="BB110" s="605" t="s">
        <v>1829</v>
      </c>
      <c r="BC110" s="59">
        <v>43658</v>
      </c>
      <c r="BD110" s="58" t="s">
        <v>1830</v>
      </c>
      <c r="BE110" s="58" t="s">
        <v>1831</v>
      </c>
      <c r="BF110" s="39" t="s">
        <v>1832</v>
      </c>
      <c r="BG110" s="39" t="s">
        <v>1832</v>
      </c>
      <c r="BH110" s="39" t="s">
        <v>1832</v>
      </c>
      <c r="BI110" s="39" t="e">
        <f>NETWORKDAYS(BF110,BG110,#REF!)</f>
        <v>#VALUE!</v>
      </c>
      <c r="BJ110" s="39" t="s">
        <v>1832</v>
      </c>
      <c r="BK110" s="39" t="s">
        <v>1832</v>
      </c>
      <c r="BL110" s="59"/>
      <c r="BM110" s="39" t="s">
        <v>1832</v>
      </c>
      <c r="BN110" s="39" t="s">
        <v>1832</v>
      </c>
      <c r="BO110" s="39" t="s">
        <v>1833</v>
      </c>
      <c r="BP110" s="39" t="s">
        <v>1832</v>
      </c>
      <c r="BQ110" s="39" t="s">
        <v>1832</v>
      </c>
      <c r="BR110" s="68" t="e">
        <f xml:space="preserve"> NETWORKDAYS(BC110,BM110,#REF!)</f>
        <v>#VALUE!</v>
      </c>
      <c r="BS110" s="69" t="e">
        <f>NETWORKDAYS(BC110,BN110,#REF!)</f>
        <v>#VALUE!</v>
      </c>
      <c r="BT110" s="62"/>
      <c r="BU110" s="84">
        <f>498100*1.16</f>
        <v>577796</v>
      </c>
      <c r="BV110" s="86">
        <f>3810465*1.16</f>
        <v>4420139.3999999994</v>
      </c>
      <c r="BW110" s="84">
        <f>1515072.42*1.16</f>
        <v>1757484.0071999999</v>
      </c>
      <c r="BX110" s="84">
        <f>2057200.14*1.16</f>
        <v>2386352.1623999998</v>
      </c>
      <c r="BY110" s="84">
        <f>2413110.68*1.16</f>
        <v>2799208.3887999998</v>
      </c>
      <c r="BZ110" s="606">
        <f>BU110+BV110+BW110+BX110+BY110</f>
        <v>11940979.9584</v>
      </c>
    </row>
    <row r="111" spans="1:80" ht="240" hidden="1" x14ac:dyDescent="0.25">
      <c r="A111" s="38" t="s">
        <v>1834</v>
      </c>
      <c r="B111" s="39">
        <v>109</v>
      </c>
      <c r="C111" s="38" t="s">
        <v>149</v>
      </c>
      <c r="D111" s="991" t="s">
        <v>1835</v>
      </c>
      <c r="E111" s="81" t="s">
        <v>163</v>
      </c>
      <c r="F111" s="39" t="s">
        <v>188</v>
      </c>
      <c r="G111" s="39" t="s">
        <v>427</v>
      </c>
      <c r="H111" s="81" t="s">
        <v>163</v>
      </c>
      <c r="I111" s="81"/>
      <c r="J111" s="82" t="s">
        <v>1836</v>
      </c>
      <c r="K111" s="82" t="s">
        <v>1837</v>
      </c>
      <c r="L111" s="82" t="s">
        <v>1838</v>
      </c>
      <c r="M111" s="42" t="str">
        <f t="shared" si="20"/>
        <v>Alma Laura Hernández Arévalo</v>
      </c>
      <c r="N111" s="991" t="s">
        <v>1645</v>
      </c>
      <c r="O111" s="991" t="s">
        <v>1645</v>
      </c>
      <c r="P111" s="991" t="s">
        <v>1839</v>
      </c>
      <c r="Q111" s="992">
        <v>440000</v>
      </c>
      <c r="R111" s="44">
        <f t="shared" si="24"/>
        <v>70400</v>
      </c>
      <c r="S111" s="45">
        <f t="shared" si="21"/>
        <v>510400</v>
      </c>
      <c r="T111" s="46">
        <v>0</v>
      </c>
      <c r="U111" s="47">
        <f t="shared" si="23"/>
        <v>0</v>
      </c>
      <c r="V111" s="44">
        <f t="shared" si="22"/>
        <v>510400</v>
      </c>
      <c r="W111" s="993" t="s">
        <v>156</v>
      </c>
      <c r="X111" s="48">
        <v>43693</v>
      </c>
      <c r="Y111" s="39" t="s">
        <v>815</v>
      </c>
      <c r="Z111" s="48">
        <v>43692</v>
      </c>
      <c r="AA111" s="48">
        <v>43768</v>
      </c>
      <c r="AB111" s="38"/>
      <c r="AC111" s="49"/>
      <c r="AD111" s="49"/>
      <c r="AE111" s="49"/>
      <c r="AF111" s="49"/>
      <c r="AG111" s="39"/>
      <c r="AH111" s="38"/>
      <c r="AI111" s="38"/>
      <c r="AJ111" s="50"/>
      <c r="AK111" s="44"/>
      <c r="AL111" s="39" t="str">
        <f t="shared" ca="1" si="25"/>
        <v>MUERTO</v>
      </c>
      <c r="AM111" s="39">
        <v>36101</v>
      </c>
      <c r="AN111" s="39" t="s">
        <v>156</v>
      </c>
      <c r="AO111" s="39" t="s">
        <v>815</v>
      </c>
      <c r="AP111" s="39"/>
      <c r="AQ111" s="39" t="s">
        <v>815</v>
      </c>
      <c r="AR111" s="39"/>
      <c r="AS111" s="39"/>
      <c r="AT111" s="39"/>
      <c r="AU111" s="51"/>
      <c r="AV111" s="50"/>
      <c r="AW111" s="38"/>
      <c r="AX111" s="52"/>
      <c r="AY111" s="50"/>
      <c r="AZ111" s="38"/>
      <c r="BA111" s="38" t="e">
        <f>VLOOKUP(I111,#REF!,2,0)</f>
        <v>#REF!</v>
      </c>
      <c r="BC111" s="59">
        <v>43677</v>
      </c>
      <c r="BD111" s="58">
        <v>43677</v>
      </c>
      <c r="BE111" s="58">
        <v>43696</v>
      </c>
      <c r="BF111" s="39" t="s">
        <v>1840</v>
      </c>
      <c r="BG111" s="39" t="s">
        <v>1840</v>
      </c>
      <c r="BH111" s="39" t="s">
        <v>1840</v>
      </c>
      <c r="BI111" s="39" t="e">
        <f>NETWORKDAYS(BF111,BG111,#REF!)</f>
        <v>#VALUE!</v>
      </c>
      <c r="BJ111" s="39" t="s">
        <v>1840</v>
      </c>
      <c r="BK111" s="39" t="s">
        <v>1840</v>
      </c>
      <c r="BL111" s="59"/>
      <c r="BM111" s="39" t="s">
        <v>1840</v>
      </c>
      <c r="BN111" s="59"/>
      <c r="BO111" s="59"/>
      <c r="BP111" s="59"/>
      <c r="BQ111" s="62"/>
      <c r="BR111" s="68" t="e">
        <f xml:space="preserve"> NETWORKDAYS(BC111,BM111,#REF!)</f>
        <v>#VALUE!</v>
      </c>
      <c r="BS111" s="69" t="e">
        <f>NETWORKDAYS(BC111,BN111,#REF!)</f>
        <v>#REF!</v>
      </c>
      <c r="BT111" s="62"/>
      <c r="BU111" s="84"/>
      <c r="BV111" s="84"/>
      <c r="BW111" s="84"/>
      <c r="BX111" s="84"/>
      <c r="BY111" s="84"/>
      <c r="BZ111" s="84"/>
    </row>
    <row r="112" spans="1:80" ht="150" hidden="1" x14ac:dyDescent="0.25">
      <c r="A112" s="38" t="s">
        <v>1841</v>
      </c>
      <c r="B112" s="39">
        <v>110</v>
      </c>
      <c r="C112" s="38" t="s">
        <v>149</v>
      </c>
      <c r="D112" s="991" t="s">
        <v>1842</v>
      </c>
      <c r="E112" s="81" t="s">
        <v>163</v>
      </c>
      <c r="F112" s="39" t="s">
        <v>1843</v>
      </c>
      <c r="G112" s="39" t="s">
        <v>1111</v>
      </c>
      <c r="H112" s="685" t="s">
        <v>546</v>
      </c>
      <c r="I112" s="81" t="s">
        <v>1844</v>
      </c>
      <c r="J112" s="82"/>
      <c r="K112" s="82"/>
      <c r="L112" s="82"/>
      <c r="M112" s="42" t="str">
        <f t="shared" si="20"/>
        <v xml:space="preserve">Estafeta Mexicana, S.A. de C.V.  </v>
      </c>
      <c r="N112" s="991" t="s">
        <v>301</v>
      </c>
      <c r="O112" s="991" t="s">
        <v>301</v>
      </c>
      <c r="P112" s="991" t="s">
        <v>1845</v>
      </c>
      <c r="Q112" s="992">
        <v>1381177.78</v>
      </c>
      <c r="R112" s="44">
        <f t="shared" si="24"/>
        <v>220988.4448</v>
      </c>
      <c r="S112" s="45">
        <f t="shared" si="21"/>
        <v>1602166.2248</v>
      </c>
      <c r="T112" s="46">
        <v>552471.1</v>
      </c>
      <c r="U112" s="47">
        <f t="shared" si="23"/>
        <v>640866.47600000002</v>
      </c>
      <c r="V112" s="44">
        <f t="shared" si="22"/>
        <v>1602166.2248</v>
      </c>
      <c r="W112" s="993" t="s">
        <v>156</v>
      </c>
      <c r="X112" s="48">
        <v>43693</v>
      </c>
      <c r="Y112" s="39" t="s">
        <v>815</v>
      </c>
      <c r="Z112" s="48">
        <v>43678</v>
      </c>
      <c r="AA112" s="48">
        <v>43830</v>
      </c>
      <c r="AB112" s="38" t="s">
        <v>1810</v>
      </c>
      <c r="AC112" s="49">
        <v>207176.67</v>
      </c>
      <c r="AD112" s="49"/>
      <c r="AE112" s="49"/>
      <c r="AF112" s="49"/>
      <c r="AG112" s="39" t="s">
        <v>156</v>
      </c>
      <c r="AH112" s="38"/>
      <c r="AI112" s="38"/>
      <c r="AJ112" s="50"/>
      <c r="AK112" s="44"/>
      <c r="AL112" s="39" t="str">
        <f t="shared" ca="1" si="25"/>
        <v>MUERTO</v>
      </c>
      <c r="AM112" s="39">
        <v>31801</v>
      </c>
      <c r="AN112" s="39" t="s">
        <v>183</v>
      </c>
      <c r="AO112" s="39" t="s">
        <v>815</v>
      </c>
      <c r="AP112" s="39"/>
      <c r="AQ112" s="39" t="s">
        <v>815</v>
      </c>
      <c r="AR112" s="39"/>
      <c r="AS112" s="39"/>
      <c r="AT112" s="39"/>
      <c r="AU112" s="51"/>
      <c r="AV112" s="50"/>
      <c r="AW112" s="38"/>
      <c r="AX112" s="52"/>
      <c r="AY112" s="50"/>
      <c r="AZ112" s="38"/>
      <c r="BA112" s="38" t="e">
        <f>VLOOKUP(I112,#REF!,2,0)</f>
        <v>#REF!</v>
      </c>
      <c r="BB112" s="71"/>
      <c r="BC112" s="59">
        <v>43657</v>
      </c>
      <c r="BD112" s="58">
        <v>43677</v>
      </c>
      <c r="BE112" s="58">
        <v>43696</v>
      </c>
      <c r="BF112" s="58">
        <v>43700</v>
      </c>
      <c r="BG112" s="59">
        <v>43707</v>
      </c>
      <c r="BH112" s="39" t="s">
        <v>1846</v>
      </c>
      <c r="BI112" s="39" t="e">
        <f>NETWORKDAYS(BF112,BG112,#REF!)</f>
        <v>#REF!</v>
      </c>
      <c r="BJ112" s="39" t="s">
        <v>1846</v>
      </c>
      <c r="BK112" s="39" t="s">
        <v>1847</v>
      </c>
      <c r="BL112" s="59" t="s">
        <v>1848</v>
      </c>
      <c r="BM112" s="59"/>
      <c r="BN112" s="59"/>
      <c r="BO112" s="59"/>
      <c r="BP112" s="59"/>
      <c r="BQ112" s="62"/>
      <c r="BR112" s="68" t="e">
        <f xml:space="preserve"> NETWORKDAYS(BC112,BM112,#REF!)</f>
        <v>#REF!</v>
      </c>
      <c r="BS112" s="69" t="e">
        <f>NETWORKDAYS(BC112,BN112,#REF!)</f>
        <v>#REF!</v>
      </c>
      <c r="BT112" s="62"/>
      <c r="BU112" s="84"/>
      <c r="BV112" s="84"/>
      <c r="BW112" s="84"/>
      <c r="BX112" s="84"/>
      <c r="BY112" s="84"/>
      <c r="BZ112" s="84"/>
    </row>
    <row r="113" spans="1:79" ht="180" hidden="1" x14ac:dyDescent="0.25">
      <c r="A113" s="38" t="s">
        <v>1849</v>
      </c>
      <c r="B113" s="39">
        <v>111</v>
      </c>
      <c r="C113" s="38" t="s">
        <v>149</v>
      </c>
      <c r="D113" s="991" t="s">
        <v>1842</v>
      </c>
      <c r="E113" s="81" t="s">
        <v>163</v>
      </c>
      <c r="F113" s="39" t="s">
        <v>312</v>
      </c>
      <c r="G113" s="39" t="s">
        <v>1111</v>
      </c>
      <c r="H113" s="685" t="s">
        <v>546</v>
      </c>
      <c r="I113" s="81" t="s">
        <v>1850</v>
      </c>
      <c r="J113" s="82"/>
      <c r="K113" s="82"/>
      <c r="L113" s="82"/>
      <c r="M113" s="42" t="str">
        <f t="shared" si="20"/>
        <v xml:space="preserve">Medingenium, S.A. de C.V.  </v>
      </c>
      <c r="N113" s="991" t="s">
        <v>198</v>
      </c>
      <c r="O113" s="991" t="s">
        <v>198</v>
      </c>
      <c r="P113" s="991" t="s">
        <v>1851</v>
      </c>
      <c r="Q113" s="992">
        <v>517241.38</v>
      </c>
      <c r="R113" s="44">
        <f t="shared" si="24"/>
        <v>82758.620800000004</v>
      </c>
      <c r="S113" s="45">
        <f t="shared" si="21"/>
        <v>600000.00080000004</v>
      </c>
      <c r="T113" s="46">
        <v>206896.55</v>
      </c>
      <c r="U113" s="47">
        <f t="shared" si="23"/>
        <v>239999.99799999999</v>
      </c>
      <c r="V113" s="44">
        <f t="shared" si="22"/>
        <v>600000.00080000004</v>
      </c>
      <c r="W113" s="993" t="s">
        <v>156</v>
      </c>
      <c r="X113" s="48">
        <v>43678</v>
      </c>
      <c r="Y113" s="58" t="s">
        <v>815</v>
      </c>
      <c r="Z113" s="48">
        <v>43678</v>
      </c>
      <c r="AA113" s="48">
        <v>43830</v>
      </c>
      <c r="AB113" s="604" t="s">
        <v>1852</v>
      </c>
      <c r="AC113" s="49">
        <v>77586.210000000006</v>
      </c>
      <c r="AD113" s="49">
        <v>600000</v>
      </c>
      <c r="AE113" s="49" t="s">
        <v>159</v>
      </c>
      <c r="AF113" s="49" t="s">
        <v>1853</v>
      </c>
      <c r="AG113" s="39" t="s">
        <v>1146</v>
      </c>
      <c r="AH113" s="38"/>
      <c r="AI113" s="38"/>
      <c r="AJ113" s="50"/>
      <c r="AK113" s="44"/>
      <c r="AL113" s="39" t="str">
        <f t="shared" ca="1" si="25"/>
        <v>MUERTO</v>
      </c>
      <c r="AM113" s="39">
        <v>35401</v>
      </c>
      <c r="AN113" s="39" t="s">
        <v>183</v>
      </c>
      <c r="AO113" s="39" t="s">
        <v>815</v>
      </c>
      <c r="AP113" s="39"/>
      <c r="AQ113" s="39" t="s">
        <v>815</v>
      </c>
      <c r="AR113" s="39"/>
      <c r="AS113" s="39"/>
      <c r="AT113" s="39"/>
      <c r="AU113" s="51"/>
      <c r="AV113" s="50"/>
      <c r="AW113" s="38"/>
      <c r="AX113" s="52"/>
      <c r="AY113" s="50"/>
      <c r="AZ113" s="38"/>
      <c r="BA113" s="38" t="e">
        <f>VLOOKUP(I113,#REF!,2,0)</f>
        <v>#REF!</v>
      </c>
      <c r="BB113" s="71"/>
      <c r="BC113" s="59">
        <v>43677</v>
      </c>
      <c r="BD113" s="58">
        <v>43677</v>
      </c>
      <c r="BE113" s="58">
        <v>43679</v>
      </c>
      <c r="BF113" s="58">
        <v>43683</v>
      </c>
      <c r="BG113" s="59">
        <v>43705</v>
      </c>
      <c r="BH113" s="39" t="s">
        <v>1854</v>
      </c>
      <c r="BI113" s="39" t="e">
        <f>NETWORKDAYS(BF113,BG113,#REF!)</f>
        <v>#REF!</v>
      </c>
      <c r="BJ113" s="39" t="s">
        <v>1854</v>
      </c>
      <c r="BK113" s="39" t="s">
        <v>1855</v>
      </c>
      <c r="BL113" s="59" t="s">
        <v>1235</v>
      </c>
      <c r="BM113" s="39" t="s">
        <v>1832</v>
      </c>
      <c r="BN113" s="39" t="s">
        <v>1832</v>
      </c>
      <c r="BO113" s="39" t="s">
        <v>1832</v>
      </c>
      <c r="BP113" s="39" t="s">
        <v>1832</v>
      </c>
      <c r="BQ113" s="39" t="s">
        <v>1832</v>
      </c>
      <c r="BR113" s="68" t="e">
        <f xml:space="preserve"> NETWORKDAYS(BC113,BM113,#REF!)</f>
        <v>#VALUE!</v>
      </c>
      <c r="BS113" s="69" t="e">
        <f>NETWORKDAYS(BC113,BN113,#REF!)</f>
        <v>#VALUE!</v>
      </c>
      <c r="BT113" s="62"/>
      <c r="BU113" s="84"/>
      <c r="BV113" s="84"/>
      <c r="BW113" s="84"/>
      <c r="BX113" s="84"/>
      <c r="BY113" s="84"/>
      <c r="BZ113" s="84"/>
    </row>
    <row r="114" spans="1:79" ht="285" hidden="1" x14ac:dyDescent="0.25">
      <c r="A114" s="38" t="s">
        <v>1856</v>
      </c>
      <c r="B114" s="39">
        <v>112</v>
      </c>
      <c r="C114" s="38" t="s">
        <v>149</v>
      </c>
      <c r="D114" s="991" t="s">
        <v>1857</v>
      </c>
      <c r="E114" s="39" t="s">
        <v>151</v>
      </c>
      <c r="F114" s="39" t="s">
        <v>152</v>
      </c>
      <c r="G114" s="39" t="s">
        <v>151</v>
      </c>
      <c r="H114" s="39"/>
      <c r="I114" s="81" t="s">
        <v>1590</v>
      </c>
      <c r="J114" s="82"/>
      <c r="K114" s="82"/>
      <c r="L114" s="82"/>
      <c r="M114" s="42" t="str">
        <f t="shared" si="20"/>
        <v xml:space="preserve">Sistema de Energía Ininterrumpida, S.A. de C.V.  </v>
      </c>
      <c r="N114" s="991" t="s">
        <v>198</v>
      </c>
      <c r="O114" s="991" t="s">
        <v>198</v>
      </c>
      <c r="P114" s="991" t="s">
        <v>1858</v>
      </c>
      <c r="Q114" s="992">
        <v>735966.51</v>
      </c>
      <c r="R114" s="44">
        <f t="shared" si="24"/>
        <v>117754.6416</v>
      </c>
      <c r="S114" s="45">
        <f t="shared" si="21"/>
        <v>853721.15159999998</v>
      </c>
      <c r="T114" s="46">
        <v>0</v>
      </c>
      <c r="U114" s="47">
        <f t="shared" si="23"/>
        <v>0</v>
      </c>
      <c r="V114" s="44">
        <f t="shared" si="22"/>
        <v>853721.15159999998</v>
      </c>
      <c r="W114" s="993" t="s">
        <v>156</v>
      </c>
      <c r="X114" s="48">
        <v>43679</v>
      </c>
      <c r="Y114" s="39" t="s">
        <v>815</v>
      </c>
      <c r="Z114" s="48">
        <v>43678</v>
      </c>
      <c r="AA114" s="48">
        <v>43748</v>
      </c>
      <c r="AB114" s="604" t="s">
        <v>1859</v>
      </c>
      <c r="AC114" s="49">
        <v>110394.98</v>
      </c>
      <c r="AD114" s="49"/>
      <c r="AE114" s="49"/>
      <c r="AF114" s="49"/>
      <c r="AG114" s="39" t="s">
        <v>156</v>
      </c>
      <c r="AH114" s="38"/>
      <c r="AI114" s="38"/>
      <c r="AJ114" s="50"/>
      <c r="AK114" s="44"/>
      <c r="AL114" s="39" t="str">
        <f t="shared" ca="1" si="25"/>
        <v>MUERTO</v>
      </c>
      <c r="AM114" s="39">
        <v>35101</v>
      </c>
      <c r="AN114" s="39" t="s">
        <v>183</v>
      </c>
      <c r="AO114" s="39" t="s">
        <v>815</v>
      </c>
      <c r="AP114" s="39"/>
      <c r="AQ114" s="39" t="s">
        <v>815</v>
      </c>
      <c r="AR114" s="39"/>
      <c r="AS114" s="39"/>
      <c r="AT114" s="39"/>
      <c r="AU114" s="51"/>
      <c r="AV114" s="50"/>
      <c r="AW114" s="38"/>
      <c r="AX114" s="52"/>
      <c r="AY114" s="50"/>
      <c r="AZ114" s="38"/>
      <c r="BA114" s="38" t="e">
        <f>VLOOKUP(I114,#REF!,2,0)</f>
        <v>#REF!</v>
      </c>
      <c r="BB114" s="71"/>
      <c r="BC114" s="59">
        <v>43677</v>
      </c>
      <c r="BD114" s="58">
        <v>43665</v>
      </c>
      <c r="BE114" s="58">
        <v>43682</v>
      </c>
      <c r="BF114" s="58">
        <v>43684</v>
      </c>
      <c r="BG114" s="58">
        <v>43714</v>
      </c>
      <c r="BH114" s="59">
        <v>43714</v>
      </c>
      <c r="BI114" s="39" t="e">
        <f>NETWORKDAYS(BF114,BG114,#REF!)</f>
        <v>#REF!</v>
      </c>
      <c r="BJ114" s="59">
        <v>43718</v>
      </c>
      <c r="BK114" s="59"/>
      <c r="BL114" s="59"/>
      <c r="BM114" s="59">
        <v>43700</v>
      </c>
      <c r="BN114" s="59">
        <v>43696</v>
      </c>
      <c r="BO114" s="59">
        <v>43703</v>
      </c>
      <c r="BP114" s="59">
        <v>43684</v>
      </c>
      <c r="BQ114" s="62"/>
      <c r="BR114" s="68" t="e">
        <f xml:space="preserve"> NETWORKDAYS(BC114,BM114,#REF!)</f>
        <v>#REF!</v>
      </c>
      <c r="BS114" s="69" t="e">
        <f>NETWORKDAYS(BC114,BN114,#REF!)</f>
        <v>#REF!</v>
      </c>
      <c r="BT114" s="62"/>
      <c r="BU114" s="84"/>
      <c r="BV114" s="84"/>
      <c r="BW114" s="84"/>
      <c r="BX114" s="84"/>
      <c r="BY114" s="84"/>
      <c r="BZ114" s="84"/>
    </row>
    <row r="115" spans="1:79" ht="180" hidden="1" x14ac:dyDescent="0.25">
      <c r="A115" s="38" t="s">
        <v>1860</v>
      </c>
      <c r="B115" s="39">
        <v>113</v>
      </c>
      <c r="C115" s="38" t="s">
        <v>149</v>
      </c>
      <c r="D115" s="991" t="s">
        <v>1861</v>
      </c>
      <c r="E115" s="4" t="s">
        <v>173</v>
      </c>
      <c r="F115" s="39" t="s">
        <v>326</v>
      </c>
      <c r="G115" s="39" t="s">
        <v>175</v>
      </c>
      <c r="H115" s="39"/>
      <c r="I115" s="81" t="s">
        <v>1862</v>
      </c>
      <c r="J115" s="82"/>
      <c r="K115" s="82"/>
      <c r="L115" s="82"/>
      <c r="M115" s="42" t="str">
        <f t="shared" si="20"/>
        <v xml:space="preserve">Constructora Mozaco, S.A. de C.V.  </v>
      </c>
      <c r="N115" s="991" t="s">
        <v>198</v>
      </c>
      <c r="O115" s="991" t="s">
        <v>198</v>
      </c>
      <c r="P115" s="991" t="s">
        <v>1863</v>
      </c>
      <c r="Q115" s="992">
        <v>29813894</v>
      </c>
      <c r="R115" s="44">
        <f t="shared" si="24"/>
        <v>4770223.04</v>
      </c>
      <c r="S115" s="45">
        <f t="shared" si="21"/>
        <v>34584117.039999999</v>
      </c>
      <c r="T115" s="46">
        <v>0</v>
      </c>
      <c r="U115" s="47">
        <f t="shared" si="23"/>
        <v>0</v>
      </c>
      <c r="V115" s="44">
        <f t="shared" si="22"/>
        <v>34584117.039999999</v>
      </c>
      <c r="W115" s="993" t="s">
        <v>156</v>
      </c>
      <c r="X115" s="48">
        <v>43685</v>
      </c>
      <c r="Y115" s="39" t="s">
        <v>815</v>
      </c>
      <c r="Z115" s="48">
        <v>43684</v>
      </c>
      <c r="AA115" s="48">
        <v>43804</v>
      </c>
      <c r="AB115" s="604" t="s">
        <v>1864</v>
      </c>
      <c r="AC115" s="49">
        <v>4472084.0999999996</v>
      </c>
      <c r="AD115" s="49"/>
      <c r="AE115" s="49"/>
      <c r="AF115" s="49"/>
      <c r="AG115" s="39" t="s">
        <v>156</v>
      </c>
      <c r="AH115" s="100" t="s">
        <v>1865</v>
      </c>
      <c r="AI115" s="100" t="s">
        <v>1866</v>
      </c>
      <c r="AJ115" s="101">
        <v>43773</v>
      </c>
      <c r="AK115" s="102">
        <v>0</v>
      </c>
      <c r="AL115" s="39" t="str">
        <f t="shared" ca="1" si="25"/>
        <v>MUERTO</v>
      </c>
      <c r="AM115" s="39">
        <v>35101</v>
      </c>
      <c r="AN115" s="39" t="s">
        <v>156</v>
      </c>
      <c r="AO115" s="39" t="s">
        <v>815</v>
      </c>
      <c r="AP115" s="39" t="s">
        <v>924</v>
      </c>
      <c r="AQ115" s="39" t="s">
        <v>815</v>
      </c>
      <c r="AR115" s="39"/>
      <c r="AS115" s="39"/>
      <c r="AT115" s="39"/>
      <c r="AU115" s="51"/>
      <c r="AV115" s="50"/>
      <c r="AW115" s="38"/>
      <c r="AX115" s="52"/>
      <c r="AY115" s="50"/>
      <c r="AZ115" s="38"/>
      <c r="BA115" s="38" t="e">
        <f>VLOOKUP(I115,#REF!,2,0)</f>
        <v>#REF!</v>
      </c>
      <c r="BB115" s="71"/>
      <c r="BC115" s="59">
        <v>43676</v>
      </c>
      <c r="BD115" s="58">
        <v>43683</v>
      </c>
      <c r="BE115" s="58">
        <v>43690</v>
      </c>
      <c r="BF115" s="58">
        <v>43698</v>
      </c>
      <c r="BG115" s="39"/>
      <c r="BH115" s="59">
        <v>43712</v>
      </c>
      <c r="BI115" s="39" t="e">
        <f>NETWORKDAYS(BF115,BG115,#REF!)</f>
        <v>#REF!</v>
      </c>
      <c r="BJ115" s="59">
        <v>43713</v>
      </c>
      <c r="BK115" s="59">
        <v>43718</v>
      </c>
      <c r="BL115" s="59" t="s">
        <v>1867</v>
      </c>
      <c r="BM115" s="59"/>
      <c r="BN115" s="59">
        <v>43706</v>
      </c>
      <c r="BO115" s="59">
        <v>43706</v>
      </c>
      <c r="BP115" s="59"/>
      <c r="BQ115" s="62">
        <v>43706</v>
      </c>
      <c r="BR115" s="68" t="e">
        <f xml:space="preserve"> NETWORKDAYS(BC115,BM115,#REF!)</f>
        <v>#REF!</v>
      </c>
      <c r="BS115" s="69" t="e">
        <f>NETWORKDAYS(BC115,BN115,#REF!)</f>
        <v>#REF!</v>
      </c>
      <c r="BT115" s="62"/>
      <c r="BU115" s="84"/>
      <c r="BV115" s="84"/>
      <c r="BW115" s="84"/>
      <c r="BX115" s="84"/>
      <c r="BY115" s="84"/>
      <c r="BZ115" s="84"/>
    </row>
    <row r="116" spans="1:79" ht="240" hidden="1" x14ac:dyDescent="0.25">
      <c r="A116" s="38" t="s">
        <v>1868</v>
      </c>
      <c r="B116" s="39">
        <v>114</v>
      </c>
      <c r="C116" s="38" t="s">
        <v>225</v>
      </c>
      <c r="D116" s="991" t="s">
        <v>1869</v>
      </c>
      <c r="E116" s="4" t="s">
        <v>173</v>
      </c>
      <c r="F116" s="39" t="s">
        <v>326</v>
      </c>
      <c r="G116" s="39" t="s">
        <v>175</v>
      </c>
      <c r="H116" s="39"/>
      <c r="I116" s="81" t="s">
        <v>986</v>
      </c>
      <c r="J116" s="82"/>
      <c r="K116" s="82"/>
      <c r="L116" s="82"/>
      <c r="M116" s="42" t="str">
        <f t="shared" si="20"/>
        <v xml:space="preserve">Intercable, S.A. de C.V.  </v>
      </c>
      <c r="N116" s="991" t="s">
        <v>1422</v>
      </c>
      <c r="O116" s="991" t="s">
        <v>1422</v>
      </c>
      <c r="P116" s="991" t="s">
        <v>1870</v>
      </c>
      <c r="Q116" s="992">
        <v>5395802.7999999998</v>
      </c>
      <c r="R116" s="44">
        <f t="shared" si="24"/>
        <v>863328.44799999997</v>
      </c>
      <c r="S116" s="45">
        <f t="shared" si="21"/>
        <v>6259131.2479999997</v>
      </c>
      <c r="T116" s="46">
        <v>0</v>
      </c>
      <c r="U116" s="47">
        <f t="shared" si="23"/>
        <v>0</v>
      </c>
      <c r="V116" s="44">
        <f t="shared" si="22"/>
        <v>6259131.2479999997</v>
      </c>
      <c r="W116" s="993" t="s">
        <v>156</v>
      </c>
      <c r="X116" s="48">
        <v>43693</v>
      </c>
      <c r="Y116" s="39" t="s">
        <v>815</v>
      </c>
      <c r="Z116" s="48">
        <v>43686</v>
      </c>
      <c r="AA116" s="48">
        <v>43799</v>
      </c>
      <c r="AB116" s="604" t="s">
        <v>1871</v>
      </c>
      <c r="AC116" s="49">
        <v>975000</v>
      </c>
      <c r="AD116" s="49"/>
      <c r="AE116" s="49"/>
      <c r="AF116" s="49"/>
      <c r="AG116" s="39" t="s">
        <v>156</v>
      </c>
      <c r="AH116" s="38" t="s">
        <v>1872</v>
      </c>
      <c r="AI116" s="38" t="s">
        <v>1873</v>
      </c>
      <c r="AJ116" s="50"/>
      <c r="AK116" s="44"/>
      <c r="AL116" s="39" t="str">
        <f t="shared" ca="1" si="25"/>
        <v>MUERTO</v>
      </c>
      <c r="AM116" s="39">
        <v>56501</v>
      </c>
      <c r="AN116" s="39" t="s">
        <v>156</v>
      </c>
      <c r="AO116" s="39" t="s">
        <v>863</v>
      </c>
      <c r="AP116" s="39" t="s">
        <v>924</v>
      </c>
      <c r="AQ116" s="39" t="s">
        <v>815</v>
      </c>
      <c r="AR116" s="39"/>
      <c r="AS116" s="39"/>
      <c r="AT116" s="39"/>
      <c r="AU116" s="51"/>
      <c r="AV116" s="50"/>
      <c r="AW116" s="38"/>
      <c r="AX116" s="52"/>
      <c r="AY116" s="50"/>
      <c r="AZ116" s="38"/>
      <c r="BA116" s="38" t="e">
        <f>VLOOKUP(I116,#REF!,2,0)</f>
        <v>#REF!</v>
      </c>
      <c r="BB116" s="71"/>
      <c r="BC116" s="59">
        <v>43678</v>
      </c>
      <c r="BD116" s="58">
        <v>43683</v>
      </c>
      <c r="BE116" s="58">
        <v>43696</v>
      </c>
      <c r="BF116" s="58">
        <v>43698</v>
      </c>
      <c r="BG116" s="58">
        <v>43713</v>
      </c>
      <c r="BH116" s="59">
        <v>43713</v>
      </c>
      <c r="BI116" s="39" t="e">
        <f>NETWORKDAYS(BF116,BG116,#REF!)</f>
        <v>#REF!</v>
      </c>
      <c r="BJ116" s="59">
        <v>43713</v>
      </c>
      <c r="BK116" s="59">
        <v>43718</v>
      </c>
      <c r="BL116" s="59"/>
      <c r="BM116" s="59"/>
      <c r="BN116" s="59">
        <v>43703</v>
      </c>
      <c r="BO116" s="59">
        <v>43705</v>
      </c>
      <c r="BP116" s="59"/>
      <c r="BQ116" s="62"/>
      <c r="BR116" s="68" t="e">
        <f xml:space="preserve"> NETWORKDAYS(BC116,BM116,#REF!)</f>
        <v>#REF!</v>
      </c>
      <c r="BS116" s="69" t="e">
        <f>NETWORKDAYS(BC116,BN116,#REF!)</f>
        <v>#REF!</v>
      </c>
      <c r="BT116" s="62"/>
      <c r="BU116" s="84"/>
      <c r="BV116" s="84"/>
      <c r="BW116" s="84"/>
      <c r="BX116" s="84"/>
      <c r="BY116" s="84"/>
      <c r="BZ116" s="84"/>
    </row>
    <row r="117" spans="1:79" ht="210" hidden="1" x14ac:dyDescent="0.25">
      <c r="A117" s="38" t="s">
        <v>1874</v>
      </c>
      <c r="B117" s="39">
        <v>115</v>
      </c>
      <c r="C117" s="38" t="s">
        <v>149</v>
      </c>
      <c r="D117" s="991" t="s">
        <v>1875</v>
      </c>
      <c r="E117" s="4" t="s">
        <v>173</v>
      </c>
      <c r="F117" s="39" t="s">
        <v>326</v>
      </c>
      <c r="G117" s="39" t="s">
        <v>175</v>
      </c>
      <c r="H117" s="39"/>
      <c r="I117" s="81" t="s">
        <v>1876</v>
      </c>
      <c r="J117" s="82"/>
      <c r="K117" s="82"/>
      <c r="L117" s="82"/>
      <c r="M117" s="42" t="str">
        <f t="shared" si="20"/>
        <v xml:space="preserve">Silent4business, S.A. de C.V.  </v>
      </c>
      <c r="N117" s="991" t="s">
        <v>656</v>
      </c>
      <c r="O117" s="991" t="s">
        <v>656</v>
      </c>
      <c r="P117" s="991" t="s">
        <v>1877</v>
      </c>
      <c r="Q117" s="1000">
        <v>3454300</v>
      </c>
      <c r="R117" s="44">
        <f t="shared" si="24"/>
        <v>552688</v>
      </c>
      <c r="S117" s="45">
        <f t="shared" si="21"/>
        <v>4006988</v>
      </c>
      <c r="T117" s="46">
        <v>0</v>
      </c>
      <c r="U117" s="47">
        <f t="shared" si="23"/>
        <v>0</v>
      </c>
      <c r="V117" s="44">
        <f t="shared" si="22"/>
        <v>4006988</v>
      </c>
      <c r="W117" s="993" t="s">
        <v>156</v>
      </c>
      <c r="X117" s="48">
        <v>43693</v>
      </c>
      <c r="Y117" s="39" t="s">
        <v>815</v>
      </c>
      <c r="Z117" s="48">
        <v>43684</v>
      </c>
      <c r="AA117" s="48">
        <v>43830</v>
      </c>
      <c r="AB117" s="604" t="s">
        <v>1852</v>
      </c>
      <c r="AC117" s="49">
        <v>518145</v>
      </c>
      <c r="AD117" s="49"/>
      <c r="AE117" s="49"/>
      <c r="AF117" s="49"/>
      <c r="AG117" s="39" t="s">
        <v>156</v>
      </c>
      <c r="AH117" s="38"/>
      <c r="AI117" s="38"/>
      <c r="AJ117" s="50"/>
      <c r="AK117" s="44"/>
      <c r="AL117" s="39" t="str">
        <f t="shared" ca="1" si="25"/>
        <v>MUERTO</v>
      </c>
      <c r="AM117" s="39">
        <v>33104</v>
      </c>
      <c r="AN117" s="39" t="s">
        <v>156</v>
      </c>
      <c r="AO117" s="39" t="s">
        <v>815</v>
      </c>
      <c r="AP117" s="39"/>
      <c r="AQ117" s="39" t="s">
        <v>815</v>
      </c>
      <c r="AR117" s="39"/>
      <c r="AS117" s="39"/>
      <c r="AT117" s="39"/>
      <c r="AU117" s="51"/>
      <c r="AV117" s="50"/>
      <c r="AW117" s="38"/>
      <c r="AX117" s="52"/>
      <c r="AY117" s="50"/>
      <c r="AZ117" s="38"/>
      <c r="BA117" s="38" t="e">
        <f>VLOOKUP(I117,#REF!,2,0)</f>
        <v>#REF!</v>
      </c>
      <c r="BB117" s="71"/>
      <c r="BC117" s="59">
        <v>43678</v>
      </c>
      <c r="BD117" s="58">
        <v>43683</v>
      </c>
      <c r="BE117" s="58">
        <v>43696</v>
      </c>
      <c r="BF117" s="58">
        <v>43699</v>
      </c>
      <c r="BG117" s="39"/>
      <c r="BH117" s="59"/>
      <c r="BI117" s="39" t="e">
        <f>NETWORKDAYS(BF117,BG117,#REF!)</f>
        <v>#REF!</v>
      </c>
      <c r="BJ117" s="59">
        <v>43711</v>
      </c>
      <c r="BK117" s="59">
        <v>43717</v>
      </c>
      <c r="BL117" s="59"/>
      <c r="BM117" s="59"/>
      <c r="BN117" s="59">
        <v>43706</v>
      </c>
      <c r="BO117" s="59">
        <v>43706</v>
      </c>
      <c r="BP117" s="59">
        <v>43706</v>
      </c>
      <c r="BQ117" s="62"/>
      <c r="BR117" s="68" t="e">
        <f xml:space="preserve"> NETWORKDAYS(BC117,BM117,#REF!)</f>
        <v>#REF!</v>
      </c>
      <c r="BS117" s="69" t="e">
        <f>NETWORKDAYS(BC117,BN117,#REF!)</f>
        <v>#REF!</v>
      </c>
      <c r="BT117" s="62"/>
      <c r="BU117" s="84"/>
      <c r="BV117" s="84"/>
      <c r="BW117" s="84"/>
      <c r="BX117" s="84"/>
      <c r="BY117" s="84"/>
      <c r="BZ117" s="84"/>
    </row>
    <row r="118" spans="1:79" ht="135" hidden="1" x14ac:dyDescent="0.25">
      <c r="A118" s="71" t="s">
        <v>1878</v>
      </c>
      <c r="B118" s="39">
        <v>116</v>
      </c>
      <c r="C118" s="38" t="s">
        <v>225</v>
      </c>
      <c r="D118" s="991" t="s">
        <v>1879</v>
      </c>
      <c r="E118" s="81" t="s">
        <v>163</v>
      </c>
      <c r="F118" s="39" t="s">
        <v>237</v>
      </c>
      <c r="G118" s="39" t="s">
        <v>1272</v>
      </c>
      <c r="H118" s="81" t="s">
        <v>163</v>
      </c>
      <c r="I118" s="81" t="s">
        <v>522</v>
      </c>
      <c r="J118" s="82"/>
      <c r="K118" s="82"/>
      <c r="L118" s="82"/>
      <c r="M118" s="42" t="str">
        <f t="shared" si="20"/>
        <v xml:space="preserve">Papelera Anzures, S.A. de C.V.  </v>
      </c>
      <c r="N118" s="991" t="s">
        <v>270</v>
      </c>
      <c r="O118" s="991" t="s">
        <v>270</v>
      </c>
      <c r="P118" s="991" t="s">
        <v>1880</v>
      </c>
      <c r="Q118" s="992">
        <v>399125.19</v>
      </c>
      <c r="R118" s="44">
        <f t="shared" si="24"/>
        <v>63860.030400000003</v>
      </c>
      <c r="S118" s="45">
        <f t="shared" si="21"/>
        <v>462985.22039999999</v>
      </c>
      <c r="T118" s="46">
        <v>159650.07999999999</v>
      </c>
      <c r="U118" s="47">
        <f t="shared" si="23"/>
        <v>185194.09279999998</v>
      </c>
      <c r="V118" s="44">
        <f t="shared" si="22"/>
        <v>462985.22039999999</v>
      </c>
      <c r="W118" s="993" t="s">
        <v>156</v>
      </c>
      <c r="X118" s="48">
        <v>43699</v>
      </c>
      <c r="Y118" s="39" t="s">
        <v>815</v>
      </c>
      <c r="Z118" s="48">
        <v>43699</v>
      </c>
      <c r="AA118" s="48">
        <v>43830</v>
      </c>
      <c r="AB118" s="604" t="s">
        <v>1622</v>
      </c>
      <c r="AC118" s="49">
        <v>59868.78</v>
      </c>
      <c r="AD118" s="49"/>
      <c r="AE118" s="49"/>
      <c r="AF118" s="49"/>
      <c r="AG118" s="39" t="s">
        <v>183</v>
      </c>
      <c r="AH118" s="38"/>
      <c r="AI118" s="38"/>
      <c r="AJ118" s="50"/>
      <c r="AK118" s="44"/>
      <c r="AL118" s="39" t="str">
        <f t="shared" ca="1" si="25"/>
        <v>MUERTO</v>
      </c>
      <c r="AM118" s="39" t="s">
        <v>1881</v>
      </c>
      <c r="AN118" s="39" t="s">
        <v>183</v>
      </c>
      <c r="AO118" s="39" t="s">
        <v>815</v>
      </c>
      <c r="AP118" s="39"/>
      <c r="AQ118" s="39" t="s">
        <v>815</v>
      </c>
      <c r="AR118" s="39"/>
      <c r="AS118" s="39"/>
      <c r="AT118" s="39"/>
      <c r="AU118" s="51"/>
      <c r="AV118" s="50"/>
      <c r="AW118" s="38"/>
      <c r="AX118" s="52"/>
      <c r="AY118" s="50"/>
      <c r="AZ118" s="71"/>
      <c r="BA118" s="38" t="e">
        <f>VLOOKUP(I118,#REF!,2,0)</f>
        <v>#REF!</v>
      </c>
      <c r="BB118" s="71"/>
      <c r="BC118" s="59">
        <v>43696</v>
      </c>
      <c r="BD118" s="58">
        <v>43696</v>
      </c>
      <c r="BE118" s="58">
        <v>43705</v>
      </c>
      <c r="BF118" s="58">
        <v>43705</v>
      </c>
      <c r="BG118" s="58">
        <v>43710</v>
      </c>
      <c r="BH118" s="59">
        <v>43710</v>
      </c>
      <c r="BI118" s="39" t="e">
        <f>NETWORKDAYS(BF118,BG118,#REF!)</f>
        <v>#REF!</v>
      </c>
      <c r="BJ118" s="59">
        <v>43711</v>
      </c>
      <c r="BK118" s="59">
        <v>43713</v>
      </c>
      <c r="BL118" s="59" t="s">
        <v>1882</v>
      </c>
      <c r="BM118" s="59"/>
      <c r="BN118" s="59"/>
      <c r="BO118" s="59"/>
      <c r="BP118" s="59"/>
      <c r="BQ118" s="62"/>
      <c r="BR118" s="68" t="e">
        <f xml:space="preserve"> NETWORKDAYS(BC118,BM118,#REF!)</f>
        <v>#REF!</v>
      </c>
      <c r="BS118" s="69" t="e">
        <f>NETWORKDAYS(BC118,BN118,#REF!)</f>
        <v>#REF!</v>
      </c>
      <c r="BT118" s="62"/>
      <c r="BU118" s="84"/>
      <c r="BV118" s="84"/>
      <c r="BW118" s="84"/>
      <c r="BX118" s="84"/>
      <c r="BY118" s="84"/>
      <c r="BZ118" s="84"/>
    </row>
    <row r="119" spans="1:79" ht="210" hidden="1" x14ac:dyDescent="0.25">
      <c r="A119" s="71" t="s">
        <v>1883</v>
      </c>
      <c r="B119" s="39">
        <v>117</v>
      </c>
      <c r="C119" s="71" t="s">
        <v>149</v>
      </c>
      <c r="D119" s="991" t="s">
        <v>1177</v>
      </c>
      <c r="E119" s="81" t="s">
        <v>163</v>
      </c>
      <c r="F119" s="73" t="s">
        <v>164</v>
      </c>
      <c r="G119" s="81" t="s">
        <v>163</v>
      </c>
      <c r="H119" s="81" t="s">
        <v>163</v>
      </c>
      <c r="I119" s="87" t="s">
        <v>1884</v>
      </c>
      <c r="J119" s="607"/>
      <c r="K119" s="607"/>
      <c r="L119" s="607"/>
      <c r="M119" s="89" t="str">
        <f t="shared" si="20"/>
        <v xml:space="preserve">Idiomas de Iztapalapa, S.C.  </v>
      </c>
      <c r="N119" s="1001" t="s">
        <v>370</v>
      </c>
      <c r="O119" s="1001" t="s">
        <v>370</v>
      </c>
      <c r="P119" s="1001" t="s">
        <v>1885</v>
      </c>
      <c r="Q119" s="1002">
        <v>413793.1</v>
      </c>
      <c r="R119" s="90">
        <f t="shared" si="24"/>
        <v>66206.895999999993</v>
      </c>
      <c r="S119" s="91">
        <f t="shared" si="21"/>
        <v>479999.99599999998</v>
      </c>
      <c r="T119" s="92">
        <v>0</v>
      </c>
      <c r="U119" s="93">
        <v>0</v>
      </c>
      <c r="V119" s="90">
        <f t="shared" si="22"/>
        <v>479999.99599999998</v>
      </c>
      <c r="W119" s="1003" t="s">
        <v>156</v>
      </c>
      <c r="X119" s="94">
        <v>43793</v>
      </c>
      <c r="Y119" s="73" t="s">
        <v>1886</v>
      </c>
      <c r="Z119" s="94">
        <v>43728</v>
      </c>
      <c r="AA119" s="94">
        <v>43830</v>
      </c>
      <c r="AB119" s="71" t="s">
        <v>1887</v>
      </c>
      <c r="AC119" s="608"/>
      <c r="AD119" s="608"/>
      <c r="AE119" s="608"/>
      <c r="AF119" s="608"/>
      <c r="AG119" s="73" t="s">
        <v>156</v>
      </c>
      <c r="AH119" s="71"/>
      <c r="AI119" s="71"/>
      <c r="AJ119" s="609"/>
      <c r="AK119" s="90"/>
      <c r="AL119" s="73" t="str">
        <f t="shared" ca="1" si="25"/>
        <v>MUERTO</v>
      </c>
      <c r="AM119" s="39" t="s">
        <v>1881</v>
      </c>
      <c r="AN119" s="73" t="s">
        <v>183</v>
      </c>
      <c r="AO119" s="39" t="s">
        <v>815</v>
      </c>
      <c r="AP119" s="73"/>
      <c r="AQ119" s="73" t="s">
        <v>729</v>
      </c>
      <c r="AR119" s="73"/>
      <c r="AS119" s="73"/>
      <c r="AT119" s="73"/>
      <c r="AU119" s="610"/>
      <c r="AV119" s="609"/>
      <c r="AW119" s="71"/>
      <c r="AX119" s="611"/>
      <c r="AY119" s="609"/>
      <c r="AZ119" s="71" t="s">
        <v>1888</v>
      </c>
      <c r="BA119" s="71" t="e">
        <f>VLOOKUP(I119,#REF!,2,0)</f>
        <v>#REF!</v>
      </c>
      <c r="BB119" s="71"/>
      <c r="BC119" s="95">
        <v>43692</v>
      </c>
      <c r="BD119" s="96">
        <v>43697</v>
      </c>
      <c r="BE119" s="96">
        <v>43705</v>
      </c>
      <c r="BF119" s="96">
        <v>43705</v>
      </c>
      <c r="BG119" s="73"/>
      <c r="BH119" s="95"/>
      <c r="BI119" s="73" t="e">
        <f>NETWORKDAYS(BF119,BG119,#REF!)</f>
        <v>#REF!</v>
      </c>
      <c r="BJ119" s="95"/>
      <c r="BK119" s="95"/>
      <c r="BL119" s="95"/>
      <c r="BM119" s="95"/>
      <c r="BN119" s="95"/>
      <c r="BO119" s="95"/>
      <c r="BP119" s="95"/>
      <c r="BQ119" s="612"/>
      <c r="BR119" s="97" t="e">
        <f xml:space="preserve"> NETWORKDAYS(BC119,BM119,#REF!)</f>
        <v>#REF!</v>
      </c>
      <c r="BS119" s="98" t="e">
        <f>NETWORKDAYS(BC119,BN119,#REF!)</f>
        <v>#REF!</v>
      </c>
      <c r="BT119" s="612"/>
      <c r="BU119" s="84"/>
      <c r="BV119" s="99"/>
      <c r="BW119" s="99"/>
      <c r="BX119" s="99"/>
      <c r="BY119" s="99"/>
      <c r="BZ119" s="99"/>
      <c r="CA119" s="613" t="s">
        <v>1889</v>
      </c>
    </row>
    <row r="120" spans="1:79" ht="120" hidden="1" x14ac:dyDescent="0.25">
      <c r="A120" s="38" t="s">
        <v>1890</v>
      </c>
      <c r="B120" s="39">
        <v>118</v>
      </c>
      <c r="C120" s="38" t="s">
        <v>175</v>
      </c>
      <c r="D120" s="991" t="s">
        <v>1891</v>
      </c>
      <c r="E120" s="4" t="s">
        <v>173</v>
      </c>
      <c r="F120" s="39" t="s">
        <v>326</v>
      </c>
      <c r="G120" s="39" t="s">
        <v>175</v>
      </c>
      <c r="H120" s="39"/>
      <c r="I120" s="81" t="s">
        <v>562</v>
      </c>
      <c r="J120" s="82"/>
      <c r="K120" s="82"/>
      <c r="L120" s="82"/>
      <c r="M120" s="42" t="str">
        <f t="shared" ref="M120:M151" si="26">I120&amp;J120&amp;" "&amp;K120&amp;" "&amp;L120</f>
        <v xml:space="preserve">Tecnologías Digitales Alternas de México, S. de R.L. de C.V.  </v>
      </c>
      <c r="N120" s="991" t="s">
        <v>656</v>
      </c>
      <c r="O120" s="991" t="s">
        <v>656</v>
      </c>
      <c r="P120" s="991" t="s">
        <v>1892</v>
      </c>
      <c r="Q120" s="992">
        <v>21545000</v>
      </c>
      <c r="R120" s="44">
        <f t="shared" si="24"/>
        <v>3447200</v>
      </c>
      <c r="S120" s="45">
        <f t="shared" si="21"/>
        <v>24992200</v>
      </c>
      <c r="T120" s="46">
        <v>0</v>
      </c>
      <c r="U120" s="47">
        <f t="shared" ref="U120:U151" si="27">(T120*0.16)+(T120)</f>
        <v>0</v>
      </c>
      <c r="V120" s="44">
        <f t="shared" si="22"/>
        <v>24992200</v>
      </c>
      <c r="W120" s="993" t="s">
        <v>156</v>
      </c>
      <c r="X120" s="48">
        <v>43705</v>
      </c>
      <c r="Y120" s="39" t="s">
        <v>815</v>
      </c>
      <c r="Z120" s="48">
        <v>43703</v>
      </c>
      <c r="AA120" s="48">
        <v>43830</v>
      </c>
      <c r="AB120" s="38" t="s">
        <v>1893</v>
      </c>
      <c r="AC120" s="49"/>
      <c r="AD120" s="49"/>
      <c r="AE120" s="49"/>
      <c r="AF120" s="49"/>
      <c r="AG120" s="39"/>
      <c r="AH120" s="38"/>
      <c r="AI120" s="38"/>
      <c r="AJ120" s="50"/>
      <c r="AK120" s="44"/>
      <c r="AL120" s="39" t="str">
        <f t="shared" ca="1" si="25"/>
        <v>MUERTO</v>
      </c>
      <c r="AM120" s="39" t="s">
        <v>1894</v>
      </c>
      <c r="AN120" s="39" t="s">
        <v>156</v>
      </c>
      <c r="AO120" s="39" t="s">
        <v>815</v>
      </c>
      <c r="AP120" s="39"/>
      <c r="AQ120" s="39" t="s">
        <v>1886</v>
      </c>
      <c r="AR120" s="39"/>
      <c r="AS120" s="39"/>
      <c r="AT120" s="39"/>
      <c r="AU120" s="51"/>
      <c r="AV120" s="50"/>
      <c r="AW120" s="38"/>
      <c r="AX120" s="52"/>
      <c r="AY120" s="50"/>
      <c r="AZ120" s="38"/>
      <c r="BA120" s="38" t="e">
        <f>VLOOKUP(I120,#REF!,2,0)</f>
        <v>#REF!</v>
      </c>
      <c r="BB120" s="71"/>
      <c r="BC120" s="59">
        <v>43698</v>
      </c>
      <c r="BD120" s="58">
        <v>43700</v>
      </c>
      <c r="BE120" s="58">
        <v>43706</v>
      </c>
      <c r="BF120" s="58">
        <v>43707</v>
      </c>
      <c r="BG120" s="58">
        <v>43717</v>
      </c>
      <c r="BH120" s="59" t="s">
        <v>1895</v>
      </c>
      <c r="BI120" s="39" t="e">
        <f>NETWORKDAYS(BF120,BG120,#REF!)</f>
        <v>#REF!</v>
      </c>
      <c r="BJ120" s="59" t="s">
        <v>1896</v>
      </c>
      <c r="BK120" s="59" t="s">
        <v>1897</v>
      </c>
      <c r="BL120" s="59" t="s">
        <v>1898</v>
      </c>
      <c r="BM120" s="59"/>
      <c r="BN120" s="59">
        <v>43728</v>
      </c>
      <c r="BO120" s="59">
        <v>43728</v>
      </c>
      <c r="BP120" s="59">
        <v>43707</v>
      </c>
      <c r="BQ120" s="62"/>
      <c r="BR120" s="68" t="e">
        <f xml:space="preserve"> NETWORKDAYS(BC120,BM120,#REF!)</f>
        <v>#REF!</v>
      </c>
      <c r="BS120" s="69" t="e">
        <f>NETWORKDAYS(BC120,BN120,#REF!)</f>
        <v>#REF!</v>
      </c>
      <c r="BT120" s="62"/>
      <c r="BU120" s="84"/>
      <c r="BV120" s="84"/>
      <c r="BW120" s="84"/>
      <c r="BX120" s="84"/>
      <c r="BY120" s="84"/>
      <c r="BZ120" s="84"/>
    </row>
    <row r="121" spans="1:79" ht="180" hidden="1" x14ac:dyDescent="0.25">
      <c r="A121" s="38" t="s">
        <v>1899</v>
      </c>
      <c r="B121" s="39">
        <v>119</v>
      </c>
      <c r="C121" s="38" t="s">
        <v>149</v>
      </c>
      <c r="D121" s="991" t="s">
        <v>1899</v>
      </c>
      <c r="E121" s="81" t="s">
        <v>163</v>
      </c>
      <c r="F121" s="39" t="s">
        <v>607</v>
      </c>
      <c r="G121" s="39" t="s">
        <v>1477</v>
      </c>
      <c r="H121" s="685" t="s">
        <v>546</v>
      </c>
      <c r="I121" s="81" t="s">
        <v>1900</v>
      </c>
      <c r="J121" s="82"/>
      <c r="K121" s="82"/>
      <c r="L121" s="82"/>
      <c r="M121" s="42" t="str">
        <f t="shared" si="26"/>
        <v xml:space="preserve">Especialistas en Acabados Profesionales, S.A. de C.V.  </v>
      </c>
      <c r="N121" s="991" t="s">
        <v>198</v>
      </c>
      <c r="O121" s="991" t="s">
        <v>198</v>
      </c>
      <c r="P121" s="991" t="s">
        <v>1901</v>
      </c>
      <c r="Q121" s="992">
        <v>22901672.969999999</v>
      </c>
      <c r="R121" s="44">
        <f t="shared" si="24"/>
        <v>3664267.6751999999</v>
      </c>
      <c r="S121" s="45">
        <f t="shared" si="21"/>
        <v>26565940.645199999</v>
      </c>
      <c r="T121" s="46">
        <v>0</v>
      </c>
      <c r="U121" s="47">
        <f t="shared" si="27"/>
        <v>0</v>
      </c>
      <c r="V121" s="44">
        <f t="shared" si="22"/>
        <v>33206938.345199998</v>
      </c>
      <c r="W121" s="993" t="s">
        <v>156</v>
      </c>
      <c r="X121" s="48">
        <v>43707</v>
      </c>
      <c r="Y121" s="39" t="s">
        <v>815</v>
      </c>
      <c r="Z121" s="48">
        <v>43706</v>
      </c>
      <c r="AA121" s="48">
        <v>43830</v>
      </c>
      <c r="AB121" s="38" t="s">
        <v>1902</v>
      </c>
      <c r="AC121" s="49">
        <v>3435250.94</v>
      </c>
      <c r="AD121" s="49"/>
      <c r="AE121" s="49"/>
      <c r="AF121" s="49"/>
      <c r="AG121" s="39" t="s">
        <v>156</v>
      </c>
      <c r="AH121" s="38" t="s">
        <v>1903</v>
      </c>
      <c r="AI121" s="38" t="s">
        <v>1904</v>
      </c>
      <c r="AJ121" s="50">
        <v>43774</v>
      </c>
      <c r="AK121" s="44">
        <v>6640997.7000000002</v>
      </c>
      <c r="AL121" s="39" t="str">
        <f t="shared" ca="1" si="25"/>
        <v>MUERTO</v>
      </c>
      <c r="AM121" s="39">
        <v>35101</v>
      </c>
      <c r="AN121" s="39" t="s">
        <v>156</v>
      </c>
      <c r="AO121" s="39" t="s">
        <v>815</v>
      </c>
      <c r="AP121" s="39" t="s">
        <v>1668</v>
      </c>
      <c r="AQ121" s="39" t="s">
        <v>1886</v>
      </c>
      <c r="AR121" s="39"/>
      <c r="AS121" s="39"/>
      <c r="AT121" s="39"/>
      <c r="AU121" s="51"/>
      <c r="AV121" s="50"/>
      <c r="AW121" s="38"/>
      <c r="AX121" s="52"/>
      <c r="AY121" s="50"/>
      <c r="AZ121" s="38"/>
      <c r="BA121" s="38" t="e">
        <f>VLOOKUP(I121,#REF!,2,0)</f>
        <v>#REF!</v>
      </c>
      <c r="BB121" s="71"/>
      <c r="BC121" s="59">
        <v>43703</v>
      </c>
      <c r="BD121" s="58">
        <v>43705</v>
      </c>
      <c r="BE121" s="58">
        <v>43711</v>
      </c>
      <c r="BF121" s="58">
        <v>43712</v>
      </c>
      <c r="BG121" s="58">
        <v>43726</v>
      </c>
      <c r="BH121" s="59" t="s">
        <v>1905</v>
      </c>
      <c r="BI121" s="39" t="e">
        <f>NETWORKDAYS(BF121,BG121,#REF!)</f>
        <v>#REF!</v>
      </c>
      <c r="BJ121" s="59">
        <v>43728</v>
      </c>
      <c r="BK121" s="59" t="s">
        <v>1906</v>
      </c>
      <c r="BL121" s="59" t="s">
        <v>1907</v>
      </c>
      <c r="BM121" s="59"/>
      <c r="BN121" s="59">
        <v>43728</v>
      </c>
      <c r="BO121" s="59">
        <v>43718</v>
      </c>
      <c r="BP121" s="59">
        <v>43712</v>
      </c>
      <c r="BQ121" s="62"/>
      <c r="BR121" s="68" t="e">
        <f xml:space="preserve"> NETWORKDAYS(BC121,BM121,#REF!)</f>
        <v>#REF!</v>
      </c>
      <c r="BS121" s="69" t="e">
        <f>NETWORKDAYS(BC121,BN121,#REF!)</f>
        <v>#REF!</v>
      </c>
      <c r="BT121" s="62"/>
      <c r="BU121" s="84"/>
      <c r="BV121" s="84"/>
      <c r="BW121" s="84"/>
      <c r="BX121" s="84"/>
      <c r="BY121" s="84"/>
      <c r="BZ121" s="84"/>
    </row>
    <row r="122" spans="1:79" ht="390" hidden="1" x14ac:dyDescent="0.25">
      <c r="A122" s="38" t="s">
        <v>1908</v>
      </c>
      <c r="B122" s="39">
        <v>120</v>
      </c>
      <c r="C122" s="38" t="s">
        <v>149</v>
      </c>
      <c r="D122" s="991" t="s">
        <v>1909</v>
      </c>
      <c r="E122" s="4" t="s">
        <v>173</v>
      </c>
      <c r="F122" s="39" t="s">
        <v>326</v>
      </c>
      <c r="G122" s="39" t="s">
        <v>175</v>
      </c>
      <c r="H122" s="39"/>
      <c r="I122" s="81" t="s">
        <v>1910</v>
      </c>
      <c r="J122" s="82"/>
      <c r="K122" s="82"/>
      <c r="L122" s="82"/>
      <c r="M122" s="42" t="str">
        <f t="shared" si="26"/>
        <v xml:space="preserve">Impermeabilizantes y mantenimiento de Inmuebles, S.A. de C.V.  </v>
      </c>
      <c r="N122" s="991" t="s">
        <v>198</v>
      </c>
      <c r="O122" s="991" t="s">
        <v>198</v>
      </c>
      <c r="P122" s="991" t="s">
        <v>1911</v>
      </c>
      <c r="Q122" s="992">
        <v>30377561.440000001</v>
      </c>
      <c r="R122" s="44">
        <f t="shared" si="24"/>
        <v>4860409.8304000003</v>
      </c>
      <c r="S122" s="45">
        <f t="shared" si="21"/>
        <v>35237971.270400003</v>
      </c>
      <c r="T122" s="46">
        <v>0</v>
      </c>
      <c r="U122" s="47">
        <f t="shared" si="27"/>
        <v>0</v>
      </c>
      <c r="V122" s="44">
        <f t="shared" si="22"/>
        <v>40523666.965599999</v>
      </c>
      <c r="W122" s="993" t="s">
        <v>156</v>
      </c>
      <c r="X122" s="48">
        <v>43731</v>
      </c>
      <c r="Y122" s="39" t="s">
        <v>1886</v>
      </c>
      <c r="Z122" s="48">
        <v>43718</v>
      </c>
      <c r="AA122" s="48">
        <v>43830</v>
      </c>
      <c r="AB122" s="38" t="s">
        <v>1912</v>
      </c>
      <c r="AC122" s="49"/>
      <c r="AD122" s="49"/>
      <c r="AE122" s="49"/>
      <c r="AF122" s="49"/>
      <c r="AG122" s="39"/>
      <c r="AH122" s="100" t="s">
        <v>1913</v>
      </c>
      <c r="AI122" s="100" t="s">
        <v>1914</v>
      </c>
      <c r="AJ122" s="101">
        <v>43822</v>
      </c>
      <c r="AK122" s="102">
        <f>4556634.22*1.16</f>
        <v>5285695.695199999</v>
      </c>
      <c r="AL122" s="39" t="str">
        <f t="shared" ca="1" si="25"/>
        <v>MUERTO</v>
      </c>
      <c r="AM122" s="39">
        <v>35101</v>
      </c>
      <c r="AN122" s="39" t="s">
        <v>156</v>
      </c>
      <c r="AO122" s="39" t="s">
        <v>863</v>
      </c>
      <c r="AP122" s="39" t="s">
        <v>924</v>
      </c>
      <c r="AQ122" s="39" t="s">
        <v>1915</v>
      </c>
      <c r="AR122" s="39"/>
      <c r="AS122" s="39"/>
      <c r="AT122" s="39"/>
      <c r="AU122" s="51"/>
      <c r="AV122" s="50"/>
      <c r="AW122" s="38"/>
      <c r="AX122" s="52"/>
      <c r="AY122" s="50"/>
      <c r="AZ122" s="38"/>
      <c r="BA122" s="38" t="e">
        <f>VLOOKUP(I122,#REF!,2,0)</f>
        <v>#REF!</v>
      </c>
      <c r="BB122" s="73">
        <v>35101</v>
      </c>
      <c r="BC122" s="59"/>
      <c r="BD122" s="58">
        <v>43719</v>
      </c>
      <c r="BE122" s="58">
        <v>43733</v>
      </c>
      <c r="BF122" s="58">
        <v>43733</v>
      </c>
      <c r="BG122" s="39"/>
      <c r="BH122" s="59"/>
      <c r="BI122" s="39" t="e">
        <f>NETWORKDAYS(BF122,BG122,#REF!)</f>
        <v>#REF!</v>
      </c>
      <c r="BJ122" s="59"/>
      <c r="BK122" s="59"/>
      <c r="BL122" s="59"/>
      <c r="BM122" s="59"/>
      <c r="BN122" s="59"/>
      <c r="BO122" s="59"/>
      <c r="BP122" s="59"/>
      <c r="BQ122" s="62"/>
      <c r="BR122" s="68" t="e">
        <f xml:space="preserve"> NETWORKDAYS(BC122,BM122,#REF!)</f>
        <v>#REF!</v>
      </c>
      <c r="BS122" s="69" t="e">
        <f>NETWORKDAYS(BC122,BN122,#REF!)</f>
        <v>#REF!</v>
      </c>
      <c r="BT122" s="62"/>
      <c r="BU122" s="84"/>
      <c r="BV122" s="84"/>
      <c r="BW122" s="84"/>
      <c r="BX122" s="84"/>
      <c r="BY122" s="84"/>
      <c r="BZ122" s="84"/>
    </row>
    <row r="123" spans="1:79" ht="255" hidden="1" x14ac:dyDescent="0.25">
      <c r="A123" s="38" t="s">
        <v>1916</v>
      </c>
      <c r="B123" s="39">
        <v>121</v>
      </c>
      <c r="C123" s="38" t="s">
        <v>149</v>
      </c>
      <c r="D123" s="991" t="s">
        <v>1177</v>
      </c>
      <c r="E123" s="81" t="s">
        <v>163</v>
      </c>
      <c r="F123" s="39" t="s">
        <v>561</v>
      </c>
      <c r="G123" s="81" t="s">
        <v>163</v>
      </c>
      <c r="H123" s="81" t="s">
        <v>163</v>
      </c>
      <c r="I123" s="81" t="s">
        <v>1917</v>
      </c>
      <c r="J123" s="82"/>
      <c r="K123" s="82"/>
      <c r="L123" s="82"/>
      <c r="M123" s="42" t="str">
        <f t="shared" si="26"/>
        <v xml:space="preserve">Serretecno, S.A. de C.V.  </v>
      </c>
      <c r="N123" s="991" t="s">
        <v>315</v>
      </c>
      <c r="O123" s="991" t="s">
        <v>315</v>
      </c>
      <c r="P123" s="991" t="s">
        <v>1918</v>
      </c>
      <c r="Q123" s="992">
        <v>360000</v>
      </c>
      <c r="R123" s="44">
        <f t="shared" si="24"/>
        <v>57600</v>
      </c>
      <c r="S123" s="45">
        <f t="shared" si="21"/>
        <v>417600</v>
      </c>
      <c r="T123" s="46">
        <v>0</v>
      </c>
      <c r="U123" s="47">
        <f t="shared" si="27"/>
        <v>0</v>
      </c>
      <c r="V123" s="44">
        <f t="shared" si="22"/>
        <v>417600</v>
      </c>
      <c r="W123" s="993" t="s">
        <v>156</v>
      </c>
      <c r="X123" s="48">
        <v>43741</v>
      </c>
      <c r="Y123" s="39" t="s">
        <v>1915</v>
      </c>
      <c r="Z123" s="48">
        <v>43739</v>
      </c>
      <c r="AA123" s="48">
        <v>43830</v>
      </c>
      <c r="AB123" s="38" t="s">
        <v>1810</v>
      </c>
      <c r="AC123" s="49"/>
      <c r="AD123" s="49"/>
      <c r="AE123" s="49"/>
      <c r="AF123" s="49"/>
      <c r="AG123" s="39"/>
      <c r="AH123" s="38"/>
      <c r="AI123" s="38"/>
      <c r="AJ123" s="50"/>
      <c r="AK123" s="44"/>
      <c r="AL123" s="39" t="str">
        <f t="shared" ca="1" si="25"/>
        <v>MUERTO</v>
      </c>
      <c r="AM123" s="39">
        <v>35701</v>
      </c>
      <c r="AN123" s="39" t="s">
        <v>183</v>
      </c>
      <c r="AO123" s="39" t="s">
        <v>881</v>
      </c>
      <c r="AP123" s="39"/>
      <c r="AQ123" s="39" t="s">
        <v>1915</v>
      </c>
      <c r="AR123" s="39"/>
      <c r="AS123" s="39"/>
      <c r="AT123" s="39"/>
      <c r="AU123" s="51"/>
      <c r="AV123" s="50"/>
      <c r="AW123" s="38"/>
      <c r="AX123" s="52"/>
      <c r="AY123" s="50"/>
      <c r="AZ123" s="38"/>
      <c r="BA123" s="38" t="e">
        <f>VLOOKUP(I123,#REF!,2,0)</f>
        <v>#REF!</v>
      </c>
      <c r="BB123" s="71"/>
      <c r="BC123" s="59">
        <v>43713</v>
      </c>
      <c r="BD123" s="58">
        <v>43725</v>
      </c>
      <c r="BE123" s="58">
        <v>43731</v>
      </c>
      <c r="BF123" s="58">
        <v>43738</v>
      </c>
      <c r="BG123" s="39"/>
      <c r="BH123" s="59"/>
      <c r="BI123" s="39" t="e">
        <f>NETWORKDAYS(BF123,BG123,#REF!)</f>
        <v>#REF!</v>
      </c>
      <c r="BJ123" s="59"/>
      <c r="BK123" s="59"/>
      <c r="BL123" s="59"/>
      <c r="BM123" s="59"/>
      <c r="BN123" s="59"/>
      <c r="BO123" s="59"/>
      <c r="BP123" s="59"/>
      <c r="BQ123" s="62"/>
      <c r="BR123" s="68" t="e">
        <f xml:space="preserve"> NETWORKDAYS(BC123,BM123,#REF!)</f>
        <v>#REF!</v>
      </c>
      <c r="BS123" s="69" t="e">
        <f>NETWORKDAYS(BC123,BN123,#REF!)</f>
        <v>#REF!</v>
      </c>
      <c r="BT123" s="62"/>
      <c r="BU123" s="84"/>
      <c r="BV123" s="84"/>
      <c r="BW123" s="84"/>
      <c r="BX123" s="84"/>
      <c r="BY123" s="84"/>
      <c r="BZ123" s="84"/>
    </row>
    <row r="124" spans="1:79" ht="409.5" hidden="1" x14ac:dyDescent="0.25">
      <c r="A124" s="991" t="s">
        <v>1919</v>
      </c>
      <c r="B124" s="39">
        <v>122</v>
      </c>
      <c r="C124" s="991" t="s">
        <v>149</v>
      </c>
      <c r="D124" s="991" t="s">
        <v>1920</v>
      </c>
      <c r="E124" s="81" t="s">
        <v>163</v>
      </c>
      <c r="F124" s="985" t="s">
        <v>1921</v>
      </c>
      <c r="G124" s="960" t="s">
        <v>427</v>
      </c>
      <c r="H124" s="81" t="s">
        <v>163</v>
      </c>
      <c r="I124" s="81" t="s">
        <v>1922</v>
      </c>
      <c r="J124" s="82"/>
      <c r="K124" s="82"/>
      <c r="L124" s="82"/>
      <c r="M124" s="42" t="str">
        <f t="shared" si="26"/>
        <v xml:space="preserve">Grupo GC, Servicios Profesionales, S.A. de C.V.  </v>
      </c>
      <c r="N124" s="991" t="s">
        <v>656</v>
      </c>
      <c r="O124" s="991" t="s">
        <v>656</v>
      </c>
      <c r="P124" s="991" t="s">
        <v>1923</v>
      </c>
      <c r="Q124" s="992">
        <v>3100000</v>
      </c>
      <c r="R124" s="992">
        <f t="shared" si="24"/>
        <v>496000</v>
      </c>
      <c r="S124" s="45">
        <f t="shared" si="21"/>
        <v>3596000</v>
      </c>
      <c r="T124" s="46">
        <v>0</v>
      </c>
      <c r="U124" s="45">
        <f t="shared" si="27"/>
        <v>0</v>
      </c>
      <c r="V124" s="992">
        <f t="shared" si="22"/>
        <v>3596000</v>
      </c>
      <c r="W124" s="993" t="s">
        <v>156</v>
      </c>
      <c r="X124" s="1004">
        <v>43717</v>
      </c>
      <c r="Y124" s="985" t="s">
        <v>1886</v>
      </c>
      <c r="Z124" s="1004">
        <v>43718</v>
      </c>
      <c r="AA124" s="1004">
        <v>43814</v>
      </c>
      <c r="AB124" s="991" t="s">
        <v>1924</v>
      </c>
      <c r="AC124" s="993"/>
      <c r="AD124" s="993"/>
      <c r="AE124" s="993"/>
      <c r="AF124" s="993"/>
      <c r="AG124" s="985"/>
      <c r="AH124" s="991"/>
      <c r="AI124" s="991"/>
      <c r="AJ124" s="1005"/>
      <c r="AK124" s="992"/>
      <c r="AL124" s="985" t="str">
        <f t="shared" ca="1" si="25"/>
        <v>MUERTO</v>
      </c>
      <c r="AM124" s="985">
        <v>33301</v>
      </c>
      <c r="AN124" s="985" t="s">
        <v>156</v>
      </c>
      <c r="AO124" s="985" t="s">
        <v>863</v>
      </c>
      <c r="AP124" s="985"/>
      <c r="AQ124" s="985" t="s">
        <v>1915</v>
      </c>
      <c r="AR124" s="985"/>
      <c r="AS124" s="985"/>
      <c r="AT124" s="985"/>
      <c r="AU124" s="1006"/>
      <c r="AV124" s="1005"/>
      <c r="AW124" s="991"/>
      <c r="AX124" s="1007"/>
      <c r="AY124" s="1005"/>
      <c r="AZ124" s="991"/>
      <c r="BA124" s="991" t="e">
        <f>VLOOKUP(I124,#REF!,2,0)</f>
        <v>#REF!</v>
      </c>
      <c r="BB124" s="1001"/>
      <c r="BC124" s="994">
        <v>43714</v>
      </c>
      <c r="BD124" s="1008">
        <v>43714</v>
      </c>
      <c r="BE124" s="1008">
        <v>43717</v>
      </c>
      <c r="BF124" s="985"/>
      <c r="BG124" s="985"/>
      <c r="BH124" s="994"/>
      <c r="BI124" s="985" t="e">
        <f>NETWORKDAYS(BF124,BG124,#REF!)</f>
        <v>#REF!</v>
      </c>
      <c r="BJ124" s="994"/>
      <c r="BK124" s="994"/>
      <c r="BL124" s="994"/>
      <c r="BM124" s="994"/>
      <c r="BN124" s="994"/>
      <c r="BO124" s="994"/>
      <c r="BP124" s="994"/>
      <c r="BQ124" s="995"/>
      <c r="BR124" s="68" t="e">
        <f xml:space="preserve"> NETWORKDAYS(BC124,BM124,#REF!)</f>
        <v>#REF!</v>
      </c>
      <c r="BS124" s="69" t="e">
        <f>NETWORKDAYS(BC124,BN124,#REF!)</f>
        <v>#REF!</v>
      </c>
      <c r="BT124" s="62"/>
      <c r="BU124" s="84"/>
      <c r="BV124" s="84"/>
      <c r="BW124" s="84"/>
      <c r="BX124" s="84"/>
      <c r="BY124" s="84"/>
      <c r="BZ124" s="84"/>
    </row>
    <row r="125" spans="1:79" ht="300" hidden="1" x14ac:dyDescent="0.25">
      <c r="A125" s="991" t="s">
        <v>1925</v>
      </c>
      <c r="B125" s="39">
        <v>123</v>
      </c>
      <c r="C125" s="991" t="s">
        <v>149</v>
      </c>
      <c r="D125" s="991" t="s">
        <v>1926</v>
      </c>
      <c r="E125" s="4" t="s">
        <v>173</v>
      </c>
      <c r="F125" s="985" t="s">
        <v>326</v>
      </c>
      <c r="G125" s="985" t="s">
        <v>175</v>
      </c>
      <c r="H125" s="985"/>
      <c r="I125" s="81" t="s">
        <v>1927</v>
      </c>
      <c r="J125" s="82"/>
      <c r="K125" s="82"/>
      <c r="L125" s="82"/>
      <c r="M125" s="42" t="str">
        <f t="shared" si="26"/>
        <v xml:space="preserve">J+C Mexicana de Comercio y Construcción, S.A. de C.V.  </v>
      </c>
      <c r="N125" s="991" t="s">
        <v>198</v>
      </c>
      <c r="O125" s="991" t="s">
        <v>198</v>
      </c>
      <c r="P125" s="991" t="s">
        <v>1928</v>
      </c>
      <c r="Q125" s="992">
        <v>85343900</v>
      </c>
      <c r="R125" s="992">
        <f t="shared" si="24"/>
        <v>13655024</v>
      </c>
      <c r="S125" s="45">
        <f t="shared" si="21"/>
        <v>98998924</v>
      </c>
      <c r="T125" s="46">
        <v>0</v>
      </c>
      <c r="U125" s="45">
        <f t="shared" si="27"/>
        <v>0</v>
      </c>
      <c r="V125" s="992">
        <f t="shared" si="22"/>
        <v>98998924</v>
      </c>
      <c r="W125" s="993" t="s">
        <v>183</v>
      </c>
      <c r="X125" s="1004">
        <v>43740</v>
      </c>
      <c r="Y125" s="985" t="s">
        <v>1915</v>
      </c>
      <c r="Z125" s="1004">
        <v>43739</v>
      </c>
      <c r="AA125" s="1004">
        <v>44043</v>
      </c>
      <c r="AB125" s="38" t="s">
        <v>1912</v>
      </c>
      <c r="AC125" s="993"/>
      <c r="AD125" s="993"/>
      <c r="AE125" s="993"/>
      <c r="AF125" s="993" t="s">
        <v>183</v>
      </c>
      <c r="AG125" s="985"/>
      <c r="AH125" s="991"/>
      <c r="AI125" s="991"/>
      <c r="AJ125" s="1005"/>
      <c r="AK125" s="992"/>
      <c r="AL125" s="985" t="str">
        <f t="shared" ca="1" si="25"/>
        <v>MUERTO</v>
      </c>
      <c r="AM125" s="985">
        <v>35101</v>
      </c>
      <c r="AN125" s="985" t="s">
        <v>156</v>
      </c>
      <c r="AO125" s="985" t="s">
        <v>881</v>
      </c>
      <c r="AP125" s="985"/>
      <c r="AQ125" s="39" t="s">
        <v>1915</v>
      </c>
      <c r="AR125" s="985"/>
      <c r="AS125" s="985"/>
      <c r="AT125" s="985"/>
      <c r="AU125" s="1006"/>
      <c r="AV125" s="1005"/>
      <c r="AW125" s="991"/>
      <c r="AX125" s="1007"/>
      <c r="AY125" s="1005"/>
      <c r="AZ125" s="991" t="s">
        <v>1929</v>
      </c>
      <c r="BA125" s="991" t="e">
        <f>VLOOKUP(I125,#REF!,2,0)</f>
        <v>#REF!</v>
      </c>
      <c r="BB125" s="1001"/>
      <c r="BC125" s="994">
        <v>43733</v>
      </c>
      <c r="BD125" s="1008">
        <v>43735</v>
      </c>
      <c r="BE125" s="1008">
        <v>43742</v>
      </c>
      <c r="BF125" s="1008">
        <v>43742</v>
      </c>
      <c r="BG125" s="1008">
        <v>43742</v>
      </c>
      <c r="BH125" s="994"/>
      <c r="BI125" s="985" t="e">
        <f>NETWORKDAYS(BF125,BG125,#REF!)</f>
        <v>#REF!</v>
      </c>
      <c r="BJ125" s="994"/>
      <c r="BK125" s="994"/>
      <c r="BL125" s="994"/>
      <c r="BM125" s="994">
        <v>44246</v>
      </c>
      <c r="BN125" s="994"/>
      <c r="BO125" s="994"/>
      <c r="BP125" s="994">
        <v>43742</v>
      </c>
      <c r="BQ125" s="995"/>
      <c r="BR125" s="66">
        <v>44246</v>
      </c>
      <c r="BS125" s="69" t="e">
        <f>NETWORKDAYS(BC125,BN125,#REF!)</f>
        <v>#REF!</v>
      </c>
      <c r="BT125" s="62"/>
      <c r="BU125" s="84"/>
      <c r="BV125" s="1009" t="s">
        <v>1930</v>
      </c>
      <c r="BW125" s="84"/>
      <c r="BX125" s="84"/>
      <c r="BY125" s="84"/>
      <c r="BZ125" s="84"/>
    </row>
    <row r="126" spans="1:79" ht="409.5" hidden="1" x14ac:dyDescent="0.25">
      <c r="A126" s="991" t="s">
        <v>1931</v>
      </c>
      <c r="B126" s="39">
        <v>124</v>
      </c>
      <c r="C126" s="991" t="s">
        <v>149</v>
      </c>
      <c r="D126" s="991" t="s">
        <v>1177</v>
      </c>
      <c r="E126" s="81" t="s">
        <v>163</v>
      </c>
      <c r="F126" s="985" t="s">
        <v>1932</v>
      </c>
      <c r="G126" s="81" t="s">
        <v>163</v>
      </c>
      <c r="H126" s="685" t="s">
        <v>546</v>
      </c>
      <c r="I126" s="81" t="s">
        <v>711</v>
      </c>
      <c r="J126" s="82"/>
      <c r="K126" s="82"/>
      <c r="L126" s="82"/>
      <c r="M126" s="42" t="str">
        <f t="shared" si="26"/>
        <v xml:space="preserve">Carlos Corral y Asociados, S.C.  </v>
      </c>
      <c r="N126" s="991" t="s">
        <v>198</v>
      </c>
      <c r="O126" s="42" t="s">
        <v>1933</v>
      </c>
      <c r="P126" s="991" t="s">
        <v>1934</v>
      </c>
      <c r="Q126" s="992">
        <v>590235</v>
      </c>
      <c r="R126" s="992">
        <f t="shared" si="24"/>
        <v>94437.6</v>
      </c>
      <c r="S126" s="45">
        <f t="shared" si="21"/>
        <v>684672.6</v>
      </c>
      <c r="T126" s="46">
        <v>0</v>
      </c>
      <c r="U126" s="45">
        <f t="shared" si="27"/>
        <v>0</v>
      </c>
      <c r="V126" s="992">
        <f t="shared" si="22"/>
        <v>812256.36</v>
      </c>
      <c r="W126" s="993" t="s">
        <v>156</v>
      </c>
      <c r="X126" s="1004">
        <v>43747</v>
      </c>
      <c r="Y126" s="985" t="s">
        <v>1915</v>
      </c>
      <c r="Z126" s="1004">
        <v>43739</v>
      </c>
      <c r="AA126" s="1004">
        <v>43829</v>
      </c>
      <c r="AB126" s="991" t="s">
        <v>182</v>
      </c>
      <c r="AC126" s="993"/>
      <c r="AD126" s="993"/>
      <c r="AE126" s="993"/>
      <c r="AF126" s="993"/>
      <c r="AG126" s="985"/>
      <c r="AH126" s="991" t="s">
        <v>1935</v>
      </c>
      <c r="AI126" s="991" t="s">
        <v>1936</v>
      </c>
      <c r="AJ126" s="1005" t="s">
        <v>1937</v>
      </c>
      <c r="AK126" s="992">
        <v>127583.76</v>
      </c>
      <c r="AL126" s="985" t="str">
        <f t="shared" ca="1" si="25"/>
        <v>MUERTO</v>
      </c>
      <c r="AM126" s="985">
        <v>33104</v>
      </c>
      <c r="AN126" s="985" t="s">
        <v>183</v>
      </c>
      <c r="AO126" s="985" t="s">
        <v>881</v>
      </c>
      <c r="AP126" s="985" t="s">
        <v>157</v>
      </c>
      <c r="AQ126" s="985" t="s">
        <v>1915</v>
      </c>
      <c r="AR126" s="985"/>
      <c r="AS126" s="985"/>
      <c r="AT126" s="985"/>
      <c r="AU126" s="1006"/>
      <c r="AV126" s="1005"/>
      <c r="AW126" s="991"/>
      <c r="AX126" s="1007"/>
      <c r="AY126" s="1005"/>
      <c r="AZ126" s="991"/>
      <c r="BA126" s="991" t="e">
        <f>VLOOKUP(I126,#REF!,2,0)</f>
        <v>#REF!</v>
      </c>
      <c r="BB126" s="1001">
        <v>33104</v>
      </c>
      <c r="BC126" s="994">
        <v>43728</v>
      </c>
      <c r="BD126" s="1008">
        <v>43740</v>
      </c>
      <c r="BE126" s="1008">
        <v>43749</v>
      </c>
      <c r="BF126" s="1008">
        <v>43752</v>
      </c>
      <c r="BG126" s="985"/>
      <c r="BH126" s="994"/>
      <c r="BI126" s="985" t="e">
        <f>NETWORKDAYS(BF126,BG126,#REF!)</f>
        <v>#REF!</v>
      </c>
      <c r="BJ126" s="994"/>
      <c r="BK126" s="994"/>
      <c r="BL126" s="994"/>
      <c r="BM126" s="994"/>
      <c r="BN126" s="994"/>
      <c r="BO126" s="994"/>
      <c r="BP126" s="994"/>
      <c r="BQ126" s="995"/>
      <c r="BR126" s="68" t="e">
        <f xml:space="preserve"> NETWORKDAYS(BC126,BM126,#REF!)</f>
        <v>#REF!</v>
      </c>
      <c r="BS126" s="69" t="e">
        <f>NETWORKDAYS(BC126,BN126,#REF!)</f>
        <v>#REF!</v>
      </c>
      <c r="BT126" s="995"/>
      <c r="BU126" s="84"/>
      <c r="BV126" s="1010"/>
      <c r="BW126" s="1010"/>
      <c r="BX126" s="1010"/>
      <c r="BY126" s="1010"/>
      <c r="BZ126" s="1010"/>
    </row>
    <row r="127" spans="1:79" ht="165" hidden="1" x14ac:dyDescent="0.25">
      <c r="A127" s="991" t="s">
        <v>1938</v>
      </c>
      <c r="B127" s="39">
        <v>125</v>
      </c>
      <c r="C127" s="991" t="s">
        <v>149</v>
      </c>
      <c r="D127" s="991" t="s">
        <v>1177</v>
      </c>
      <c r="E127" s="81" t="s">
        <v>163</v>
      </c>
      <c r="F127" s="985" t="s">
        <v>1939</v>
      </c>
      <c r="G127" s="81" t="s">
        <v>163</v>
      </c>
      <c r="H127" s="685" t="s">
        <v>546</v>
      </c>
      <c r="I127" s="81" t="s">
        <v>1862</v>
      </c>
      <c r="J127" s="82"/>
      <c r="K127" s="82"/>
      <c r="L127" s="82"/>
      <c r="M127" s="42" t="str">
        <f t="shared" si="26"/>
        <v xml:space="preserve">Constructora Mozaco, S.A. de C.V.  </v>
      </c>
      <c r="N127" s="991" t="s">
        <v>198</v>
      </c>
      <c r="O127" s="42" t="s">
        <v>198</v>
      </c>
      <c r="P127" s="991" t="s">
        <v>1940</v>
      </c>
      <c r="Q127" s="992">
        <v>3221920</v>
      </c>
      <c r="R127" s="992">
        <f t="shared" si="24"/>
        <v>515507.20000000001</v>
      </c>
      <c r="S127" s="45">
        <f t="shared" si="21"/>
        <v>3737427.2</v>
      </c>
      <c r="T127" s="46">
        <v>0</v>
      </c>
      <c r="U127" s="45">
        <f t="shared" si="27"/>
        <v>0</v>
      </c>
      <c r="V127" s="992">
        <f t="shared" si="22"/>
        <v>3737427.2</v>
      </c>
      <c r="W127" s="993" t="s">
        <v>183</v>
      </c>
      <c r="X127" s="1004">
        <v>43742</v>
      </c>
      <c r="Y127" s="985" t="s">
        <v>1915</v>
      </c>
      <c r="Z127" s="1004">
        <v>43739</v>
      </c>
      <c r="AA127" s="1004">
        <v>43890</v>
      </c>
      <c r="AB127" s="38" t="s">
        <v>1941</v>
      </c>
      <c r="AC127" s="993"/>
      <c r="AD127" s="993"/>
      <c r="AE127" s="993"/>
      <c r="AF127" s="993"/>
      <c r="AG127" s="985"/>
      <c r="AH127" s="991"/>
      <c r="AI127" s="991"/>
      <c r="AJ127" s="1005"/>
      <c r="AK127" s="992"/>
      <c r="AL127" s="985" t="str">
        <f t="shared" ca="1" si="25"/>
        <v>MUERTO</v>
      </c>
      <c r="AM127" s="985">
        <v>35101</v>
      </c>
      <c r="AN127" s="985" t="s">
        <v>156</v>
      </c>
      <c r="AO127" s="985" t="s">
        <v>881</v>
      </c>
      <c r="AP127" s="985"/>
      <c r="AQ127" s="985" t="s">
        <v>1915</v>
      </c>
      <c r="AR127" s="985"/>
      <c r="AS127" s="985"/>
      <c r="AT127" s="985"/>
      <c r="AU127" s="1006"/>
      <c r="AV127" s="1005"/>
      <c r="AW127" s="991"/>
      <c r="AX127" s="1007"/>
      <c r="AY127" s="1005"/>
      <c r="AZ127" s="991"/>
      <c r="BA127" s="991" t="e">
        <f>VLOOKUP(I127,#REF!,2,0)</f>
        <v>#REF!</v>
      </c>
      <c r="BB127" s="1001"/>
      <c r="BC127" s="994">
        <v>43733</v>
      </c>
      <c r="BD127" s="1008">
        <v>43740</v>
      </c>
      <c r="BE127" s="1008">
        <v>43746</v>
      </c>
      <c r="BF127" s="1008">
        <v>43749</v>
      </c>
      <c r="BG127" s="985"/>
      <c r="BH127" s="994"/>
      <c r="BI127" s="985" t="e">
        <f>NETWORKDAYS(BF127,BG127,#REF!)</f>
        <v>#REF!</v>
      </c>
      <c r="BJ127" s="994"/>
      <c r="BK127" s="994"/>
      <c r="BL127" s="994"/>
      <c r="BM127" s="994"/>
      <c r="BN127" s="994"/>
      <c r="BO127" s="994"/>
      <c r="BP127" s="994"/>
      <c r="BQ127" s="995"/>
      <c r="BR127" s="68" t="e">
        <f xml:space="preserve"> NETWORKDAYS(BC127,BM127,#REF!)</f>
        <v>#REF!</v>
      </c>
      <c r="BS127" s="69" t="e">
        <f>NETWORKDAYS(BC127,BN127,#REF!)</f>
        <v>#REF!</v>
      </c>
      <c r="BT127" s="995"/>
      <c r="BU127" s="84"/>
      <c r="BV127" s="1009" t="s">
        <v>1942</v>
      </c>
      <c r="BW127" s="1010"/>
      <c r="BX127" s="1010"/>
      <c r="BY127" s="1010"/>
      <c r="BZ127" s="1010"/>
    </row>
    <row r="128" spans="1:79" ht="120" hidden="1" x14ac:dyDescent="0.25">
      <c r="A128" s="991" t="s">
        <v>1943</v>
      </c>
      <c r="B128" s="39">
        <v>126</v>
      </c>
      <c r="C128" s="991" t="s">
        <v>149</v>
      </c>
      <c r="D128" s="991" t="s">
        <v>1944</v>
      </c>
      <c r="E128" s="4" t="s">
        <v>173</v>
      </c>
      <c r="F128" s="985" t="s">
        <v>174</v>
      </c>
      <c r="G128" s="985" t="s">
        <v>175</v>
      </c>
      <c r="H128" s="985"/>
      <c r="I128" s="81" t="s">
        <v>1945</v>
      </c>
      <c r="J128" s="82"/>
      <c r="K128" s="82"/>
      <c r="L128" s="82"/>
      <c r="M128" s="42" t="str">
        <f t="shared" si="26"/>
        <v xml:space="preserve">Tag Strategy Partners, S.C.  </v>
      </c>
      <c r="N128" s="991" t="s">
        <v>860</v>
      </c>
      <c r="O128" s="991" t="s">
        <v>1946</v>
      </c>
      <c r="P128" s="991" t="s">
        <v>1947</v>
      </c>
      <c r="Q128" s="992">
        <v>1329800</v>
      </c>
      <c r="R128" s="992">
        <f t="shared" si="24"/>
        <v>212768</v>
      </c>
      <c r="S128" s="45">
        <f t="shared" si="21"/>
        <v>1542568</v>
      </c>
      <c r="T128" s="46">
        <v>0</v>
      </c>
      <c r="U128" s="45">
        <f t="shared" si="27"/>
        <v>0</v>
      </c>
      <c r="V128" s="992">
        <f t="shared" si="22"/>
        <v>1542568</v>
      </c>
      <c r="W128" s="993" t="s">
        <v>156</v>
      </c>
      <c r="X128" s="1004">
        <v>43748</v>
      </c>
      <c r="Y128" s="985" t="s">
        <v>1915</v>
      </c>
      <c r="Z128" s="1004">
        <v>43739</v>
      </c>
      <c r="AA128" s="1004">
        <v>43830</v>
      </c>
      <c r="AB128" s="38" t="s">
        <v>1622</v>
      </c>
      <c r="AC128" s="993"/>
      <c r="AD128" s="993"/>
      <c r="AE128" s="993"/>
      <c r="AF128" s="993"/>
      <c r="AG128" s="985"/>
      <c r="AH128" s="991"/>
      <c r="AI128" s="991"/>
      <c r="AJ128" s="1005"/>
      <c r="AK128" s="992"/>
      <c r="AL128" s="985" t="str">
        <f t="shared" ca="1" si="25"/>
        <v>MUERTO</v>
      </c>
      <c r="AM128" s="985">
        <v>33501</v>
      </c>
      <c r="AN128" s="985" t="s">
        <v>156</v>
      </c>
      <c r="AO128" s="985" t="s">
        <v>881</v>
      </c>
      <c r="AP128" s="985"/>
      <c r="AQ128" s="985" t="s">
        <v>1915</v>
      </c>
      <c r="AR128" s="985"/>
      <c r="AS128" s="985"/>
      <c r="AT128" s="985"/>
      <c r="AU128" s="1006"/>
      <c r="AV128" s="1005"/>
      <c r="AW128" s="991"/>
      <c r="AX128" s="1007"/>
      <c r="AY128" s="1005"/>
      <c r="AZ128" s="991"/>
      <c r="BA128" s="991" t="e">
        <f>VLOOKUP(I128,#REF!,2,0)</f>
        <v>#REF!</v>
      </c>
      <c r="BB128" s="1001">
        <v>33501</v>
      </c>
      <c r="BC128" s="994">
        <v>43735</v>
      </c>
      <c r="BD128" s="1008">
        <v>43740</v>
      </c>
      <c r="BE128" s="1008">
        <v>43746</v>
      </c>
      <c r="BF128" s="1008">
        <v>43756</v>
      </c>
      <c r="BG128" s="985"/>
      <c r="BH128" s="994"/>
      <c r="BI128" s="985" t="e">
        <f>NETWORKDAYS(BF128,BG128,#REF!)</f>
        <v>#REF!</v>
      </c>
      <c r="BJ128" s="994"/>
      <c r="BK128" s="994"/>
      <c r="BL128" s="994"/>
      <c r="BM128" s="994"/>
      <c r="BN128" s="994"/>
      <c r="BO128" s="994"/>
      <c r="BP128" s="994">
        <v>43756</v>
      </c>
      <c r="BQ128" s="995"/>
      <c r="BR128" s="68" t="e">
        <f xml:space="preserve"> NETWORKDAYS(BC128,BM128,#REF!)</f>
        <v>#REF!</v>
      </c>
      <c r="BS128" s="69" t="e">
        <f>NETWORKDAYS(BC128,BN128,#REF!)</f>
        <v>#REF!</v>
      </c>
      <c r="BT128" s="995"/>
      <c r="BU128" s="84"/>
      <c r="BV128" s="1010"/>
      <c r="BW128" s="1010"/>
      <c r="BX128" s="1010"/>
      <c r="BY128" s="1010"/>
      <c r="BZ128" s="1010"/>
    </row>
    <row r="129" spans="1:79" ht="105" hidden="1" x14ac:dyDescent="0.25">
      <c r="A129" s="991" t="s">
        <v>1948</v>
      </c>
      <c r="B129" s="39">
        <v>127</v>
      </c>
      <c r="C129" s="991" t="s">
        <v>225</v>
      </c>
      <c r="D129" s="991" t="s">
        <v>878</v>
      </c>
      <c r="E129" s="81" t="s">
        <v>163</v>
      </c>
      <c r="F129" s="985" t="s">
        <v>312</v>
      </c>
      <c r="G129" s="39" t="s">
        <v>1111</v>
      </c>
      <c r="H129" s="685" t="s">
        <v>546</v>
      </c>
      <c r="I129" s="81" t="s">
        <v>361</v>
      </c>
      <c r="J129" s="82"/>
      <c r="K129" s="82"/>
      <c r="L129" s="82"/>
      <c r="M129" s="42" t="str">
        <f t="shared" si="26"/>
        <v xml:space="preserve">Millenium Technologies, S.A. de C.V.  </v>
      </c>
      <c r="N129" s="991" t="s">
        <v>656</v>
      </c>
      <c r="O129" s="991" t="s">
        <v>656</v>
      </c>
      <c r="P129" s="991" t="s">
        <v>1949</v>
      </c>
      <c r="Q129" s="992">
        <v>1327272</v>
      </c>
      <c r="R129" s="992">
        <f t="shared" si="24"/>
        <v>212363.52000000002</v>
      </c>
      <c r="S129" s="45">
        <f t="shared" ref="S129:S160" si="28">Q129+R129</f>
        <v>1539635.52</v>
      </c>
      <c r="T129" s="46">
        <v>0</v>
      </c>
      <c r="U129" s="45">
        <f t="shared" si="27"/>
        <v>0</v>
      </c>
      <c r="V129" s="992">
        <f t="shared" si="22"/>
        <v>1539635.52</v>
      </c>
      <c r="W129" s="993" t="s">
        <v>183</v>
      </c>
      <c r="X129" s="1004">
        <v>43775</v>
      </c>
      <c r="Y129" s="985" t="s">
        <v>729</v>
      </c>
      <c r="Z129" s="1004">
        <v>43744</v>
      </c>
      <c r="AA129" s="1004">
        <v>44109</v>
      </c>
      <c r="AB129" s="38" t="s">
        <v>1950</v>
      </c>
      <c r="AC129" s="993"/>
      <c r="AD129" s="993"/>
      <c r="AE129" s="993"/>
      <c r="AF129" s="993"/>
      <c r="AG129" s="985"/>
      <c r="AH129" s="991"/>
      <c r="AI129" s="991"/>
      <c r="AJ129" s="1005"/>
      <c r="AK129" s="992"/>
      <c r="AL129" s="985" t="str">
        <f t="shared" ca="1" si="25"/>
        <v>MUERTO</v>
      </c>
      <c r="AM129" s="985">
        <v>32701</v>
      </c>
      <c r="AN129" s="985" t="s">
        <v>183</v>
      </c>
      <c r="AO129" s="985" t="s">
        <v>881</v>
      </c>
      <c r="AP129" s="985"/>
      <c r="AQ129" s="73" t="s">
        <v>729</v>
      </c>
      <c r="AR129" s="985"/>
      <c r="AS129" s="985"/>
      <c r="AT129" s="985"/>
      <c r="AU129" s="1006"/>
      <c r="AV129" s="1005"/>
      <c r="AW129" s="991"/>
      <c r="AX129" s="1007"/>
      <c r="AY129" s="1005"/>
      <c r="AZ129" s="991"/>
      <c r="BA129" s="991" t="e">
        <f>VLOOKUP(I129,#REF!,2,0)</f>
        <v>#REF!</v>
      </c>
      <c r="BB129" s="1001"/>
      <c r="BC129" s="994">
        <v>43735</v>
      </c>
      <c r="BD129" s="1008">
        <v>43740</v>
      </c>
      <c r="BE129" s="1008">
        <v>43776</v>
      </c>
      <c r="BF129" s="1008">
        <v>43777</v>
      </c>
      <c r="BG129" s="985"/>
      <c r="BH129" s="994"/>
      <c r="BI129" s="985" t="e">
        <f>NETWORKDAYS(BF129,BG129,#REF!)</f>
        <v>#REF!</v>
      </c>
      <c r="BJ129" s="994"/>
      <c r="BK129" s="994"/>
      <c r="BL129" s="994"/>
      <c r="BM129" s="994"/>
      <c r="BN129" s="994"/>
      <c r="BO129" s="994"/>
      <c r="BP129" s="994"/>
      <c r="BQ129" s="995"/>
      <c r="BR129" s="68" t="e">
        <f xml:space="preserve"> NETWORKDAYS(BC129,BM129,#REF!)</f>
        <v>#REF!</v>
      </c>
      <c r="BS129" s="69" t="e">
        <f>NETWORKDAYS(BC129,BN129,#REF!)</f>
        <v>#REF!</v>
      </c>
      <c r="BT129" s="995"/>
      <c r="BU129" s="84"/>
      <c r="BV129" s="1009" t="s">
        <v>1951</v>
      </c>
      <c r="BW129" s="1010"/>
      <c r="BX129" s="1010"/>
      <c r="BY129" s="1010"/>
      <c r="BZ129" s="1010"/>
    </row>
    <row r="130" spans="1:79" ht="240" hidden="1" x14ac:dyDescent="0.25">
      <c r="A130" s="991" t="s">
        <v>1952</v>
      </c>
      <c r="B130" s="39">
        <v>128</v>
      </c>
      <c r="C130" s="991" t="s">
        <v>149</v>
      </c>
      <c r="D130" s="991" t="s">
        <v>1953</v>
      </c>
      <c r="E130" s="4" t="s">
        <v>173</v>
      </c>
      <c r="F130" s="985" t="s">
        <v>174</v>
      </c>
      <c r="G130" s="985" t="s">
        <v>175</v>
      </c>
      <c r="H130" s="985"/>
      <c r="I130" s="81" t="s">
        <v>1954</v>
      </c>
      <c r="J130" s="82"/>
      <c r="K130" s="82"/>
      <c r="L130" s="82"/>
      <c r="M130" s="42" t="str">
        <f t="shared" si="26"/>
        <v xml:space="preserve">Sistemas Impermeables y Recubrimientos, S.A. de C.V.  </v>
      </c>
      <c r="N130" s="991" t="s">
        <v>198</v>
      </c>
      <c r="O130" s="991" t="s">
        <v>198</v>
      </c>
      <c r="P130" s="991" t="s">
        <v>1955</v>
      </c>
      <c r="Q130" s="992">
        <v>1622367.4</v>
      </c>
      <c r="R130" s="992">
        <f t="shared" si="24"/>
        <v>259578.78399999999</v>
      </c>
      <c r="S130" s="45">
        <f t="shared" si="28"/>
        <v>1881946.1839999999</v>
      </c>
      <c r="T130" s="46">
        <v>0</v>
      </c>
      <c r="U130" s="45">
        <f t="shared" si="27"/>
        <v>0</v>
      </c>
      <c r="V130" s="992">
        <f t="shared" si="22"/>
        <v>1881946.1839999999</v>
      </c>
      <c r="W130" s="993" t="s">
        <v>156</v>
      </c>
      <c r="X130" s="1004">
        <v>43761</v>
      </c>
      <c r="Y130" s="985" t="s">
        <v>1915</v>
      </c>
      <c r="Z130" s="1004">
        <v>43760</v>
      </c>
      <c r="AA130" s="1004">
        <v>43830</v>
      </c>
      <c r="AB130" s="38" t="s">
        <v>1902</v>
      </c>
      <c r="AC130" s="993"/>
      <c r="AD130" s="993"/>
      <c r="AE130" s="993"/>
      <c r="AF130" s="993"/>
      <c r="AG130" s="985"/>
      <c r="AH130" s="103" t="s">
        <v>1956</v>
      </c>
      <c r="AI130" s="103" t="s">
        <v>1957</v>
      </c>
      <c r="AJ130" s="104">
        <v>43830</v>
      </c>
      <c r="AK130" s="105">
        <v>0</v>
      </c>
      <c r="AL130" s="985" t="str">
        <f t="shared" ca="1" si="25"/>
        <v>MUERTO</v>
      </c>
      <c r="AM130" s="985">
        <v>35101</v>
      </c>
      <c r="AN130" s="985" t="s">
        <v>183</v>
      </c>
      <c r="AO130" s="985" t="s">
        <v>881</v>
      </c>
      <c r="AP130" s="985" t="s">
        <v>924</v>
      </c>
      <c r="AQ130" s="985" t="s">
        <v>1915</v>
      </c>
      <c r="AR130" s="985"/>
      <c r="AS130" s="985"/>
      <c r="AT130" s="985"/>
      <c r="AU130" s="1006"/>
      <c r="AV130" s="1005"/>
      <c r="AW130" s="991"/>
      <c r="AX130" s="1007"/>
      <c r="AY130" s="1005"/>
      <c r="AZ130" s="991"/>
      <c r="BA130" s="991" t="e">
        <f>VLOOKUP(I130,#REF!,2,0)</f>
        <v>#REF!</v>
      </c>
      <c r="BB130" s="1001">
        <v>35101</v>
      </c>
      <c r="BC130" s="994">
        <v>43755</v>
      </c>
      <c r="BD130" s="1008">
        <v>43759</v>
      </c>
      <c r="BE130" s="1008">
        <v>43762</v>
      </c>
      <c r="BF130" s="1008">
        <v>43768</v>
      </c>
      <c r="BG130" s="985"/>
      <c r="BH130" s="994"/>
      <c r="BI130" s="985" t="e">
        <f>NETWORKDAYS(BF130,BG130,#REF!)</f>
        <v>#REF!</v>
      </c>
      <c r="BJ130" s="994"/>
      <c r="BK130" s="994"/>
      <c r="BL130" s="994"/>
      <c r="BM130" s="994"/>
      <c r="BN130" s="994"/>
      <c r="BO130" s="994"/>
      <c r="BP130" s="994"/>
      <c r="BQ130" s="995"/>
      <c r="BR130" s="68" t="e">
        <f xml:space="preserve"> NETWORKDAYS(BC130,BM130,#REF!)</f>
        <v>#REF!</v>
      </c>
      <c r="BS130" s="69" t="e">
        <f>NETWORKDAYS(BC130,BN130,#REF!)</f>
        <v>#REF!</v>
      </c>
      <c r="BT130" s="995"/>
      <c r="BU130" s="84"/>
      <c r="BV130" s="1010"/>
      <c r="BW130" s="1010"/>
      <c r="BX130" s="1010"/>
      <c r="BY130" s="1010"/>
      <c r="BZ130" s="1010"/>
    </row>
    <row r="131" spans="1:79" ht="105" x14ac:dyDescent="0.25">
      <c r="A131" s="991" t="s">
        <v>1958</v>
      </c>
      <c r="B131" s="39">
        <v>129</v>
      </c>
      <c r="C131" s="991" t="s">
        <v>1959</v>
      </c>
      <c r="D131" s="991" t="s">
        <v>1960</v>
      </c>
      <c r="E131" s="81" t="s">
        <v>163</v>
      </c>
      <c r="F131" s="985" t="s">
        <v>1961</v>
      </c>
      <c r="G131" s="960" t="s">
        <v>427</v>
      </c>
      <c r="H131" s="81" t="s">
        <v>163</v>
      </c>
      <c r="I131" s="81" t="s">
        <v>1962</v>
      </c>
      <c r="J131" s="82"/>
      <c r="K131" s="82"/>
      <c r="L131" s="82"/>
      <c r="M131" s="42" t="str">
        <f t="shared" si="26"/>
        <v xml:space="preserve">VF Ingeniería, S.A. de C.V.  </v>
      </c>
      <c r="N131" s="991" t="s">
        <v>198</v>
      </c>
      <c r="O131" s="991" t="s">
        <v>198</v>
      </c>
      <c r="P131" s="991" t="s">
        <v>1963</v>
      </c>
      <c r="Q131" s="992">
        <v>30603448.280000001</v>
      </c>
      <c r="R131" s="992">
        <f t="shared" si="24"/>
        <v>4896551.7248</v>
      </c>
      <c r="S131" s="45">
        <f t="shared" si="28"/>
        <v>35500000.004799999</v>
      </c>
      <c r="T131" s="46">
        <v>0</v>
      </c>
      <c r="U131" s="45">
        <f t="shared" si="27"/>
        <v>0</v>
      </c>
      <c r="V131" s="992">
        <f t="shared" si="22"/>
        <v>35500000.004799999</v>
      </c>
      <c r="W131" s="993" t="s">
        <v>156</v>
      </c>
      <c r="X131" s="1004">
        <v>43769</v>
      </c>
      <c r="Y131" s="985" t="s">
        <v>1915</v>
      </c>
      <c r="Z131" s="1004">
        <v>43759</v>
      </c>
      <c r="AA131" s="1004">
        <v>43830</v>
      </c>
      <c r="AB131" s="38" t="s">
        <v>1912</v>
      </c>
      <c r="AC131" s="993"/>
      <c r="AD131" s="993"/>
      <c r="AE131" s="993"/>
      <c r="AF131" s="993"/>
      <c r="AG131" s="985"/>
      <c r="AH131" s="991"/>
      <c r="AI131" s="991"/>
      <c r="AJ131" s="1005"/>
      <c r="AK131" s="992"/>
      <c r="AL131" s="985" t="str">
        <f t="shared" ca="1" si="25"/>
        <v>MUERTO</v>
      </c>
      <c r="AM131" s="985">
        <v>62202</v>
      </c>
      <c r="AN131" s="985" t="s">
        <v>156</v>
      </c>
      <c r="AO131" s="985" t="s">
        <v>881</v>
      </c>
      <c r="AP131" s="985"/>
      <c r="AQ131" s="73" t="s">
        <v>729</v>
      </c>
      <c r="AR131" s="985"/>
      <c r="AS131" s="985"/>
      <c r="AT131" s="985"/>
      <c r="AU131" s="1006"/>
      <c r="AV131" s="1005"/>
      <c r="AW131" s="991"/>
      <c r="AX131" s="1007"/>
      <c r="AY131" s="1005"/>
      <c r="AZ131" s="991"/>
      <c r="BA131" s="991" t="e">
        <f>VLOOKUP(I131,#REF!,2,0)</f>
        <v>#REF!</v>
      </c>
      <c r="BB131" s="1001"/>
      <c r="BC131" s="994"/>
      <c r="BD131" s="1008">
        <v>43759</v>
      </c>
      <c r="BE131" s="1008">
        <v>43773</v>
      </c>
      <c r="BF131" s="1008">
        <v>43773</v>
      </c>
      <c r="BG131" s="985"/>
      <c r="BH131" s="994"/>
      <c r="BI131" s="985" t="e">
        <f>NETWORKDAYS(BF131,BG131,#REF!)</f>
        <v>#REF!</v>
      </c>
      <c r="BJ131" s="994"/>
      <c r="BK131" s="994"/>
      <c r="BL131" s="994"/>
      <c r="BM131" s="994"/>
      <c r="BN131" s="994"/>
      <c r="BO131" s="994"/>
      <c r="BP131" s="994">
        <v>43773</v>
      </c>
      <c r="BQ131" s="995"/>
      <c r="BR131" s="68" t="e">
        <f xml:space="preserve"> NETWORKDAYS(BC131,BM131,#REF!)</f>
        <v>#REF!</v>
      </c>
      <c r="BS131" s="69" t="e">
        <f>NETWORKDAYS(BC131,BN131,#REF!)</f>
        <v>#REF!</v>
      </c>
      <c r="BT131" s="995"/>
      <c r="BU131" s="84"/>
      <c r="BV131" s="1010"/>
      <c r="BW131" s="1010"/>
      <c r="BX131" s="1010"/>
      <c r="BY131" s="1010"/>
      <c r="BZ131" s="1010"/>
    </row>
    <row r="132" spans="1:79" ht="345" hidden="1" x14ac:dyDescent="0.25">
      <c r="A132" s="991" t="s">
        <v>1964</v>
      </c>
      <c r="B132" s="39">
        <v>130</v>
      </c>
      <c r="C132" s="991" t="s">
        <v>149</v>
      </c>
      <c r="D132" s="991" t="s">
        <v>1965</v>
      </c>
      <c r="E132" s="4" t="s">
        <v>173</v>
      </c>
      <c r="F132" s="985" t="s">
        <v>326</v>
      </c>
      <c r="G132" s="985" t="s">
        <v>175</v>
      </c>
      <c r="H132" s="985"/>
      <c r="I132" s="81" t="s">
        <v>1966</v>
      </c>
      <c r="J132" s="82"/>
      <c r="K132" s="82"/>
      <c r="L132" s="82"/>
      <c r="M132" s="42" t="str">
        <f t="shared" si="26"/>
        <v xml:space="preserve">Corporate Accon en Conocimientos e Ingeniería, S.A. de C.V.  </v>
      </c>
      <c r="N132" s="991" t="s">
        <v>198</v>
      </c>
      <c r="O132" s="991" t="s">
        <v>198</v>
      </c>
      <c r="P132" s="991" t="s">
        <v>1967</v>
      </c>
      <c r="Q132" s="992">
        <v>3882797.4</v>
      </c>
      <c r="R132" s="992">
        <f t="shared" si="24"/>
        <v>621247.58400000003</v>
      </c>
      <c r="S132" s="45">
        <f t="shared" si="28"/>
        <v>4504044.9840000002</v>
      </c>
      <c r="T132" s="46">
        <v>0</v>
      </c>
      <c r="U132" s="45">
        <f t="shared" si="27"/>
        <v>0</v>
      </c>
      <c r="V132" s="992">
        <f t="shared" ref="V132:V163" si="29">S132+AK132</f>
        <v>4504044.9840000002</v>
      </c>
      <c r="W132" s="993" t="s">
        <v>183</v>
      </c>
      <c r="X132" s="1004">
        <v>43774</v>
      </c>
      <c r="Y132" s="985" t="s">
        <v>729</v>
      </c>
      <c r="Z132" s="1004">
        <v>43767</v>
      </c>
      <c r="AA132" s="1004">
        <v>43830</v>
      </c>
      <c r="AB132" s="38" t="s">
        <v>1902</v>
      </c>
      <c r="AC132" s="993"/>
      <c r="AD132" s="993"/>
      <c r="AE132" s="993"/>
      <c r="AF132" s="993"/>
      <c r="AG132" s="985"/>
      <c r="AH132" s="103"/>
      <c r="AI132" s="103"/>
      <c r="AJ132" s="104"/>
      <c r="AK132" s="105"/>
      <c r="AL132" s="985" t="str">
        <f t="shared" ca="1" si="25"/>
        <v>MUERTO</v>
      </c>
      <c r="AM132" s="985">
        <v>35101</v>
      </c>
      <c r="AN132" s="985" t="s">
        <v>156</v>
      </c>
      <c r="AO132" s="985" t="s">
        <v>881</v>
      </c>
      <c r="AP132" s="985"/>
      <c r="AQ132" s="73" t="s">
        <v>729</v>
      </c>
      <c r="AR132" s="985"/>
      <c r="AS132" s="985"/>
      <c r="AT132" s="985"/>
      <c r="AU132" s="1006"/>
      <c r="AV132" s="1005"/>
      <c r="AW132" s="1006"/>
      <c r="AX132" s="1007"/>
      <c r="AY132" s="1005"/>
      <c r="AZ132" s="991"/>
      <c r="BA132" s="991" t="e">
        <f>VLOOKUP(I132,#REF!,2,0)</f>
        <v>#REF!</v>
      </c>
      <c r="BB132" s="1001">
        <v>35101</v>
      </c>
      <c r="BC132" s="994">
        <v>43763</v>
      </c>
      <c r="BD132" s="1008">
        <v>43767</v>
      </c>
      <c r="BE132" s="1008">
        <v>43776</v>
      </c>
      <c r="BF132" s="985"/>
      <c r="BG132" s="985"/>
      <c r="BH132" s="994"/>
      <c r="BI132" s="985" t="e">
        <f>NETWORKDAYS(BF132,BG132,#REF!)</f>
        <v>#REF!</v>
      </c>
      <c r="BJ132" s="994"/>
      <c r="BK132" s="994"/>
      <c r="BL132" s="994"/>
      <c r="BM132" s="994"/>
      <c r="BN132" s="994"/>
      <c r="BO132" s="994"/>
      <c r="BP132" s="994"/>
      <c r="BQ132" s="995"/>
      <c r="BR132" s="68" t="e">
        <f xml:space="preserve"> NETWORKDAYS(BC132,BM132,#REF!)</f>
        <v>#REF!</v>
      </c>
      <c r="BS132" s="69" t="e">
        <f>NETWORKDAYS(BC132,BN132,#REF!)</f>
        <v>#REF!</v>
      </c>
      <c r="BT132" s="995"/>
      <c r="BU132" s="84"/>
      <c r="BV132" s="1009" t="s">
        <v>1968</v>
      </c>
      <c r="BW132" s="1010"/>
      <c r="BX132" s="1010"/>
      <c r="BY132" s="1010"/>
      <c r="BZ132" s="1010"/>
    </row>
    <row r="133" spans="1:79" ht="135" hidden="1" x14ac:dyDescent="0.25">
      <c r="A133" s="991" t="s">
        <v>1969</v>
      </c>
      <c r="B133" s="39">
        <v>131</v>
      </c>
      <c r="C133" s="991" t="s">
        <v>149</v>
      </c>
      <c r="D133" s="991" t="s">
        <v>1970</v>
      </c>
      <c r="E133" s="985" t="s">
        <v>151</v>
      </c>
      <c r="F133" s="985" t="s">
        <v>152</v>
      </c>
      <c r="G133" s="985" t="s">
        <v>151</v>
      </c>
      <c r="H133" s="985"/>
      <c r="I133" s="81" t="s">
        <v>784</v>
      </c>
      <c r="J133" s="82"/>
      <c r="K133" s="82"/>
      <c r="L133" s="82"/>
      <c r="M133" s="42" t="str">
        <f t="shared" si="26"/>
        <v xml:space="preserve">ISSA Edificaciones, S.A. de C.V.  </v>
      </c>
      <c r="N133" s="991" t="s">
        <v>656</v>
      </c>
      <c r="O133" s="991" t="s">
        <v>667</v>
      </c>
      <c r="P133" s="991" t="s">
        <v>1971</v>
      </c>
      <c r="Q133" s="992">
        <v>980000</v>
      </c>
      <c r="R133" s="992">
        <f t="shared" si="24"/>
        <v>156800</v>
      </c>
      <c r="S133" s="45">
        <f t="shared" si="28"/>
        <v>1136800</v>
      </c>
      <c r="T133" s="46">
        <v>294000</v>
      </c>
      <c r="U133" s="45">
        <f t="shared" si="27"/>
        <v>341040</v>
      </c>
      <c r="V133" s="992">
        <f t="shared" si="29"/>
        <v>1136800</v>
      </c>
      <c r="W133" s="993" t="s">
        <v>156</v>
      </c>
      <c r="X133" s="1004">
        <v>43773</v>
      </c>
      <c r="Y133" s="985" t="s">
        <v>729</v>
      </c>
      <c r="Z133" s="1004">
        <v>43768</v>
      </c>
      <c r="AA133" s="1004">
        <v>43830</v>
      </c>
      <c r="AB133" s="38" t="s">
        <v>1810</v>
      </c>
      <c r="AC133" s="993"/>
      <c r="AD133" s="993"/>
      <c r="AE133" s="993"/>
      <c r="AF133" s="993"/>
      <c r="AG133" s="985"/>
      <c r="AH133" s="991"/>
      <c r="AI133" s="991"/>
      <c r="AJ133" s="1005"/>
      <c r="AK133" s="992"/>
      <c r="AL133" s="985" t="str">
        <f t="shared" ca="1" si="25"/>
        <v>MUERTO</v>
      </c>
      <c r="AM133" s="985">
        <v>35301</v>
      </c>
      <c r="AN133" s="985" t="s">
        <v>183</v>
      </c>
      <c r="AO133" s="985" t="s">
        <v>881</v>
      </c>
      <c r="AP133" s="985"/>
      <c r="AQ133" s="73" t="s">
        <v>729</v>
      </c>
      <c r="AR133" s="985"/>
      <c r="AS133" s="985"/>
      <c r="AT133" s="985"/>
      <c r="AU133" s="1006"/>
      <c r="AV133" s="1005"/>
      <c r="AW133" s="991"/>
      <c r="AX133" s="1007"/>
      <c r="AY133" s="1005"/>
      <c r="AZ133" s="991"/>
      <c r="BA133" s="991" t="e">
        <f>VLOOKUP(I133,#REF!,2,0)</f>
        <v>#REF!</v>
      </c>
      <c r="BB133" s="1001">
        <v>35301</v>
      </c>
      <c r="BC133" s="994">
        <v>43766</v>
      </c>
      <c r="BD133" s="1008">
        <v>43768</v>
      </c>
      <c r="BE133" s="1008">
        <v>43775</v>
      </c>
      <c r="BF133" s="985"/>
      <c r="BG133" s="985"/>
      <c r="BH133" s="994"/>
      <c r="BI133" s="985" t="e">
        <f>NETWORKDAYS(BF133,BG133,#REF!)</f>
        <v>#REF!</v>
      </c>
      <c r="BJ133" s="994"/>
      <c r="BK133" s="994"/>
      <c r="BL133" s="994"/>
      <c r="BM133" s="994"/>
      <c r="BN133" s="994"/>
      <c r="BO133" s="994"/>
      <c r="BP133" s="994"/>
      <c r="BQ133" s="995"/>
      <c r="BR133" s="68" t="e">
        <f xml:space="preserve"> NETWORKDAYS(BC133,BM133,#REF!)</f>
        <v>#REF!</v>
      </c>
      <c r="BS133" s="69" t="e">
        <f>NETWORKDAYS(BC133,BN133,#REF!)</f>
        <v>#REF!</v>
      </c>
      <c r="BT133" s="995"/>
      <c r="BU133" s="84"/>
      <c r="BV133" s="1010"/>
      <c r="BW133" s="1010"/>
      <c r="BX133" s="1010"/>
      <c r="BY133" s="1010"/>
      <c r="BZ133" s="1010"/>
    </row>
    <row r="134" spans="1:79" ht="210" hidden="1" x14ac:dyDescent="0.25">
      <c r="A134" s="991" t="s">
        <v>1972</v>
      </c>
      <c r="B134" s="39">
        <v>132</v>
      </c>
      <c r="C134" s="991" t="s">
        <v>149</v>
      </c>
      <c r="D134" s="991" t="s">
        <v>1973</v>
      </c>
      <c r="E134" s="81" t="s">
        <v>163</v>
      </c>
      <c r="F134" s="985" t="s">
        <v>1974</v>
      </c>
      <c r="G134" s="39" t="s">
        <v>1111</v>
      </c>
      <c r="H134" s="685" t="s">
        <v>546</v>
      </c>
      <c r="I134" s="81"/>
      <c r="J134" s="82" t="s">
        <v>1975</v>
      </c>
      <c r="K134" s="82" t="s">
        <v>1976</v>
      </c>
      <c r="L134" s="82" t="s">
        <v>393</v>
      </c>
      <c r="M134" s="42" t="str">
        <f t="shared" si="26"/>
        <v>Salvador Quiauhtlazollin Martínez</v>
      </c>
      <c r="N134" s="991" t="s">
        <v>860</v>
      </c>
      <c r="O134" s="991" t="s">
        <v>1946</v>
      </c>
      <c r="P134" s="991" t="s">
        <v>1977</v>
      </c>
      <c r="Q134" s="992">
        <v>200000</v>
      </c>
      <c r="R134" s="992">
        <f t="shared" si="24"/>
        <v>32000</v>
      </c>
      <c r="S134" s="45">
        <f t="shared" si="28"/>
        <v>232000</v>
      </c>
      <c r="T134" s="46">
        <v>0</v>
      </c>
      <c r="U134" s="45">
        <f t="shared" si="27"/>
        <v>0</v>
      </c>
      <c r="V134" s="992">
        <f t="shared" si="29"/>
        <v>232000</v>
      </c>
      <c r="W134" s="993" t="s">
        <v>156</v>
      </c>
      <c r="X134" s="1004">
        <v>43777</v>
      </c>
      <c r="Y134" s="985" t="s">
        <v>729</v>
      </c>
      <c r="Z134" s="1004">
        <v>43770</v>
      </c>
      <c r="AA134" s="1004">
        <v>43830</v>
      </c>
      <c r="AB134" s="991" t="s">
        <v>1978</v>
      </c>
      <c r="AC134" s="993"/>
      <c r="AD134" s="993"/>
      <c r="AE134" s="993"/>
      <c r="AF134" s="993"/>
      <c r="AG134" s="985"/>
      <c r="AH134" s="991"/>
      <c r="AI134" s="991"/>
      <c r="AJ134" s="1005"/>
      <c r="AK134" s="992"/>
      <c r="AL134" s="985" t="str">
        <f t="shared" ca="1" si="25"/>
        <v>MUERTO</v>
      </c>
      <c r="AM134" s="985">
        <v>36101</v>
      </c>
      <c r="AN134" s="985" t="s">
        <v>183</v>
      </c>
      <c r="AO134" s="985" t="s">
        <v>892</v>
      </c>
      <c r="AP134" s="985"/>
      <c r="AQ134" s="73" t="s">
        <v>729</v>
      </c>
      <c r="AR134" s="985"/>
      <c r="AS134" s="985"/>
      <c r="AT134" s="985"/>
      <c r="AU134" s="1006"/>
      <c r="AV134" s="1005"/>
      <c r="AW134" s="991"/>
      <c r="AX134" s="1007"/>
      <c r="AY134" s="1005"/>
      <c r="AZ134" s="991"/>
      <c r="BA134" s="991" t="e">
        <f>VLOOKUP(I134,#REF!,2,0)</f>
        <v>#REF!</v>
      </c>
      <c r="BB134" s="1001"/>
      <c r="BC134" s="994"/>
      <c r="BD134" s="985"/>
      <c r="BE134" s="985"/>
      <c r="BF134" s="985"/>
      <c r="BG134" s="985"/>
      <c r="BH134" s="994"/>
      <c r="BI134" s="985" t="e">
        <f>NETWORKDAYS(BF134,BG134,#REF!)</f>
        <v>#REF!</v>
      </c>
      <c r="BJ134" s="994"/>
      <c r="BK134" s="994"/>
      <c r="BL134" s="994"/>
      <c r="BM134" s="994"/>
      <c r="BN134" s="994"/>
      <c r="BO134" s="994"/>
      <c r="BP134" s="994"/>
      <c r="BQ134" s="995"/>
      <c r="BR134" s="68" t="e">
        <f xml:space="preserve"> NETWORKDAYS(BC134,BM134,#REF!)</f>
        <v>#REF!</v>
      </c>
      <c r="BS134" s="69" t="e">
        <f>NETWORKDAYS(BC134,BN134,#REF!)</f>
        <v>#REF!</v>
      </c>
      <c r="BT134" s="995"/>
      <c r="BU134" s="84"/>
      <c r="BV134" s="1010"/>
      <c r="BW134" s="1010"/>
      <c r="BX134" s="1010"/>
      <c r="BY134" s="1010"/>
      <c r="BZ134" s="1010"/>
    </row>
    <row r="135" spans="1:79" ht="409.5" hidden="1" x14ac:dyDescent="0.25">
      <c r="A135" s="991" t="s">
        <v>1979</v>
      </c>
      <c r="B135" s="39">
        <v>133</v>
      </c>
      <c r="C135" s="991" t="s">
        <v>149</v>
      </c>
      <c r="D135" s="991" t="s">
        <v>1973</v>
      </c>
      <c r="E135" s="81" t="s">
        <v>163</v>
      </c>
      <c r="F135" s="985" t="s">
        <v>1974</v>
      </c>
      <c r="G135" s="39" t="s">
        <v>1111</v>
      </c>
      <c r="H135" s="685" t="s">
        <v>546</v>
      </c>
      <c r="I135" s="81"/>
      <c r="J135" s="82" t="s">
        <v>1980</v>
      </c>
      <c r="K135" s="82" t="s">
        <v>467</v>
      </c>
      <c r="L135" s="82" t="s">
        <v>1837</v>
      </c>
      <c r="M135" s="42" t="str">
        <f t="shared" si="26"/>
        <v>Víctor Enrique Gutiérrez Hernández</v>
      </c>
      <c r="N135" s="991" t="s">
        <v>860</v>
      </c>
      <c r="O135" s="991" t="s">
        <v>1946</v>
      </c>
      <c r="P135" s="991" t="s">
        <v>1981</v>
      </c>
      <c r="Q135" s="992">
        <v>680000</v>
      </c>
      <c r="R135" s="992">
        <f t="shared" ref="R135:R165" si="30">Q135*0.16</f>
        <v>108800</v>
      </c>
      <c r="S135" s="45">
        <f t="shared" si="28"/>
        <v>788800</v>
      </c>
      <c r="T135" s="46">
        <v>0</v>
      </c>
      <c r="U135" s="45">
        <f t="shared" si="27"/>
        <v>0</v>
      </c>
      <c r="V135" s="992">
        <f t="shared" si="29"/>
        <v>788800</v>
      </c>
      <c r="W135" s="993" t="s">
        <v>156</v>
      </c>
      <c r="X135" s="1004">
        <v>43777</v>
      </c>
      <c r="Y135" s="985" t="s">
        <v>729</v>
      </c>
      <c r="Z135" s="1004">
        <v>43770</v>
      </c>
      <c r="AA135" s="1004">
        <v>43830</v>
      </c>
      <c r="AB135" s="991" t="s">
        <v>1887</v>
      </c>
      <c r="AC135" s="993"/>
      <c r="AD135" s="993"/>
      <c r="AE135" s="993"/>
      <c r="AF135" s="993"/>
      <c r="AG135" s="985"/>
      <c r="AH135" s="991"/>
      <c r="AI135" s="991"/>
      <c r="AJ135" s="1005"/>
      <c r="AK135" s="992"/>
      <c r="AL135" s="985" t="str">
        <f t="shared" ca="1" si="25"/>
        <v>MUERTO</v>
      </c>
      <c r="AM135" s="985">
        <v>36101</v>
      </c>
      <c r="AN135" s="985" t="s">
        <v>183</v>
      </c>
      <c r="AO135" s="985" t="s">
        <v>892</v>
      </c>
      <c r="AP135" s="985"/>
      <c r="AQ135" s="73" t="s">
        <v>729</v>
      </c>
      <c r="AR135" s="985"/>
      <c r="AS135" s="985"/>
      <c r="AT135" s="985"/>
      <c r="AU135" s="1006"/>
      <c r="AV135" s="1005"/>
      <c r="AW135" s="991"/>
      <c r="AX135" s="1007"/>
      <c r="AY135" s="1005"/>
      <c r="AZ135" s="991"/>
      <c r="BA135" s="991" t="e">
        <f>VLOOKUP(I135,#REF!,2,0)</f>
        <v>#REF!</v>
      </c>
      <c r="BB135" s="1001"/>
      <c r="BC135" s="994"/>
      <c r="BD135" s="985"/>
      <c r="BE135" s="985"/>
      <c r="BF135" s="985"/>
      <c r="BG135" s="985"/>
      <c r="BH135" s="994"/>
      <c r="BI135" s="985" t="e">
        <f>NETWORKDAYS(BF135,BG135,#REF!)</f>
        <v>#REF!</v>
      </c>
      <c r="BJ135" s="994"/>
      <c r="BK135" s="994"/>
      <c r="BL135" s="994"/>
      <c r="BM135" s="994"/>
      <c r="BN135" s="994"/>
      <c r="BO135" s="994"/>
      <c r="BP135" s="994"/>
      <c r="BQ135" s="995"/>
      <c r="BR135" s="68" t="e">
        <f xml:space="preserve"> NETWORKDAYS(BC135,BM135,#REF!)</f>
        <v>#REF!</v>
      </c>
      <c r="BS135" s="69" t="e">
        <f>NETWORKDAYS(BC135,BN135,#REF!)</f>
        <v>#REF!</v>
      </c>
      <c r="BT135" s="995"/>
      <c r="BU135" s="84"/>
      <c r="BV135" s="1010"/>
      <c r="BW135" s="1010"/>
      <c r="BX135" s="1010"/>
      <c r="BY135" s="1010"/>
      <c r="BZ135" s="1010"/>
    </row>
    <row r="136" spans="1:79" ht="375" hidden="1" x14ac:dyDescent="0.25">
      <c r="A136" s="991" t="s">
        <v>1982</v>
      </c>
      <c r="B136" s="39">
        <v>134</v>
      </c>
      <c r="C136" s="991" t="s">
        <v>149</v>
      </c>
      <c r="D136" s="991" t="s">
        <v>1973</v>
      </c>
      <c r="E136" s="81" t="s">
        <v>163</v>
      </c>
      <c r="F136" s="985" t="s">
        <v>1974</v>
      </c>
      <c r="G136" s="39" t="s">
        <v>1111</v>
      </c>
      <c r="H136" s="685" t="s">
        <v>546</v>
      </c>
      <c r="I136" s="81"/>
      <c r="J136" s="82" t="s">
        <v>1983</v>
      </c>
      <c r="K136" s="82" t="s">
        <v>1984</v>
      </c>
      <c r="L136" s="82" t="s">
        <v>1837</v>
      </c>
      <c r="M136" s="42" t="str">
        <f t="shared" si="26"/>
        <v>Fernando Suárez Madrid Hernández</v>
      </c>
      <c r="N136" s="991" t="s">
        <v>860</v>
      </c>
      <c r="O136" s="991" t="s">
        <v>1946</v>
      </c>
      <c r="P136" s="991" t="s">
        <v>1985</v>
      </c>
      <c r="Q136" s="992">
        <v>450000</v>
      </c>
      <c r="R136" s="992">
        <f t="shared" si="30"/>
        <v>72000</v>
      </c>
      <c r="S136" s="45">
        <f t="shared" si="28"/>
        <v>522000</v>
      </c>
      <c r="T136" s="46">
        <v>0</v>
      </c>
      <c r="U136" s="45">
        <f t="shared" si="27"/>
        <v>0</v>
      </c>
      <c r="V136" s="992">
        <f t="shared" si="29"/>
        <v>522000</v>
      </c>
      <c r="W136" s="993" t="s">
        <v>156</v>
      </c>
      <c r="X136" s="1004">
        <v>43777</v>
      </c>
      <c r="Y136" s="985" t="s">
        <v>729</v>
      </c>
      <c r="Z136" s="1004">
        <v>43770</v>
      </c>
      <c r="AA136" s="1004">
        <v>43830</v>
      </c>
      <c r="AB136" s="991" t="s">
        <v>1887</v>
      </c>
      <c r="AC136" s="993"/>
      <c r="AD136" s="993"/>
      <c r="AE136" s="993"/>
      <c r="AF136" s="993"/>
      <c r="AG136" s="985"/>
      <c r="AH136" s="991"/>
      <c r="AI136" s="991"/>
      <c r="AJ136" s="1005"/>
      <c r="AK136" s="992"/>
      <c r="AL136" s="985" t="str">
        <f t="shared" ca="1" si="25"/>
        <v>MUERTO</v>
      </c>
      <c r="AM136" s="985">
        <v>36101</v>
      </c>
      <c r="AN136" s="985" t="s">
        <v>183</v>
      </c>
      <c r="AO136" s="985" t="s">
        <v>892</v>
      </c>
      <c r="AP136" s="985"/>
      <c r="AQ136" s="73" t="s">
        <v>729</v>
      </c>
      <c r="AR136" s="985"/>
      <c r="AS136" s="985"/>
      <c r="AT136" s="985"/>
      <c r="AU136" s="1006"/>
      <c r="AV136" s="1005"/>
      <c r="AW136" s="991"/>
      <c r="AX136" s="1007"/>
      <c r="AY136" s="1005"/>
      <c r="AZ136" s="991"/>
      <c r="BA136" s="991" t="e">
        <f>VLOOKUP(I136,#REF!,2,0)</f>
        <v>#REF!</v>
      </c>
      <c r="BB136" s="1001"/>
      <c r="BC136" s="994"/>
      <c r="BD136" s="985"/>
      <c r="BE136" s="985"/>
      <c r="BF136" s="985"/>
      <c r="BG136" s="985"/>
      <c r="BH136" s="994"/>
      <c r="BI136" s="985" t="e">
        <f>NETWORKDAYS(BF136,BG136,#REF!)</f>
        <v>#REF!</v>
      </c>
      <c r="BJ136" s="994"/>
      <c r="BK136" s="994"/>
      <c r="BL136" s="994"/>
      <c r="BM136" s="994"/>
      <c r="BN136" s="994"/>
      <c r="BO136" s="994"/>
      <c r="BP136" s="994"/>
      <c r="BQ136" s="995"/>
      <c r="BR136" s="68" t="e">
        <f xml:space="preserve"> NETWORKDAYS(BC136,BM136,#REF!)</f>
        <v>#REF!</v>
      </c>
      <c r="BS136" s="69" t="e">
        <f>NETWORKDAYS(BC136,BN136,#REF!)</f>
        <v>#REF!</v>
      </c>
      <c r="BT136" s="995"/>
      <c r="BU136" s="84"/>
      <c r="BV136" s="1010"/>
      <c r="BW136" s="1010"/>
      <c r="BX136" s="1010"/>
      <c r="BY136" s="1010"/>
      <c r="BZ136" s="1010"/>
    </row>
    <row r="137" spans="1:79" ht="375" hidden="1" x14ac:dyDescent="0.25">
      <c r="A137" s="991" t="s">
        <v>1986</v>
      </c>
      <c r="B137" s="39">
        <v>135</v>
      </c>
      <c r="C137" s="991" t="s">
        <v>149</v>
      </c>
      <c r="D137" s="991" t="s">
        <v>1973</v>
      </c>
      <c r="E137" s="81" t="s">
        <v>163</v>
      </c>
      <c r="F137" s="985" t="s">
        <v>1974</v>
      </c>
      <c r="G137" s="39" t="s">
        <v>1111</v>
      </c>
      <c r="H137" s="685" t="s">
        <v>546</v>
      </c>
      <c r="I137" s="81"/>
      <c r="J137" s="82" t="s">
        <v>1987</v>
      </c>
      <c r="K137" s="82" t="s">
        <v>1988</v>
      </c>
      <c r="L137" s="82" t="s">
        <v>1989</v>
      </c>
      <c r="M137" s="42" t="str">
        <f t="shared" si="26"/>
        <v xml:space="preserve">Gabriel  De la Vega Mora </v>
      </c>
      <c r="N137" s="991" t="s">
        <v>860</v>
      </c>
      <c r="O137" s="991" t="s">
        <v>1946</v>
      </c>
      <c r="P137" s="985" t="s">
        <v>1990</v>
      </c>
      <c r="Q137" s="992">
        <v>320000</v>
      </c>
      <c r="R137" s="992">
        <f t="shared" si="30"/>
        <v>51200</v>
      </c>
      <c r="S137" s="45">
        <f t="shared" si="28"/>
        <v>371200</v>
      </c>
      <c r="T137" s="46">
        <v>0</v>
      </c>
      <c r="U137" s="45">
        <f t="shared" si="27"/>
        <v>0</v>
      </c>
      <c r="V137" s="992">
        <f t="shared" si="29"/>
        <v>371200</v>
      </c>
      <c r="W137" s="993" t="s">
        <v>156</v>
      </c>
      <c r="X137" s="1004">
        <v>43777</v>
      </c>
      <c r="Y137" s="985" t="s">
        <v>729</v>
      </c>
      <c r="Z137" s="1004">
        <v>43770</v>
      </c>
      <c r="AA137" s="1004">
        <v>43830</v>
      </c>
      <c r="AB137" s="991" t="s">
        <v>1887</v>
      </c>
      <c r="AC137" s="993"/>
      <c r="AD137" s="993"/>
      <c r="AE137" s="993"/>
      <c r="AF137" s="993"/>
      <c r="AG137" s="985"/>
      <c r="AH137" s="991"/>
      <c r="AI137" s="991"/>
      <c r="AJ137" s="1005"/>
      <c r="AK137" s="992"/>
      <c r="AL137" s="985" t="str">
        <f t="shared" ca="1" si="25"/>
        <v>MUERTO</v>
      </c>
      <c r="AM137" s="985">
        <v>36101</v>
      </c>
      <c r="AN137" s="985" t="s">
        <v>183</v>
      </c>
      <c r="AO137" s="985" t="s">
        <v>892</v>
      </c>
      <c r="AP137" s="985"/>
      <c r="AQ137" s="73" t="s">
        <v>729</v>
      </c>
      <c r="AR137" s="985"/>
      <c r="AS137" s="985"/>
      <c r="AT137" s="985"/>
      <c r="AU137" s="1006"/>
      <c r="AV137" s="1005"/>
      <c r="AW137" s="991"/>
      <c r="AX137" s="1007"/>
      <c r="AY137" s="1005"/>
      <c r="AZ137" s="991"/>
      <c r="BA137" s="991" t="e">
        <f>VLOOKUP(I137,#REF!,2,0)</f>
        <v>#REF!</v>
      </c>
      <c r="BB137" s="1001"/>
      <c r="BC137" s="994"/>
      <c r="BD137" s="985"/>
      <c r="BE137" s="985"/>
      <c r="BF137" s="985"/>
      <c r="BG137" s="985"/>
      <c r="BH137" s="994"/>
      <c r="BI137" s="985" t="e">
        <f>NETWORKDAYS(BF137,BG137,#REF!)</f>
        <v>#REF!</v>
      </c>
      <c r="BJ137" s="994"/>
      <c r="BK137" s="994"/>
      <c r="BL137" s="994"/>
      <c r="BM137" s="994"/>
      <c r="BN137" s="994"/>
      <c r="BO137" s="994"/>
      <c r="BP137" s="994"/>
      <c r="BQ137" s="995"/>
      <c r="BR137" s="68" t="e">
        <f xml:space="preserve"> NETWORKDAYS(BC137,BM137,#REF!)</f>
        <v>#REF!</v>
      </c>
      <c r="BS137" s="1011"/>
      <c r="BT137" s="995"/>
      <c r="BU137" s="84"/>
      <c r="BV137" s="1010"/>
      <c r="BW137" s="1010"/>
      <c r="BX137" s="1010"/>
      <c r="BY137" s="1010"/>
      <c r="BZ137" s="1010"/>
    </row>
    <row r="138" spans="1:79" ht="409.5" hidden="1" x14ac:dyDescent="0.25">
      <c r="A138" s="991" t="s">
        <v>1991</v>
      </c>
      <c r="B138" s="39">
        <v>136</v>
      </c>
      <c r="C138" s="991" t="s">
        <v>149</v>
      </c>
      <c r="D138" s="991" t="s">
        <v>1973</v>
      </c>
      <c r="E138" s="81" t="s">
        <v>163</v>
      </c>
      <c r="F138" s="985" t="s">
        <v>1974</v>
      </c>
      <c r="G138" s="39" t="s">
        <v>1111</v>
      </c>
      <c r="H138" s="685" t="s">
        <v>546</v>
      </c>
      <c r="I138" s="81"/>
      <c r="J138" s="82" t="s">
        <v>1992</v>
      </c>
      <c r="K138" s="82" t="s">
        <v>1993</v>
      </c>
      <c r="L138" s="82" t="s">
        <v>1994</v>
      </c>
      <c r="M138" s="42" t="str">
        <f t="shared" si="26"/>
        <v>César Marco Parra Olmedo</v>
      </c>
      <c r="N138" s="991" t="s">
        <v>860</v>
      </c>
      <c r="O138" s="991" t="s">
        <v>1946</v>
      </c>
      <c r="P138" s="991" t="s">
        <v>1995</v>
      </c>
      <c r="Q138" s="992">
        <v>1800000</v>
      </c>
      <c r="R138" s="992">
        <f t="shared" si="30"/>
        <v>288000</v>
      </c>
      <c r="S138" s="45">
        <f t="shared" si="28"/>
        <v>2088000</v>
      </c>
      <c r="T138" s="46">
        <v>0</v>
      </c>
      <c r="U138" s="45">
        <f t="shared" si="27"/>
        <v>0</v>
      </c>
      <c r="V138" s="992">
        <f t="shared" si="29"/>
        <v>2088000</v>
      </c>
      <c r="W138" s="993" t="s">
        <v>156</v>
      </c>
      <c r="X138" s="1004">
        <v>43780</v>
      </c>
      <c r="Y138" s="985" t="s">
        <v>729</v>
      </c>
      <c r="Z138" s="1004">
        <v>43770</v>
      </c>
      <c r="AA138" s="1004">
        <v>43830</v>
      </c>
      <c r="AB138" s="991" t="s">
        <v>1887</v>
      </c>
      <c r="AC138" s="993"/>
      <c r="AD138" s="993"/>
      <c r="AE138" s="993"/>
      <c r="AF138" s="993"/>
      <c r="AG138" s="985"/>
      <c r="AH138" s="991"/>
      <c r="AI138" s="991"/>
      <c r="AJ138" s="1005"/>
      <c r="AK138" s="992"/>
      <c r="AL138" s="985" t="str">
        <f t="shared" ca="1" si="25"/>
        <v>MUERTO</v>
      </c>
      <c r="AM138" s="985">
        <v>36101</v>
      </c>
      <c r="AN138" s="985" t="s">
        <v>183</v>
      </c>
      <c r="AO138" s="985" t="s">
        <v>892</v>
      </c>
      <c r="AP138" s="985"/>
      <c r="AQ138" s="73" t="s">
        <v>729</v>
      </c>
      <c r="AR138" s="985"/>
      <c r="AS138" s="985"/>
      <c r="AT138" s="985"/>
      <c r="AU138" s="1006"/>
      <c r="AV138" s="1005"/>
      <c r="AW138" s="991"/>
      <c r="AX138" s="1007"/>
      <c r="AY138" s="1005"/>
      <c r="AZ138" s="991"/>
      <c r="BA138" s="991" t="e">
        <f>VLOOKUP(I138,#REF!,2,0)</f>
        <v>#REF!</v>
      </c>
      <c r="BB138" s="1001"/>
      <c r="BC138" s="994"/>
      <c r="BD138" s="985"/>
      <c r="BE138" s="985"/>
      <c r="BF138" s="985"/>
      <c r="BG138" s="985"/>
      <c r="BH138" s="994"/>
      <c r="BI138" s="985" t="e">
        <f>NETWORKDAYS(BF138,BG138,#REF!)</f>
        <v>#REF!</v>
      </c>
      <c r="BJ138" s="994"/>
      <c r="BK138" s="994"/>
      <c r="BL138" s="994"/>
      <c r="BM138" s="994"/>
      <c r="BN138" s="994"/>
      <c r="BO138" s="994"/>
      <c r="BP138" s="994"/>
      <c r="BQ138" s="995"/>
      <c r="BR138" s="68" t="e">
        <f xml:space="preserve"> NETWORKDAYS(BC138,BM138,#REF!)</f>
        <v>#REF!</v>
      </c>
      <c r="BS138" s="1011"/>
      <c r="BT138" s="995"/>
      <c r="BU138" s="84"/>
      <c r="BV138" s="1010"/>
      <c r="BW138" s="1010"/>
      <c r="BX138" s="1010"/>
      <c r="BY138" s="1010"/>
      <c r="BZ138" s="1010"/>
    </row>
    <row r="139" spans="1:79" ht="375" hidden="1" x14ac:dyDescent="0.25">
      <c r="A139" s="991" t="s">
        <v>1996</v>
      </c>
      <c r="B139" s="39">
        <v>137</v>
      </c>
      <c r="C139" s="38" t="s">
        <v>149</v>
      </c>
      <c r="D139" s="991" t="s">
        <v>1973</v>
      </c>
      <c r="E139" s="81" t="s">
        <v>163</v>
      </c>
      <c r="F139" s="985" t="s">
        <v>1974</v>
      </c>
      <c r="G139" s="39" t="s">
        <v>1111</v>
      </c>
      <c r="H139" s="685" t="s">
        <v>546</v>
      </c>
      <c r="I139" s="81"/>
      <c r="J139" s="82" t="s">
        <v>1997</v>
      </c>
      <c r="K139" s="82" t="s">
        <v>1998</v>
      </c>
      <c r="L139" s="82" t="s">
        <v>1999</v>
      </c>
      <c r="M139" s="42" t="str">
        <f t="shared" si="26"/>
        <v>Alejandro Rosas Robles</v>
      </c>
      <c r="N139" s="991" t="s">
        <v>860</v>
      </c>
      <c r="O139" s="991" t="s">
        <v>1946</v>
      </c>
      <c r="P139" s="991" t="s">
        <v>2000</v>
      </c>
      <c r="Q139" s="992">
        <v>300000</v>
      </c>
      <c r="R139" s="44">
        <f t="shared" si="30"/>
        <v>48000</v>
      </c>
      <c r="S139" s="45">
        <f t="shared" si="28"/>
        <v>348000</v>
      </c>
      <c r="T139" s="46">
        <v>0</v>
      </c>
      <c r="U139" s="47">
        <f t="shared" si="27"/>
        <v>0</v>
      </c>
      <c r="V139" s="44">
        <f t="shared" si="29"/>
        <v>348000</v>
      </c>
      <c r="W139" s="993" t="s">
        <v>156</v>
      </c>
      <c r="X139" s="48">
        <v>43777</v>
      </c>
      <c r="Y139" s="985" t="s">
        <v>729</v>
      </c>
      <c r="Z139" s="1004">
        <v>43770</v>
      </c>
      <c r="AA139" s="1004">
        <v>43830</v>
      </c>
      <c r="AB139" s="991" t="s">
        <v>1887</v>
      </c>
      <c r="AC139" s="49"/>
      <c r="AD139" s="49"/>
      <c r="AE139" s="49"/>
      <c r="AF139" s="49"/>
      <c r="AG139" s="39"/>
      <c r="AH139" s="38"/>
      <c r="AI139" s="38"/>
      <c r="AJ139" s="50"/>
      <c r="AK139" s="44"/>
      <c r="AL139" s="39" t="str">
        <f t="shared" ref="AL139:AL157" ca="1" si="31">IF(ISBLANK(AA139),"",IF(AA139&gt;=TODAY(),"VIGENTE","MUERTO"))</f>
        <v>MUERTO</v>
      </c>
      <c r="AM139" s="39">
        <v>36101</v>
      </c>
      <c r="AN139" s="39" t="s">
        <v>183</v>
      </c>
      <c r="AO139" s="39" t="s">
        <v>892</v>
      </c>
      <c r="AP139" s="39"/>
      <c r="AQ139" s="73" t="s">
        <v>729</v>
      </c>
      <c r="AR139" s="39"/>
      <c r="AS139" s="39"/>
      <c r="AT139" s="39"/>
      <c r="AU139" s="51"/>
      <c r="AV139" s="50"/>
      <c r="AW139" s="38"/>
      <c r="AX139" s="52"/>
      <c r="AY139" s="50"/>
      <c r="AZ139" s="38"/>
      <c r="BA139" s="38" t="e">
        <f>VLOOKUP(I139,#REF!,2,0)</f>
        <v>#REF!</v>
      </c>
      <c r="BB139" s="71"/>
      <c r="BC139" s="59"/>
      <c r="BD139" s="39"/>
      <c r="BE139" s="39"/>
      <c r="BF139" s="39"/>
      <c r="BG139" s="39"/>
      <c r="BH139" s="59"/>
      <c r="BI139" s="39" t="e">
        <f>NETWORKDAYS(BF139,BG139,#REF!)</f>
        <v>#REF!</v>
      </c>
      <c r="BJ139" s="59"/>
      <c r="BK139" s="59"/>
      <c r="BL139" s="59"/>
      <c r="BM139" s="59"/>
      <c r="BN139" s="59"/>
      <c r="BO139" s="59"/>
      <c r="BP139" s="59"/>
      <c r="BQ139" s="62"/>
      <c r="BR139" s="68" t="e">
        <f xml:space="preserve"> NETWORKDAYS(BC139,BM139,#REF!)</f>
        <v>#REF!</v>
      </c>
      <c r="BS139" s="70"/>
      <c r="BT139" s="62"/>
      <c r="BU139" s="84"/>
      <c r="BV139" s="84"/>
      <c r="BW139" s="84"/>
      <c r="BX139" s="84"/>
      <c r="BY139" s="84"/>
      <c r="BZ139" s="84"/>
    </row>
    <row r="140" spans="1:79" ht="105" hidden="1" x14ac:dyDescent="0.25">
      <c r="A140" s="991" t="s">
        <v>2001</v>
      </c>
      <c r="B140" s="39">
        <v>138</v>
      </c>
      <c r="C140" s="38" t="s">
        <v>225</v>
      </c>
      <c r="D140" s="991" t="s">
        <v>2002</v>
      </c>
      <c r="E140" s="39" t="s">
        <v>151</v>
      </c>
      <c r="F140" s="39" t="s">
        <v>152</v>
      </c>
      <c r="G140" s="39" t="s">
        <v>151</v>
      </c>
      <c r="H140" s="39"/>
      <c r="I140" s="81" t="s">
        <v>685</v>
      </c>
      <c r="J140" s="82"/>
      <c r="K140" s="82"/>
      <c r="L140" s="82"/>
      <c r="M140" s="42" t="str">
        <f t="shared" si="26"/>
        <v xml:space="preserve">Jasev Computación, S.A. de C.V.  </v>
      </c>
      <c r="N140" s="991" t="s">
        <v>198</v>
      </c>
      <c r="O140" s="991" t="s">
        <v>198</v>
      </c>
      <c r="P140" s="991" t="s">
        <v>2003</v>
      </c>
      <c r="Q140" s="992">
        <v>223065.39</v>
      </c>
      <c r="R140" s="44">
        <f t="shared" si="30"/>
        <v>35690.462400000004</v>
      </c>
      <c r="S140" s="45">
        <f t="shared" si="28"/>
        <v>258755.85240000003</v>
      </c>
      <c r="T140" s="46">
        <v>0</v>
      </c>
      <c r="U140" s="47">
        <f t="shared" si="27"/>
        <v>0</v>
      </c>
      <c r="V140" s="44">
        <f t="shared" si="29"/>
        <v>258755.85240000003</v>
      </c>
      <c r="W140" s="993" t="s">
        <v>156</v>
      </c>
      <c r="X140" s="48">
        <v>43782</v>
      </c>
      <c r="Y140" s="39" t="s">
        <v>729</v>
      </c>
      <c r="Z140" s="48">
        <v>43780</v>
      </c>
      <c r="AA140" s="48">
        <v>43830</v>
      </c>
      <c r="AB140" s="38" t="s">
        <v>182</v>
      </c>
      <c r="AC140" s="49">
        <v>33459.81</v>
      </c>
      <c r="AD140" s="49"/>
      <c r="AE140" s="49"/>
      <c r="AF140" s="49"/>
      <c r="AG140" s="39" t="s">
        <v>183</v>
      </c>
      <c r="AH140" s="38"/>
      <c r="AI140" s="38"/>
      <c r="AJ140" s="50"/>
      <c r="AK140" s="44"/>
      <c r="AL140" s="39" t="str">
        <f t="shared" ca="1" si="31"/>
        <v>MUERTO</v>
      </c>
      <c r="AM140" s="39">
        <v>51501</v>
      </c>
      <c r="AN140" s="39" t="s">
        <v>156</v>
      </c>
      <c r="AO140" s="39" t="s">
        <v>892</v>
      </c>
      <c r="AP140" s="39"/>
      <c r="AQ140" s="73" t="s">
        <v>729</v>
      </c>
      <c r="AR140" s="39"/>
      <c r="AS140" s="39"/>
      <c r="AT140" s="39"/>
      <c r="AU140" s="51"/>
      <c r="AV140" s="50"/>
      <c r="AW140" s="38"/>
      <c r="AX140" s="52"/>
      <c r="AY140" s="50"/>
      <c r="AZ140" s="38"/>
      <c r="BA140" s="38" t="e">
        <f>VLOOKUP(I140,#REF!,2,0)</f>
        <v>#REF!</v>
      </c>
      <c r="BB140" s="71"/>
      <c r="BC140" s="59"/>
      <c r="BD140" s="39"/>
      <c r="BE140" s="39"/>
      <c r="BF140" s="39"/>
      <c r="BG140" s="39"/>
      <c r="BH140" s="59"/>
      <c r="BI140" s="39" t="e">
        <f>NETWORKDAYS(BF140,BG140,#REF!)</f>
        <v>#REF!</v>
      </c>
      <c r="BJ140" s="59"/>
      <c r="BK140" s="59"/>
      <c r="BL140" s="59"/>
      <c r="BM140" s="59"/>
      <c r="BN140" s="59"/>
      <c r="BO140" s="59"/>
      <c r="BP140" s="59"/>
      <c r="BQ140" s="62"/>
      <c r="BR140" s="68" t="e">
        <f xml:space="preserve"> NETWORKDAYS(BC140,BM140,#REF!)</f>
        <v>#REF!</v>
      </c>
      <c r="BS140" s="70"/>
      <c r="BT140" s="62"/>
      <c r="BU140" s="84"/>
      <c r="BV140" s="84"/>
      <c r="BW140" s="84"/>
      <c r="BX140" s="84"/>
      <c r="BY140" s="84"/>
      <c r="BZ140" s="84"/>
    </row>
    <row r="141" spans="1:79" ht="120" hidden="1" x14ac:dyDescent="0.25">
      <c r="A141" s="991" t="s">
        <v>2004</v>
      </c>
      <c r="B141" s="39">
        <v>139</v>
      </c>
      <c r="C141" s="38" t="s">
        <v>225</v>
      </c>
      <c r="D141" s="991" t="s">
        <v>2005</v>
      </c>
      <c r="E141" s="39" t="s">
        <v>151</v>
      </c>
      <c r="F141" s="39" t="s">
        <v>152</v>
      </c>
      <c r="G141" s="39" t="s">
        <v>151</v>
      </c>
      <c r="H141" s="39"/>
      <c r="I141" s="81" t="s">
        <v>2006</v>
      </c>
      <c r="J141" s="82"/>
      <c r="K141" s="82"/>
      <c r="L141" s="82"/>
      <c r="M141" s="42" t="str">
        <f t="shared" si="26"/>
        <v xml:space="preserve">Productos Metálicos Steele, S.A. de C.V.  </v>
      </c>
      <c r="N141" s="991" t="s">
        <v>198</v>
      </c>
      <c r="O141" s="991" t="s">
        <v>198</v>
      </c>
      <c r="P141" s="991" t="s">
        <v>2007</v>
      </c>
      <c r="Q141" s="992">
        <v>301052</v>
      </c>
      <c r="R141" s="44">
        <f t="shared" si="30"/>
        <v>48168.32</v>
      </c>
      <c r="S141" s="45">
        <f t="shared" si="28"/>
        <v>349220.32</v>
      </c>
      <c r="T141" s="46">
        <v>0</v>
      </c>
      <c r="U141" s="47">
        <f t="shared" si="27"/>
        <v>0</v>
      </c>
      <c r="V141" s="44">
        <f t="shared" si="29"/>
        <v>349220.32</v>
      </c>
      <c r="W141" s="993" t="s">
        <v>156</v>
      </c>
      <c r="X141" s="48">
        <v>43789</v>
      </c>
      <c r="Y141" s="39" t="s">
        <v>729</v>
      </c>
      <c r="Z141" s="48">
        <v>43781</v>
      </c>
      <c r="AA141" s="48">
        <v>43830</v>
      </c>
      <c r="AB141" s="38" t="s">
        <v>2008</v>
      </c>
      <c r="AC141" s="49"/>
      <c r="AD141" s="49"/>
      <c r="AE141" s="49"/>
      <c r="AF141" s="49"/>
      <c r="AG141" s="39"/>
      <c r="AH141" s="614"/>
      <c r="AI141" s="38"/>
      <c r="AJ141" s="50"/>
      <c r="AK141" s="44"/>
      <c r="AL141" s="39" t="str">
        <f t="shared" ca="1" si="31"/>
        <v>MUERTO</v>
      </c>
      <c r="AM141" s="39">
        <v>35101</v>
      </c>
      <c r="AN141" s="39" t="s">
        <v>156</v>
      </c>
      <c r="AO141" s="39" t="s">
        <v>892</v>
      </c>
      <c r="AP141" s="39"/>
      <c r="AQ141" s="73" t="s">
        <v>729</v>
      </c>
      <c r="AR141" s="39"/>
      <c r="AS141" s="39"/>
      <c r="AT141" s="39"/>
      <c r="AU141" s="51"/>
      <c r="AV141" s="50"/>
      <c r="AW141" s="38"/>
      <c r="AX141" s="52"/>
      <c r="AY141" s="50"/>
      <c r="AZ141" s="38"/>
      <c r="BA141" s="38" t="e">
        <f>VLOOKUP(I141,#REF!,2,0)</f>
        <v>#REF!</v>
      </c>
      <c r="BB141" s="71"/>
      <c r="BC141" s="59"/>
      <c r="BD141" s="39"/>
      <c r="BE141" s="39"/>
      <c r="BF141" s="39"/>
      <c r="BG141" s="39"/>
      <c r="BH141" s="59"/>
      <c r="BI141" s="39" t="e">
        <f>NETWORKDAYS(BF141,BG141,#REF!)</f>
        <v>#REF!</v>
      </c>
      <c r="BJ141" s="59"/>
      <c r="BK141" s="59"/>
      <c r="BL141" s="59"/>
      <c r="BM141" s="59"/>
      <c r="BN141" s="59"/>
      <c r="BO141" s="59"/>
      <c r="BP141" s="59"/>
      <c r="BQ141" s="62"/>
      <c r="BR141" s="68" t="e">
        <f xml:space="preserve"> NETWORKDAYS(BC141,BM141,#REF!)</f>
        <v>#REF!</v>
      </c>
      <c r="BS141" s="70"/>
      <c r="BT141" s="62"/>
      <c r="BU141" s="84"/>
      <c r="BV141" s="84"/>
      <c r="BW141" s="84"/>
      <c r="BX141" s="84"/>
      <c r="BY141" s="84"/>
      <c r="BZ141" s="84"/>
    </row>
    <row r="142" spans="1:79" s="362" customFormat="1" ht="195" x14ac:dyDescent="0.25">
      <c r="A142" s="339" t="s">
        <v>2009</v>
      </c>
      <c r="B142" s="39">
        <v>140</v>
      </c>
      <c r="C142" s="339" t="s">
        <v>1959</v>
      </c>
      <c r="D142" s="996" t="s">
        <v>2010</v>
      </c>
      <c r="E142" s="81" t="s">
        <v>163</v>
      </c>
      <c r="F142" s="340" t="s">
        <v>607</v>
      </c>
      <c r="G142" s="39" t="s">
        <v>1477</v>
      </c>
      <c r="H142" s="685" t="s">
        <v>546</v>
      </c>
      <c r="I142" s="342" t="s">
        <v>2011</v>
      </c>
      <c r="J142" s="603"/>
      <c r="K142" s="603"/>
      <c r="L142" s="603"/>
      <c r="M142" s="344" t="str">
        <f t="shared" si="26"/>
        <v xml:space="preserve">Proceso de Ingeniería Aplicada, S.A. de C.V.  </v>
      </c>
      <c r="N142" s="996" t="s">
        <v>198</v>
      </c>
      <c r="O142" s="996" t="s">
        <v>198</v>
      </c>
      <c r="P142" s="996" t="s">
        <v>2012</v>
      </c>
      <c r="Q142" s="997">
        <v>35811882.810000002</v>
      </c>
      <c r="R142" s="345">
        <f>Q142*0.16</f>
        <v>5729901.2496000007</v>
      </c>
      <c r="S142" s="346">
        <f t="shared" si="28"/>
        <v>41541784.059600003</v>
      </c>
      <c r="T142" s="347">
        <v>0</v>
      </c>
      <c r="U142" s="348">
        <f t="shared" si="27"/>
        <v>0</v>
      </c>
      <c r="V142" s="345">
        <f>S142+AK142</f>
        <v>41541784.059600003</v>
      </c>
      <c r="W142" s="998" t="s">
        <v>183</v>
      </c>
      <c r="X142" s="349">
        <v>43775</v>
      </c>
      <c r="Y142" s="340" t="s">
        <v>729</v>
      </c>
      <c r="Z142" s="349">
        <v>43770</v>
      </c>
      <c r="AA142" s="349">
        <v>44378</v>
      </c>
      <c r="AB142" s="339" t="s">
        <v>1941</v>
      </c>
      <c r="AC142" s="350"/>
      <c r="AD142" s="350"/>
      <c r="AE142" s="350"/>
      <c r="AF142" s="350"/>
      <c r="AG142" s="340"/>
      <c r="AH142" s="996"/>
      <c r="AI142" s="339"/>
      <c r="AJ142" s="352"/>
      <c r="AK142" s="345"/>
      <c r="AL142" s="340" t="str">
        <f t="shared" ca="1" si="31"/>
        <v>MUERTO</v>
      </c>
      <c r="AM142" s="340"/>
      <c r="AN142" s="340" t="s">
        <v>156</v>
      </c>
      <c r="AO142" s="340" t="s">
        <v>892</v>
      </c>
      <c r="AP142" s="340"/>
      <c r="AQ142" s="340" t="s">
        <v>729</v>
      </c>
      <c r="AR142" s="340"/>
      <c r="AS142" s="340"/>
      <c r="AT142" s="340"/>
      <c r="AU142" s="353"/>
      <c r="AV142" s="352"/>
      <c r="AW142" s="339"/>
      <c r="AX142" s="354"/>
      <c r="AY142" s="352"/>
      <c r="AZ142" s="339"/>
      <c r="BA142" s="339" t="e">
        <f>VLOOKUP(I142,#REF!,2,0)</f>
        <v>#REF!</v>
      </c>
      <c r="BB142" s="339"/>
      <c r="BC142" s="355"/>
      <c r="BD142" s="340"/>
      <c r="BE142" s="340"/>
      <c r="BF142" s="340"/>
      <c r="BG142" s="340"/>
      <c r="BH142" s="355"/>
      <c r="BI142" s="340" t="e">
        <f>NETWORKDAYS(BF142,BG142,#REF!)</f>
        <v>#REF!</v>
      </c>
      <c r="BJ142" s="355"/>
      <c r="BK142" s="355"/>
      <c r="BL142" s="355"/>
      <c r="BM142" s="355"/>
      <c r="BN142" s="355"/>
      <c r="BO142" s="355"/>
      <c r="BP142" s="355"/>
      <c r="BQ142" s="357"/>
      <c r="BR142" s="358" t="e">
        <f xml:space="preserve"> NETWORKDAYS(BC142,BM142,#REF!)</f>
        <v>#REF!</v>
      </c>
      <c r="BS142" s="366"/>
      <c r="BT142" s="357"/>
      <c r="BU142" s="360">
        <v>24801027.199999999</v>
      </c>
      <c r="BV142" s="361">
        <v>1697.24</v>
      </c>
      <c r="BW142" s="360">
        <v>22785175.73</v>
      </c>
      <c r="BX142" s="367">
        <f>26284289*1.16</f>
        <v>30489775.239999998</v>
      </c>
      <c r="BY142" s="360">
        <f>12560524.22*1.16</f>
        <v>14570208.0952</v>
      </c>
      <c r="BZ142" s="360">
        <f>6035796.79*1.16</f>
        <v>7001524.2763999999</v>
      </c>
      <c r="CA142" s="360">
        <f>BU142+BV142+BW142+BX142+BY142+BZ142</f>
        <v>99649407.781599998</v>
      </c>
    </row>
    <row r="143" spans="1:79" ht="240" hidden="1" x14ac:dyDescent="0.25">
      <c r="A143" s="991" t="s">
        <v>2013</v>
      </c>
      <c r="B143" s="39">
        <v>141</v>
      </c>
      <c r="C143" s="38" t="s">
        <v>225</v>
      </c>
      <c r="D143" s="991" t="s">
        <v>2014</v>
      </c>
      <c r="E143" s="4" t="s">
        <v>173</v>
      </c>
      <c r="F143" s="39" t="s">
        <v>326</v>
      </c>
      <c r="G143" s="39" t="s">
        <v>175</v>
      </c>
      <c r="H143" s="39"/>
      <c r="I143" s="81" t="s">
        <v>2015</v>
      </c>
      <c r="J143" s="82"/>
      <c r="K143" s="82"/>
      <c r="L143" s="82"/>
      <c r="M143" s="42" t="str">
        <f t="shared" si="26"/>
        <v xml:space="preserve">Comtelsat, S.A. de C.V  </v>
      </c>
      <c r="N143" s="991" t="s">
        <v>860</v>
      </c>
      <c r="O143" s="991" t="s">
        <v>1422</v>
      </c>
      <c r="P143" s="991" t="s">
        <v>2016</v>
      </c>
      <c r="Q143" s="992">
        <v>26235195</v>
      </c>
      <c r="R143" s="44">
        <f t="shared" si="30"/>
        <v>4197631.2</v>
      </c>
      <c r="S143" s="45">
        <f t="shared" si="28"/>
        <v>30432826.199999999</v>
      </c>
      <c r="T143" s="46">
        <v>0</v>
      </c>
      <c r="U143" s="47">
        <f t="shared" si="27"/>
        <v>0</v>
      </c>
      <c r="V143" s="44">
        <f t="shared" si="29"/>
        <v>30432826.199999999</v>
      </c>
      <c r="W143" s="993" t="s">
        <v>156</v>
      </c>
      <c r="X143" s="48">
        <v>43783</v>
      </c>
      <c r="Y143" s="39" t="s">
        <v>729</v>
      </c>
      <c r="Z143" s="48">
        <v>43766</v>
      </c>
      <c r="AA143" s="48">
        <v>43830</v>
      </c>
      <c r="AB143" s="38" t="s">
        <v>2017</v>
      </c>
      <c r="AC143" s="49"/>
      <c r="AD143" s="49"/>
      <c r="AE143" s="49"/>
      <c r="AF143" s="49"/>
      <c r="AG143" s="39"/>
      <c r="AH143" s="103" t="s">
        <v>2018</v>
      </c>
      <c r="AI143" s="103" t="s">
        <v>2019</v>
      </c>
      <c r="AJ143" s="50"/>
      <c r="AK143" s="44"/>
      <c r="AL143" s="39" t="str">
        <f t="shared" ca="1" si="31"/>
        <v>MUERTO</v>
      </c>
      <c r="AM143" s="39" t="s">
        <v>2020</v>
      </c>
      <c r="AN143" s="39" t="s">
        <v>156</v>
      </c>
      <c r="AO143" s="39" t="s">
        <v>2021</v>
      </c>
      <c r="AP143" s="39" t="s">
        <v>1668</v>
      </c>
      <c r="AQ143" s="73" t="s">
        <v>729</v>
      </c>
      <c r="AR143" s="39"/>
      <c r="AS143" s="39"/>
      <c r="AT143" s="39"/>
      <c r="AU143" s="51"/>
      <c r="AV143" s="50"/>
      <c r="AW143" s="38"/>
      <c r="AX143" s="52"/>
      <c r="AY143" s="50"/>
      <c r="AZ143" s="38"/>
      <c r="BA143" s="38" t="e">
        <f>VLOOKUP(I143,#REF!,2,0)</f>
        <v>#REF!</v>
      </c>
      <c r="BB143" s="71"/>
      <c r="BC143" s="59"/>
      <c r="BD143" s="39"/>
      <c r="BE143" s="39"/>
      <c r="BF143" s="39"/>
      <c r="BG143" s="39"/>
      <c r="BH143" s="59"/>
      <c r="BI143" s="39" t="e">
        <f>NETWORKDAYS(BF143,BG143,#REF!)</f>
        <v>#REF!</v>
      </c>
      <c r="BJ143" s="59"/>
      <c r="BK143" s="59"/>
      <c r="BL143" s="59"/>
      <c r="BM143" s="59"/>
      <c r="BN143" s="59"/>
      <c r="BO143" s="59"/>
      <c r="BP143" s="59"/>
      <c r="BQ143" s="62"/>
      <c r="BR143" s="68" t="e">
        <f xml:space="preserve"> NETWORKDAYS(BC143,BM143,#REF!)</f>
        <v>#REF!</v>
      </c>
      <c r="BS143" s="70"/>
      <c r="BT143" s="62"/>
      <c r="BU143" s="84"/>
      <c r="BV143" s="84"/>
      <c r="BW143" s="84"/>
      <c r="BX143" s="84"/>
      <c r="BY143" s="84"/>
      <c r="BZ143" s="84"/>
    </row>
    <row r="144" spans="1:79" ht="330" hidden="1" x14ac:dyDescent="0.25">
      <c r="A144" s="991" t="s">
        <v>2022</v>
      </c>
      <c r="B144" s="39">
        <v>142</v>
      </c>
      <c r="C144" s="38" t="s">
        <v>225</v>
      </c>
      <c r="D144" s="991" t="s">
        <v>2023</v>
      </c>
      <c r="E144" s="4" t="s">
        <v>173</v>
      </c>
      <c r="F144" s="39" t="s">
        <v>326</v>
      </c>
      <c r="G144" s="39" t="s">
        <v>175</v>
      </c>
      <c r="H144" s="39"/>
      <c r="I144" s="81" t="s">
        <v>2015</v>
      </c>
      <c r="J144" s="82"/>
      <c r="K144" s="82"/>
      <c r="L144" s="82"/>
      <c r="M144" s="42" t="str">
        <f t="shared" si="26"/>
        <v xml:space="preserve">Comtelsat, S.A. de C.V  </v>
      </c>
      <c r="N144" s="991" t="s">
        <v>860</v>
      </c>
      <c r="O144" s="991" t="s">
        <v>1422</v>
      </c>
      <c r="P144" s="991" t="s">
        <v>2024</v>
      </c>
      <c r="Q144" s="992">
        <v>25307317</v>
      </c>
      <c r="R144" s="44">
        <f t="shared" si="30"/>
        <v>4049170.72</v>
      </c>
      <c r="S144" s="45">
        <f t="shared" si="28"/>
        <v>29356487.719999999</v>
      </c>
      <c r="T144" s="46">
        <v>0</v>
      </c>
      <c r="U144" s="47">
        <f t="shared" si="27"/>
        <v>0</v>
      </c>
      <c r="V144" s="44">
        <f t="shared" si="29"/>
        <v>29356487.719999999</v>
      </c>
      <c r="W144" s="993" t="s">
        <v>156</v>
      </c>
      <c r="X144" s="48">
        <v>43783</v>
      </c>
      <c r="Y144" s="39" t="s">
        <v>729</v>
      </c>
      <c r="Z144" s="48">
        <v>43780</v>
      </c>
      <c r="AA144" s="48">
        <v>43830</v>
      </c>
      <c r="AB144" s="38" t="s">
        <v>2025</v>
      </c>
      <c r="AC144" s="49"/>
      <c r="AD144" s="49"/>
      <c r="AE144" s="49"/>
      <c r="AF144" s="49"/>
      <c r="AG144" s="39"/>
      <c r="AH144" s="38"/>
      <c r="AI144" s="38"/>
      <c r="AJ144" s="50"/>
      <c r="AK144" s="44"/>
      <c r="AL144" s="39" t="str">
        <f t="shared" ca="1" si="31"/>
        <v>MUERTO</v>
      </c>
      <c r="AM144" s="39">
        <v>51501</v>
      </c>
      <c r="AN144" s="39" t="s">
        <v>156</v>
      </c>
      <c r="AO144" s="39" t="s">
        <v>892</v>
      </c>
      <c r="AP144" s="39"/>
      <c r="AQ144" s="73" t="s">
        <v>729</v>
      </c>
      <c r="AR144" s="39"/>
      <c r="AS144" s="39"/>
      <c r="AT144" s="39"/>
      <c r="AU144" s="51"/>
      <c r="AV144" s="50"/>
      <c r="AW144" s="38"/>
      <c r="AX144" s="52"/>
      <c r="AY144" s="50"/>
      <c r="AZ144" s="38"/>
      <c r="BA144" s="38" t="e">
        <f>VLOOKUP(I144,#REF!,2,0)</f>
        <v>#REF!</v>
      </c>
      <c r="BB144" s="71"/>
      <c r="BC144" s="59"/>
      <c r="BD144" s="39"/>
      <c r="BE144" s="39"/>
      <c r="BF144" s="39"/>
      <c r="BG144" s="39"/>
      <c r="BH144" s="59"/>
      <c r="BI144" s="39" t="e">
        <f>NETWORKDAYS(BF144,BG144,#REF!)</f>
        <v>#REF!</v>
      </c>
      <c r="BJ144" s="59"/>
      <c r="BK144" s="59"/>
      <c r="BL144" s="59"/>
      <c r="BM144" s="59"/>
      <c r="BN144" s="59"/>
      <c r="BO144" s="59"/>
      <c r="BP144" s="59"/>
      <c r="BQ144" s="62"/>
      <c r="BR144" s="68" t="e">
        <f xml:space="preserve"> NETWORKDAYS(BC144,BM144,#REF!)</f>
        <v>#REF!</v>
      </c>
      <c r="BS144" s="70"/>
      <c r="BT144" s="62"/>
      <c r="BU144" s="84"/>
      <c r="BV144" s="84"/>
      <c r="BW144" s="84"/>
      <c r="BX144" s="84"/>
      <c r="BY144" s="84"/>
      <c r="BZ144" s="84"/>
    </row>
    <row r="145" spans="1:78" ht="405" hidden="1" x14ac:dyDescent="0.25">
      <c r="A145" s="991" t="s">
        <v>2026</v>
      </c>
      <c r="B145" s="39">
        <v>143</v>
      </c>
      <c r="C145" s="38" t="s">
        <v>149</v>
      </c>
      <c r="D145" s="1012" t="s">
        <v>2027</v>
      </c>
      <c r="E145" s="81" t="s">
        <v>163</v>
      </c>
      <c r="F145" s="39" t="s">
        <v>312</v>
      </c>
      <c r="G145" s="39" t="s">
        <v>1111</v>
      </c>
      <c r="H145" s="685" t="s">
        <v>546</v>
      </c>
      <c r="I145" s="81" t="s">
        <v>2028</v>
      </c>
      <c r="J145" s="82"/>
      <c r="K145" s="82"/>
      <c r="L145" s="82"/>
      <c r="M145" s="42" t="str">
        <f t="shared" si="26"/>
        <v xml:space="preserve">Investigación Estratégica Kanji, S.A. de C.V.  </v>
      </c>
      <c r="N145" s="991" t="s">
        <v>860</v>
      </c>
      <c r="O145" s="991" t="s">
        <v>1946</v>
      </c>
      <c r="P145" s="991" t="s">
        <v>2029</v>
      </c>
      <c r="Q145" s="992">
        <v>1090000</v>
      </c>
      <c r="R145" s="44">
        <f t="shared" si="30"/>
        <v>174400</v>
      </c>
      <c r="S145" s="45">
        <f t="shared" si="28"/>
        <v>1264400</v>
      </c>
      <c r="T145" s="46">
        <v>0</v>
      </c>
      <c r="U145" s="47">
        <f t="shared" si="27"/>
        <v>0</v>
      </c>
      <c r="V145" s="44">
        <f t="shared" si="29"/>
        <v>1264400</v>
      </c>
      <c r="W145" s="993" t="s">
        <v>156</v>
      </c>
      <c r="X145" s="48">
        <v>43794</v>
      </c>
      <c r="Y145" s="39" t="s">
        <v>729</v>
      </c>
      <c r="Z145" s="48">
        <v>43781</v>
      </c>
      <c r="AA145" s="48">
        <v>43830</v>
      </c>
      <c r="AB145" s="38" t="s">
        <v>1887</v>
      </c>
      <c r="AC145" s="49"/>
      <c r="AD145" s="49"/>
      <c r="AE145" s="49"/>
      <c r="AF145" s="49"/>
      <c r="AG145" s="39"/>
      <c r="AH145" s="38"/>
      <c r="AI145" s="38"/>
      <c r="AJ145" s="50"/>
      <c r="AK145" s="44"/>
      <c r="AL145" s="39" t="str">
        <f t="shared" ca="1" si="31"/>
        <v>MUERTO</v>
      </c>
      <c r="AM145" s="39">
        <v>36101</v>
      </c>
      <c r="AN145" s="39" t="s">
        <v>156</v>
      </c>
      <c r="AO145" s="39" t="s">
        <v>892</v>
      </c>
      <c r="AP145" s="39"/>
      <c r="AQ145" s="73" t="s">
        <v>729</v>
      </c>
      <c r="AR145" s="39"/>
      <c r="AS145" s="39"/>
      <c r="AT145" s="39"/>
      <c r="AU145" s="51"/>
      <c r="AV145" s="50"/>
      <c r="AW145" s="38"/>
      <c r="AX145" s="52"/>
      <c r="AY145" s="50"/>
      <c r="AZ145" s="38"/>
      <c r="BA145" s="38" t="e">
        <f>VLOOKUP(I145,#REF!,2,0)</f>
        <v>#REF!</v>
      </c>
      <c r="BB145" s="71"/>
      <c r="BC145" s="59"/>
      <c r="BD145" s="39"/>
      <c r="BE145" s="39"/>
      <c r="BF145" s="39"/>
      <c r="BG145" s="39"/>
      <c r="BH145" s="59"/>
      <c r="BI145" s="39" t="e">
        <f>NETWORKDAYS(BF145,BG145,#REF!)</f>
        <v>#REF!</v>
      </c>
      <c r="BJ145" s="59"/>
      <c r="BK145" s="59"/>
      <c r="BL145" s="59"/>
      <c r="BM145" s="59"/>
      <c r="BN145" s="59"/>
      <c r="BO145" s="59"/>
      <c r="BP145" s="59"/>
      <c r="BQ145" s="62"/>
      <c r="BR145" s="68" t="e">
        <f xml:space="preserve"> NETWORKDAYS(BC145,BM145,#REF!)</f>
        <v>#REF!</v>
      </c>
      <c r="BS145" s="70"/>
      <c r="BT145" s="62"/>
      <c r="BU145" s="84"/>
      <c r="BV145" s="84"/>
      <c r="BW145" s="84"/>
      <c r="BX145" s="84"/>
      <c r="BY145" s="84"/>
      <c r="BZ145" s="84"/>
    </row>
    <row r="146" spans="1:78" ht="345" hidden="1" x14ac:dyDescent="0.25">
      <c r="A146" s="991" t="s">
        <v>2030</v>
      </c>
      <c r="B146" s="39">
        <v>144</v>
      </c>
      <c r="C146" s="38" t="s">
        <v>225</v>
      </c>
      <c r="D146" s="1012" t="s">
        <v>2031</v>
      </c>
      <c r="E146" s="81" t="s">
        <v>163</v>
      </c>
      <c r="F146" s="39" t="s">
        <v>312</v>
      </c>
      <c r="G146" s="39" t="s">
        <v>1111</v>
      </c>
      <c r="H146" s="685" t="s">
        <v>546</v>
      </c>
      <c r="I146" s="81" t="s">
        <v>1501</v>
      </c>
      <c r="J146" s="82"/>
      <c r="K146" s="82"/>
      <c r="L146" s="82"/>
      <c r="M146" s="42" t="str">
        <f t="shared" si="26"/>
        <v xml:space="preserve">Teletec de México S.A.P.I. de C.V.  </v>
      </c>
      <c r="N146" s="991" t="s">
        <v>198</v>
      </c>
      <c r="O146" s="991" t="s">
        <v>198</v>
      </c>
      <c r="P146" s="991" t="s">
        <v>2032</v>
      </c>
      <c r="Q146" s="992">
        <v>6890400</v>
      </c>
      <c r="R146" s="44">
        <f t="shared" si="30"/>
        <v>1102464</v>
      </c>
      <c r="S146" s="45">
        <f t="shared" si="28"/>
        <v>7992864</v>
      </c>
      <c r="T146" s="46">
        <v>0</v>
      </c>
      <c r="U146" s="47">
        <f t="shared" si="27"/>
        <v>0</v>
      </c>
      <c r="V146" s="44">
        <f t="shared" si="29"/>
        <v>7992864</v>
      </c>
      <c r="W146" s="993" t="s">
        <v>156</v>
      </c>
      <c r="X146" s="48">
        <v>43790</v>
      </c>
      <c r="Y146" s="39" t="s">
        <v>729</v>
      </c>
      <c r="Z146" s="48">
        <v>43781</v>
      </c>
      <c r="AA146" s="48">
        <v>43830</v>
      </c>
      <c r="AB146" s="38" t="s">
        <v>2033</v>
      </c>
      <c r="AC146" s="49"/>
      <c r="AD146" s="49"/>
      <c r="AE146" s="49"/>
      <c r="AF146" s="49"/>
      <c r="AG146" s="39"/>
      <c r="AH146" s="38"/>
      <c r="AI146" s="38"/>
      <c r="AJ146" s="50"/>
      <c r="AK146" s="44"/>
      <c r="AL146" s="39" t="str">
        <f t="shared" ca="1" si="31"/>
        <v>MUERTO</v>
      </c>
      <c r="AM146" s="39">
        <v>35101</v>
      </c>
      <c r="AN146" s="39" t="s">
        <v>156</v>
      </c>
      <c r="AO146" s="39" t="s">
        <v>892</v>
      </c>
      <c r="AP146" s="39"/>
      <c r="AQ146" s="73" t="s">
        <v>729</v>
      </c>
      <c r="AR146" s="39"/>
      <c r="AS146" s="39"/>
      <c r="AT146" s="39"/>
      <c r="AU146" s="51"/>
      <c r="AV146" s="50"/>
      <c r="AW146" s="38"/>
      <c r="AX146" s="52"/>
      <c r="AY146" s="50"/>
      <c r="AZ146" s="38"/>
      <c r="BA146" s="38" t="e">
        <f>VLOOKUP(I146,#REF!,2,0)</f>
        <v>#REF!</v>
      </c>
      <c r="BB146" s="71"/>
      <c r="BC146" s="59"/>
      <c r="BD146" s="39"/>
      <c r="BE146" s="39"/>
      <c r="BF146" s="39"/>
      <c r="BG146" s="39"/>
      <c r="BH146" s="59"/>
      <c r="BI146" s="39" t="e">
        <f>NETWORKDAYS(BF146,BG146,#REF!)</f>
        <v>#REF!</v>
      </c>
      <c r="BJ146" s="59"/>
      <c r="BK146" s="59"/>
      <c r="BL146" s="59"/>
      <c r="BM146" s="59"/>
      <c r="BN146" s="59"/>
      <c r="BO146" s="59"/>
      <c r="BP146" s="59"/>
      <c r="BQ146" s="62"/>
      <c r="BR146" s="66"/>
      <c r="BS146" s="70"/>
      <c r="BT146" s="62"/>
      <c r="BU146" s="84"/>
      <c r="BV146" s="84"/>
      <c r="BW146" s="84"/>
      <c r="BX146" s="84"/>
      <c r="BY146" s="84"/>
      <c r="BZ146" s="84"/>
    </row>
    <row r="147" spans="1:78" ht="270" hidden="1" x14ac:dyDescent="0.25">
      <c r="A147" s="38" t="s">
        <v>2034</v>
      </c>
      <c r="B147" s="39">
        <v>145</v>
      </c>
      <c r="C147" s="38" t="s">
        <v>225</v>
      </c>
      <c r="D147" s="1012" t="s">
        <v>2027</v>
      </c>
      <c r="E147" s="81" t="s">
        <v>163</v>
      </c>
      <c r="F147" s="39" t="s">
        <v>2035</v>
      </c>
      <c r="G147" s="39" t="s">
        <v>1111</v>
      </c>
      <c r="H147" s="685" t="s">
        <v>546</v>
      </c>
      <c r="I147" s="81" t="s">
        <v>1761</v>
      </c>
      <c r="J147" s="82"/>
      <c r="K147" s="82"/>
      <c r="L147" s="82"/>
      <c r="M147" s="42" t="str">
        <f t="shared" si="26"/>
        <v xml:space="preserve">Interamericana CMH, S.A. de C.V.  </v>
      </c>
      <c r="N147" s="991" t="s">
        <v>198</v>
      </c>
      <c r="O147" s="991" t="s">
        <v>198</v>
      </c>
      <c r="P147" s="991" t="s">
        <v>2036</v>
      </c>
      <c r="Q147" s="992">
        <v>1752645.2</v>
      </c>
      <c r="R147" s="44">
        <f t="shared" si="30"/>
        <v>280423.23200000002</v>
      </c>
      <c r="S147" s="45">
        <f t="shared" si="28"/>
        <v>2033068.432</v>
      </c>
      <c r="T147" s="46">
        <v>0</v>
      </c>
      <c r="U147" s="47">
        <f t="shared" si="27"/>
        <v>0</v>
      </c>
      <c r="V147" s="44">
        <f t="shared" si="29"/>
        <v>2033068.432</v>
      </c>
      <c r="W147" s="993" t="s">
        <v>156</v>
      </c>
      <c r="X147" s="48">
        <v>43794</v>
      </c>
      <c r="Y147" s="39" t="s">
        <v>729</v>
      </c>
      <c r="Z147" s="48">
        <v>43781</v>
      </c>
      <c r="AA147" s="48">
        <v>43830</v>
      </c>
      <c r="AB147" s="38" t="s">
        <v>2033</v>
      </c>
      <c r="AC147" s="49"/>
      <c r="AD147" s="49"/>
      <c r="AE147" s="49"/>
      <c r="AF147" s="49"/>
      <c r="AG147" s="39"/>
      <c r="AH147" s="38"/>
      <c r="AI147" s="38"/>
      <c r="AJ147" s="50"/>
      <c r="AK147" s="44"/>
      <c r="AL147" s="39" t="str">
        <f t="shared" ca="1" si="31"/>
        <v>MUERTO</v>
      </c>
      <c r="AM147" s="39">
        <v>24701</v>
      </c>
      <c r="AN147" s="39" t="s">
        <v>156</v>
      </c>
      <c r="AO147" s="39" t="s">
        <v>892</v>
      </c>
      <c r="AP147" s="39"/>
      <c r="AQ147" s="73" t="s">
        <v>729</v>
      </c>
      <c r="AR147" s="39"/>
      <c r="AS147" s="39"/>
      <c r="AT147" s="39"/>
      <c r="AU147" s="51"/>
      <c r="AV147" s="50"/>
      <c r="AW147" s="38"/>
      <c r="AX147" s="52"/>
      <c r="AY147" s="50"/>
      <c r="AZ147" s="38"/>
      <c r="BA147" s="38" t="e">
        <f>VLOOKUP(I147,#REF!,2,0)</f>
        <v>#REF!</v>
      </c>
      <c r="BB147" s="71"/>
      <c r="BC147" s="59"/>
      <c r="BD147" s="39"/>
      <c r="BE147" s="39"/>
      <c r="BF147" s="39"/>
      <c r="BG147" s="39"/>
      <c r="BH147" s="59"/>
      <c r="BI147" s="39" t="e">
        <f>NETWORKDAYS(BF147,BG147,#REF!)</f>
        <v>#REF!</v>
      </c>
      <c r="BJ147" s="59"/>
      <c r="BK147" s="59"/>
      <c r="BL147" s="59"/>
      <c r="BM147" s="59"/>
      <c r="BN147" s="59"/>
      <c r="BO147" s="59"/>
      <c r="BP147" s="59"/>
      <c r="BQ147" s="62"/>
      <c r="BR147" s="66"/>
      <c r="BS147" s="70"/>
      <c r="BT147" s="62"/>
      <c r="BU147" s="84"/>
      <c r="BV147" s="84"/>
      <c r="BW147" s="84"/>
      <c r="BX147" s="84"/>
      <c r="BY147" s="84"/>
      <c r="BZ147" s="84"/>
    </row>
    <row r="148" spans="1:78" ht="330" x14ac:dyDescent="0.25">
      <c r="A148" s="38" t="s">
        <v>2037</v>
      </c>
      <c r="B148" s="39">
        <v>146</v>
      </c>
      <c r="C148" s="38" t="s">
        <v>1959</v>
      </c>
      <c r="D148" s="991" t="s">
        <v>2038</v>
      </c>
      <c r="E148" s="81" t="s">
        <v>163</v>
      </c>
      <c r="F148" s="39" t="s">
        <v>607</v>
      </c>
      <c r="G148" s="39" t="s">
        <v>1477</v>
      </c>
      <c r="H148" s="685" t="s">
        <v>546</v>
      </c>
      <c r="I148" s="81" t="s">
        <v>2039</v>
      </c>
      <c r="J148" s="82"/>
      <c r="K148" s="82"/>
      <c r="L148" s="82"/>
      <c r="M148" s="42" t="str">
        <f t="shared" si="26"/>
        <v xml:space="preserve">Desarrollo de Proyectos Especializados, S.A. de C.V.  </v>
      </c>
      <c r="N148" s="991" t="s">
        <v>198</v>
      </c>
      <c r="O148" s="991" t="s">
        <v>198</v>
      </c>
      <c r="P148" s="991" t="s">
        <v>2040</v>
      </c>
      <c r="Q148" s="992">
        <v>12741172.41</v>
      </c>
      <c r="R148" s="44">
        <f t="shared" si="30"/>
        <v>2038587.5856000001</v>
      </c>
      <c r="S148" s="45">
        <f t="shared" si="28"/>
        <v>14779759.9956</v>
      </c>
      <c r="T148" s="46">
        <v>0</v>
      </c>
      <c r="U148" s="47">
        <f t="shared" si="27"/>
        <v>0</v>
      </c>
      <c r="V148" s="44">
        <f t="shared" si="29"/>
        <v>14779759.9956</v>
      </c>
      <c r="W148" s="993" t="s">
        <v>156</v>
      </c>
      <c r="X148" s="48">
        <v>43794</v>
      </c>
      <c r="Y148" s="39" t="s">
        <v>729</v>
      </c>
      <c r="Z148" s="48">
        <v>43784</v>
      </c>
      <c r="AA148" s="48">
        <v>43861</v>
      </c>
      <c r="AB148" s="38" t="s">
        <v>2025</v>
      </c>
      <c r="AC148" s="49"/>
      <c r="AD148" s="49"/>
      <c r="AE148" s="49"/>
      <c r="AF148" s="49"/>
      <c r="AG148" s="39"/>
      <c r="AH148" s="38" t="s">
        <v>2041</v>
      </c>
      <c r="AI148" s="38" t="s">
        <v>2042</v>
      </c>
      <c r="AJ148" s="50"/>
      <c r="AK148" s="44"/>
      <c r="AL148" s="39" t="str">
        <f t="shared" ca="1" si="31"/>
        <v>MUERTO</v>
      </c>
      <c r="AM148" s="39">
        <v>62202</v>
      </c>
      <c r="AN148" s="39" t="s">
        <v>156</v>
      </c>
      <c r="AO148" s="39" t="s">
        <v>892</v>
      </c>
      <c r="AP148" s="39" t="s">
        <v>157</v>
      </c>
      <c r="AQ148" s="73" t="s">
        <v>729</v>
      </c>
      <c r="AR148" s="39"/>
      <c r="AS148" s="39"/>
      <c r="AT148" s="39"/>
      <c r="AU148" s="51"/>
      <c r="AV148" s="50"/>
      <c r="AW148" s="600"/>
      <c r="AX148" s="52"/>
      <c r="AY148" s="50"/>
      <c r="AZ148" s="38"/>
      <c r="BA148" s="38" t="e">
        <f>VLOOKUP(I148,#REF!,2,0)</f>
        <v>#REF!</v>
      </c>
      <c r="BB148" s="71"/>
      <c r="BC148" s="59"/>
      <c r="BD148" s="39"/>
      <c r="BE148" s="39"/>
      <c r="BF148" s="39"/>
      <c r="BG148" s="39"/>
      <c r="BH148" s="59"/>
      <c r="BI148" s="39" t="e">
        <f>NETWORKDAYS(BF148,BG148,#REF!)</f>
        <v>#REF!</v>
      </c>
      <c r="BJ148" s="59"/>
      <c r="BK148" s="59"/>
      <c r="BL148" s="59"/>
      <c r="BM148" s="59"/>
      <c r="BN148" s="59"/>
      <c r="BO148" s="59"/>
      <c r="BP148" s="59"/>
      <c r="BQ148" s="62"/>
      <c r="BR148" s="66"/>
      <c r="BS148" s="70"/>
      <c r="BT148" s="62"/>
      <c r="BU148" s="84"/>
      <c r="BV148" s="86" t="s">
        <v>2043</v>
      </c>
      <c r="BW148" s="84"/>
      <c r="BX148" s="84"/>
      <c r="BY148" s="84"/>
      <c r="BZ148" s="84"/>
    </row>
    <row r="149" spans="1:78" ht="390" hidden="1" x14ac:dyDescent="0.25">
      <c r="A149" s="615" t="s">
        <v>2044</v>
      </c>
      <c r="B149" s="39">
        <v>147</v>
      </c>
      <c r="C149" s="38" t="s">
        <v>149</v>
      </c>
      <c r="D149" s="991" t="s">
        <v>2045</v>
      </c>
      <c r="E149" s="81" t="s">
        <v>163</v>
      </c>
      <c r="F149" s="39" t="s">
        <v>188</v>
      </c>
      <c r="G149" s="960" t="s">
        <v>427</v>
      </c>
      <c r="H149" s="81" t="s">
        <v>163</v>
      </c>
      <c r="I149" s="81" t="s">
        <v>2046</v>
      </c>
      <c r="J149" s="82"/>
      <c r="K149" s="82"/>
      <c r="L149" s="82"/>
      <c r="M149" s="42" t="str">
        <f t="shared" si="26"/>
        <v xml:space="preserve">Miguel Ángel Porrúa, S.A. de C.V.  </v>
      </c>
      <c r="N149" s="991" t="s">
        <v>2047</v>
      </c>
      <c r="O149" s="991" t="s">
        <v>2048</v>
      </c>
      <c r="P149" s="991" t="s">
        <v>2049</v>
      </c>
      <c r="Q149" s="992">
        <v>3691000</v>
      </c>
      <c r="R149" s="44">
        <f t="shared" si="30"/>
        <v>590560</v>
      </c>
      <c r="S149" s="45">
        <f t="shared" si="28"/>
        <v>4281560</v>
      </c>
      <c r="T149" s="46">
        <v>0</v>
      </c>
      <c r="U149" s="47">
        <f t="shared" si="27"/>
        <v>0</v>
      </c>
      <c r="V149" s="44">
        <f t="shared" si="29"/>
        <v>4281560</v>
      </c>
      <c r="W149" s="993" t="s">
        <v>156</v>
      </c>
      <c r="X149" s="48">
        <v>43808</v>
      </c>
      <c r="Y149" s="39" t="s">
        <v>924</v>
      </c>
      <c r="Z149" s="48">
        <v>43819</v>
      </c>
      <c r="AA149" s="48">
        <v>43830</v>
      </c>
      <c r="AB149" s="38" t="s">
        <v>2050</v>
      </c>
      <c r="AC149" s="49"/>
      <c r="AD149" s="49"/>
      <c r="AE149" s="49"/>
      <c r="AF149" s="49"/>
      <c r="AG149" s="39"/>
      <c r="AH149" s="38" t="s">
        <v>2051</v>
      </c>
      <c r="AI149" s="38" t="s">
        <v>2052</v>
      </c>
      <c r="AJ149" s="50"/>
      <c r="AK149" s="44"/>
      <c r="AL149" s="39" t="str">
        <f t="shared" ca="1" si="31"/>
        <v>MUERTO</v>
      </c>
      <c r="AM149" s="39"/>
      <c r="AN149" s="39"/>
      <c r="AO149" s="39"/>
      <c r="AP149" s="39" t="s">
        <v>234</v>
      </c>
      <c r="AQ149" s="109">
        <v>43862</v>
      </c>
      <c r="AR149" s="39"/>
      <c r="AS149" s="39"/>
      <c r="AT149" s="39"/>
      <c r="AU149" s="51"/>
      <c r="AV149" s="50"/>
      <c r="AW149" s="38"/>
      <c r="AX149" s="52"/>
      <c r="AY149" s="50"/>
      <c r="AZ149" s="38"/>
      <c r="BA149" s="38" t="e">
        <f>VLOOKUP(I149,#REF!,2,0)</f>
        <v>#REF!</v>
      </c>
      <c r="BB149" s="71"/>
      <c r="BC149" s="59"/>
      <c r="BD149" s="39"/>
      <c r="BE149" s="39"/>
      <c r="BF149" s="39"/>
      <c r="BG149" s="39"/>
      <c r="BH149" s="59"/>
      <c r="BI149" s="39" t="e">
        <f>NETWORKDAYS(BF149,BG149,#REF!)</f>
        <v>#REF!</v>
      </c>
      <c r="BJ149" s="59"/>
      <c r="BK149" s="59"/>
      <c r="BL149" s="59"/>
      <c r="BM149" s="59"/>
      <c r="BN149" s="59"/>
      <c r="BO149" s="59"/>
      <c r="BP149" s="59"/>
      <c r="BQ149" s="62"/>
      <c r="BR149" s="66"/>
      <c r="BS149" s="70"/>
      <c r="BT149" s="62"/>
      <c r="BU149" s="84"/>
      <c r="BV149" s="84"/>
      <c r="BW149" s="84"/>
      <c r="BX149" s="84"/>
      <c r="BY149" s="84"/>
      <c r="BZ149" s="84"/>
    </row>
    <row r="150" spans="1:78" ht="285" hidden="1" x14ac:dyDescent="0.25">
      <c r="A150" s="615" t="s">
        <v>2053</v>
      </c>
      <c r="B150" s="39">
        <v>148</v>
      </c>
      <c r="C150" s="38" t="s">
        <v>149</v>
      </c>
      <c r="D150" s="991" t="s">
        <v>2045</v>
      </c>
      <c r="E150" s="81" t="s">
        <v>163</v>
      </c>
      <c r="F150" s="39" t="s">
        <v>188</v>
      </c>
      <c r="G150" s="960" t="s">
        <v>427</v>
      </c>
      <c r="H150" s="81" t="s">
        <v>163</v>
      </c>
      <c r="I150" s="81" t="s">
        <v>2046</v>
      </c>
      <c r="J150" s="82"/>
      <c r="K150" s="82"/>
      <c r="L150" s="82"/>
      <c r="M150" s="42" t="str">
        <f t="shared" si="26"/>
        <v xml:space="preserve">Miguel Ángel Porrúa, S.A. de C.V.  </v>
      </c>
      <c r="N150" s="991" t="s">
        <v>2047</v>
      </c>
      <c r="O150" s="991" t="s">
        <v>2048</v>
      </c>
      <c r="P150" s="991" t="s">
        <v>2054</v>
      </c>
      <c r="Q150" s="992">
        <v>1017000</v>
      </c>
      <c r="R150" s="44">
        <f t="shared" si="30"/>
        <v>162720</v>
      </c>
      <c r="S150" s="45">
        <f t="shared" si="28"/>
        <v>1179720</v>
      </c>
      <c r="T150" s="46">
        <v>0</v>
      </c>
      <c r="U150" s="47">
        <f t="shared" si="27"/>
        <v>0</v>
      </c>
      <c r="V150" s="44">
        <f t="shared" si="29"/>
        <v>1179720</v>
      </c>
      <c r="W150" s="993" t="s">
        <v>156</v>
      </c>
      <c r="X150" s="48">
        <v>43809</v>
      </c>
      <c r="Y150" s="39" t="s">
        <v>924</v>
      </c>
      <c r="Z150" s="48">
        <v>43819</v>
      </c>
      <c r="AA150" s="48">
        <v>43830</v>
      </c>
      <c r="AB150" s="38" t="s">
        <v>2050</v>
      </c>
      <c r="AC150" s="49"/>
      <c r="AD150" s="49"/>
      <c r="AE150" s="49"/>
      <c r="AF150" s="49"/>
      <c r="AG150" s="39"/>
      <c r="AH150" s="38"/>
      <c r="AI150" s="38"/>
      <c r="AJ150" s="50"/>
      <c r="AK150" s="44"/>
      <c r="AL150" s="39" t="str">
        <f t="shared" ca="1" si="31"/>
        <v>MUERTO</v>
      </c>
      <c r="AM150" s="39"/>
      <c r="AN150" s="39"/>
      <c r="AO150" s="39"/>
      <c r="AP150" s="39"/>
      <c r="AQ150" s="109">
        <v>43862</v>
      </c>
      <c r="AR150" s="39"/>
      <c r="AS150" s="39"/>
      <c r="AT150" s="39"/>
      <c r="AU150" s="51"/>
      <c r="AV150" s="50"/>
      <c r="AW150" s="38"/>
      <c r="AX150" s="52"/>
      <c r="AY150" s="50"/>
      <c r="AZ150" s="38"/>
      <c r="BA150" s="38" t="e">
        <f>VLOOKUP(I150,#REF!,2,0)</f>
        <v>#REF!</v>
      </c>
      <c r="BB150" s="71"/>
      <c r="BC150" s="59"/>
      <c r="BD150" s="39"/>
      <c r="BE150" s="39"/>
      <c r="BF150" s="39"/>
      <c r="BG150" s="39"/>
      <c r="BH150" s="59"/>
      <c r="BI150" s="39" t="e">
        <f>NETWORKDAYS(BF150,BG150,#REF!)</f>
        <v>#REF!</v>
      </c>
      <c r="BJ150" s="59"/>
      <c r="BK150" s="59"/>
      <c r="BL150" s="59"/>
      <c r="BM150" s="59"/>
      <c r="BN150" s="59"/>
      <c r="BO150" s="59"/>
      <c r="BP150" s="59"/>
      <c r="BQ150" s="62"/>
      <c r="BR150" s="66"/>
      <c r="BS150" s="70"/>
      <c r="BT150" s="62"/>
      <c r="BU150" s="84"/>
      <c r="BV150" s="84"/>
      <c r="BW150" s="84"/>
      <c r="BX150" s="84"/>
      <c r="BY150" s="84"/>
      <c r="BZ150" s="84"/>
    </row>
    <row r="151" spans="1:78" ht="150" hidden="1" x14ac:dyDescent="0.25">
      <c r="A151" s="38" t="s">
        <v>2055</v>
      </c>
      <c r="B151" s="39">
        <v>149</v>
      </c>
      <c r="C151" s="38" t="s">
        <v>225</v>
      </c>
      <c r="D151" s="991" t="s">
        <v>2056</v>
      </c>
      <c r="E151" s="81" t="s">
        <v>163</v>
      </c>
      <c r="F151" s="39" t="s">
        <v>607</v>
      </c>
      <c r="G151" s="39" t="s">
        <v>1477</v>
      </c>
      <c r="H151" s="685" t="s">
        <v>546</v>
      </c>
      <c r="I151" s="81" t="s">
        <v>2057</v>
      </c>
      <c r="J151" s="82"/>
      <c r="K151" s="82"/>
      <c r="L151" s="82"/>
      <c r="M151" s="42" t="str">
        <f t="shared" si="26"/>
        <v xml:space="preserve">Comercializadora Munrro, S.A. de C.V.  </v>
      </c>
      <c r="N151" s="991" t="s">
        <v>370</v>
      </c>
      <c r="O151" s="991" t="s">
        <v>370</v>
      </c>
      <c r="P151" s="991" t="s">
        <v>2058</v>
      </c>
      <c r="Q151" s="992">
        <v>2102901</v>
      </c>
      <c r="R151" s="44">
        <f t="shared" si="30"/>
        <v>336464.16000000003</v>
      </c>
      <c r="S151" s="45">
        <f t="shared" si="28"/>
        <v>2439365.16</v>
      </c>
      <c r="T151" s="46">
        <v>0</v>
      </c>
      <c r="U151" s="47">
        <f t="shared" si="27"/>
        <v>0</v>
      </c>
      <c r="V151" s="44">
        <f t="shared" si="29"/>
        <v>2439365.16</v>
      </c>
      <c r="W151" s="993" t="s">
        <v>156</v>
      </c>
      <c r="X151" s="48">
        <v>43798</v>
      </c>
      <c r="Y151" s="39" t="s">
        <v>729</v>
      </c>
      <c r="Z151" s="48">
        <v>43798</v>
      </c>
      <c r="AA151" s="48">
        <v>43830</v>
      </c>
      <c r="AB151" s="38" t="s">
        <v>182</v>
      </c>
      <c r="AC151" s="49"/>
      <c r="AD151" s="49"/>
      <c r="AE151" s="49"/>
      <c r="AF151" s="49"/>
      <c r="AG151" s="39"/>
      <c r="AH151" s="38"/>
      <c r="AI151" s="38"/>
      <c r="AJ151" s="50"/>
      <c r="AK151" s="44"/>
      <c r="AL151" s="39" t="str">
        <f t="shared" ca="1" si="31"/>
        <v>MUERTO</v>
      </c>
      <c r="AM151" s="39"/>
      <c r="AN151" s="39"/>
      <c r="AO151" s="39"/>
      <c r="AP151" s="39"/>
      <c r="AQ151" s="39" t="s">
        <v>914</v>
      </c>
      <c r="AR151" s="39"/>
      <c r="AS151" s="39"/>
      <c r="AT151" s="39"/>
      <c r="AU151" s="51"/>
      <c r="AV151" s="50"/>
      <c r="AW151" s="38"/>
      <c r="AX151" s="52"/>
      <c r="AY151" s="50"/>
      <c r="AZ151" s="38"/>
      <c r="BA151" s="38" t="e">
        <f>VLOOKUP(I151,#REF!,2,0)</f>
        <v>#REF!</v>
      </c>
      <c r="BB151" s="71"/>
      <c r="BC151" s="59"/>
      <c r="BD151" s="39"/>
      <c r="BE151" s="39"/>
      <c r="BF151" s="39"/>
      <c r="BG151" s="39"/>
      <c r="BH151" s="59"/>
      <c r="BI151" s="39" t="e">
        <f>NETWORKDAYS(BF151,BG151,#REF!)</f>
        <v>#REF!</v>
      </c>
      <c r="BJ151" s="59"/>
      <c r="BK151" s="59"/>
      <c r="BL151" s="59"/>
      <c r="BM151" s="59"/>
      <c r="BN151" s="59"/>
      <c r="BO151" s="59"/>
      <c r="BP151" s="59"/>
      <c r="BQ151" s="62"/>
      <c r="BR151" s="66"/>
      <c r="BS151" s="70"/>
      <c r="BT151" s="62"/>
      <c r="BU151" s="84"/>
      <c r="BV151" s="84"/>
      <c r="BW151" s="84"/>
      <c r="BX151" s="84"/>
      <c r="BY151" s="84"/>
      <c r="BZ151" s="84"/>
    </row>
    <row r="152" spans="1:78" ht="120" hidden="1" x14ac:dyDescent="0.25">
      <c r="A152" s="38" t="s">
        <v>2059</v>
      </c>
      <c r="B152" s="39">
        <v>150</v>
      </c>
      <c r="C152" s="38" t="s">
        <v>225</v>
      </c>
      <c r="D152" s="991" t="s">
        <v>2060</v>
      </c>
      <c r="E152" s="4" t="s">
        <v>173</v>
      </c>
      <c r="F152" s="39" t="s">
        <v>1229</v>
      </c>
      <c r="G152" s="39" t="s">
        <v>175</v>
      </c>
      <c r="H152" s="39"/>
      <c r="I152" s="81" t="s">
        <v>784</v>
      </c>
      <c r="J152" s="82"/>
      <c r="K152" s="82"/>
      <c r="L152" s="82"/>
      <c r="M152" s="42" t="str">
        <f t="shared" ref="M152:M183" si="32">I152&amp;J152&amp;" "&amp;K152&amp;" "&amp;L152</f>
        <v xml:space="preserve">ISSA Edificaciones, S.A. de C.V.  </v>
      </c>
      <c r="N152" s="991" t="s">
        <v>656</v>
      </c>
      <c r="O152" s="991" t="s">
        <v>667</v>
      </c>
      <c r="P152" s="991" t="s">
        <v>2061</v>
      </c>
      <c r="Q152" s="992">
        <v>21543103</v>
      </c>
      <c r="R152" s="44">
        <f t="shared" si="30"/>
        <v>3446896.48</v>
      </c>
      <c r="S152" s="45">
        <f t="shared" si="28"/>
        <v>24989999.48</v>
      </c>
      <c r="T152" s="46">
        <v>0</v>
      </c>
      <c r="U152" s="47">
        <f t="shared" ref="U152:U183" si="33">(T152*0.16)+(T152)</f>
        <v>0</v>
      </c>
      <c r="V152" s="44">
        <f t="shared" si="29"/>
        <v>24989999.48</v>
      </c>
      <c r="W152" s="993" t="s">
        <v>156</v>
      </c>
      <c r="X152" s="48">
        <v>43808</v>
      </c>
      <c r="Y152" s="39" t="s">
        <v>924</v>
      </c>
      <c r="Z152" s="48">
        <v>43802</v>
      </c>
      <c r="AA152" s="48">
        <v>43830</v>
      </c>
      <c r="AB152" s="38" t="s">
        <v>2033</v>
      </c>
      <c r="AC152" s="49"/>
      <c r="AD152" s="49"/>
      <c r="AE152" s="49"/>
      <c r="AF152" s="49"/>
      <c r="AG152" s="39"/>
      <c r="AH152" s="38"/>
      <c r="AI152" s="38"/>
      <c r="AJ152" s="50"/>
      <c r="AK152" s="44"/>
      <c r="AL152" s="39" t="str">
        <f t="shared" ca="1" si="31"/>
        <v>MUERTO</v>
      </c>
      <c r="AM152" s="39">
        <v>51101</v>
      </c>
      <c r="AN152" s="39" t="s">
        <v>156</v>
      </c>
      <c r="AO152" s="39" t="s">
        <v>924</v>
      </c>
      <c r="AP152" s="39"/>
      <c r="AQ152" s="39" t="s">
        <v>914</v>
      </c>
      <c r="AR152" s="39"/>
      <c r="AS152" s="39"/>
      <c r="AT152" s="39"/>
      <c r="AU152" s="51"/>
      <c r="AV152" s="50"/>
      <c r="AW152" s="38"/>
      <c r="AX152" s="52"/>
      <c r="AY152" s="50"/>
      <c r="AZ152" s="38"/>
      <c r="BA152" s="38" t="e">
        <f>VLOOKUP(I152,#REF!,2,0)</f>
        <v>#REF!</v>
      </c>
      <c r="BB152" s="71"/>
      <c r="BC152" s="59"/>
      <c r="BD152" s="39"/>
      <c r="BE152" s="39"/>
      <c r="BF152" s="39"/>
      <c r="BG152" s="39"/>
      <c r="BH152" s="59"/>
      <c r="BI152" s="39" t="e">
        <f>NETWORKDAYS(BF152,BG152,#REF!)</f>
        <v>#REF!</v>
      </c>
      <c r="BJ152" s="59"/>
      <c r="BK152" s="59"/>
      <c r="BL152" s="59"/>
      <c r="BM152" s="59"/>
      <c r="BN152" s="59"/>
      <c r="BO152" s="59"/>
      <c r="BP152" s="59"/>
      <c r="BQ152" s="62"/>
      <c r="BR152" s="66"/>
      <c r="BS152" s="70"/>
      <c r="BT152" s="62"/>
      <c r="BU152" s="84"/>
      <c r="BV152" s="84"/>
      <c r="BW152" s="84"/>
      <c r="BX152" s="84"/>
      <c r="BY152" s="84"/>
      <c r="BZ152" s="84"/>
    </row>
    <row r="153" spans="1:78" ht="390" hidden="1" x14ac:dyDescent="0.25">
      <c r="A153" s="38" t="s">
        <v>2062</v>
      </c>
      <c r="B153" s="39">
        <v>151</v>
      </c>
      <c r="C153" s="38" t="s">
        <v>149</v>
      </c>
      <c r="D153" s="991" t="s">
        <v>2063</v>
      </c>
      <c r="E153" s="81" t="s">
        <v>163</v>
      </c>
      <c r="F153" s="39" t="s">
        <v>2064</v>
      </c>
      <c r="G153" s="960" t="s">
        <v>427</v>
      </c>
      <c r="H153" s="81" t="s">
        <v>163</v>
      </c>
      <c r="I153" s="81" t="s">
        <v>2046</v>
      </c>
      <c r="J153" s="82"/>
      <c r="K153" s="82"/>
      <c r="L153" s="82"/>
      <c r="M153" s="42" t="str">
        <f t="shared" si="32"/>
        <v xml:space="preserve">Miguel Ángel Porrúa, S.A. de C.V.  </v>
      </c>
      <c r="N153" s="991" t="s">
        <v>2065</v>
      </c>
      <c r="O153" s="991" t="s">
        <v>431</v>
      </c>
      <c r="P153" s="991" t="s">
        <v>2066</v>
      </c>
      <c r="Q153" s="992">
        <v>2662500</v>
      </c>
      <c r="R153" s="44">
        <f t="shared" si="30"/>
        <v>426000</v>
      </c>
      <c r="S153" s="45">
        <f t="shared" si="28"/>
        <v>3088500</v>
      </c>
      <c r="T153" s="46">
        <v>0</v>
      </c>
      <c r="U153" s="47">
        <f t="shared" si="33"/>
        <v>0</v>
      </c>
      <c r="V153" s="44">
        <f t="shared" si="29"/>
        <v>3088500</v>
      </c>
      <c r="W153" s="993" t="s">
        <v>156</v>
      </c>
      <c r="X153" s="48">
        <v>43805</v>
      </c>
      <c r="Y153" s="39" t="s">
        <v>924</v>
      </c>
      <c r="Z153" s="48">
        <v>43801</v>
      </c>
      <c r="AA153" s="48">
        <v>43814</v>
      </c>
      <c r="AB153" s="38" t="s">
        <v>1887</v>
      </c>
      <c r="AC153" s="49"/>
      <c r="AD153" s="49"/>
      <c r="AE153" s="49"/>
      <c r="AF153" s="49"/>
      <c r="AG153" s="39"/>
      <c r="AH153" s="38"/>
      <c r="AI153" s="38"/>
      <c r="AJ153" s="50"/>
      <c r="AK153" s="44"/>
      <c r="AL153" s="39" t="str">
        <f t="shared" ca="1" si="31"/>
        <v>MUERTO</v>
      </c>
      <c r="AM153" s="39">
        <v>33604</v>
      </c>
      <c r="AN153" s="39" t="s">
        <v>156</v>
      </c>
      <c r="AO153" s="39" t="s">
        <v>924</v>
      </c>
      <c r="AP153" s="39"/>
      <c r="AQ153" s="39" t="s">
        <v>914</v>
      </c>
      <c r="AR153" s="39"/>
      <c r="AS153" s="39"/>
      <c r="AT153" s="39"/>
      <c r="AU153" s="51"/>
      <c r="AV153" s="50"/>
      <c r="AW153" s="38"/>
      <c r="AX153" s="52"/>
      <c r="AY153" s="50"/>
      <c r="AZ153" s="38"/>
      <c r="BA153" s="38" t="e">
        <f>VLOOKUP(I153,#REF!,2,0)</f>
        <v>#REF!</v>
      </c>
      <c r="BB153" s="71"/>
      <c r="BC153" s="59"/>
      <c r="BD153" s="39"/>
      <c r="BE153" s="39"/>
      <c r="BF153" s="39"/>
      <c r="BG153" s="39"/>
      <c r="BH153" s="59"/>
      <c r="BI153" s="39" t="e">
        <f>NETWORKDAYS(BF153,BG153,#REF!)</f>
        <v>#REF!</v>
      </c>
      <c r="BJ153" s="59"/>
      <c r="BK153" s="59"/>
      <c r="BL153" s="59"/>
      <c r="BM153" s="59"/>
      <c r="BN153" s="59"/>
      <c r="BO153" s="59"/>
      <c r="BP153" s="59"/>
      <c r="BQ153" s="62"/>
      <c r="BR153" s="66"/>
      <c r="BS153" s="70"/>
      <c r="BT153" s="62"/>
      <c r="BU153" s="84"/>
      <c r="BV153" s="84"/>
      <c r="BW153" s="84"/>
      <c r="BX153" s="84"/>
      <c r="BY153" s="84"/>
      <c r="BZ153" s="84"/>
    </row>
    <row r="154" spans="1:78" ht="270" hidden="1" x14ac:dyDescent="0.25">
      <c r="A154" s="38" t="s">
        <v>2067</v>
      </c>
      <c r="B154" s="39">
        <v>152</v>
      </c>
      <c r="C154" s="38" t="s">
        <v>149</v>
      </c>
      <c r="D154" s="991" t="s">
        <v>2068</v>
      </c>
      <c r="E154" s="4" t="s">
        <v>173</v>
      </c>
      <c r="F154" s="39" t="s">
        <v>1229</v>
      </c>
      <c r="G154" s="39" t="s">
        <v>175</v>
      </c>
      <c r="H154" s="39"/>
      <c r="I154" s="81" t="s">
        <v>2069</v>
      </c>
      <c r="J154" s="82"/>
      <c r="K154" s="82"/>
      <c r="L154" s="82"/>
      <c r="M154" s="42" t="str">
        <f t="shared" si="32"/>
        <v xml:space="preserve">People Media, S.A. de C.V.  </v>
      </c>
      <c r="N154" s="991" t="s">
        <v>190</v>
      </c>
      <c r="O154" s="991" t="s">
        <v>1548</v>
      </c>
      <c r="P154" s="991" t="s">
        <v>2070</v>
      </c>
      <c r="Q154" s="992">
        <v>3400000</v>
      </c>
      <c r="R154" s="44">
        <f t="shared" si="30"/>
        <v>544000</v>
      </c>
      <c r="S154" s="45">
        <f t="shared" si="28"/>
        <v>3944000</v>
      </c>
      <c r="T154" s="46">
        <v>0</v>
      </c>
      <c r="U154" s="47">
        <f t="shared" si="33"/>
        <v>0</v>
      </c>
      <c r="V154" s="44">
        <f t="shared" si="29"/>
        <v>3944000</v>
      </c>
      <c r="W154" s="993" t="s">
        <v>156</v>
      </c>
      <c r="X154" s="48">
        <v>43808</v>
      </c>
      <c r="Y154" s="39" t="s">
        <v>924</v>
      </c>
      <c r="Z154" s="48">
        <v>43801</v>
      </c>
      <c r="AA154" s="48">
        <v>43830</v>
      </c>
      <c r="AB154" s="38" t="s">
        <v>2071</v>
      </c>
      <c r="AC154" s="49"/>
      <c r="AD154" s="49"/>
      <c r="AE154" s="49"/>
      <c r="AF154" s="49"/>
      <c r="AG154" s="39"/>
      <c r="AH154" s="38"/>
      <c r="AI154" s="38"/>
      <c r="AJ154" s="50"/>
      <c r="AK154" s="44"/>
      <c r="AL154" s="39" t="str">
        <f t="shared" ca="1" si="31"/>
        <v>MUERTO</v>
      </c>
      <c r="AM154" s="39">
        <v>33301</v>
      </c>
      <c r="AN154" s="39" t="s">
        <v>156</v>
      </c>
      <c r="AO154" s="39" t="s">
        <v>924</v>
      </c>
      <c r="AP154" s="39"/>
      <c r="AQ154" s="39" t="s">
        <v>914</v>
      </c>
      <c r="AR154" s="39"/>
      <c r="AS154" s="39"/>
      <c r="AT154" s="39"/>
      <c r="AU154" s="51"/>
      <c r="AV154" s="50"/>
      <c r="AW154" s="38"/>
      <c r="AX154" s="52"/>
      <c r="AY154" s="50"/>
      <c r="AZ154" s="38"/>
      <c r="BA154" s="38" t="e">
        <f>VLOOKUP(I154,#REF!,2,0)</f>
        <v>#REF!</v>
      </c>
      <c r="BB154" s="71"/>
      <c r="BC154" s="59"/>
      <c r="BD154" s="39"/>
      <c r="BE154" s="39"/>
      <c r="BF154" s="39"/>
      <c r="BG154" s="39"/>
      <c r="BH154" s="59"/>
      <c r="BI154" s="39" t="e">
        <f>NETWORKDAYS(BF154,BG154,#REF!)</f>
        <v>#REF!</v>
      </c>
      <c r="BJ154" s="59"/>
      <c r="BK154" s="59"/>
      <c r="BL154" s="59"/>
      <c r="BM154" s="59"/>
      <c r="BN154" s="59"/>
      <c r="BO154" s="59"/>
      <c r="BP154" s="59"/>
      <c r="BQ154" s="62"/>
      <c r="BR154" s="66"/>
      <c r="BS154" s="70"/>
      <c r="BT154" s="62"/>
      <c r="BU154" s="84"/>
      <c r="BV154" s="84"/>
      <c r="BW154" s="84"/>
      <c r="BX154" s="84"/>
      <c r="BY154" s="84"/>
      <c r="BZ154" s="84"/>
    </row>
    <row r="155" spans="1:78" ht="405" hidden="1" x14ac:dyDescent="0.25">
      <c r="A155" s="38" t="s">
        <v>2072</v>
      </c>
      <c r="B155" s="39">
        <v>153</v>
      </c>
      <c r="C155" s="38" t="s">
        <v>225</v>
      </c>
      <c r="D155" s="991" t="s">
        <v>1177</v>
      </c>
      <c r="E155" s="81" t="s">
        <v>163</v>
      </c>
      <c r="F155" s="39" t="s">
        <v>561</v>
      </c>
      <c r="G155" s="81" t="s">
        <v>163</v>
      </c>
      <c r="H155" s="81" t="s">
        <v>163</v>
      </c>
      <c r="I155" s="81"/>
      <c r="J155" s="82" t="s">
        <v>2073</v>
      </c>
      <c r="K155" s="82" t="s">
        <v>466</v>
      </c>
      <c r="L155" s="82" t="s">
        <v>2074</v>
      </c>
      <c r="M155" s="42" t="str">
        <f t="shared" si="32"/>
        <v>José Eduardo Medina Ramírez</v>
      </c>
      <c r="N155" s="991" t="s">
        <v>198</v>
      </c>
      <c r="O155" s="991" t="s">
        <v>198</v>
      </c>
      <c r="P155" s="991" t="s">
        <v>2075</v>
      </c>
      <c r="Q155" s="992">
        <v>1463601</v>
      </c>
      <c r="R155" s="44">
        <f t="shared" si="30"/>
        <v>234176.16</v>
      </c>
      <c r="S155" s="45">
        <f t="shared" si="28"/>
        <v>1697777.16</v>
      </c>
      <c r="T155" s="46">
        <v>0</v>
      </c>
      <c r="U155" s="47">
        <f t="shared" si="33"/>
        <v>0</v>
      </c>
      <c r="V155" s="44">
        <f t="shared" si="29"/>
        <v>1697777.16</v>
      </c>
      <c r="W155" s="993" t="s">
        <v>156</v>
      </c>
      <c r="X155" s="48">
        <v>43808</v>
      </c>
      <c r="Y155" s="39" t="s">
        <v>924</v>
      </c>
      <c r="Z155" s="48">
        <v>43804</v>
      </c>
      <c r="AA155" s="48">
        <v>43830</v>
      </c>
      <c r="AB155" s="38" t="s">
        <v>2076</v>
      </c>
      <c r="AC155" s="49"/>
      <c r="AD155" s="49"/>
      <c r="AE155" s="49"/>
      <c r="AF155" s="49"/>
      <c r="AG155" s="39"/>
      <c r="AH155" s="38"/>
      <c r="AI155" s="38"/>
      <c r="AJ155" s="50"/>
      <c r="AK155" s="44"/>
      <c r="AL155" s="39" t="str">
        <f t="shared" ca="1" si="31"/>
        <v>MUERTO</v>
      </c>
      <c r="AM155" s="39">
        <v>35101</v>
      </c>
      <c r="AN155" s="39" t="s">
        <v>156</v>
      </c>
      <c r="AO155" s="39" t="s">
        <v>924</v>
      </c>
      <c r="AP155" s="39"/>
      <c r="AQ155" s="39" t="s">
        <v>914</v>
      </c>
      <c r="AR155" s="39"/>
      <c r="AS155" s="39"/>
      <c r="AT155" s="39"/>
      <c r="AU155" s="51"/>
      <c r="AV155" s="50"/>
      <c r="AW155" s="38"/>
      <c r="AX155" s="52"/>
      <c r="AY155" s="50"/>
      <c r="AZ155" s="38"/>
      <c r="BA155" s="38" t="e">
        <f>VLOOKUP(I155,#REF!,2,0)</f>
        <v>#REF!</v>
      </c>
      <c r="BB155" s="71"/>
      <c r="BC155" s="59"/>
      <c r="BD155" s="39"/>
      <c r="BE155" s="39"/>
      <c r="BF155" s="39"/>
      <c r="BG155" s="39"/>
      <c r="BH155" s="59"/>
      <c r="BI155" s="39" t="e">
        <f>NETWORKDAYS(BF155,BG155,#REF!)</f>
        <v>#REF!</v>
      </c>
      <c r="BJ155" s="59"/>
      <c r="BK155" s="59"/>
      <c r="BL155" s="59"/>
      <c r="BM155" s="59"/>
      <c r="BN155" s="59"/>
      <c r="BO155" s="59"/>
      <c r="BP155" s="59"/>
      <c r="BQ155" s="62"/>
      <c r="BR155" s="66"/>
      <c r="BS155" s="70"/>
      <c r="BT155" s="62"/>
      <c r="BU155" s="84"/>
      <c r="BV155" s="84"/>
      <c r="BW155" s="84"/>
      <c r="BX155" s="84"/>
      <c r="BY155" s="84"/>
      <c r="BZ155" s="84"/>
    </row>
    <row r="156" spans="1:78" ht="105" hidden="1" x14ac:dyDescent="0.25">
      <c r="A156" s="38" t="s">
        <v>2077</v>
      </c>
      <c r="B156" s="39">
        <v>154</v>
      </c>
      <c r="C156" s="38" t="s">
        <v>225</v>
      </c>
      <c r="D156" s="991" t="s">
        <v>2078</v>
      </c>
      <c r="E156" s="4" t="s">
        <v>173</v>
      </c>
      <c r="F156" s="39" t="s">
        <v>1229</v>
      </c>
      <c r="G156" s="39" t="s">
        <v>175</v>
      </c>
      <c r="H156" s="39"/>
      <c r="I156" s="81" t="s">
        <v>2079</v>
      </c>
      <c r="J156" s="82"/>
      <c r="K156" s="82"/>
      <c r="L156" s="82"/>
      <c r="M156" s="42" t="str">
        <f t="shared" si="32"/>
        <v xml:space="preserve">Unified Networks, S.A. de C.V.  </v>
      </c>
      <c r="N156" s="991" t="s">
        <v>656</v>
      </c>
      <c r="O156" s="991" t="s">
        <v>656</v>
      </c>
      <c r="P156" s="991" t="s">
        <v>2080</v>
      </c>
      <c r="Q156" s="992">
        <v>18784610.879999999</v>
      </c>
      <c r="R156" s="44">
        <f t="shared" si="30"/>
        <v>3005537.7407999998</v>
      </c>
      <c r="S156" s="45">
        <f t="shared" si="28"/>
        <v>21790148.6208</v>
      </c>
      <c r="T156" s="46">
        <v>0</v>
      </c>
      <c r="U156" s="47">
        <f t="shared" si="33"/>
        <v>0</v>
      </c>
      <c r="V156" s="44">
        <f t="shared" si="29"/>
        <v>21790148.6208</v>
      </c>
      <c r="W156" s="993" t="s">
        <v>156</v>
      </c>
      <c r="X156" s="48">
        <v>43809</v>
      </c>
      <c r="Y156" s="39" t="s">
        <v>924</v>
      </c>
      <c r="Z156" s="48">
        <v>43801</v>
      </c>
      <c r="AA156" s="48">
        <v>43830</v>
      </c>
      <c r="AB156" s="38" t="s">
        <v>182</v>
      </c>
      <c r="AC156" s="49"/>
      <c r="AD156" s="49"/>
      <c r="AE156" s="49"/>
      <c r="AF156" s="49"/>
      <c r="AG156" s="39"/>
      <c r="AH156" s="38"/>
      <c r="AI156" s="38"/>
      <c r="AJ156" s="50"/>
      <c r="AK156" s="44"/>
      <c r="AL156" s="39" t="str">
        <f t="shared" ca="1" si="31"/>
        <v>MUERTO</v>
      </c>
      <c r="AM156" s="39">
        <v>51501</v>
      </c>
      <c r="AN156" s="39" t="s">
        <v>156</v>
      </c>
      <c r="AO156" s="39" t="s">
        <v>924</v>
      </c>
      <c r="AP156" s="39"/>
      <c r="AQ156" s="39" t="s">
        <v>914</v>
      </c>
      <c r="AR156" s="39"/>
      <c r="AS156" s="39"/>
      <c r="AT156" s="39"/>
      <c r="AU156" s="51"/>
      <c r="AV156" s="50"/>
      <c r="AW156" s="38"/>
      <c r="AX156" s="52"/>
      <c r="AY156" s="50"/>
      <c r="AZ156" s="38"/>
      <c r="BA156" s="38" t="e">
        <f>VLOOKUP(I156,#REF!,2,0)</f>
        <v>#REF!</v>
      </c>
      <c r="BB156" s="71"/>
      <c r="BC156" s="59"/>
      <c r="BD156" s="39"/>
      <c r="BE156" s="39"/>
      <c r="BF156" s="39"/>
      <c r="BG156" s="39"/>
      <c r="BH156" s="59"/>
      <c r="BI156" s="39" t="e">
        <f>NETWORKDAYS(BF156,BG156,#REF!)</f>
        <v>#REF!</v>
      </c>
      <c r="BJ156" s="59"/>
      <c r="BK156" s="59"/>
      <c r="BL156" s="59"/>
      <c r="BM156" s="59"/>
      <c r="BN156" s="59"/>
      <c r="BO156" s="59"/>
      <c r="BP156" s="59"/>
      <c r="BQ156" s="62"/>
      <c r="BR156" s="66"/>
      <c r="BS156" s="70"/>
      <c r="BT156" s="62"/>
      <c r="BU156" s="84"/>
      <c r="BV156" s="84"/>
      <c r="BW156" s="84"/>
      <c r="BX156" s="84"/>
      <c r="BY156" s="84"/>
      <c r="BZ156" s="84"/>
    </row>
    <row r="157" spans="1:78" ht="255" hidden="1" x14ac:dyDescent="0.25">
      <c r="A157" s="38" t="s">
        <v>2081</v>
      </c>
      <c r="B157" s="39">
        <v>155</v>
      </c>
      <c r="C157" s="38" t="s">
        <v>225</v>
      </c>
      <c r="D157" s="991" t="s">
        <v>2082</v>
      </c>
      <c r="E157" s="4" t="s">
        <v>173</v>
      </c>
      <c r="F157" s="39" t="s">
        <v>1229</v>
      </c>
      <c r="G157" s="39" t="s">
        <v>175</v>
      </c>
      <c r="H157" s="39"/>
      <c r="I157" s="81" t="s">
        <v>2083</v>
      </c>
      <c r="J157" s="82"/>
      <c r="K157" s="82"/>
      <c r="L157" s="82"/>
      <c r="M157" s="42" t="str">
        <f t="shared" si="32"/>
        <v xml:space="preserve">Consultoría Organizacional y Sistemas Informáticos, S.C.  </v>
      </c>
      <c r="N157" s="991" t="s">
        <v>2084</v>
      </c>
      <c r="O157" s="991" t="s">
        <v>656</v>
      </c>
      <c r="P157" s="991" t="s">
        <v>2085</v>
      </c>
      <c r="Q157" s="992">
        <v>4301417.29</v>
      </c>
      <c r="R157" s="44">
        <f t="shared" si="30"/>
        <v>688226.76639999996</v>
      </c>
      <c r="S157" s="45">
        <f t="shared" si="28"/>
        <v>4989644.0564000001</v>
      </c>
      <c r="T157" s="46">
        <v>0</v>
      </c>
      <c r="U157" s="47">
        <f t="shared" si="33"/>
        <v>0</v>
      </c>
      <c r="V157" s="44">
        <f t="shared" si="29"/>
        <v>4989644.0564000001</v>
      </c>
      <c r="W157" s="993" t="s">
        <v>156</v>
      </c>
      <c r="X157" s="48">
        <v>43810</v>
      </c>
      <c r="Y157" s="39" t="s">
        <v>924</v>
      </c>
      <c r="Z157" s="48">
        <v>43803</v>
      </c>
      <c r="AA157" s="48">
        <v>43830</v>
      </c>
      <c r="AB157" s="38" t="s">
        <v>2071</v>
      </c>
      <c r="AC157" s="49"/>
      <c r="AD157" s="49"/>
      <c r="AE157" s="49"/>
      <c r="AF157" s="49"/>
      <c r="AG157" s="39"/>
      <c r="AH157" s="38"/>
      <c r="AI157" s="38"/>
      <c r="AJ157" s="50"/>
      <c r="AK157" s="44"/>
      <c r="AL157" s="39" t="str">
        <f t="shared" ca="1" si="31"/>
        <v>MUERTO</v>
      </c>
      <c r="AM157" s="39">
        <v>33104</v>
      </c>
      <c r="AN157" s="39" t="s">
        <v>156</v>
      </c>
      <c r="AO157" s="39" t="s">
        <v>924</v>
      </c>
      <c r="AP157" s="39"/>
      <c r="AQ157" s="39" t="s">
        <v>914</v>
      </c>
      <c r="AR157" s="39"/>
      <c r="AS157" s="39"/>
      <c r="AT157" s="39"/>
      <c r="AU157" s="51"/>
      <c r="AV157" s="50"/>
      <c r="AW157" s="38"/>
      <c r="AX157" s="52"/>
      <c r="AY157" s="50"/>
      <c r="AZ157" s="38"/>
      <c r="BA157" s="38" t="e">
        <f>VLOOKUP(I157,#REF!,2,0)</f>
        <v>#REF!</v>
      </c>
      <c r="BB157" s="71"/>
      <c r="BC157" s="59"/>
      <c r="BD157" s="39"/>
      <c r="BE157" s="39"/>
      <c r="BF157" s="39"/>
      <c r="BG157" s="39"/>
      <c r="BH157" s="59"/>
      <c r="BI157" s="39" t="e">
        <f>NETWORKDAYS(BF157,BG157,#REF!)</f>
        <v>#REF!</v>
      </c>
      <c r="BJ157" s="59"/>
      <c r="BK157" s="59"/>
      <c r="BL157" s="59"/>
      <c r="BM157" s="59"/>
      <c r="BN157" s="59"/>
      <c r="BO157" s="59"/>
      <c r="BP157" s="59"/>
      <c r="BQ157" s="62"/>
      <c r="BR157" s="66"/>
      <c r="BS157" s="70"/>
      <c r="BT157" s="62"/>
      <c r="BU157" s="84"/>
      <c r="BV157" s="84"/>
      <c r="BW157" s="84"/>
      <c r="BX157" s="84"/>
      <c r="BY157" s="84"/>
      <c r="BZ157" s="84"/>
    </row>
    <row r="158" spans="1:78" ht="150" hidden="1" x14ac:dyDescent="0.25">
      <c r="A158" s="38" t="s">
        <v>2086</v>
      </c>
      <c r="B158" s="39">
        <v>156</v>
      </c>
      <c r="C158" s="38" t="s">
        <v>149</v>
      </c>
      <c r="D158" s="991" t="s">
        <v>2087</v>
      </c>
      <c r="E158" s="4" t="s">
        <v>173</v>
      </c>
      <c r="F158" s="39" t="s">
        <v>326</v>
      </c>
      <c r="G158" s="39" t="s">
        <v>175</v>
      </c>
      <c r="H158" s="39"/>
      <c r="I158" s="81" t="s">
        <v>1844</v>
      </c>
      <c r="J158" s="82"/>
      <c r="K158" s="82"/>
      <c r="L158" s="82"/>
      <c r="M158" s="42" t="str">
        <f t="shared" si="32"/>
        <v xml:space="preserve">Estafeta Mexicana, S.A. de C.V.  </v>
      </c>
      <c r="N158" s="991" t="s">
        <v>301</v>
      </c>
      <c r="O158" s="991" t="s">
        <v>301</v>
      </c>
      <c r="P158" s="991" t="s">
        <v>1845</v>
      </c>
      <c r="Q158" s="992">
        <v>2177741.5</v>
      </c>
      <c r="R158" s="44">
        <f t="shared" si="30"/>
        <v>348438.64</v>
      </c>
      <c r="S158" s="45">
        <f t="shared" si="28"/>
        <v>2526180.14</v>
      </c>
      <c r="T158" s="46">
        <v>871096.6</v>
      </c>
      <c r="U158" s="47">
        <f t="shared" si="33"/>
        <v>1010472.056</v>
      </c>
      <c r="V158" s="44">
        <f t="shared" si="29"/>
        <v>2526180.14</v>
      </c>
      <c r="W158" s="993" t="s">
        <v>156</v>
      </c>
      <c r="X158" s="48">
        <v>43811</v>
      </c>
      <c r="Y158" s="39" t="s">
        <v>924</v>
      </c>
      <c r="Z158" s="48">
        <v>43831</v>
      </c>
      <c r="AA158" s="48">
        <v>44196</v>
      </c>
      <c r="AB158" s="38" t="s">
        <v>2033</v>
      </c>
      <c r="AC158" s="49"/>
      <c r="AD158" s="49"/>
      <c r="AE158" s="49"/>
      <c r="AF158" s="49"/>
      <c r="AG158" s="39"/>
      <c r="AH158" s="616" t="s">
        <v>2088</v>
      </c>
      <c r="AI158" s="616" t="s">
        <v>2089</v>
      </c>
      <c r="AJ158" s="617">
        <v>44179</v>
      </c>
      <c r="AK158" s="618">
        <v>0</v>
      </c>
      <c r="AL158" s="39" t="s">
        <v>1388</v>
      </c>
      <c r="AM158" s="39">
        <v>31801</v>
      </c>
      <c r="AN158" s="39" t="s">
        <v>183</v>
      </c>
      <c r="AO158" s="39" t="s">
        <v>924</v>
      </c>
      <c r="AP158" s="39"/>
      <c r="AQ158" s="109">
        <v>43831</v>
      </c>
      <c r="AR158" s="39"/>
      <c r="AS158" s="39"/>
      <c r="AT158" s="39"/>
      <c r="AU158" s="51"/>
      <c r="AV158" s="50"/>
      <c r="AW158" s="38"/>
      <c r="AX158" s="52"/>
      <c r="AY158" s="50"/>
      <c r="AZ158" s="38"/>
      <c r="BA158" s="38" t="e">
        <f>VLOOKUP(I158,#REF!,2,0)</f>
        <v>#REF!</v>
      </c>
      <c r="BB158" s="71"/>
      <c r="BC158" s="59"/>
      <c r="BD158" s="39"/>
      <c r="BE158" s="39"/>
      <c r="BF158" s="39"/>
      <c r="BG158" s="39"/>
      <c r="BH158" s="59"/>
      <c r="BI158" s="39" t="e">
        <f>NETWORKDAYS(BF158,BG158,#REF!)</f>
        <v>#REF!</v>
      </c>
      <c r="BJ158" s="59"/>
      <c r="BK158" s="59"/>
      <c r="BL158" s="59"/>
      <c r="BM158" s="59" t="s">
        <v>2090</v>
      </c>
      <c r="BN158" s="59"/>
      <c r="BO158" s="59"/>
      <c r="BP158" s="59"/>
      <c r="BQ158" s="62"/>
      <c r="BR158" s="66"/>
      <c r="BS158" s="70"/>
      <c r="BT158" s="62" t="s">
        <v>2091</v>
      </c>
      <c r="BU158" s="84"/>
      <c r="BV158" s="84"/>
      <c r="BW158" s="84"/>
      <c r="BX158" s="84"/>
      <c r="BY158" s="84"/>
      <c r="BZ158" s="84"/>
    </row>
    <row r="159" spans="1:78" ht="180" hidden="1" x14ac:dyDescent="0.25">
      <c r="A159" s="38" t="s">
        <v>2092</v>
      </c>
      <c r="B159" s="39">
        <v>157</v>
      </c>
      <c r="C159" s="38" t="s">
        <v>225</v>
      </c>
      <c r="D159" s="991" t="s">
        <v>2093</v>
      </c>
      <c r="E159" s="81" t="s">
        <v>163</v>
      </c>
      <c r="F159" s="39" t="s">
        <v>2094</v>
      </c>
      <c r="G159" s="39" t="s">
        <v>1477</v>
      </c>
      <c r="H159" s="685" t="s">
        <v>546</v>
      </c>
      <c r="I159" s="81" t="s">
        <v>2095</v>
      </c>
      <c r="J159" s="82"/>
      <c r="K159" s="82"/>
      <c r="L159" s="82"/>
      <c r="M159" s="42" t="str">
        <f t="shared" si="32"/>
        <v xml:space="preserve">Aplicaciones Innovadoras en Recursos Energéticos, S.A. de C.V.  </v>
      </c>
      <c r="N159" s="991" t="s">
        <v>166</v>
      </c>
      <c r="O159" s="991" t="s">
        <v>315</v>
      </c>
      <c r="P159" s="991" t="s">
        <v>2096</v>
      </c>
      <c r="Q159" s="992">
        <v>2571951.29</v>
      </c>
      <c r="R159" s="44">
        <f t="shared" si="30"/>
        <v>411512.20640000002</v>
      </c>
      <c r="S159" s="45">
        <f t="shared" si="28"/>
        <v>2983463.4964000001</v>
      </c>
      <c r="T159" s="46">
        <v>0</v>
      </c>
      <c r="U159" s="47">
        <f t="shared" si="33"/>
        <v>0</v>
      </c>
      <c r="V159" s="44">
        <f t="shared" si="29"/>
        <v>2983463.4964000001</v>
      </c>
      <c r="W159" s="993" t="s">
        <v>156</v>
      </c>
      <c r="X159" s="48">
        <v>43811</v>
      </c>
      <c r="Y159" s="39" t="s">
        <v>924</v>
      </c>
      <c r="Z159" s="48">
        <v>43809</v>
      </c>
      <c r="AA159" s="48">
        <v>43830</v>
      </c>
      <c r="AB159" s="38" t="s">
        <v>182</v>
      </c>
      <c r="AC159" s="49"/>
      <c r="AD159" s="49"/>
      <c r="AE159" s="49"/>
      <c r="AF159" s="49"/>
      <c r="AG159" s="39"/>
      <c r="AH159" s="38"/>
      <c r="AI159" s="38"/>
      <c r="AJ159" s="50"/>
      <c r="AK159" s="44"/>
      <c r="AL159" s="39" t="str">
        <f t="shared" ref="AL159:AL172" ca="1" si="34">IF(ISBLANK(AA159),"",IF(AA159&gt;=TODAY(),"VIGENTE","MUERTO"))</f>
        <v>MUERTO</v>
      </c>
      <c r="AM159" s="39">
        <v>27201</v>
      </c>
      <c r="AN159" s="39" t="s">
        <v>156</v>
      </c>
      <c r="AO159" s="39" t="s">
        <v>924</v>
      </c>
      <c r="AP159" s="39"/>
      <c r="AQ159" s="39" t="s">
        <v>914</v>
      </c>
      <c r="AR159" s="39"/>
      <c r="AS159" s="39"/>
      <c r="AT159" s="39"/>
      <c r="AU159" s="51"/>
      <c r="AV159" s="50"/>
      <c r="AW159" s="38"/>
      <c r="AX159" s="52"/>
      <c r="AY159" s="50"/>
      <c r="AZ159" s="38"/>
      <c r="BA159" s="38" t="e">
        <f>VLOOKUP(I159,#REF!,2,0)</f>
        <v>#REF!</v>
      </c>
      <c r="BB159" s="71"/>
      <c r="BC159" s="59"/>
      <c r="BD159" s="39"/>
      <c r="BE159" s="39"/>
      <c r="BF159" s="39"/>
      <c r="BG159" s="39"/>
      <c r="BH159" s="59"/>
      <c r="BI159" s="39" t="e">
        <f>NETWORKDAYS(BF159,BG159,#REF!)</f>
        <v>#REF!</v>
      </c>
      <c r="BJ159" s="59"/>
      <c r="BK159" s="59"/>
      <c r="BL159" s="59"/>
      <c r="BM159" s="59"/>
      <c r="BN159" s="59"/>
      <c r="BO159" s="59"/>
      <c r="BP159" s="59"/>
      <c r="BQ159" s="62"/>
      <c r="BR159" s="66"/>
      <c r="BS159" s="70"/>
      <c r="BT159" s="62"/>
      <c r="BU159" s="84"/>
      <c r="BV159" s="84"/>
      <c r="BW159" s="84"/>
      <c r="BX159" s="84"/>
      <c r="BY159" s="84"/>
      <c r="BZ159" s="84"/>
    </row>
    <row r="160" spans="1:78" ht="105" hidden="1" x14ac:dyDescent="0.25">
      <c r="A160" s="38" t="s">
        <v>2097</v>
      </c>
      <c r="B160" s="39">
        <v>158</v>
      </c>
      <c r="C160" s="38" t="s">
        <v>225</v>
      </c>
      <c r="D160" s="991" t="s">
        <v>2098</v>
      </c>
      <c r="E160" s="81" t="s">
        <v>163</v>
      </c>
      <c r="F160" s="39" t="s">
        <v>2099</v>
      </c>
      <c r="G160" s="39" t="s">
        <v>1111</v>
      </c>
      <c r="H160" s="685" t="s">
        <v>546</v>
      </c>
      <c r="I160" s="81" t="s">
        <v>2100</v>
      </c>
      <c r="J160" s="82"/>
      <c r="K160" s="82"/>
      <c r="L160" s="82"/>
      <c r="M160" s="42" t="str">
        <f t="shared" si="32"/>
        <v xml:space="preserve">Mavape, S.A.P.I. de C.V.  </v>
      </c>
      <c r="N160" s="991" t="s">
        <v>656</v>
      </c>
      <c r="O160" s="991" t="s">
        <v>656</v>
      </c>
      <c r="P160" s="991" t="s">
        <v>2101</v>
      </c>
      <c r="Q160" s="992">
        <v>29300000</v>
      </c>
      <c r="R160" s="44">
        <f t="shared" si="30"/>
        <v>4688000</v>
      </c>
      <c r="S160" s="45">
        <f t="shared" si="28"/>
        <v>33988000</v>
      </c>
      <c r="T160" s="46">
        <v>0</v>
      </c>
      <c r="U160" s="47">
        <f t="shared" si="33"/>
        <v>0</v>
      </c>
      <c r="V160" s="44">
        <f t="shared" si="29"/>
        <v>33988000</v>
      </c>
      <c r="W160" s="993" t="s">
        <v>156</v>
      </c>
      <c r="X160" s="48">
        <v>43812</v>
      </c>
      <c r="Y160" s="39" t="s">
        <v>924</v>
      </c>
      <c r="Z160" s="48">
        <v>43808</v>
      </c>
      <c r="AA160" s="48">
        <v>43830</v>
      </c>
      <c r="AB160" s="38" t="s">
        <v>2017</v>
      </c>
      <c r="AC160" s="49"/>
      <c r="AD160" s="49"/>
      <c r="AE160" s="49"/>
      <c r="AF160" s="49"/>
      <c r="AG160" s="39"/>
      <c r="AH160" s="38" t="s">
        <v>2102</v>
      </c>
      <c r="AI160" s="112" t="s">
        <v>2103</v>
      </c>
      <c r="AJ160" s="113">
        <v>43867</v>
      </c>
      <c r="AK160" s="44">
        <v>0</v>
      </c>
      <c r="AL160" s="39" t="str">
        <f t="shared" ca="1" si="34"/>
        <v>MUERTO</v>
      </c>
      <c r="AM160" s="39">
        <v>51501</v>
      </c>
      <c r="AN160" s="39" t="s">
        <v>156</v>
      </c>
      <c r="AO160" s="39" t="s">
        <v>924</v>
      </c>
      <c r="AP160" s="39"/>
      <c r="AQ160" s="39" t="s">
        <v>914</v>
      </c>
      <c r="AR160" s="39"/>
      <c r="AS160" s="39"/>
      <c r="AT160" s="39"/>
      <c r="AU160" s="51"/>
      <c r="AV160" s="50"/>
      <c r="AW160" s="38"/>
      <c r="AX160" s="52"/>
      <c r="AY160" s="50"/>
      <c r="AZ160" s="38"/>
      <c r="BA160" s="38" t="e">
        <f>VLOOKUP(I160,#REF!,2,0)</f>
        <v>#REF!</v>
      </c>
      <c r="BB160" s="71"/>
      <c r="BC160" s="59"/>
      <c r="BD160" s="39"/>
      <c r="BE160" s="39"/>
      <c r="BF160" s="39"/>
      <c r="BG160" s="39"/>
      <c r="BH160" s="59"/>
      <c r="BI160" s="39" t="e">
        <f>NETWORKDAYS(BF160,BG160,#REF!)</f>
        <v>#REF!</v>
      </c>
      <c r="BJ160" s="59"/>
      <c r="BK160" s="59"/>
      <c r="BL160" s="59"/>
      <c r="BM160" s="59"/>
      <c r="BN160" s="59"/>
      <c r="BO160" s="59"/>
      <c r="BP160" s="59"/>
      <c r="BQ160" s="62"/>
      <c r="BR160" s="66"/>
      <c r="BS160" s="70"/>
      <c r="BT160" s="62"/>
      <c r="BU160" s="84"/>
      <c r="BV160" s="84"/>
      <c r="BW160" s="84"/>
      <c r="BX160" s="84"/>
      <c r="BY160" s="84"/>
      <c r="BZ160" s="84"/>
    </row>
    <row r="161" spans="1:79" ht="195" hidden="1" x14ac:dyDescent="0.25">
      <c r="A161" s="38" t="s">
        <v>2104</v>
      </c>
      <c r="B161" s="39">
        <v>159</v>
      </c>
      <c r="C161" s="38" t="s">
        <v>225</v>
      </c>
      <c r="D161" s="991" t="s">
        <v>2098</v>
      </c>
      <c r="E161" s="81" t="s">
        <v>163</v>
      </c>
      <c r="F161" s="39" t="s">
        <v>2099</v>
      </c>
      <c r="G161" s="39" t="s">
        <v>1111</v>
      </c>
      <c r="H161" s="685" t="s">
        <v>546</v>
      </c>
      <c r="I161" s="81" t="s">
        <v>2105</v>
      </c>
      <c r="J161" s="82"/>
      <c r="K161" s="82"/>
      <c r="L161" s="82"/>
      <c r="M161" s="42" t="str">
        <f t="shared" si="32"/>
        <v xml:space="preserve">PG Ajud Servicios Administrativos, S.A. de C.V.  </v>
      </c>
      <c r="N161" s="991" t="s">
        <v>656</v>
      </c>
      <c r="O161" s="991" t="s">
        <v>656</v>
      </c>
      <c r="P161" s="991" t="s">
        <v>2106</v>
      </c>
      <c r="Q161" s="992">
        <v>50000000</v>
      </c>
      <c r="R161" s="44">
        <f t="shared" si="30"/>
        <v>8000000</v>
      </c>
      <c r="S161" s="45">
        <f t="shared" ref="S161:S192" si="35">Q161+R161</f>
        <v>58000000</v>
      </c>
      <c r="T161" s="46">
        <v>0</v>
      </c>
      <c r="U161" s="47">
        <f t="shared" si="33"/>
        <v>0</v>
      </c>
      <c r="V161" s="44">
        <f t="shared" si="29"/>
        <v>58000000</v>
      </c>
      <c r="W161" s="993" t="s">
        <v>156</v>
      </c>
      <c r="X161" s="48">
        <v>43812</v>
      </c>
      <c r="Y161" s="39" t="s">
        <v>924</v>
      </c>
      <c r="Z161" s="48">
        <v>43808</v>
      </c>
      <c r="AA161" s="48">
        <v>43830</v>
      </c>
      <c r="AB161" s="38" t="s">
        <v>2017</v>
      </c>
      <c r="AC161" s="49"/>
      <c r="AD161" s="49"/>
      <c r="AE161" s="49"/>
      <c r="AF161" s="49"/>
      <c r="AG161" s="39"/>
      <c r="AH161" s="38"/>
      <c r="AI161" s="38"/>
      <c r="AJ161" s="50"/>
      <c r="AK161" s="44"/>
      <c r="AL161" s="39" t="str">
        <f t="shared" ca="1" si="34"/>
        <v>MUERTO</v>
      </c>
      <c r="AM161" s="39">
        <v>51501</v>
      </c>
      <c r="AN161" s="39" t="s">
        <v>183</v>
      </c>
      <c r="AO161" s="39" t="s">
        <v>924</v>
      </c>
      <c r="AP161" s="39"/>
      <c r="AQ161" s="39" t="s">
        <v>914</v>
      </c>
      <c r="AR161" s="39"/>
      <c r="AS161" s="39"/>
      <c r="AT161" s="39"/>
      <c r="AU161" s="51"/>
      <c r="AV161" s="50"/>
      <c r="AW161" s="38"/>
      <c r="AX161" s="52"/>
      <c r="AY161" s="50"/>
      <c r="AZ161" s="38"/>
      <c r="BA161" s="38" t="e">
        <f>VLOOKUP(I161,#REF!,2,0)</f>
        <v>#REF!</v>
      </c>
      <c r="BB161" s="71"/>
      <c r="BC161" s="59"/>
      <c r="BD161" s="39"/>
      <c r="BE161" s="39"/>
      <c r="BF161" s="39"/>
      <c r="BG161" s="39"/>
      <c r="BH161" s="59"/>
      <c r="BI161" s="39" t="e">
        <f>NETWORKDAYS(BF161,BG161,#REF!)</f>
        <v>#REF!</v>
      </c>
      <c r="BJ161" s="59"/>
      <c r="BK161" s="59"/>
      <c r="BL161" s="59"/>
      <c r="BM161" s="59"/>
      <c r="BN161" s="59"/>
      <c r="BO161" s="59"/>
      <c r="BP161" s="59"/>
      <c r="BQ161" s="62"/>
      <c r="BR161" s="66"/>
      <c r="BS161" s="70"/>
      <c r="BT161" s="62"/>
      <c r="BU161" s="84"/>
      <c r="BV161" s="84"/>
      <c r="BW161" s="84"/>
      <c r="BX161" s="84"/>
      <c r="BY161" s="84"/>
      <c r="BZ161" s="84"/>
    </row>
    <row r="162" spans="1:79" ht="165" hidden="1" x14ac:dyDescent="0.25">
      <c r="A162" s="38" t="s">
        <v>2107</v>
      </c>
      <c r="B162" s="39">
        <v>160</v>
      </c>
      <c r="C162" s="38" t="s">
        <v>149</v>
      </c>
      <c r="D162" s="991" t="s">
        <v>2108</v>
      </c>
      <c r="E162" s="81" t="s">
        <v>163</v>
      </c>
      <c r="F162" s="39" t="s">
        <v>568</v>
      </c>
      <c r="G162" s="39" t="s">
        <v>1111</v>
      </c>
      <c r="H162" s="685" t="s">
        <v>546</v>
      </c>
      <c r="I162" s="81" t="s">
        <v>2109</v>
      </c>
      <c r="J162" s="82"/>
      <c r="K162" s="82"/>
      <c r="L162" s="82"/>
      <c r="M162" s="42" t="str">
        <f t="shared" si="32"/>
        <v xml:space="preserve">Mal &amp; Jor, S.A. de C.V.  </v>
      </c>
      <c r="N162" s="991" t="s">
        <v>198</v>
      </c>
      <c r="O162" s="991" t="s">
        <v>198</v>
      </c>
      <c r="P162" s="991" t="s">
        <v>2110</v>
      </c>
      <c r="Q162" s="992">
        <v>2060720.91</v>
      </c>
      <c r="R162" s="44">
        <f t="shared" si="30"/>
        <v>329715.3456</v>
      </c>
      <c r="S162" s="45">
        <f t="shared" si="35"/>
        <v>2390436.2555999998</v>
      </c>
      <c r="T162" s="46">
        <v>0</v>
      </c>
      <c r="U162" s="47">
        <f t="shared" si="33"/>
        <v>0</v>
      </c>
      <c r="V162" s="44">
        <f t="shared" si="29"/>
        <v>2390436.2555999998</v>
      </c>
      <c r="W162" s="993" t="s">
        <v>156</v>
      </c>
      <c r="X162" s="48">
        <v>43817</v>
      </c>
      <c r="Y162" s="39" t="s">
        <v>924</v>
      </c>
      <c r="Z162" s="48">
        <v>43800</v>
      </c>
      <c r="AA162" s="48">
        <v>43830</v>
      </c>
      <c r="AB162" s="38" t="s">
        <v>2017</v>
      </c>
      <c r="AC162" s="49"/>
      <c r="AD162" s="49"/>
      <c r="AE162" s="49"/>
      <c r="AF162" s="49"/>
      <c r="AG162" s="39"/>
      <c r="AH162" s="38" t="s">
        <v>2111</v>
      </c>
      <c r="AI162" s="38" t="s">
        <v>2112</v>
      </c>
      <c r="AJ162" s="50"/>
      <c r="AK162" s="44"/>
      <c r="AL162" s="39" t="str">
        <f t="shared" ca="1" si="34"/>
        <v>MUERTO</v>
      </c>
      <c r="AM162" s="39">
        <v>35701</v>
      </c>
      <c r="AN162" s="39" t="s">
        <v>156</v>
      </c>
      <c r="AO162" s="39" t="s">
        <v>924</v>
      </c>
      <c r="AP162" s="39" t="s">
        <v>193</v>
      </c>
      <c r="AQ162" s="39" t="s">
        <v>914</v>
      </c>
      <c r="AR162" s="39"/>
      <c r="AS162" s="39"/>
      <c r="AT162" s="39"/>
      <c r="AU162" s="51"/>
      <c r="AV162" s="50"/>
      <c r="AW162" s="38"/>
      <c r="AX162" s="52"/>
      <c r="AY162" s="50"/>
      <c r="AZ162" s="38"/>
      <c r="BA162" s="38" t="e">
        <f>VLOOKUP(I162,#REF!,2,0)</f>
        <v>#REF!</v>
      </c>
      <c r="BB162" s="71"/>
      <c r="BC162" s="59"/>
      <c r="BD162" s="39"/>
      <c r="BE162" s="39"/>
      <c r="BF162" s="39"/>
      <c r="BG162" s="39"/>
      <c r="BH162" s="59"/>
      <c r="BI162" s="39" t="e">
        <f>NETWORKDAYS(BF162,BG162,#REF!)</f>
        <v>#REF!</v>
      </c>
      <c r="BJ162" s="59"/>
      <c r="BK162" s="59"/>
      <c r="BL162" s="59"/>
      <c r="BM162" s="59"/>
      <c r="BN162" s="59"/>
      <c r="BO162" s="59"/>
      <c r="BP162" s="59"/>
      <c r="BQ162" s="62"/>
      <c r="BR162" s="66"/>
      <c r="BS162" s="70"/>
      <c r="BT162" s="62"/>
      <c r="BU162" s="84"/>
      <c r="BV162" s="84"/>
      <c r="BW162" s="84"/>
      <c r="BX162" s="84"/>
      <c r="BY162" s="84"/>
      <c r="BZ162" s="84"/>
    </row>
    <row r="163" spans="1:79" ht="300" hidden="1" x14ac:dyDescent="0.25">
      <c r="A163" s="38" t="s">
        <v>2113</v>
      </c>
      <c r="B163" s="39">
        <v>161</v>
      </c>
      <c r="C163" s="38" t="s">
        <v>225</v>
      </c>
      <c r="D163" s="991" t="s">
        <v>2098</v>
      </c>
      <c r="E163" s="81" t="s">
        <v>163</v>
      </c>
      <c r="F163" s="39" t="s">
        <v>2114</v>
      </c>
      <c r="G163" s="39" t="s">
        <v>1111</v>
      </c>
      <c r="H163" s="81" t="s">
        <v>163</v>
      </c>
      <c r="I163" s="81" t="s">
        <v>2115</v>
      </c>
      <c r="J163" s="82"/>
      <c r="K163" s="82"/>
      <c r="L163" s="82"/>
      <c r="M163" s="42" t="str">
        <f t="shared" si="32"/>
        <v xml:space="preserve">Ingeniería Operativa, S.A. de C.V.  </v>
      </c>
      <c r="N163" s="42" t="s">
        <v>166</v>
      </c>
      <c r="O163" s="991" t="s">
        <v>2116</v>
      </c>
      <c r="P163" s="991" t="s">
        <v>2117</v>
      </c>
      <c r="Q163" s="992">
        <v>9482500</v>
      </c>
      <c r="R163" s="44">
        <f t="shared" si="30"/>
        <v>1517200</v>
      </c>
      <c r="S163" s="45">
        <f t="shared" si="35"/>
        <v>10999700</v>
      </c>
      <c r="T163" s="46">
        <v>0</v>
      </c>
      <c r="U163" s="47">
        <f t="shared" si="33"/>
        <v>0</v>
      </c>
      <c r="V163" s="44">
        <f t="shared" si="29"/>
        <v>10999700</v>
      </c>
      <c r="W163" s="993" t="s">
        <v>156</v>
      </c>
      <c r="X163" s="48">
        <v>43815</v>
      </c>
      <c r="Y163" s="39" t="s">
        <v>924</v>
      </c>
      <c r="Z163" s="48">
        <v>43808</v>
      </c>
      <c r="AA163" s="48">
        <v>43830</v>
      </c>
      <c r="AB163" s="38" t="s">
        <v>2071</v>
      </c>
      <c r="AC163" s="49"/>
      <c r="AD163" s="49"/>
      <c r="AE163" s="49"/>
      <c r="AF163" s="49"/>
      <c r="AG163" s="39"/>
      <c r="AH163" s="38"/>
      <c r="AI163" s="38"/>
      <c r="AJ163" s="50"/>
      <c r="AK163" s="44"/>
      <c r="AL163" s="39" t="str">
        <f t="shared" ca="1" si="34"/>
        <v>MUERTO</v>
      </c>
      <c r="AM163" s="39">
        <v>51901</v>
      </c>
      <c r="AN163" s="39" t="s">
        <v>156</v>
      </c>
      <c r="AO163" s="39" t="s">
        <v>924</v>
      </c>
      <c r="AP163" s="39"/>
      <c r="AQ163" s="39" t="s">
        <v>914</v>
      </c>
      <c r="AR163" s="39"/>
      <c r="AS163" s="39"/>
      <c r="AT163" s="39"/>
      <c r="AU163" s="51"/>
      <c r="AV163" s="50"/>
      <c r="AW163" s="38"/>
      <c r="AX163" s="52"/>
      <c r="AY163" s="50"/>
      <c r="AZ163" s="38"/>
      <c r="BA163" s="38" t="e">
        <f>VLOOKUP(I163,#REF!,2,0)</f>
        <v>#REF!</v>
      </c>
      <c r="BB163" s="71"/>
      <c r="BC163" s="59"/>
      <c r="BD163" s="39"/>
      <c r="BE163" s="39"/>
      <c r="BF163" s="39"/>
      <c r="BG163" s="39"/>
      <c r="BH163" s="59"/>
      <c r="BI163" s="39" t="e">
        <f>NETWORKDAYS(BF163,BG163,#REF!)</f>
        <v>#REF!</v>
      </c>
      <c r="BJ163" s="59"/>
      <c r="BK163" s="59"/>
      <c r="BL163" s="59"/>
      <c r="BM163" s="59"/>
      <c r="BN163" s="59"/>
      <c r="BO163" s="59"/>
      <c r="BP163" s="59"/>
      <c r="BQ163" s="62"/>
      <c r="BR163" s="66"/>
      <c r="BS163" s="70"/>
      <c r="BT163" s="62"/>
      <c r="BU163" s="84"/>
      <c r="BV163" s="84"/>
      <c r="BW163" s="84"/>
      <c r="BX163" s="84"/>
      <c r="BY163" s="84"/>
      <c r="BZ163" s="84"/>
    </row>
    <row r="164" spans="1:79" ht="165" hidden="1" x14ac:dyDescent="0.25">
      <c r="A164" s="38" t="s">
        <v>2118</v>
      </c>
      <c r="B164" s="39">
        <v>162</v>
      </c>
      <c r="C164" s="38" t="s">
        <v>149</v>
      </c>
      <c r="D164" s="991" t="s">
        <v>2119</v>
      </c>
      <c r="E164" s="81" t="s">
        <v>163</v>
      </c>
      <c r="F164" s="39" t="s">
        <v>237</v>
      </c>
      <c r="G164" s="39" t="s">
        <v>1272</v>
      </c>
      <c r="H164" s="81" t="s">
        <v>163</v>
      </c>
      <c r="I164" s="81" t="s">
        <v>1794</v>
      </c>
      <c r="J164" s="82"/>
      <c r="K164" s="82"/>
      <c r="L164" s="82"/>
      <c r="M164" s="42" t="str">
        <f t="shared" si="32"/>
        <v xml:space="preserve">NYR Tecnología, S.A. de C.V.  </v>
      </c>
      <c r="N164" s="991" t="s">
        <v>656</v>
      </c>
      <c r="O164" s="991" t="s">
        <v>667</v>
      </c>
      <c r="P164" s="991" t="s">
        <v>2120</v>
      </c>
      <c r="Q164" s="992">
        <v>900000</v>
      </c>
      <c r="R164" s="44">
        <f t="shared" si="30"/>
        <v>144000</v>
      </c>
      <c r="S164" s="45">
        <f t="shared" si="35"/>
        <v>1044000</v>
      </c>
      <c r="T164" s="46">
        <v>300000</v>
      </c>
      <c r="U164" s="47">
        <f t="shared" si="33"/>
        <v>348000</v>
      </c>
      <c r="V164" s="44">
        <f t="shared" ref="V164:V195" si="36">S164+AK164</f>
        <v>1044000</v>
      </c>
      <c r="W164" s="993" t="s">
        <v>156</v>
      </c>
      <c r="X164" s="48">
        <v>43812</v>
      </c>
      <c r="Y164" s="39" t="s">
        <v>924</v>
      </c>
      <c r="Z164" s="48">
        <v>43813</v>
      </c>
      <c r="AA164" s="48">
        <v>43830</v>
      </c>
      <c r="AB164" s="38" t="s">
        <v>2076</v>
      </c>
      <c r="AC164" s="49"/>
      <c r="AD164" s="49"/>
      <c r="AE164" s="49"/>
      <c r="AF164" s="49"/>
      <c r="AG164" s="39"/>
      <c r="AH164" s="38"/>
      <c r="AI164" s="38"/>
      <c r="AJ164" s="50"/>
      <c r="AK164" s="44"/>
      <c r="AL164" s="39" t="str">
        <f t="shared" ca="1" si="34"/>
        <v>MUERTO</v>
      </c>
      <c r="AM164" s="39">
        <v>35101</v>
      </c>
      <c r="AN164" s="39" t="s">
        <v>156</v>
      </c>
      <c r="AO164" s="39" t="s">
        <v>924</v>
      </c>
      <c r="AP164" s="39"/>
      <c r="AQ164" s="39" t="s">
        <v>914</v>
      </c>
      <c r="AR164" s="39"/>
      <c r="AS164" s="39"/>
      <c r="AT164" s="39"/>
      <c r="AU164" s="51"/>
      <c r="AV164" s="50"/>
      <c r="AW164" s="38"/>
      <c r="AX164" s="52"/>
      <c r="AY164" s="50"/>
      <c r="AZ164" s="38"/>
      <c r="BA164" s="38" t="e">
        <f>VLOOKUP(I164,#REF!,2,0)</f>
        <v>#REF!</v>
      </c>
      <c r="BB164" s="71"/>
      <c r="BC164" s="59"/>
      <c r="BD164" s="39"/>
      <c r="BE164" s="39"/>
      <c r="BF164" s="39"/>
      <c r="BG164" s="39"/>
      <c r="BH164" s="59"/>
      <c r="BI164" s="39" t="e">
        <f>NETWORKDAYS(BF164,BG164,#REF!)</f>
        <v>#REF!</v>
      </c>
      <c r="BJ164" s="59"/>
      <c r="BK164" s="59"/>
      <c r="BL164" s="59"/>
      <c r="BM164" s="59"/>
      <c r="BN164" s="59"/>
      <c r="BO164" s="59"/>
      <c r="BP164" s="59"/>
      <c r="BQ164" s="62"/>
      <c r="BR164" s="66"/>
      <c r="BS164" s="70"/>
      <c r="BT164" s="62"/>
      <c r="BU164" s="84"/>
      <c r="BV164" s="84"/>
      <c r="BW164" s="84"/>
      <c r="BX164" s="84"/>
      <c r="BY164" s="84"/>
      <c r="BZ164" s="84"/>
    </row>
    <row r="165" spans="1:79" ht="105" hidden="1" x14ac:dyDescent="0.25">
      <c r="A165" s="38" t="s">
        <v>2121</v>
      </c>
      <c r="B165" s="39">
        <v>163</v>
      </c>
      <c r="C165" s="38" t="s">
        <v>149</v>
      </c>
      <c r="D165" s="991" t="s">
        <v>2122</v>
      </c>
      <c r="E165" s="4" t="s">
        <v>173</v>
      </c>
      <c r="F165" s="39" t="s">
        <v>326</v>
      </c>
      <c r="G165" s="39" t="s">
        <v>175</v>
      </c>
      <c r="H165" s="39"/>
      <c r="I165" s="81" t="s">
        <v>2123</v>
      </c>
      <c r="J165" s="82"/>
      <c r="K165" s="82"/>
      <c r="L165" s="82"/>
      <c r="M165" s="42" t="str">
        <f t="shared" si="32"/>
        <v xml:space="preserve">Acertar Consultoría y Servicios Profesionales, S.C.  </v>
      </c>
      <c r="N165" s="991" t="s">
        <v>2124</v>
      </c>
      <c r="O165" s="991" t="s">
        <v>2124</v>
      </c>
      <c r="P165" s="991" t="s">
        <v>2125</v>
      </c>
      <c r="Q165" s="992">
        <v>4612068.96</v>
      </c>
      <c r="R165" s="44">
        <f t="shared" si="30"/>
        <v>737931.03359999997</v>
      </c>
      <c r="S165" s="45">
        <f t="shared" si="35"/>
        <v>5349999.9935999997</v>
      </c>
      <c r="T165" s="46">
        <v>0</v>
      </c>
      <c r="U165" s="47">
        <f t="shared" si="33"/>
        <v>0</v>
      </c>
      <c r="V165" s="44">
        <f t="shared" si="36"/>
        <v>5349999.9935999997</v>
      </c>
      <c r="W165" s="993" t="s">
        <v>183</v>
      </c>
      <c r="X165" s="48">
        <v>43812</v>
      </c>
      <c r="Y165" s="39" t="s">
        <v>924</v>
      </c>
      <c r="Z165" s="48">
        <v>43808</v>
      </c>
      <c r="AA165" s="48">
        <v>43930</v>
      </c>
      <c r="AB165" s="38" t="s">
        <v>2008</v>
      </c>
      <c r="AC165" s="49"/>
      <c r="AD165" s="49"/>
      <c r="AE165" s="49"/>
      <c r="AF165" s="49"/>
      <c r="AG165" s="39"/>
      <c r="AH165" s="38"/>
      <c r="AI165" s="38"/>
      <c r="AJ165" s="50"/>
      <c r="AK165" s="44"/>
      <c r="AL165" s="39" t="str">
        <f t="shared" ca="1" si="34"/>
        <v>MUERTO</v>
      </c>
      <c r="AM165" s="39">
        <v>59101</v>
      </c>
      <c r="AN165" s="39" t="s">
        <v>156</v>
      </c>
      <c r="AO165" s="39" t="s">
        <v>924</v>
      </c>
      <c r="AP165" s="39"/>
      <c r="AQ165" s="39" t="s">
        <v>914</v>
      </c>
      <c r="AR165" s="39"/>
      <c r="AS165" s="39"/>
      <c r="AT165" s="39"/>
      <c r="AU165" s="51"/>
      <c r="AV165" s="50"/>
      <c r="AW165" s="38"/>
      <c r="AX165" s="52"/>
      <c r="AY165" s="50"/>
      <c r="AZ165" s="38"/>
      <c r="BA165" s="38" t="e">
        <f>VLOOKUP(I165,#REF!,2,0)</f>
        <v>#REF!</v>
      </c>
      <c r="BB165" s="71"/>
      <c r="BC165" s="59"/>
      <c r="BD165" s="39"/>
      <c r="BE165" s="39"/>
      <c r="BF165" s="39"/>
      <c r="BG165" s="39"/>
      <c r="BH165" s="59"/>
      <c r="BI165" s="39" t="e">
        <f>NETWORKDAYS(BF165,BG165,#REF!)</f>
        <v>#REF!</v>
      </c>
      <c r="BJ165" s="59"/>
      <c r="BK165" s="59"/>
      <c r="BL165" s="59"/>
      <c r="BM165" s="59"/>
      <c r="BN165" s="59"/>
      <c r="BO165" s="59"/>
      <c r="BP165" s="59"/>
      <c r="BQ165" s="62"/>
      <c r="BR165" s="66"/>
      <c r="BS165" s="70"/>
      <c r="BT165" s="62"/>
      <c r="BU165" s="84">
        <v>2586206.9</v>
      </c>
      <c r="BV165" s="84">
        <v>2025862.06</v>
      </c>
      <c r="BW165" s="84"/>
      <c r="BX165" s="84"/>
      <c r="BY165" s="84"/>
      <c r="BZ165" s="84"/>
    </row>
    <row r="166" spans="1:79" ht="409.5" hidden="1" x14ac:dyDescent="0.25">
      <c r="A166" s="38" t="s">
        <v>2126</v>
      </c>
      <c r="B166" s="39">
        <v>164</v>
      </c>
      <c r="C166" s="38" t="s">
        <v>149</v>
      </c>
      <c r="D166" s="991" t="s">
        <v>2127</v>
      </c>
      <c r="E166" s="81" t="s">
        <v>163</v>
      </c>
      <c r="F166" s="39" t="s">
        <v>188</v>
      </c>
      <c r="G166" s="960" t="s">
        <v>427</v>
      </c>
      <c r="H166" s="81" t="s">
        <v>163</v>
      </c>
      <c r="I166" s="81" t="s">
        <v>2128</v>
      </c>
      <c r="J166" s="82"/>
      <c r="K166" s="82"/>
      <c r="L166" s="82"/>
      <c r="M166" s="42" t="str">
        <f t="shared" si="32"/>
        <v xml:space="preserve">Ediciones con Valor, S.A. de C.V.  </v>
      </c>
      <c r="N166" s="991" t="s">
        <v>2065</v>
      </c>
      <c r="O166" s="991" t="s">
        <v>431</v>
      </c>
      <c r="P166" s="991" t="s">
        <v>2129</v>
      </c>
      <c r="Q166" s="992">
        <v>975000</v>
      </c>
      <c r="R166" s="44">
        <v>0</v>
      </c>
      <c r="S166" s="45">
        <f t="shared" si="35"/>
        <v>975000</v>
      </c>
      <c r="T166" s="46">
        <v>0</v>
      </c>
      <c r="U166" s="47">
        <f t="shared" si="33"/>
        <v>0</v>
      </c>
      <c r="V166" s="44">
        <f t="shared" si="36"/>
        <v>975000</v>
      </c>
      <c r="W166" s="993" t="s">
        <v>156</v>
      </c>
      <c r="X166" s="48">
        <v>43816</v>
      </c>
      <c r="Y166" s="39" t="s">
        <v>924</v>
      </c>
      <c r="Z166" s="48">
        <v>43808</v>
      </c>
      <c r="AA166" s="48">
        <v>43819</v>
      </c>
      <c r="AB166" s="38" t="s">
        <v>182</v>
      </c>
      <c r="AC166" s="49"/>
      <c r="AD166" s="49"/>
      <c r="AE166" s="49"/>
      <c r="AF166" s="49"/>
      <c r="AG166" s="39"/>
      <c r="AH166" s="38"/>
      <c r="AI166" s="38"/>
      <c r="AJ166" s="50"/>
      <c r="AK166" s="44"/>
      <c r="AL166" s="39" t="str">
        <f t="shared" ca="1" si="34"/>
        <v>MUERTO</v>
      </c>
      <c r="AM166" s="39">
        <v>33604</v>
      </c>
      <c r="AN166" s="39" t="s">
        <v>156</v>
      </c>
      <c r="AO166" s="39" t="s">
        <v>924</v>
      </c>
      <c r="AP166" s="39"/>
      <c r="AQ166" s="39" t="s">
        <v>914</v>
      </c>
      <c r="AR166" s="39"/>
      <c r="AS166" s="39"/>
      <c r="AT166" s="39"/>
      <c r="AU166" s="51"/>
      <c r="AV166" s="50"/>
      <c r="AW166" s="38"/>
      <c r="AX166" s="52"/>
      <c r="AY166" s="50"/>
      <c r="AZ166" s="38"/>
      <c r="BA166" s="38" t="e">
        <f>VLOOKUP(I166,#REF!,2,0)</f>
        <v>#REF!</v>
      </c>
      <c r="BB166" s="71"/>
      <c r="BC166" s="59"/>
      <c r="BD166" s="39"/>
      <c r="BE166" s="39"/>
      <c r="BF166" s="39"/>
      <c r="BG166" s="39"/>
      <c r="BH166" s="59"/>
      <c r="BI166" s="39" t="e">
        <f>NETWORKDAYS(BF166,BG166,#REF!)</f>
        <v>#REF!</v>
      </c>
      <c r="BJ166" s="59"/>
      <c r="BK166" s="59"/>
      <c r="BL166" s="59"/>
      <c r="BM166" s="59"/>
      <c r="BN166" s="59"/>
      <c r="BO166" s="59"/>
      <c r="BP166" s="59"/>
      <c r="BQ166" s="62"/>
      <c r="BR166" s="66"/>
      <c r="BS166" s="70"/>
      <c r="BT166" s="62"/>
      <c r="BU166" s="84"/>
      <c r="BV166" s="84"/>
      <c r="BW166" s="84"/>
      <c r="BX166" s="84"/>
      <c r="BY166" s="84"/>
      <c r="BZ166" s="84"/>
    </row>
    <row r="167" spans="1:79" ht="409.5" hidden="1" x14ac:dyDescent="0.25">
      <c r="A167" s="38" t="s">
        <v>2130</v>
      </c>
      <c r="B167" s="39">
        <v>165</v>
      </c>
      <c r="C167" s="38" t="s">
        <v>149</v>
      </c>
      <c r="D167" s="991" t="s">
        <v>2098</v>
      </c>
      <c r="E167" s="81" t="s">
        <v>163</v>
      </c>
      <c r="F167" s="39" t="s">
        <v>2131</v>
      </c>
      <c r="G167" s="39" t="s">
        <v>1111</v>
      </c>
      <c r="H167" s="685" t="s">
        <v>546</v>
      </c>
      <c r="I167" s="81" t="s">
        <v>2132</v>
      </c>
      <c r="J167" s="82"/>
      <c r="K167" s="82"/>
      <c r="L167" s="82"/>
      <c r="M167" s="42" t="str">
        <f t="shared" si="32"/>
        <v xml:space="preserve">Detecno, S.A. de C.V.  </v>
      </c>
      <c r="N167" s="991" t="s">
        <v>370</v>
      </c>
      <c r="O167" s="991" t="s">
        <v>370</v>
      </c>
      <c r="P167" s="991" t="s">
        <v>2133</v>
      </c>
      <c r="Q167" s="992">
        <v>3300000</v>
      </c>
      <c r="R167" s="44">
        <f t="shared" ref="R167:R195" si="37">Q167*0.16</f>
        <v>528000</v>
      </c>
      <c r="S167" s="45">
        <f t="shared" si="35"/>
        <v>3828000</v>
      </c>
      <c r="T167" s="46">
        <v>0</v>
      </c>
      <c r="U167" s="47">
        <f t="shared" si="33"/>
        <v>0</v>
      </c>
      <c r="V167" s="44">
        <f t="shared" si="36"/>
        <v>3828000</v>
      </c>
      <c r="W167" s="993" t="s">
        <v>183</v>
      </c>
      <c r="X167" s="48">
        <v>43817</v>
      </c>
      <c r="Y167" s="39" t="s">
        <v>924</v>
      </c>
      <c r="Z167" s="48">
        <v>43808</v>
      </c>
      <c r="AA167" s="48">
        <v>44196</v>
      </c>
      <c r="AB167" s="38" t="s">
        <v>2134</v>
      </c>
      <c r="AC167" s="49"/>
      <c r="AD167" s="49"/>
      <c r="AE167" s="49"/>
      <c r="AF167" s="49"/>
      <c r="AG167" s="39"/>
      <c r="AH167" s="38"/>
      <c r="AI167" s="38"/>
      <c r="AJ167" s="50"/>
      <c r="AK167" s="44"/>
      <c r="AL167" s="39" t="str">
        <f t="shared" ca="1" si="34"/>
        <v>MUERTO</v>
      </c>
      <c r="AM167" s="39">
        <v>33301</v>
      </c>
      <c r="AN167" s="39" t="s">
        <v>156</v>
      </c>
      <c r="AO167" s="39" t="s">
        <v>924</v>
      </c>
      <c r="AP167" s="39"/>
      <c r="AQ167" s="39" t="s">
        <v>914</v>
      </c>
      <c r="AR167" s="39"/>
      <c r="AS167" s="39"/>
      <c r="AT167" s="39"/>
      <c r="AU167" s="51"/>
      <c r="AV167" s="50"/>
      <c r="AW167" s="38"/>
      <c r="AX167" s="52"/>
      <c r="AY167" s="50"/>
      <c r="AZ167" s="38"/>
      <c r="BA167" s="38" t="e">
        <f>VLOOKUP(I167,#REF!,2,0)</f>
        <v>#REF!</v>
      </c>
      <c r="BB167" s="71"/>
      <c r="BC167" s="59"/>
      <c r="BD167" s="39"/>
      <c r="BE167" s="39"/>
      <c r="BF167" s="39"/>
      <c r="BG167" s="39"/>
      <c r="BH167" s="59"/>
      <c r="BI167" s="39" t="e">
        <f>NETWORKDAYS(BF167,BG167,#REF!)</f>
        <v>#REF!</v>
      </c>
      <c r="BJ167" s="59"/>
      <c r="BK167" s="59"/>
      <c r="BL167" s="59"/>
      <c r="BM167" s="59"/>
      <c r="BN167" s="59"/>
      <c r="BO167" s="59"/>
      <c r="BP167" s="59"/>
      <c r="BQ167" s="62"/>
      <c r="BR167" s="66"/>
      <c r="BS167" s="70"/>
      <c r="BT167" s="62"/>
      <c r="BU167" s="84">
        <v>1290000</v>
      </c>
      <c r="BV167" s="84">
        <v>2010000</v>
      </c>
      <c r="BW167" s="84"/>
      <c r="BX167" s="84"/>
      <c r="BY167" s="84"/>
      <c r="BZ167" s="84"/>
    </row>
    <row r="168" spans="1:79" ht="240" hidden="1" x14ac:dyDescent="0.25">
      <c r="A168" s="38" t="s">
        <v>2135</v>
      </c>
      <c r="B168" s="39">
        <v>166</v>
      </c>
      <c r="C168" s="38" t="s">
        <v>225</v>
      </c>
      <c r="D168" s="991" t="s">
        <v>2098</v>
      </c>
      <c r="E168" s="81" t="s">
        <v>163</v>
      </c>
      <c r="F168" s="39" t="s">
        <v>726</v>
      </c>
      <c r="G168" s="39" t="s">
        <v>1111</v>
      </c>
      <c r="H168" s="685" t="s">
        <v>546</v>
      </c>
      <c r="I168" s="81" t="s">
        <v>2136</v>
      </c>
      <c r="J168" s="82"/>
      <c r="K168" s="82"/>
      <c r="L168" s="82"/>
      <c r="M168" s="42" t="str">
        <f t="shared" si="32"/>
        <v xml:space="preserve">Soler &amp; Palau, S.A. de C.V.  </v>
      </c>
      <c r="N168" s="991" t="s">
        <v>198</v>
      </c>
      <c r="O168" s="991" t="s">
        <v>198</v>
      </c>
      <c r="P168" s="991" t="s">
        <v>2137</v>
      </c>
      <c r="Q168" s="992">
        <v>2026229.9</v>
      </c>
      <c r="R168" s="44">
        <f t="shared" si="37"/>
        <v>324196.78399999999</v>
      </c>
      <c r="S168" s="45">
        <f t="shared" si="35"/>
        <v>2350426.6839999999</v>
      </c>
      <c r="T168" s="46">
        <v>0</v>
      </c>
      <c r="U168" s="47">
        <f t="shared" si="33"/>
        <v>0</v>
      </c>
      <c r="V168" s="44">
        <f t="shared" si="36"/>
        <v>2350426.6839999999</v>
      </c>
      <c r="W168" s="993" t="s">
        <v>156</v>
      </c>
      <c r="X168" s="48">
        <v>43817</v>
      </c>
      <c r="Y168" s="39" t="s">
        <v>924</v>
      </c>
      <c r="Z168" s="48">
        <v>43808</v>
      </c>
      <c r="AA168" s="48">
        <v>43829</v>
      </c>
      <c r="AB168" s="38" t="s">
        <v>2076</v>
      </c>
      <c r="AC168" s="49"/>
      <c r="AD168" s="49"/>
      <c r="AE168" s="49"/>
      <c r="AF168" s="49"/>
      <c r="AG168" s="39"/>
      <c r="AH168" s="38"/>
      <c r="AI168" s="38"/>
      <c r="AJ168" s="50"/>
      <c r="AK168" s="44"/>
      <c r="AL168" s="39" t="str">
        <f t="shared" ca="1" si="34"/>
        <v>MUERTO</v>
      </c>
      <c r="AM168" s="39">
        <v>35701</v>
      </c>
      <c r="AN168" s="39" t="s">
        <v>156</v>
      </c>
      <c r="AO168" s="39" t="s">
        <v>924</v>
      </c>
      <c r="AP168" s="39"/>
      <c r="AQ168" s="39" t="s">
        <v>914</v>
      </c>
      <c r="AR168" s="39"/>
      <c r="AS168" s="39"/>
      <c r="AT168" s="39"/>
      <c r="AU168" s="51"/>
      <c r="AV168" s="50"/>
      <c r="AW168" s="38"/>
      <c r="AX168" s="52"/>
      <c r="AY168" s="50"/>
      <c r="AZ168" s="38"/>
      <c r="BA168" s="38" t="e">
        <f>VLOOKUP(I168,#REF!,2,0)</f>
        <v>#REF!</v>
      </c>
      <c r="BB168" s="71"/>
      <c r="BC168" s="59"/>
      <c r="BD168" s="39"/>
      <c r="BE168" s="39"/>
      <c r="BF168" s="39"/>
      <c r="BG168" s="39"/>
      <c r="BH168" s="59"/>
      <c r="BI168" s="39" t="e">
        <f>NETWORKDAYS(BF168,BG168,#REF!)</f>
        <v>#REF!</v>
      </c>
      <c r="BJ168" s="59"/>
      <c r="BK168" s="59"/>
      <c r="BL168" s="59"/>
      <c r="BM168" s="59"/>
      <c r="BN168" s="59"/>
      <c r="BO168" s="59"/>
      <c r="BP168" s="59"/>
      <c r="BQ168" s="62"/>
      <c r="BR168" s="66"/>
      <c r="BS168" s="70"/>
      <c r="BT168" s="62"/>
      <c r="BU168" s="84"/>
      <c r="BV168" s="84"/>
      <c r="BW168" s="84"/>
      <c r="BX168" s="84"/>
      <c r="BY168" s="84"/>
      <c r="BZ168" s="84"/>
    </row>
    <row r="169" spans="1:79" ht="195" hidden="1" x14ac:dyDescent="0.25">
      <c r="A169" s="38" t="s">
        <v>2138</v>
      </c>
      <c r="B169" s="39">
        <v>167</v>
      </c>
      <c r="C169" s="38" t="s">
        <v>149</v>
      </c>
      <c r="D169" s="991" t="s">
        <v>2139</v>
      </c>
      <c r="E169" s="81" t="s">
        <v>163</v>
      </c>
      <c r="F169" s="39" t="s">
        <v>607</v>
      </c>
      <c r="G169" s="39" t="s">
        <v>1477</v>
      </c>
      <c r="H169" s="685" t="s">
        <v>546</v>
      </c>
      <c r="I169" s="81" t="s">
        <v>2015</v>
      </c>
      <c r="J169" s="82"/>
      <c r="K169" s="82"/>
      <c r="L169" s="82"/>
      <c r="M169" s="42" t="str">
        <f t="shared" si="32"/>
        <v xml:space="preserve">Comtelsat, S.A. de C.V  </v>
      </c>
      <c r="N169" s="991" t="s">
        <v>656</v>
      </c>
      <c r="O169" s="991" t="s">
        <v>667</v>
      </c>
      <c r="P169" s="991" t="s">
        <v>2140</v>
      </c>
      <c r="Q169" s="992">
        <v>8178858</v>
      </c>
      <c r="R169" s="44">
        <f t="shared" si="37"/>
        <v>1308617.28</v>
      </c>
      <c r="S169" s="45">
        <f t="shared" si="35"/>
        <v>9487475.2799999993</v>
      </c>
      <c r="T169" s="46">
        <v>0</v>
      </c>
      <c r="U169" s="47">
        <f t="shared" si="33"/>
        <v>0</v>
      </c>
      <c r="V169" s="44">
        <f t="shared" si="36"/>
        <v>9487475.2799999993</v>
      </c>
      <c r="W169" s="993" t="s">
        <v>156</v>
      </c>
      <c r="X169" s="48">
        <v>43818</v>
      </c>
      <c r="Y169" s="39" t="s">
        <v>924</v>
      </c>
      <c r="Z169" s="48">
        <v>43816</v>
      </c>
      <c r="AA169" s="48">
        <v>43830</v>
      </c>
      <c r="AB169" s="38" t="s">
        <v>2033</v>
      </c>
      <c r="AC169" s="49"/>
      <c r="AD169" s="49"/>
      <c r="AE169" s="49"/>
      <c r="AF169" s="49"/>
      <c r="AG169" s="39"/>
      <c r="AH169" s="38"/>
      <c r="AI169" s="38"/>
      <c r="AJ169" s="50"/>
      <c r="AK169" s="44"/>
      <c r="AL169" s="39" t="str">
        <f t="shared" ca="1" si="34"/>
        <v>MUERTO</v>
      </c>
      <c r="AM169" s="39">
        <v>35701</v>
      </c>
      <c r="AN169" s="39" t="s">
        <v>156</v>
      </c>
      <c r="AO169" s="39" t="s">
        <v>924</v>
      </c>
      <c r="AP169" s="39"/>
      <c r="AQ169" s="39" t="s">
        <v>914</v>
      </c>
      <c r="AR169" s="39"/>
      <c r="AS169" s="39"/>
      <c r="AT169" s="39"/>
      <c r="AU169" s="51"/>
      <c r="AV169" s="50"/>
      <c r="AW169" s="38"/>
      <c r="AX169" s="52"/>
      <c r="AY169" s="50"/>
      <c r="AZ169" s="38"/>
      <c r="BA169" s="38" t="e">
        <f>VLOOKUP(I169,#REF!,2,0)</f>
        <v>#REF!</v>
      </c>
      <c r="BB169" s="71"/>
      <c r="BC169" s="59"/>
      <c r="BD169" s="39"/>
      <c r="BE169" s="39"/>
      <c r="BF169" s="39"/>
      <c r="BG169" s="39"/>
      <c r="BH169" s="59"/>
      <c r="BI169" s="39" t="e">
        <f>NETWORKDAYS(BF169,BG169,#REF!)</f>
        <v>#REF!</v>
      </c>
      <c r="BJ169" s="59"/>
      <c r="BK169" s="59"/>
      <c r="BL169" s="59"/>
      <c r="BM169" s="59"/>
      <c r="BN169" s="59"/>
      <c r="BO169" s="59"/>
      <c r="BP169" s="59"/>
      <c r="BQ169" s="62"/>
      <c r="BR169" s="66"/>
      <c r="BS169" s="70"/>
      <c r="BT169" s="62"/>
      <c r="BU169" s="84"/>
      <c r="BV169" s="84"/>
      <c r="BW169" s="84"/>
      <c r="BX169" s="84"/>
      <c r="BY169" s="84"/>
      <c r="BZ169" s="84"/>
    </row>
    <row r="170" spans="1:79" ht="179.25" hidden="1" customHeight="1" x14ac:dyDescent="0.25">
      <c r="A170" s="205" t="s">
        <v>2141</v>
      </c>
      <c r="B170" s="39">
        <v>168</v>
      </c>
      <c r="C170" s="38" t="s">
        <v>149</v>
      </c>
      <c r="D170" s="991" t="s">
        <v>2098</v>
      </c>
      <c r="E170" s="81" t="s">
        <v>163</v>
      </c>
      <c r="F170" s="39" t="s">
        <v>312</v>
      </c>
      <c r="G170" s="39" t="s">
        <v>1111</v>
      </c>
      <c r="H170" s="685" t="s">
        <v>546</v>
      </c>
      <c r="I170" s="81" t="s">
        <v>1065</v>
      </c>
      <c r="J170" s="82"/>
      <c r="K170" s="82"/>
      <c r="L170" s="82"/>
      <c r="M170" s="42" t="str">
        <f t="shared" si="32"/>
        <v xml:space="preserve">Elevadores Schindler, S.A. de C.V.  </v>
      </c>
      <c r="N170" s="991" t="s">
        <v>198</v>
      </c>
      <c r="O170" s="991" t="s">
        <v>198</v>
      </c>
      <c r="P170" s="991" t="s">
        <v>2142</v>
      </c>
      <c r="Q170" s="992">
        <v>7248947.8700000001</v>
      </c>
      <c r="R170" s="44">
        <f t="shared" si="37"/>
        <v>1159831.6592000001</v>
      </c>
      <c r="S170" s="45">
        <f t="shared" si="35"/>
        <v>8408779.5292000007</v>
      </c>
      <c r="T170" s="46">
        <v>0</v>
      </c>
      <c r="U170" s="47">
        <f t="shared" si="33"/>
        <v>0</v>
      </c>
      <c r="V170" s="215">
        <f t="shared" si="36"/>
        <v>8408779.5292000007</v>
      </c>
      <c r="W170" s="993" t="s">
        <v>183</v>
      </c>
      <c r="X170" s="48">
        <v>43826</v>
      </c>
      <c r="Y170" s="39" t="s">
        <v>924</v>
      </c>
      <c r="Z170" s="48">
        <v>43808</v>
      </c>
      <c r="AA170" s="213">
        <v>44417</v>
      </c>
      <c r="AB170" s="38" t="s">
        <v>2025</v>
      </c>
      <c r="AC170" s="49" t="s">
        <v>1489</v>
      </c>
      <c r="AD170" s="49" t="s">
        <v>1489</v>
      </c>
      <c r="AE170" s="49" t="s">
        <v>159</v>
      </c>
      <c r="AF170" s="49" t="s">
        <v>159</v>
      </c>
      <c r="AG170" s="39" t="s">
        <v>1146</v>
      </c>
      <c r="AH170" s="38"/>
      <c r="AI170" s="211"/>
      <c r="AJ170" s="218"/>
      <c r="AK170" s="215"/>
      <c r="AL170" s="39" t="str">
        <f t="shared" ca="1" si="34"/>
        <v>MUERTO</v>
      </c>
      <c r="AM170" s="39"/>
      <c r="AN170" s="39"/>
      <c r="AO170" s="39"/>
      <c r="AP170" s="39"/>
      <c r="AQ170" s="39"/>
      <c r="AR170" s="39"/>
      <c r="AS170" s="39"/>
      <c r="AT170" s="39"/>
      <c r="AU170" s="51"/>
      <c r="AV170" s="50"/>
      <c r="AW170" s="38"/>
      <c r="AX170" s="52"/>
      <c r="AY170" s="50"/>
      <c r="AZ170" s="605" t="s">
        <v>2143</v>
      </c>
      <c r="BA170" s="38" t="e">
        <f>VLOOKUP(I170,#REF!,2,0)</f>
        <v>#REF!</v>
      </c>
      <c r="BB170" s="71"/>
      <c r="BC170" s="59"/>
      <c r="BD170" s="59">
        <v>44257</v>
      </c>
      <c r="BE170" s="59">
        <v>44259</v>
      </c>
      <c r="BF170" s="39"/>
      <c r="BG170" s="39"/>
      <c r="BH170" s="59"/>
      <c r="BI170" s="39" t="e">
        <f>NETWORKDAYS(BF170,BG170,#REF!)</f>
        <v>#REF!</v>
      </c>
      <c r="BJ170" s="59"/>
      <c r="BK170" s="59"/>
      <c r="BL170" s="59"/>
      <c r="BM170" s="59" t="s">
        <v>2144</v>
      </c>
      <c r="BN170" s="59"/>
      <c r="BO170" s="59"/>
      <c r="BP170" s="59"/>
      <c r="BQ170" s="62"/>
      <c r="BR170" s="66"/>
      <c r="BS170" s="70"/>
      <c r="BT170" s="62"/>
      <c r="BU170" s="242">
        <f>7248947.87*1.16</f>
        <v>8408779.5291999988</v>
      </c>
      <c r="BV170" s="242">
        <v>0</v>
      </c>
      <c r="BW170" s="242">
        <f>2501259.53*1.16</f>
        <v>2901461.0547999996</v>
      </c>
      <c r="BX170" s="242">
        <f>473004.97*1.16</f>
        <v>548685.76519999991</v>
      </c>
      <c r="BY170" s="242">
        <f>2010045.31*1.16</f>
        <v>2331652.5595999998</v>
      </c>
      <c r="BZ170" s="242">
        <f>2264638.06*1.16</f>
        <v>2626980.1495999997</v>
      </c>
      <c r="CA170" s="242">
        <f>BU170+BV170+BW170+BX170+BY170+CB170+BZ170</f>
        <v>16817559.058399998</v>
      </c>
    </row>
    <row r="171" spans="1:79" ht="225" hidden="1" x14ac:dyDescent="0.25">
      <c r="A171" s="38" t="s">
        <v>2145</v>
      </c>
      <c r="B171" s="39">
        <v>169</v>
      </c>
      <c r="C171" s="38" t="s">
        <v>149</v>
      </c>
      <c r="D171" s="991" t="s">
        <v>2146</v>
      </c>
      <c r="E171" s="81" t="s">
        <v>163</v>
      </c>
      <c r="F171" s="39" t="s">
        <v>188</v>
      </c>
      <c r="G171" s="960" t="s">
        <v>427</v>
      </c>
      <c r="H171" s="81" t="s">
        <v>163</v>
      </c>
      <c r="I171" s="81" t="s">
        <v>2046</v>
      </c>
      <c r="J171" s="82"/>
      <c r="K171" s="82"/>
      <c r="L171" s="82"/>
      <c r="M171" s="42" t="str">
        <f t="shared" si="32"/>
        <v xml:space="preserve">Miguel Ángel Porrúa, S.A. de C.V.  </v>
      </c>
      <c r="N171" s="991" t="s">
        <v>2065</v>
      </c>
      <c r="O171" s="991" t="s">
        <v>431</v>
      </c>
      <c r="P171" s="991" t="s">
        <v>2147</v>
      </c>
      <c r="Q171" s="992">
        <v>2434500</v>
      </c>
      <c r="R171" s="44">
        <f t="shared" si="37"/>
        <v>389520</v>
      </c>
      <c r="S171" s="45">
        <f t="shared" si="35"/>
        <v>2824020</v>
      </c>
      <c r="T171" s="46">
        <v>0</v>
      </c>
      <c r="U171" s="47">
        <f t="shared" si="33"/>
        <v>0</v>
      </c>
      <c r="V171" s="44">
        <f t="shared" si="36"/>
        <v>2824020</v>
      </c>
      <c r="W171" s="993" t="s">
        <v>156</v>
      </c>
      <c r="X171" s="48">
        <v>43817</v>
      </c>
      <c r="Y171" s="39" t="s">
        <v>924</v>
      </c>
      <c r="Z171" s="48">
        <v>43815</v>
      </c>
      <c r="AA171" s="48">
        <v>43830</v>
      </c>
      <c r="AB171" s="38" t="s">
        <v>1887</v>
      </c>
      <c r="AC171" s="49"/>
      <c r="AD171" s="49"/>
      <c r="AE171" s="49"/>
      <c r="AF171" s="49"/>
      <c r="AG171" s="39"/>
      <c r="AH171" s="38"/>
      <c r="AI171" s="38"/>
      <c r="AJ171" s="50"/>
      <c r="AK171" s="44"/>
      <c r="AL171" s="39" t="str">
        <f t="shared" ca="1" si="34"/>
        <v>MUERTO</v>
      </c>
      <c r="AM171" s="39">
        <v>33604</v>
      </c>
      <c r="AN171" s="39" t="s">
        <v>156</v>
      </c>
      <c r="AO171" s="39" t="s">
        <v>924</v>
      </c>
      <c r="AP171" s="39"/>
      <c r="AQ171" s="39" t="s">
        <v>914</v>
      </c>
      <c r="AR171" s="39"/>
      <c r="AS171" s="39"/>
      <c r="AT171" s="39"/>
      <c r="AU171" s="51"/>
      <c r="AV171" s="50"/>
      <c r="AW171" s="38"/>
      <c r="AX171" s="52"/>
      <c r="AY171" s="50"/>
      <c r="AZ171" s="38"/>
      <c r="BA171" s="38" t="e">
        <f>VLOOKUP(I171,#REF!,2,0)</f>
        <v>#REF!</v>
      </c>
      <c r="BB171" s="71"/>
      <c r="BC171" s="59"/>
      <c r="BD171" s="39"/>
      <c r="BE171" s="39"/>
      <c r="BF171" s="39"/>
      <c r="BG171" s="39"/>
      <c r="BH171" s="59"/>
      <c r="BI171" s="39" t="e">
        <f>NETWORKDAYS(BF171,BG171,#REF!)</f>
        <v>#REF!</v>
      </c>
      <c r="BJ171" s="59"/>
      <c r="BK171" s="59"/>
      <c r="BL171" s="59"/>
      <c r="BM171" s="59"/>
      <c r="BN171" s="59"/>
      <c r="BO171" s="59"/>
      <c r="BP171" s="59"/>
      <c r="BQ171" s="62"/>
      <c r="BR171" s="66"/>
      <c r="BS171" s="70"/>
      <c r="BT171" s="62"/>
      <c r="BU171" s="84"/>
      <c r="BV171" s="84"/>
      <c r="BW171" s="84"/>
      <c r="BX171" s="84"/>
      <c r="BY171" s="84"/>
      <c r="BZ171" s="84"/>
    </row>
    <row r="172" spans="1:79" ht="360" hidden="1" x14ac:dyDescent="0.25">
      <c r="A172" s="38" t="s">
        <v>2148</v>
      </c>
      <c r="B172" s="39">
        <v>170</v>
      </c>
      <c r="C172" s="38" t="s">
        <v>149</v>
      </c>
      <c r="D172" s="991" t="s">
        <v>2108</v>
      </c>
      <c r="E172" s="81" t="s">
        <v>163</v>
      </c>
      <c r="F172" s="39" t="s">
        <v>726</v>
      </c>
      <c r="G172" s="39" t="s">
        <v>1111</v>
      </c>
      <c r="H172" s="685" t="s">
        <v>546</v>
      </c>
      <c r="I172" s="81" t="s">
        <v>636</v>
      </c>
      <c r="J172" s="82"/>
      <c r="K172" s="82"/>
      <c r="L172" s="82"/>
      <c r="M172" s="42" t="str">
        <f t="shared" si="32"/>
        <v xml:space="preserve">Full Service de México, S.A. de C.V.  </v>
      </c>
      <c r="N172" s="991" t="s">
        <v>638</v>
      </c>
      <c r="O172" s="991" t="s">
        <v>637</v>
      </c>
      <c r="P172" s="991" t="s">
        <v>2149</v>
      </c>
      <c r="Q172" s="992">
        <v>2032800</v>
      </c>
      <c r="R172" s="44">
        <f t="shared" si="37"/>
        <v>325248</v>
      </c>
      <c r="S172" s="45">
        <f t="shared" si="35"/>
        <v>2358048</v>
      </c>
      <c r="T172" s="46">
        <v>0</v>
      </c>
      <c r="U172" s="47">
        <f t="shared" si="33"/>
        <v>0</v>
      </c>
      <c r="V172" s="44">
        <f t="shared" si="36"/>
        <v>2358048</v>
      </c>
      <c r="W172" s="993" t="s">
        <v>156</v>
      </c>
      <c r="X172" s="48">
        <v>43825</v>
      </c>
      <c r="Y172" s="39" t="s">
        <v>924</v>
      </c>
      <c r="Z172" s="48">
        <v>43831</v>
      </c>
      <c r="AA172" s="48">
        <v>44196</v>
      </c>
      <c r="AB172" s="38" t="s">
        <v>2076</v>
      </c>
      <c r="AC172" s="49"/>
      <c r="AD172" s="49"/>
      <c r="AE172" s="49"/>
      <c r="AF172" s="49"/>
      <c r="AG172" s="39"/>
      <c r="AH172" s="114" t="s">
        <v>2150</v>
      </c>
      <c r="AI172" s="114" t="s">
        <v>2151</v>
      </c>
      <c r="AJ172" s="115">
        <v>44061</v>
      </c>
      <c r="AK172" s="116">
        <v>0</v>
      </c>
      <c r="AL172" s="39" t="str">
        <f t="shared" ca="1" si="34"/>
        <v>MUERTO</v>
      </c>
      <c r="AM172" s="39">
        <v>34601</v>
      </c>
      <c r="AN172" s="39" t="s">
        <v>183</v>
      </c>
      <c r="AO172" s="39" t="s">
        <v>924</v>
      </c>
      <c r="AP172" s="39"/>
      <c r="AQ172" s="109">
        <v>43831</v>
      </c>
      <c r="AR172" s="39"/>
      <c r="AS172" s="39"/>
      <c r="AT172" s="39"/>
      <c r="AU172" s="51"/>
      <c r="AV172" s="50"/>
      <c r="AW172" s="38"/>
      <c r="AX172" s="52"/>
      <c r="AY172" s="50"/>
      <c r="AZ172" s="38"/>
      <c r="BA172" s="38" t="e">
        <f>VLOOKUP(I172,#REF!,2,0)</f>
        <v>#REF!</v>
      </c>
      <c r="BB172" s="71"/>
      <c r="BC172" s="59"/>
      <c r="BD172" s="39"/>
      <c r="BE172" s="39"/>
      <c r="BF172" s="39"/>
      <c r="BG172" s="39"/>
      <c r="BH172" s="59"/>
      <c r="BI172" s="39" t="e">
        <f>NETWORKDAYS(BF172,BG172,#REF!)</f>
        <v>#REF!</v>
      </c>
      <c r="BJ172" s="59"/>
      <c r="BK172" s="59"/>
      <c r="BL172" s="59"/>
      <c r="BM172" s="59"/>
      <c r="BN172" s="59"/>
      <c r="BO172" s="59"/>
      <c r="BP172" s="59"/>
      <c r="BQ172" s="62"/>
      <c r="BR172" s="66"/>
      <c r="BS172" s="70"/>
      <c r="BT172" s="62"/>
      <c r="BU172" s="84"/>
      <c r="BV172" s="84"/>
      <c r="BW172" s="84"/>
      <c r="BX172" s="84"/>
      <c r="BY172" s="84"/>
      <c r="BZ172" s="84"/>
    </row>
    <row r="173" spans="1:79" ht="315" hidden="1" x14ac:dyDescent="0.25">
      <c r="A173" s="38" t="s">
        <v>2152</v>
      </c>
      <c r="B173" s="39">
        <v>171</v>
      </c>
      <c r="C173" s="38" t="s">
        <v>149</v>
      </c>
      <c r="D173" s="991" t="s">
        <v>2153</v>
      </c>
      <c r="E173" s="4" t="s">
        <v>173</v>
      </c>
      <c r="F173" s="39" t="s">
        <v>326</v>
      </c>
      <c r="G173" s="39" t="s">
        <v>175</v>
      </c>
      <c r="H173" s="39"/>
      <c r="I173" s="81" t="s">
        <v>2154</v>
      </c>
      <c r="J173" s="82"/>
      <c r="K173" s="82"/>
      <c r="L173" s="82"/>
      <c r="M173" s="42" t="str">
        <f t="shared" si="32"/>
        <v xml:space="preserve">Grupo México Tecnoindustrial, S.A. de C.V.  </v>
      </c>
      <c r="N173" s="991" t="s">
        <v>301</v>
      </c>
      <c r="O173" s="991" t="s">
        <v>301</v>
      </c>
      <c r="P173" s="991" t="s">
        <v>2155</v>
      </c>
      <c r="Q173" s="992">
        <v>2008170</v>
      </c>
      <c r="R173" s="44">
        <f t="shared" si="37"/>
        <v>321307.2</v>
      </c>
      <c r="S173" s="45">
        <f t="shared" si="35"/>
        <v>2329477.2000000002</v>
      </c>
      <c r="T173" s="46">
        <v>0</v>
      </c>
      <c r="U173" s="47">
        <f t="shared" si="33"/>
        <v>0</v>
      </c>
      <c r="V173" s="44">
        <f t="shared" si="36"/>
        <v>2717801.0504000001</v>
      </c>
      <c r="W173" s="993" t="s">
        <v>156</v>
      </c>
      <c r="X173" s="48">
        <v>43822</v>
      </c>
      <c r="Y173" s="39" t="s">
        <v>924</v>
      </c>
      <c r="Z173" s="48">
        <v>43831</v>
      </c>
      <c r="AA173" s="48">
        <v>44196</v>
      </c>
      <c r="AB173" s="38" t="s">
        <v>2156</v>
      </c>
      <c r="AC173" s="49"/>
      <c r="AD173" s="49"/>
      <c r="AE173" s="49"/>
      <c r="AF173" s="49"/>
      <c r="AG173" s="39"/>
      <c r="AH173" s="121" t="s">
        <v>2157</v>
      </c>
      <c r="AI173" s="121" t="s">
        <v>2158</v>
      </c>
      <c r="AJ173" s="122">
        <v>44196</v>
      </c>
      <c r="AK173" s="123">
        <f>334761.94*1.16</f>
        <v>388323.8504</v>
      </c>
      <c r="AL173" s="39" t="s">
        <v>1388</v>
      </c>
      <c r="AM173" s="39">
        <v>35701</v>
      </c>
      <c r="AN173" s="39" t="s">
        <v>183</v>
      </c>
      <c r="AO173" s="39" t="s">
        <v>924</v>
      </c>
      <c r="AP173" s="39"/>
      <c r="AQ173" s="109">
        <v>43831</v>
      </c>
      <c r="AR173" s="39"/>
      <c r="AS173" s="39"/>
      <c r="AT173" s="39"/>
      <c r="AU173" s="51"/>
      <c r="AV173" s="50"/>
      <c r="AW173" s="38"/>
      <c r="AX173" s="52"/>
      <c r="AY173" s="50"/>
      <c r="AZ173" s="38"/>
      <c r="BA173" s="38" t="e">
        <f>VLOOKUP(I173,#REF!,2,0)</f>
        <v>#REF!</v>
      </c>
      <c r="BB173" s="71"/>
      <c r="BC173" s="59"/>
      <c r="BD173" s="39"/>
      <c r="BE173" s="39"/>
      <c r="BF173" s="39"/>
      <c r="BG173" s="39"/>
      <c r="BH173" s="59"/>
      <c r="BI173" s="39" t="e">
        <f>NETWORKDAYS(BF173,BG173,#REF!)</f>
        <v>#REF!</v>
      </c>
      <c r="BJ173" s="59"/>
      <c r="BK173" s="59"/>
      <c r="BL173" s="59"/>
      <c r="BM173" s="59" t="s">
        <v>2159</v>
      </c>
      <c r="BN173" s="59"/>
      <c r="BO173" s="59"/>
      <c r="BP173" s="59"/>
      <c r="BQ173" s="62"/>
      <c r="BR173" s="66"/>
      <c r="BS173" s="70"/>
      <c r="BT173" s="62" t="s">
        <v>2160</v>
      </c>
      <c r="BU173" s="84"/>
      <c r="BV173" s="84"/>
      <c r="BW173" s="84"/>
      <c r="BX173" s="84"/>
      <c r="BY173" s="84"/>
      <c r="BZ173" s="84"/>
    </row>
    <row r="174" spans="1:79" ht="195" hidden="1" x14ac:dyDescent="0.25">
      <c r="A174" s="38" t="s">
        <v>2161</v>
      </c>
      <c r="B174" s="39">
        <v>172</v>
      </c>
      <c r="C174" s="38" t="s">
        <v>225</v>
      </c>
      <c r="D174" s="991" t="s">
        <v>2162</v>
      </c>
      <c r="E174" s="4" t="s">
        <v>173</v>
      </c>
      <c r="F174" s="39" t="s">
        <v>326</v>
      </c>
      <c r="G174" s="39" t="s">
        <v>175</v>
      </c>
      <c r="H174" s="39"/>
      <c r="I174" s="81" t="s">
        <v>2163</v>
      </c>
      <c r="J174" s="82"/>
      <c r="K174" s="82"/>
      <c r="L174" s="82"/>
      <c r="M174" s="42" t="str">
        <f t="shared" si="32"/>
        <v xml:space="preserve">Dentadec, S.A. de C.V.  </v>
      </c>
      <c r="N174" s="991" t="s">
        <v>763</v>
      </c>
      <c r="O174" s="991" t="s">
        <v>763</v>
      </c>
      <c r="P174" s="991" t="s">
        <v>2164</v>
      </c>
      <c r="Q174" s="992">
        <v>1730000</v>
      </c>
      <c r="R174" s="44">
        <f t="shared" si="37"/>
        <v>276800</v>
      </c>
      <c r="S174" s="45">
        <f t="shared" si="35"/>
        <v>2006800</v>
      </c>
      <c r="T174" s="46">
        <v>0</v>
      </c>
      <c r="U174" s="47">
        <f t="shared" si="33"/>
        <v>0</v>
      </c>
      <c r="V174" s="44">
        <f t="shared" si="36"/>
        <v>2006800</v>
      </c>
      <c r="W174" s="993" t="s">
        <v>156</v>
      </c>
      <c r="X174" s="48">
        <v>43819</v>
      </c>
      <c r="Y174" s="39" t="s">
        <v>924</v>
      </c>
      <c r="Z174" s="48">
        <v>43819</v>
      </c>
      <c r="AA174" s="48">
        <v>43830</v>
      </c>
      <c r="AB174" s="38" t="s">
        <v>2033</v>
      </c>
      <c r="AC174" s="49"/>
      <c r="AD174" s="49"/>
      <c r="AE174" s="49"/>
      <c r="AF174" s="49"/>
      <c r="AG174" s="39"/>
      <c r="AH174" s="38"/>
      <c r="AI174" s="38"/>
      <c r="AJ174" s="50"/>
      <c r="AK174" s="44"/>
      <c r="AL174" s="39" t="str">
        <f t="shared" ref="AL174:AL195" ca="1" si="38">IF(ISBLANK(AA174),"",IF(AA174&gt;=TODAY(),"VIGENTE","MUERTO"))</f>
        <v>MUERTO</v>
      </c>
      <c r="AM174" s="39">
        <v>53101</v>
      </c>
      <c r="AN174" s="39" t="s">
        <v>156</v>
      </c>
      <c r="AO174" s="39" t="s">
        <v>924</v>
      </c>
      <c r="AP174" s="39"/>
      <c r="AQ174" s="39" t="s">
        <v>914</v>
      </c>
      <c r="AR174" s="39"/>
      <c r="AS174" s="39"/>
      <c r="AT174" s="39"/>
      <c r="AU174" s="51"/>
      <c r="AV174" s="50"/>
      <c r="AW174" s="38"/>
      <c r="AX174" s="52"/>
      <c r="AY174" s="50"/>
      <c r="AZ174" s="38"/>
      <c r="BA174" s="38" t="e">
        <f>VLOOKUP(I174,#REF!,2,0)</f>
        <v>#REF!</v>
      </c>
      <c r="BB174" s="71"/>
      <c r="BC174" s="59"/>
      <c r="BD174" s="39"/>
      <c r="BE174" s="39"/>
      <c r="BF174" s="39"/>
      <c r="BG174" s="39"/>
      <c r="BH174" s="59"/>
      <c r="BI174" s="39" t="e">
        <f>NETWORKDAYS(BF174,BG174,#REF!)</f>
        <v>#REF!</v>
      </c>
      <c r="BJ174" s="59"/>
      <c r="BK174" s="59"/>
      <c r="BL174" s="59"/>
      <c r="BM174" s="59"/>
      <c r="BN174" s="59"/>
      <c r="BO174" s="59"/>
      <c r="BP174" s="59"/>
      <c r="BQ174" s="62"/>
      <c r="BR174" s="66"/>
      <c r="BS174" s="70"/>
      <c r="BT174" s="62"/>
      <c r="BU174" s="84"/>
      <c r="BV174" s="84"/>
      <c r="BW174" s="84"/>
      <c r="BX174" s="84"/>
      <c r="BY174" s="84"/>
      <c r="BZ174" s="84"/>
    </row>
    <row r="175" spans="1:79" ht="210" hidden="1" x14ac:dyDescent="0.25">
      <c r="A175" s="38" t="s">
        <v>2165</v>
      </c>
      <c r="B175" s="39">
        <v>173</v>
      </c>
      <c r="C175" s="38" t="s">
        <v>225</v>
      </c>
      <c r="D175" s="991" t="s">
        <v>2162</v>
      </c>
      <c r="E175" s="4" t="s">
        <v>173</v>
      </c>
      <c r="F175" s="39" t="s">
        <v>326</v>
      </c>
      <c r="G175" s="39" t="s">
        <v>175</v>
      </c>
      <c r="H175" s="39"/>
      <c r="I175" s="81" t="s">
        <v>2166</v>
      </c>
      <c r="J175" s="82"/>
      <c r="K175" s="82"/>
      <c r="L175" s="82"/>
      <c r="M175" s="42" t="str">
        <f t="shared" si="32"/>
        <v xml:space="preserve">Nuel Enterprises, S.A. de C.V.  </v>
      </c>
      <c r="N175" s="991" t="s">
        <v>763</v>
      </c>
      <c r="O175" s="991" t="s">
        <v>763</v>
      </c>
      <c r="P175" s="991" t="s">
        <v>2167</v>
      </c>
      <c r="Q175" s="992">
        <v>5905172.4100000001</v>
      </c>
      <c r="R175" s="44">
        <f t="shared" si="37"/>
        <v>944827.58559999999</v>
      </c>
      <c r="S175" s="45">
        <f t="shared" si="35"/>
        <v>6849999.9956</v>
      </c>
      <c r="T175" s="46">
        <v>0</v>
      </c>
      <c r="U175" s="47">
        <f t="shared" si="33"/>
        <v>0</v>
      </c>
      <c r="V175" s="44">
        <f t="shared" si="36"/>
        <v>6849999.9956</v>
      </c>
      <c r="W175" s="993" t="s">
        <v>156</v>
      </c>
      <c r="X175" s="48">
        <v>43819</v>
      </c>
      <c r="Y175" s="39" t="s">
        <v>924</v>
      </c>
      <c r="Z175" s="48">
        <v>43819</v>
      </c>
      <c r="AA175" s="48">
        <v>43830</v>
      </c>
      <c r="AB175" s="38" t="s">
        <v>2033</v>
      </c>
      <c r="AC175" s="49"/>
      <c r="AD175" s="49"/>
      <c r="AE175" s="49"/>
      <c r="AF175" s="49"/>
      <c r="AG175" s="39"/>
      <c r="AH175" s="38"/>
      <c r="AI175" s="38"/>
      <c r="AJ175" s="50"/>
      <c r="AK175" s="44"/>
      <c r="AL175" s="39" t="str">
        <f t="shared" ca="1" si="38"/>
        <v>MUERTO</v>
      </c>
      <c r="AM175" s="39">
        <v>53101</v>
      </c>
      <c r="AN175" s="39" t="s">
        <v>156</v>
      </c>
      <c r="AO175" s="39" t="s">
        <v>924</v>
      </c>
      <c r="AP175" s="39"/>
      <c r="AQ175" s="39" t="s">
        <v>914</v>
      </c>
      <c r="AR175" s="39"/>
      <c r="AS175" s="39"/>
      <c r="AT175" s="39"/>
      <c r="AU175" s="51"/>
      <c r="AV175" s="50"/>
      <c r="AW175" s="38"/>
      <c r="AX175" s="52"/>
      <c r="AY175" s="50"/>
      <c r="AZ175" s="38"/>
      <c r="BA175" s="38" t="e">
        <f>VLOOKUP(I175,#REF!,2,0)</f>
        <v>#REF!</v>
      </c>
      <c r="BB175" s="71"/>
      <c r="BC175" s="59"/>
      <c r="BD175" s="39"/>
      <c r="BE175" s="39"/>
      <c r="BF175" s="39"/>
      <c r="BG175" s="39"/>
      <c r="BH175" s="59"/>
      <c r="BI175" s="39" t="e">
        <f>NETWORKDAYS(BF175,BG175,#REF!)</f>
        <v>#REF!</v>
      </c>
      <c r="BJ175" s="59"/>
      <c r="BK175" s="59"/>
      <c r="BL175" s="59"/>
      <c r="BM175" s="59"/>
      <c r="BN175" s="59"/>
      <c r="BO175" s="59"/>
      <c r="BP175" s="59"/>
      <c r="BQ175" s="62"/>
      <c r="BR175" s="66"/>
      <c r="BS175" s="70"/>
      <c r="BT175" s="62"/>
      <c r="BU175" s="84"/>
      <c r="BV175" s="84"/>
      <c r="BW175" s="84"/>
      <c r="BX175" s="84"/>
      <c r="BY175" s="84"/>
      <c r="BZ175" s="84"/>
    </row>
    <row r="176" spans="1:79" ht="165" hidden="1" x14ac:dyDescent="0.25">
      <c r="A176" s="71" t="s">
        <v>2168</v>
      </c>
      <c r="B176" s="39">
        <v>174</v>
      </c>
      <c r="C176" s="38" t="s">
        <v>225</v>
      </c>
      <c r="D176" s="991" t="s">
        <v>2169</v>
      </c>
      <c r="E176" s="81" t="s">
        <v>163</v>
      </c>
      <c r="F176" s="39" t="s">
        <v>607</v>
      </c>
      <c r="G176" s="39" t="s">
        <v>1477</v>
      </c>
      <c r="H176" s="685" t="s">
        <v>546</v>
      </c>
      <c r="I176" s="81" t="s">
        <v>2170</v>
      </c>
      <c r="J176" s="82"/>
      <c r="K176" s="82"/>
      <c r="L176" s="82"/>
      <c r="M176" s="42" t="str">
        <f t="shared" si="32"/>
        <v xml:space="preserve">Tecnología Aplicada a los Negocios ESG, S.A. de C.V.  </v>
      </c>
      <c r="N176" s="991" t="s">
        <v>179</v>
      </c>
      <c r="O176" s="991" t="s">
        <v>2171</v>
      </c>
      <c r="P176" s="991" t="s">
        <v>2172</v>
      </c>
      <c r="Q176" s="992">
        <v>3279999.85</v>
      </c>
      <c r="R176" s="44">
        <f t="shared" si="37"/>
        <v>524799.97600000002</v>
      </c>
      <c r="S176" s="45">
        <f t="shared" si="35"/>
        <v>3804799.8260000004</v>
      </c>
      <c r="T176" s="46">
        <v>0</v>
      </c>
      <c r="U176" s="47">
        <f t="shared" si="33"/>
        <v>0</v>
      </c>
      <c r="V176" s="44">
        <f t="shared" si="36"/>
        <v>3804799.8260000004</v>
      </c>
      <c r="W176" s="993" t="s">
        <v>156</v>
      </c>
      <c r="X176" s="48">
        <v>43825</v>
      </c>
      <c r="Y176" s="39" t="s">
        <v>924</v>
      </c>
      <c r="Z176" s="48">
        <v>43819</v>
      </c>
      <c r="AA176" s="48">
        <v>43830</v>
      </c>
      <c r="AB176" s="38" t="s">
        <v>2173</v>
      </c>
      <c r="AC176" s="49"/>
      <c r="AD176" s="49"/>
      <c r="AE176" s="49"/>
      <c r="AF176" s="49"/>
      <c r="AG176" s="39"/>
      <c r="AH176" s="38"/>
      <c r="AI176" s="38"/>
      <c r="AJ176" s="50"/>
      <c r="AK176" s="44"/>
      <c r="AL176" s="39" t="str">
        <f t="shared" ca="1" si="38"/>
        <v>MUERTO</v>
      </c>
      <c r="AM176" s="39"/>
      <c r="AN176" s="39"/>
      <c r="AO176" s="39"/>
      <c r="AP176" s="39"/>
      <c r="AQ176" s="109">
        <v>43831</v>
      </c>
      <c r="AR176" s="39"/>
      <c r="AS176" s="39"/>
      <c r="AT176" s="39"/>
      <c r="AU176" s="51"/>
      <c r="AV176" s="50"/>
      <c r="AW176" s="38"/>
      <c r="AX176" s="52"/>
      <c r="AY176" s="50"/>
      <c r="AZ176" s="38"/>
      <c r="BA176" s="38" t="e">
        <f>VLOOKUP(I176,#REF!,2,0)</f>
        <v>#REF!</v>
      </c>
      <c r="BB176" s="71"/>
      <c r="BC176" s="59"/>
      <c r="BD176" s="39"/>
      <c r="BE176" s="39"/>
      <c r="BF176" s="39"/>
      <c r="BG176" s="39"/>
      <c r="BH176" s="59"/>
      <c r="BI176" s="39" t="e">
        <f>NETWORKDAYS(BF176,BG176,#REF!)</f>
        <v>#REF!</v>
      </c>
      <c r="BJ176" s="59"/>
      <c r="BK176" s="59"/>
      <c r="BL176" s="59"/>
      <c r="BM176" s="59"/>
      <c r="BN176" s="59"/>
      <c r="BO176" s="59"/>
      <c r="BP176" s="59"/>
      <c r="BQ176" s="62"/>
      <c r="BR176" s="66"/>
      <c r="BS176" s="70"/>
      <c r="BT176" s="62"/>
      <c r="BU176" s="84"/>
      <c r="BV176" s="84"/>
      <c r="BW176" s="84"/>
      <c r="BX176" s="84"/>
      <c r="BY176" s="84"/>
      <c r="BZ176" s="84"/>
    </row>
    <row r="177" spans="1:78" ht="150" hidden="1" x14ac:dyDescent="0.25">
      <c r="A177" s="38" t="s">
        <v>2174</v>
      </c>
      <c r="B177" s="39">
        <v>175</v>
      </c>
      <c r="C177" s="38" t="s">
        <v>225</v>
      </c>
      <c r="D177" s="991" t="s">
        <v>2175</v>
      </c>
      <c r="E177" s="4" t="s">
        <v>173</v>
      </c>
      <c r="F177" s="39" t="s">
        <v>326</v>
      </c>
      <c r="G177" s="39" t="s">
        <v>175</v>
      </c>
      <c r="H177" s="39"/>
      <c r="I177" s="81"/>
      <c r="J177" s="82" t="s">
        <v>1469</v>
      </c>
      <c r="K177" s="82" t="s">
        <v>453</v>
      </c>
      <c r="L177" s="82" t="s">
        <v>454</v>
      </c>
      <c r="M177" s="42" t="str">
        <f t="shared" si="32"/>
        <v>Claudia Angélica López Flores</v>
      </c>
      <c r="N177" s="991" t="s">
        <v>301</v>
      </c>
      <c r="O177" s="991" t="s">
        <v>301</v>
      </c>
      <c r="P177" s="991" t="s">
        <v>2176</v>
      </c>
      <c r="Q177" s="992">
        <v>1714053.05</v>
      </c>
      <c r="R177" s="44">
        <f t="shared" si="37"/>
        <v>274248.48800000001</v>
      </c>
      <c r="S177" s="45">
        <f t="shared" si="35"/>
        <v>1988301.5380000002</v>
      </c>
      <c r="T177" s="46">
        <v>685621.22</v>
      </c>
      <c r="U177" s="47">
        <f t="shared" si="33"/>
        <v>795320.6152</v>
      </c>
      <c r="V177" s="44">
        <f t="shared" si="36"/>
        <v>1988301.5380000002</v>
      </c>
      <c r="W177" s="993" t="s">
        <v>156</v>
      </c>
      <c r="X177" s="48">
        <v>43468</v>
      </c>
      <c r="Y177" s="39" t="s">
        <v>924</v>
      </c>
      <c r="Z177" s="48">
        <v>43831</v>
      </c>
      <c r="AA177" s="48">
        <v>44196</v>
      </c>
      <c r="AB177" s="38" t="s">
        <v>182</v>
      </c>
      <c r="AC177" s="49" t="s">
        <v>2177</v>
      </c>
      <c r="AD177" s="49"/>
      <c r="AE177" s="49"/>
      <c r="AF177" s="49"/>
      <c r="AG177" s="39"/>
      <c r="AH177" s="616" t="s">
        <v>1118</v>
      </c>
      <c r="AI177" s="616" t="s">
        <v>1118</v>
      </c>
      <c r="AJ177" s="617" t="s">
        <v>1118</v>
      </c>
      <c r="AK177" s="618">
        <v>0</v>
      </c>
      <c r="AL177" s="39" t="str">
        <f t="shared" ca="1" si="38"/>
        <v>MUERTO</v>
      </c>
      <c r="AM177" s="39">
        <v>33602</v>
      </c>
      <c r="AN177" s="39" t="s">
        <v>183</v>
      </c>
      <c r="AO177" s="39" t="s">
        <v>924</v>
      </c>
      <c r="AP177" s="39"/>
      <c r="AQ177" s="109">
        <v>43831</v>
      </c>
      <c r="AR177" s="39"/>
      <c r="AS177" s="39"/>
      <c r="AT177" s="39"/>
      <c r="AU177" s="51"/>
      <c r="AV177" s="50"/>
      <c r="AW177" s="38"/>
      <c r="AX177" s="52"/>
      <c r="AY177" s="50">
        <v>44223</v>
      </c>
      <c r="AZ177" s="38"/>
      <c r="BA177" s="38" t="e">
        <f>VLOOKUP(I177,#REF!,2,0)</f>
        <v>#REF!</v>
      </c>
      <c r="BB177" s="71"/>
      <c r="BC177" s="59"/>
      <c r="BD177" s="39"/>
      <c r="BE177" s="39"/>
      <c r="BF177" s="39"/>
      <c r="BG177" s="39"/>
      <c r="BH177" s="59"/>
      <c r="BI177" s="39" t="e">
        <f>NETWORKDAYS(BF177,BG177,#REF!)</f>
        <v>#REF!</v>
      </c>
      <c r="BJ177" s="59"/>
      <c r="BK177" s="59"/>
      <c r="BL177" s="59"/>
      <c r="BM177" s="59"/>
      <c r="BN177" s="59"/>
      <c r="BO177" s="59"/>
      <c r="BP177" s="59"/>
      <c r="BQ177" s="62"/>
      <c r="BR177" s="66"/>
      <c r="BS177" s="70"/>
      <c r="BT177" s="62"/>
      <c r="BU177" s="84"/>
      <c r="BV177" s="84"/>
      <c r="BW177" s="84"/>
      <c r="BX177" s="84"/>
      <c r="BY177" s="84"/>
      <c r="BZ177" s="84"/>
    </row>
    <row r="178" spans="1:78" ht="390" hidden="1" x14ac:dyDescent="0.25">
      <c r="A178" s="38" t="s">
        <v>2178</v>
      </c>
      <c r="B178" s="39">
        <v>176</v>
      </c>
      <c r="C178" s="38" t="s">
        <v>149</v>
      </c>
      <c r="D178" s="991" t="s">
        <v>2108</v>
      </c>
      <c r="E178" s="81" t="s">
        <v>163</v>
      </c>
      <c r="F178" s="39" t="s">
        <v>568</v>
      </c>
      <c r="G178" s="39" t="s">
        <v>1111</v>
      </c>
      <c r="H178" s="685" t="s">
        <v>546</v>
      </c>
      <c r="I178" s="81" t="s">
        <v>1008</v>
      </c>
      <c r="J178" s="82"/>
      <c r="K178" s="82"/>
      <c r="L178" s="82"/>
      <c r="M178" s="42" t="str">
        <f t="shared" si="32"/>
        <v xml:space="preserve">Dhimex Ciudad de México, S.A. de C.V.  </v>
      </c>
      <c r="N178" s="991" t="s">
        <v>198</v>
      </c>
      <c r="O178" s="991" t="s">
        <v>198</v>
      </c>
      <c r="P178" s="991" t="s">
        <v>2179</v>
      </c>
      <c r="Q178" s="992">
        <v>2008707.11</v>
      </c>
      <c r="R178" s="44">
        <f t="shared" si="37"/>
        <v>321393.13760000002</v>
      </c>
      <c r="S178" s="45">
        <f t="shared" si="35"/>
        <v>2330100.2476000004</v>
      </c>
      <c r="T178" s="46">
        <v>1168704</v>
      </c>
      <c r="U178" s="47">
        <f t="shared" si="33"/>
        <v>1355696.6400000001</v>
      </c>
      <c r="V178" s="44">
        <f t="shared" si="36"/>
        <v>2330100.2476000004</v>
      </c>
      <c r="W178" s="993" t="s">
        <v>156</v>
      </c>
      <c r="X178" s="48">
        <v>43832</v>
      </c>
      <c r="Y178" s="39" t="s">
        <v>924</v>
      </c>
      <c r="Z178" s="48">
        <v>43831</v>
      </c>
      <c r="AA178" s="48">
        <v>44196</v>
      </c>
      <c r="AB178" s="38" t="s">
        <v>2033</v>
      </c>
      <c r="AC178" s="49"/>
      <c r="AD178" s="49"/>
      <c r="AE178" s="49"/>
      <c r="AF178" s="49"/>
      <c r="AG178" s="39"/>
      <c r="AH178" s="38"/>
      <c r="AI178" s="38"/>
      <c r="AJ178" s="50"/>
      <c r="AK178" s="44"/>
      <c r="AL178" s="39" t="str">
        <f t="shared" ca="1" si="38"/>
        <v>MUERTO</v>
      </c>
      <c r="AM178" s="39">
        <v>35701</v>
      </c>
      <c r="AN178" s="39" t="s">
        <v>156</v>
      </c>
      <c r="AO178" s="39" t="s">
        <v>924</v>
      </c>
      <c r="AP178" s="39"/>
      <c r="AQ178" s="109">
        <v>43831</v>
      </c>
      <c r="AR178" s="39"/>
      <c r="AS178" s="39"/>
      <c r="AT178" s="39"/>
      <c r="AU178" s="51"/>
      <c r="AV178" s="50"/>
      <c r="AW178" s="38"/>
      <c r="AX178" s="52"/>
      <c r="AY178" s="50"/>
      <c r="AZ178" s="38"/>
      <c r="BA178" s="38" t="e">
        <f>VLOOKUP(I178,#REF!,2,0)</f>
        <v>#REF!</v>
      </c>
      <c r="BB178" s="71"/>
      <c r="BC178" s="59"/>
      <c r="BD178" s="39"/>
      <c r="BE178" s="39"/>
      <c r="BF178" s="39"/>
      <c r="BG178" s="39"/>
      <c r="BH178" s="59"/>
      <c r="BI178" s="39" t="e">
        <f>NETWORKDAYS(BF178,BG178,#REF!)</f>
        <v>#REF!</v>
      </c>
      <c r="BJ178" s="59"/>
      <c r="BK178" s="59"/>
      <c r="BL178" s="59"/>
      <c r="BM178" s="59"/>
      <c r="BN178" s="59"/>
      <c r="BO178" s="59"/>
      <c r="BP178" s="59"/>
      <c r="BQ178" s="62"/>
      <c r="BR178" s="66"/>
      <c r="BS178" s="70"/>
      <c r="BT178" s="62"/>
      <c r="BU178" s="84"/>
      <c r="BV178" s="84"/>
      <c r="BW178" s="84"/>
      <c r="BX178" s="84"/>
      <c r="BY178" s="84"/>
      <c r="BZ178" s="84"/>
    </row>
    <row r="179" spans="1:78" ht="405" hidden="1" x14ac:dyDescent="0.25">
      <c r="A179" s="38" t="s">
        <v>2180</v>
      </c>
      <c r="B179" s="39">
        <v>177</v>
      </c>
      <c r="C179" s="38" t="s">
        <v>149</v>
      </c>
      <c r="D179" s="991" t="s">
        <v>2108</v>
      </c>
      <c r="E179" s="81" t="s">
        <v>163</v>
      </c>
      <c r="F179" s="39" t="s">
        <v>568</v>
      </c>
      <c r="G179" s="39" t="s">
        <v>1111</v>
      </c>
      <c r="H179" s="685" t="s">
        <v>546</v>
      </c>
      <c r="I179" s="81" t="s">
        <v>1008</v>
      </c>
      <c r="J179" s="82"/>
      <c r="K179" s="82"/>
      <c r="L179" s="82"/>
      <c r="M179" s="42" t="str">
        <f t="shared" si="32"/>
        <v xml:space="preserve">Dhimex Ciudad de México, S.A. de C.V.  </v>
      </c>
      <c r="N179" s="991" t="s">
        <v>198</v>
      </c>
      <c r="O179" s="991" t="s">
        <v>198</v>
      </c>
      <c r="P179" s="991" t="s">
        <v>2181</v>
      </c>
      <c r="Q179" s="992">
        <v>2640330</v>
      </c>
      <c r="R179" s="44">
        <f t="shared" si="37"/>
        <v>422452.8</v>
      </c>
      <c r="S179" s="45">
        <f t="shared" si="35"/>
        <v>3062782.8</v>
      </c>
      <c r="T179" s="46">
        <v>2079000</v>
      </c>
      <c r="U179" s="47">
        <f t="shared" si="33"/>
        <v>2411640</v>
      </c>
      <c r="V179" s="44">
        <f t="shared" si="36"/>
        <v>3062782.8</v>
      </c>
      <c r="W179" s="993" t="s">
        <v>156</v>
      </c>
      <c r="X179" s="48">
        <v>43832</v>
      </c>
      <c r="Y179" s="39" t="s">
        <v>924</v>
      </c>
      <c r="Z179" s="48">
        <v>43831</v>
      </c>
      <c r="AA179" s="48">
        <v>44196</v>
      </c>
      <c r="AB179" s="38" t="s">
        <v>2033</v>
      </c>
      <c r="AC179" s="49"/>
      <c r="AD179" s="49"/>
      <c r="AE179" s="49"/>
      <c r="AF179" s="49"/>
      <c r="AG179" s="39"/>
      <c r="AH179" s="38"/>
      <c r="AI179" s="38"/>
      <c r="AJ179" s="50"/>
      <c r="AK179" s="44"/>
      <c r="AL179" s="39" t="str">
        <f t="shared" ca="1" si="38"/>
        <v>MUERTO</v>
      </c>
      <c r="AM179" s="39">
        <v>35101</v>
      </c>
      <c r="AN179" s="39" t="s">
        <v>156</v>
      </c>
      <c r="AO179" s="39" t="s">
        <v>924</v>
      </c>
      <c r="AP179" s="39"/>
      <c r="AQ179" s="109">
        <v>43831</v>
      </c>
      <c r="AR179" s="39"/>
      <c r="AS179" s="39"/>
      <c r="AT179" s="39"/>
      <c r="AU179" s="51"/>
      <c r="AV179" s="50"/>
      <c r="AW179" s="38"/>
      <c r="AX179" s="52"/>
      <c r="AY179" s="50"/>
      <c r="AZ179" s="38"/>
      <c r="BA179" s="38" t="e">
        <f>VLOOKUP(I179,#REF!,2,0)</f>
        <v>#REF!</v>
      </c>
      <c r="BB179" s="71"/>
      <c r="BC179" s="59"/>
      <c r="BD179" s="39"/>
      <c r="BE179" s="39"/>
      <c r="BF179" s="39"/>
      <c r="BG179" s="39"/>
      <c r="BH179" s="59"/>
      <c r="BI179" s="39" t="e">
        <f>NETWORKDAYS(BF179,BG179,#REF!)</f>
        <v>#REF!</v>
      </c>
      <c r="BJ179" s="59"/>
      <c r="BK179" s="59"/>
      <c r="BL179" s="59"/>
      <c r="BM179" s="59"/>
      <c r="BN179" s="59"/>
      <c r="BO179" s="59"/>
      <c r="BP179" s="59"/>
      <c r="BQ179" s="62"/>
      <c r="BR179" s="66"/>
      <c r="BS179" s="70"/>
      <c r="BT179" s="62"/>
      <c r="BU179" s="84"/>
      <c r="BV179" s="84"/>
      <c r="BW179" s="84"/>
      <c r="BX179" s="84"/>
      <c r="BY179" s="84"/>
      <c r="BZ179" s="84"/>
    </row>
    <row r="180" spans="1:78" ht="255" hidden="1" x14ac:dyDescent="0.25">
      <c r="A180" s="38" t="s">
        <v>2182</v>
      </c>
      <c r="B180" s="39">
        <v>178</v>
      </c>
      <c r="C180" s="38" t="s">
        <v>149</v>
      </c>
      <c r="D180" s="991" t="s">
        <v>2108</v>
      </c>
      <c r="E180" s="81" t="s">
        <v>163</v>
      </c>
      <c r="F180" s="39" t="s">
        <v>312</v>
      </c>
      <c r="G180" s="39" t="s">
        <v>1111</v>
      </c>
      <c r="H180" s="685" t="s">
        <v>546</v>
      </c>
      <c r="I180" s="81" t="s">
        <v>1038</v>
      </c>
      <c r="J180" s="82"/>
      <c r="K180" s="82"/>
      <c r="L180" s="82"/>
      <c r="M180" s="42" t="str">
        <f t="shared" si="32"/>
        <v xml:space="preserve">Sistemas Neumáticos de Envíos, S.A. de C.V.  </v>
      </c>
      <c r="N180" s="991" t="s">
        <v>198</v>
      </c>
      <c r="O180" s="991" t="s">
        <v>198</v>
      </c>
      <c r="P180" s="991" t="s">
        <v>2183</v>
      </c>
      <c r="Q180" s="992">
        <v>515912.64</v>
      </c>
      <c r="R180" s="44">
        <f t="shared" si="37"/>
        <v>82546.022400000002</v>
      </c>
      <c r="S180" s="45">
        <f t="shared" si="35"/>
        <v>598458.66240000003</v>
      </c>
      <c r="T180" s="46">
        <v>0</v>
      </c>
      <c r="U180" s="47">
        <f t="shared" si="33"/>
        <v>0</v>
      </c>
      <c r="V180" s="44">
        <f t="shared" si="36"/>
        <v>598458.66240000003</v>
      </c>
      <c r="W180" s="993" t="s">
        <v>156</v>
      </c>
      <c r="X180" s="48">
        <v>43832</v>
      </c>
      <c r="Y180" s="39" t="s">
        <v>924</v>
      </c>
      <c r="Z180" s="48">
        <v>43831</v>
      </c>
      <c r="AA180" s="48">
        <v>44196</v>
      </c>
      <c r="AB180" s="38" t="s">
        <v>2033</v>
      </c>
      <c r="AC180" s="49"/>
      <c r="AD180" s="49"/>
      <c r="AE180" s="49"/>
      <c r="AF180" s="49"/>
      <c r="AG180" s="39"/>
      <c r="AH180" s="38"/>
      <c r="AI180" s="38"/>
      <c r="AJ180" s="50"/>
      <c r="AK180" s="44"/>
      <c r="AL180" s="39" t="str">
        <f t="shared" ca="1" si="38"/>
        <v>MUERTO</v>
      </c>
      <c r="AM180" s="39">
        <v>35701</v>
      </c>
      <c r="AN180" s="39" t="s">
        <v>183</v>
      </c>
      <c r="AO180" s="39" t="s">
        <v>924</v>
      </c>
      <c r="AP180" s="39"/>
      <c r="AQ180" s="109">
        <v>43831</v>
      </c>
      <c r="AR180" s="39"/>
      <c r="AS180" s="39"/>
      <c r="AT180" s="39"/>
      <c r="AU180" s="51"/>
      <c r="AV180" s="50"/>
      <c r="AW180" s="38"/>
      <c r="AX180" s="52"/>
      <c r="AY180" s="50"/>
      <c r="AZ180" s="38"/>
      <c r="BA180" s="38" t="e">
        <f>VLOOKUP(I180,#REF!,2,0)</f>
        <v>#REF!</v>
      </c>
      <c r="BB180" s="71"/>
      <c r="BC180" s="59"/>
      <c r="BD180" s="39"/>
      <c r="BE180" s="39"/>
      <c r="BF180" s="39"/>
      <c r="BG180" s="39"/>
      <c r="BH180" s="59"/>
      <c r="BI180" s="39" t="e">
        <f>NETWORKDAYS(BF180,BG180,#REF!)</f>
        <v>#REF!</v>
      </c>
      <c r="BJ180" s="59"/>
      <c r="BK180" s="59"/>
      <c r="BL180" s="59"/>
      <c r="BM180" s="59"/>
      <c r="BN180" s="59"/>
      <c r="BO180" s="59"/>
      <c r="BP180" s="59"/>
      <c r="BQ180" s="62"/>
      <c r="BR180" s="66"/>
      <c r="BS180" s="70"/>
      <c r="BT180" s="62"/>
      <c r="BU180" s="84"/>
      <c r="BV180" s="84"/>
      <c r="BW180" s="84"/>
      <c r="BX180" s="84"/>
      <c r="BY180" s="84"/>
      <c r="BZ180" s="84"/>
    </row>
    <row r="181" spans="1:78" ht="165" hidden="1" x14ac:dyDescent="0.25">
      <c r="A181" s="38" t="s">
        <v>2184</v>
      </c>
      <c r="B181" s="39">
        <v>179</v>
      </c>
      <c r="C181" s="38" t="s">
        <v>149</v>
      </c>
      <c r="D181" s="991" t="s">
        <v>2185</v>
      </c>
      <c r="E181" s="39" t="s">
        <v>151</v>
      </c>
      <c r="F181" s="39" t="s">
        <v>152</v>
      </c>
      <c r="G181" s="39" t="s">
        <v>151</v>
      </c>
      <c r="H181" s="39"/>
      <c r="I181" s="81" t="s">
        <v>2186</v>
      </c>
      <c r="J181" s="82"/>
      <c r="K181" s="82"/>
      <c r="L181" s="82"/>
      <c r="M181" s="42" t="str">
        <f t="shared" si="32"/>
        <v xml:space="preserve">Grupo Mexicano de Tecnoindustrial, S.A. de C.V.  </v>
      </c>
      <c r="N181" s="991" t="s">
        <v>270</v>
      </c>
      <c r="O181" s="991" t="s">
        <v>270</v>
      </c>
      <c r="P181" s="991" t="s">
        <v>2187</v>
      </c>
      <c r="Q181" s="992">
        <v>17460465.82</v>
      </c>
      <c r="R181" s="44">
        <f t="shared" si="37"/>
        <v>2793674.5312000001</v>
      </c>
      <c r="S181" s="45">
        <f t="shared" si="35"/>
        <v>20254140.351199999</v>
      </c>
      <c r="T181" s="46">
        <v>0</v>
      </c>
      <c r="U181" s="47">
        <f t="shared" si="33"/>
        <v>0</v>
      </c>
      <c r="V181" s="44">
        <f t="shared" si="36"/>
        <v>20254140.351199999</v>
      </c>
      <c r="W181" s="993" t="s">
        <v>156</v>
      </c>
      <c r="X181" s="48">
        <v>43838</v>
      </c>
      <c r="Y181" s="39" t="s">
        <v>157</v>
      </c>
      <c r="Z181" s="48">
        <v>43831</v>
      </c>
      <c r="AA181" s="48">
        <v>44196</v>
      </c>
      <c r="AB181" s="38" t="s">
        <v>161</v>
      </c>
      <c r="AC181" s="49"/>
      <c r="AD181" s="49"/>
      <c r="AE181" s="49"/>
      <c r="AF181" s="49"/>
      <c r="AG181" s="39"/>
      <c r="AH181" s="38"/>
      <c r="AI181" s="38"/>
      <c r="AJ181" s="50"/>
      <c r="AK181" s="44"/>
      <c r="AL181" s="39" t="str">
        <f t="shared" ca="1" si="38"/>
        <v>MUERTO</v>
      </c>
      <c r="AM181" s="39">
        <v>35501</v>
      </c>
      <c r="AN181" s="39" t="s">
        <v>156</v>
      </c>
      <c r="AO181" s="39" t="s">
        <v>924</v>
      </c>
      <c r="AP181" s="39"/>
      <c r="AQ181" s="109">
        <v>43831</v>
      </c>
      <c r="AR181" s="39"/>
      <c r="AS181" s="39"/>
      <c r="AT181" s="39"/>
      <c r="AU181" s="51"/>
      <c r="AV181" s="50"/>
      <c r="AW181" s="38"/>
      <c r="AX181" s="52"/>
      <c r="AY181" s="50"/>
      <c r="AZ181" s="38"/>
      <c r="BA181" s="38" t="e">
        <f>VLOOKUP(I181,#REF!,2,0)</f>
        <v>#REF!</v>
      </c>
      <c r="BB181" s="71"/>
      <c r="BC181" s="59"/>
      <c r="BD181" s="39"/>
      <c r="BE181" s="39"/>
      <c r="BF181" s="39"/>
      <c r="BG181" s="39"/>
      <c r="BH181" s="59"/>
      <c r="BI181" s="59"/>
      <c r="BJ181" s="59"/>
      <c r="BK181" s="59"/>
      <c r="BL181" s="59"/>
      <c r="BM181" s="59"/>
      <c r="BN181" s="59"/>
      <c r="BO181" s="59"/>
      <c r="BP181" s="59"/>
      <c r="BQ181" s="62"/>
      <c r="BR181" s="66"/>
      <c r="BS181" s="70"/>
      <c r="BT181" s="62" t="s">
        <v>2188</v>
      </c>
      <c r="BU181" s="84"/>
      <c r="BV181" s="84"/>
      <c r="BW181" s="84"/>
      <c r="BX181" s="84"/>
      <c r="BY181" s="84"/>
      <c r="BZ181" s="84"/>
    </row>
    <row r="182" spans="1:78" ht="240" hidden="1" x14ac:dyDescent="0.25">
      <c r="A182" s="38" t="s">
        <v>2189</v>
      </c>
      <c r="B182" s="39">
        <v>180</v>
      </c>
      <c r="C182" s="38" t="s">
        <v>149</v>
      </c>
      <c r="D182" s="991" t="s">
        <v>2190</v>
      </c>
      <c r="E182" s="4" t="s">
        <v>173</v>
      </c>
      <c r="F182" s="39" t="s">
        <v>326</v>
      </c>
      <c r="G182" s="39" t="s">
        <v>175</v>
      </c>
      <c r="H182" s="39"/>
      <c r="I182" s="81" t="s">
        <v>587</v>
      </c>
      <c r="J182" s="82"/>
      <c r="K182" s="82"/>
      <c r="L182" s="82"/>
      <c r="M182" s="42" t="str">
        <f t="shared" si="32"/>
        <v xml:space="preserve">Estructuras Digitales de México Comercializadora, S.A. de C.V.  </v>
      </c>
      <c r="N182" s="991" t="s">
        <v>656</v>
      </c>
      <c r="O182" s="991" t="s">
        <v>209</v>
      </c>
      <c r="P182" s="991" t="s">
        <v>2191</v>
      </c>
      <c r="Q182" s="992">
        <v>1379310.34</v>
      </c>
      <c r="R182" s="44">
        <f t="shared" si="37"/>
        <v>220689.65440000003</v>
      </c>
      <c r="S182" s="45">
        <f t="shared" si="35"/>
        <v>1599999.9944000002</v>
      </c>
      <c r="T182" s="46">
        <v>640000</v>
      </c>
      <c r="U182" s="47">
        <f t="shared" si="33"/>
        <v>742400</v>
      </c>
      <c r="V182" s="44">
        <f t="shared" si="36"/>
        <v>1999999.9944000002</v>
      </c>
      <c r="W182" s="993" t="s">
        <v>156</v>
      </c>
      <c r="X182" s="48">
        <v>43837</v>
      </c>
      <c r="Y182" s="39" t="s">
        <v>157</v>
      </c>
      <c r="Z182" s="48">
        <v>43831</v>
      </c>
      <c r="AA182" s="48">
        <v>44196</v>
      </c>
      <c r="AB182" s="38" t="s">
        <v>2033</v>
      </c>
      <c r="AC182" s="49"/>
      <c r="AD182" s="49"/>
      <c r="AE182" s="49"/>
      <c r="AF182" s="49"/>
      <c r="AG182" s="39"/>
      <c r="AH182" s="38" t="s">
        <v>2192</v>
      </c>
      <c r="AI182" s="38" t="s">
        <v>2193</v>
      </c>
      <c r="AJ182" s="50" t="s">
        <v>2194</v>
      </c>
      <c r="AK182" s="44">
        <v>400000</v>
      </c>
      <c r="AL182" s="39" t="str">
        <f t="shared" ca="1" si="38"/>
        <v>MUERTO</v>
      </c>
      <c r="AM182" s="39">
        <v>35101</v>
      </c>
      <c r="AN182" s="39" t="s">
        <v>183</v>
      </c>
      <c r="AO182" s="39" t="s">
        <v>924</v>
      </c>
      <c r="AP182" s="39"/>
      <c r="AQ182" s="109">
        <v>43831</v>
      </c>
      <c r="AR182" s="39"/>
      <c r="AS182" s="39"/>
      <c r="AT182" s="39"/>
      <c r="AU182" s="51"/>
      <c r="AV182" s="50"/>
      <c r="AW182" s="38"/>
      <c r="AX182" s="52"/>
      <c r="AY182" s="50"/>
      <c r="AZ182" s="38"/>
      <c r="BA182" s="38" t="e">
        <f>VLOOKUP(I182,#REF!,2,0)</f>
        <v>#REF!</v>
      </c>
      <c r="BB182" s="71"/>
      <c r="BC182" s="59"/>
      <c r="BD182" s="39"/>
      <c r="BE182" s="39"/>
      <c r="BF182" s="39"/>
      <c r="BG182" s="39"/>
      <c r="BH182" s="59"/>
      <c r="BI182" s="59"/>
      <c r="BJ182" s="59"/>
      <c r="BK182" s="59"/>
      <c r="BL182" s="59"/>
      <c r="BM182" s="59"/>
      <c r="BN182" s="59"/>
      <c r="BO182" s="59"/>
      <c r="BP182" s="59"/>
      <c r="BQ182" s="62"/>
      <c r="BR182" s="66"/>
      <c r="BS182" s="70"/>
      <c r="BT182" s="62"/>
      <c r="BU182" s="84"/>
      <c r="BV182" s="84"/>
      <c r="BW182" s="84"/>
      <c r="BX182" s="84"/>
      <c r="BY182" s="84"/>
      <c r="BZ182" s="84"/>
    </row>
    <row r="183" spans="1:78" ht="135" hidden="1" x14ac:dyDescent="0.25">
      <c r="A183" s="615" t="s">
        <v>2195</v>
      </c>
      <c r="B183" s="39">
        <v>181</v>
      </c>
      <c r="C183" s="38" t="s">
        <v>225</v>
      </c>
      <c r="D183" s="991" t="s">
        <v>2196</v>
      </c>
      <c r="E183" s="81" t="s">
        <v>163</v>
      </c>
      <c r="F183" s="39" t="s">
        <v>312</v>
      </c>
      <c r="G183" s="39" t="s">
        <v>1111</v>
      </c>
      <c r="H183" s="685" t="s">
        <v>546</v>
      </c>
      <c r="I183" s="81" t="s">
        <v>1966</v>
      </c>
      <c r="J183" s="82"/>
      <c r="K183" s="82"/>
      <c r="L183" s="82"/>
      <c r="M183" s="42" t="str">
        <f t="shared" si="32"/>
        <v xml:space="preserve">Corporate Accon en Conocimientos e Ingeniería, S.A. de C.V.  </v>
      </c>
      <c r="N183" s="991" t="s">
        <v>315</v>
      </c>
      <c r="O183" s="991" t="s">
        <v>315</v>
      </c>
      <c r="P183" s="991" t="s">
        <v>2197</v>
      </c>
      <c r="Q183" s="992">
        <v>1459950</v>
      </c>
      <c r="R183" s="44">
        <f t="shared" si="37"/>
        <v>233592</v>
      </c>
      <c r="S183" s="45">
        <f t="shared" si="35"/>
        <v>1693542</v>
      </c>
      <c r="T183" s="46">
        <v>0</v>
      </c>
      <c r="U183" s="47">
        <f t="shared" si="33"/>
        <v>0</v>
      </c>
      <c r="V183" s="44">
        <f t="shared" si="36"/>
        <v>1693542</v>
      </c>
      <c r="W183" s="993" t="s">
        <v>156</v>
      </c>
      <c r="X183" s="48">
        <v>43837</v>
      </c>
      <c r="Y183" s="39" t="s">
        <v>157</v>
      </c>
      <c r="Z183" s="48">
        <v>43829</v>
      </c>
      <c r="AA183" s="48">
        <v>43889</v>
      </c>
      <c r="AB183" s="38" t="s">
        <v>2198</v>
      </c>
      <c r="AC183" s="49"/>
      <c r="AD183" s="49"/>
      <c r="AE183" s="49"/>
      <c r="AF183" s="49"/>
      <c r="AG183" s="39"/>
      <c r="AH183" s="38"/>
      <c r="AI183" s="38"/>
      <c r="AJ183" s="50"/>
      <c r="AK183" s="44"/>
      <c r="AL183" s="39" t="str">
        <f t="shared" ca="1" si="38"/>
        <v>MUERTO</v>
      </c>
      <c r="AM183" s="39"/>
      <c r="AN183" s="39"/>
      <c r="AO183" s="39"/>
      <c r="AP183" s="39"/>
      <c r="AQ183" s="109">
        <v>43862</v>
      </c>
      <c r="AR183" s="39"/>
      <c r="AS183" s="39"/>
      <c r="AT183" s="39"/>
      <c r="AU183" s="51"/>
      <c r="AV183" s="50"/>
      <c r="AW183" s="38"/>
      <c r="AX183" s="52"/>
      <c r="AY183" s="50"/>
      <c r="AZ183" s="38"/>
      <c r="BA183" s="38" t="e">
        <f>VLOOKUP(I183,#REF!,2,0)</f>
        <v>#REF!</v>
      </c>
      <c r="BB183" s="71"/>
      <c r="BC183" s="59"/>
      <c r="BD183" s="39"/>
      <c r="BE183" s="39"/>
      <c r="BF183" s="39"/>
      <c r="BG183" s="39"/>
      <c r="BH183" s="59"/>
      <c r="BI183" s="59"/>
      <c r="BJ183" s="59"/>
      <c r="BK183" s="59"/>
      <c r="BL183" s="59"/>
      <c r="BM183" s="59"/>
      <c r="BN183" s="59"/>
      <c r="BO183" s="59"/>
      <c r="BP183" s="59"/>
      <c r="BQ183" s="62"/>
      <c r="BR183" s="66"/>
      <c r="BS183" s="70"/>
      <c r="BT183" s="62"/>
      <c r="BU183" s="84"/>
      <c r="BV183" s="84"/>
      <c r="BW183" s="84"/>
      <c r="BX183" s="84"/>
      <c r="BY183" s="84"/>
      <c r="BZ183" s="84"/>
    </row>
    <row r="184" spans="1:78" ht="150" hidden="1" x14ac:dyDescent="0.25">
      <c r="A184" s="38" t="s">
        <v>2199</v>
      </c>
      <c r="B184" s="39">
        <v>182</v>
      </c>
      <c r="C184" s="38" t="s">
        <v>149</v>
      </c>
      <c r="D184" s="991" t="s">
        <v>2200</v>
      </c>
      <c r="E184" s="4" t="s">
        <v>173</v>
      </c>
      <c r="F184" s="39" t="s">
        <v>326</v>
      </c>
      <c r="G184" s="39" t="s">
        <v>175</v>
      </c>
      <c r="H184" s="39"/>
      <c r="I184" s="81" t="s">
        <v>1314</v>
      </c>
      <c r="J184" s="82"/>
      <c r="K184" s="82"/>
      <c r="L184" s="82"/>
      <c r="M184" s="42" t="str">
        <f t="shared" ref="M184:M195" si="39">I184&amp;J184&amp;" "&amp;K184&amp;" "&amp;L184</f>
        <v xml:space="preserve">SB Strategies, S.A. de C.V.  </v>
      </c>
      <c r="N184" s="991" t="s">
        <v>656</v>
      </c>
      <c r="O184" s="991" t="s">
        <v>209</v>
      </c>
      <c r="P184" s="991" t="s">
        <v>2201</v>
      </c>
      <c r="Q184" s="992">
        <v>688350</v>
      </c>
      <c r="R184" s="44">
        <f t="shared" si="37"/>
        <v>110136</v>
      </c>
      <c r="S184" s="45">
        <f t="shared" si="35"/>
        <v>798486</v>
      </c>
      <c r="T184" s="46">
        <v>0</v>
      </c>
      <c r="U184" s="47">
        <f t="shared" ref="U184:U195" si="40">(T184*0.16)+(T184)</f>
        <v>0</v>
      </c>
      <c r="V184" s="44">
        <f t="shared" si="36"/>
        <v>798486</v>
      </c>
      <c r="W184" s="993" t="s">
        <v>156</v>
      </c>
      <c r="X184" s="48">
        <v>43837</v>
      </c>
      <c r="Y184" s="39" t="s">
        <v>157</v>
      </c>
      <c r="Z184" s="48">
        <v>43831</v>
      </c>
      <c r="AA184" s="48">
        <v>44196</v>
      </c>
      <c r="AB184" s="38" t="s">
        <v>2033</v>
      </c>
      <c r="AC184" s="49"/>
      <c r="AD184" s="49"/>
      <c r="AE184" s="49"/>
      <c r="AF184" s="49"/>
      <c r="AG184" s="39"/>
      <c r="AH184" s="38"/>
      <c r="AI184" s="38"/>
      <c r="AJ184" s="50"/>
      <c r="AK184" s="44"/>
      <c r="AL184" s="39" t="str">
        <f t="shared" ca="1" si="38"/>
        <v>MUERTO</v>
      </c>
      <c r="AM184" s="39">
        <v>35301</v>
      </c>
      <c r="AN184" s="39" t="s">
        <v>183</v>
      </c>
      <c r="AO184" s="39" t="s">
        <v>924</v>
      </c>
      <c r="AP184" s="39"/>
      <c r="AQ184" s="109">
        <v>43831</v>
      </c>
      <c r="AR184" s="39"/>
      <c r="AS184" s="39"/>
      <c r="AT184" s="39"/>
      <c r="AU184" s="51"/>
      <c r="AV184" s="50"/>
      <c r="AW184" s="38"/>
      <c r="AX184" s="52"/>
      <c r="AY184" s="50"/>
      <c r="AZ184" s="38"/>
      <c r="BA184" s="38" t="e">
        <f>VLOOKUP(I184,#REF!,2,0)</f>
        <v>#REF!</v>
      </c>
      <c r="BB184" s="71"/>
      <c r="BC184" s="59"/>
      <c r="BD184" s="176"/>
      <c r="BE184" s="176"/>
      <c r="BF184" s="176"/>
      <c r="BG184" s="176"/>
      <c r="BH184" s="59"/>
      <c r="BI184" s="59"/>
      <c r="BJ184" s="59"/>
      <c r="BK184" s="59"/>
      <c r="BL184" s="59"/>
      <c r="BM184" s="59"/>
      <c r="BN184" s="59"/>
      <c r="BO184" s="59"/>
      <c r="BP184" s="59"/>
      <c r="BQ184" s="62"/>
      <c r="BR184" s="66"/>
      <c r="BS184" s="70"/>
      <c r="BT184" s="62"/>
      <c r="BU184" s="84"/>
      <c r="BV184" s="84"/>
      <c r="BW184" s="84"/>
      <c r="BX184" s="84"/>
      <c r="BY184" s="84"/>
      <c r="BZ184" s="84"/>
    </row>
    <row r="185" spans="1:78" ht="405" hidden="1" x14ac:dyDescent="0.25">
      <c r="A185" s="38" t="s">
        <v>2202</v>
      </c>
      <c r="B185" s="39">
        <v>183</v>
      </c>
      <c r="C185" s="38" t="s">
        <v>149</v>
      </c>
      <c r="D185" s="991" t="s">
        <v>2185</v>
      </c>
      <c r="E185" s="39" t="s">
        <v>151</v>
      </c>
      <c r="F185" s="39" t="s">
        <v>152</v>
      </c>
      <c r="G185" s="39" t="s">
        <v>151</v>
      </c>
      <c r="H185" s="39"/>
      <c r="I185" s="81" t="s">
        <v>1076</v>
      </c>
      <c r="J185" s="82"/>
      <c r="K185" s="82"/>
      <c r="L185" s="82"/>
      <c r="M185" s="42" t="str">
        <f t="shared" si="39"/>
        <v xml:space="preserve">Metlife México, S.A.  </v>
      </c>
      <c r="N185" s="991" t="s">
        <v>270</v>
      </c>
      <c r="O185" s="991" t="s">
        <v>270</v>
      </c>
      <c r="P185" s="42" t="s">
        <v>2203</v>
      </c>
      <c r="Q185" s="992">
        <v>20964788.120000001</v>
      </c>
      <c r="R185" s="44">
        <f t="shared" si="37"/>
        <v>3354366.0992000001</v>
      </c>
      <c r="S185" s="45">
        <f t="shared" si="35"/>
        <v>24319154.2192</v>
      </c>
      <c r="T185" s="46">
        <v>0</v>
      </c>
      <c r="U185" s="47">
        <f t="shared" si="40"/>
        <v>0</v>
      </c>
      <c r="V185" s="44">
        <f t="shared" si="36"/>
        <v>24319154.2192</v>
      </c>
      <c r="W185" s="993" t="s">
        <v>156</v>
      </c>
      <c r="X185" s="48">
        <v>43838</v>
      </c>
      <c r="Y185" s="39" t="s">
        <v>157</v>
      </c>
      <c r="Z185" s="48">
        <v>43831</v>
      </c>
      <c r="AA185" s="48">
        <v>44196</v>
      </c>
      <c r="AB185" s="38" t="s">
        <v>161</v>
      </c>
      <c r="AC185" s="49"/>
      <c r="AD185" s="49"/>
      <c r="AE185" s="49"/>
      <c r="AF185" s="49"/>
      <c r="AG185" s="39"/>
      <c r="AH185" s="38"/>
      <c r="AI185" s="38"/>
      <c r="AJ185" s="50"/>
      <c r="AK185" s="44"/>
      <c r="AL185" s="39" t="str">
        <f t="shared" ca="1" si="38"/>
        <v>MUERTO</v>
      </c>
      <c r="AM185" s="39">
        <v>14401</v>
      </c>
      <c r="AN185" s="39" t="s">
        <v>183</v>
      </c>
      <c r="AO185" s="39" t="s">
        <v>924</v>
      </c>
      <c r="AP185" s="39"/>
      <c r="AQ185" s="109">
        <v>43831</v>
      </c>
      <c r="AR185" s="39"/>
      <c r="AS185" s="39"/>
      <c r="AT185" s="39"/>
      <c r="AU185" s="51"/>
      <c r="AV185" s="50"/>
      <c r="AW185" s="38"/>
      <c r="AX185" s="52"/>
      <c r="AY185" s="50"/>
      <c r="AZ185" s="38"/>
      <c r="BA185" s="38" t="e">
        <f>VLOOKUP(I185,#REF!,2,0)</f>
        <v>#REF!</v>
      </c>
      <c r="BB185" s="71"/>
      <c r="BC185" s="59"/>
      <c r="BD185" s="176"/>
      <c r="BE185" s="176"/>
      <c r="BF185" s="176"/>
      <c r="BG185" s="176"/>
      <c r="BH185" s="59"/>
      <c r="BI185" s="59"/>
      <c r="BJ185" s="59"/>
      <c r="BK185" s="59"/>
      <c r="BL185" s="59"/>
      <c r="BM185" s="59"/>
      <c r="BN185" s="59"/>
      <c r="BO185" s="59"/>
      <c r="BP185" s="59"/>
      <c r="BQ185" s="62"/>
      <c r="BR185" s="66"/>
      <c r="BS185" s="70"/>
      <c r="BT185" s="62"/>
      <c r="BU185" s="84"/>
      <c r="BV185" s="84"/>
      <c r="BW185" s="84"/>
      <c r="BX185" s="84"/>
      <c r="BY185" s="84"/>
      <c r="BZ185" s="84"/>
    </row>
    <row r="186" spans="1:78" ht="270" hidden="1" x14ac:dyDescent="0.25">
      <c r="A186" s="38" t="s">
        <v>2204</v>
      </c>
      <c r="B186" s="39">
        <v>184</v>
      </c>
      <c r="C186" s="38" t="s">
        <v>149</v>
      </c>
      <c r="D186" s="991" t="s">
        <v>2185</v>
      </c>
      <c r="E186" s="39" t="s">
        <v>151</v>
      </c>
      <c r="F186" s="39" t="s">
        <v>152</v>
      </c>
      <c r="G186" s="39" t="s">
        <v>151</v>
      </c>
      <c r="H186" s="39"/>
      <c r="I186" s="81" t="s">
        <v>2205</v>
      </c>
      <c r="J186" s="82"/>
      <c r="K186" s="82"/>
      <c r="L186" s="82"/>
      <c r="M186" s="42" t="str">
        <f t="shared" si="39"/>
        <v xml:space="preserve">Seguros Afirme, S.A. de C.V., Afirme Grupo Financiero  </v>
      </c>
      <c r="N186" s="991" t="s">
        <v>270</v>
      </c>
      <c r="O186" s="991" t="s">
        <v>270</v>
      </c>
      <c r="P186" s="42" t="s">
        <v>2206</v>
      </c>
      <c r="Q186" s="992">
        <v>441322.57</v>
      </c>
      <c r="R186" s="44">
        <f t="shared" si="37"/>
        <v>70611.611199999999</v>
      </c>
      <c r="S186" s="45">
        <f t="shared" si="35"/>
        <v>511934.18119999999</v>
      </c>
      <c r="T186" s="46">
        <v>0</v>
      </c>
      <c r="U186" s="47">
        <f t="shared" si="40"/>
        <v>0</v>
      </c>
      <c r="V186" s="44">
        <f t="shared" si="36"/>
        <v>511934.18119999999</v>
      </c>
      <c r="W186" s="993"/>
      <c r="X186" s="48">
        <v>43838</v>
      </c>
      <c r="Y186" s="39" t="s">
        <v>157</v>
      </c>
      <c r="Z186" s="48">
        <v>43831</v>
      </c>
      <c r="AA186" s="48">
        <v>44196</v>
      </c>
      <c r="AB186" s="38" t="s">
        <v>161</v>
      </c>
      <c r="AC186" s="49"/>
      <c r="AD186" s="49"/>
      <c r="AE186" s="49"/>
      <c r="AF186" s="49"/>
      <c r="AG186" s="39"/>
      <c r="AH186" s="38"/>
      <c r="AI186" s="38"/>
      <c r="AJ186" s="50"/>
      <c r="AK186" s="44"/>
      <c r="AL186" s="39" t="str">
        <f t="shared" ca="1" si="38"/>
        <v>MUERTO</v>
      </c>
      <c r="AM186" s="39">
        <v>14401</v>
      </c>
      <c r="AN186" s="39" t="s">
        <v>156</v>
      </c>
      <c r="AO186" s="39" t="s">
        <v>924</v>
      </c>
      <c r="AP186" s="39"/>
      <c r="AQ186" s="109">
        <v>43831</v>
      </c>
      <c r="AR186" s="39"/>
      <c r="AS186" s="39"/>
      <c r="AT186" s="39"/>
      <c r="AU186" s="51"/>
      <c r="AV186" s="50"/>
      <c r="AW186" s="38"/>
      <c r="AX186" s="52"/>
      <c r="AY186" s="50"/>
      <c r="AZ186" s="38"/>
      <c r="BA186" s="38" t="e">
        <f>VLOOKUP(I186,#REF!,2,0)</f>
        <v>#REF!</v>
      </c>
      <c r="BB186" s="71"/>
      <c r="BC186" s="59"/>
      <c r="BD186" s="39"/>
      <c r="BE186" s="39"/>
      <c r="BF186" s="39"/>
      <c r="BG186" s="39"/>
      <c r="BH186" s="59"/>
      <c r="BI186" s="59"/>
      <c r="BJ186" s="59"/>
      <c r="BK186" s="59"/>
      <c r="BL186" s="59"/>
      <c r="BM186" s="59"/>
      <c r="BN186" s="59"/>
      <c r="BO186" s="59"/>
      <c r="BP186" s="59"/>
      <c r="BQ186" s="62"/>
      <c r="BR186" s="66"/>
      <c r="BS186" s="70"/>
      <c r="BT186" s="62"/>
      <c r="BU186" s="84"/>
      <c r="BV186" s="84"/>
      <c r="BW186" s="84"/>
      <c r="BX186" s="84"/>
      <c r="BY186" s="84"/>
      <c r="BZ186" s="84"/>
    </row>
    <row r="187" spans="1:78" ht="60" hidden="1" x14ac:dyDescent="0.25">
      <c r="A187" s="615" t="s">
        <v>2207</v>
      </c>
      <c r="B187" s="39">
        <v>185</v>
      </c>
      <c r="C187" s="38" t="s">
        <v>225</v>
      </c>
      <c r="D187" s="991" t="s">
        <v>2208</v>
      </c>
      <c r="E187" s="81" t="s">
        <v>163</v>
      </c>
      <c r="F187" s="39" t="s">
        <v>188</v>
      </c>
      <c r="G187" s="960" t="s">
        <v>427</v>
      </c>
      <c r="H187" s="81" t="s">
        <v>163</v>
      </c>
      <c r="I187" s="81" t="s">
        <v>1401</v>
      </c>
      <c r="J187" s="82"/>
      <c r="K187" s="82"/>
      <c r="L187" s="82"/>
      <c r="M187" s="42" t="str">
        <f t="shared" si="39"/>
        <v xml:space="preserve">Servicios Broxel, S.A.P.I. de C.V.  </v>
      </c>
      <c r="N187" s="991" t="s">
        <v>370</v>
      </c>
      <c r="O187" s="991" t="s">
        <v>370</v>
      </c>
      <c r="P187" s="991" t="s">
        <v>2209</v>
      </c>
      <c r="Q187" s="992">
        <v>1208000</v>
      </c>
      <c r="R187" s="44">
        <f t="shared" si="37"/>
        <v>193280</v>
      </c>
      <c r="S187" s="45">
        <f t="shared" si="35"/>
        <v>1401280</v>
      </c>
      <c r="T187" s="46">
        <v>0</v>
      </c>
      <c r="U187" s="47">
        <f t="shared" si="40"/>
        <v>0</v>
      </c>
      <c r="V187" s="44">
        <f t="shared" si="36"/>
        <v>1401280</v>
      </c>
      <c r="W187" s="993" t="s">
        <v>156</v>
      </c>
      <c r="X187" s="48">
        <v>43854</v>
      </c>
      <c r="Y187" s="39" t="s">
        <v>157</v>
      </c>
      <c r="Z187" s="48">
        <v>43810</v>
      </c>
      <c r="AA187" s="48">
        <v>43830</v>
      </c>
      <c r="AB187" s="38" t="s">
        <v>2050</v>
      </c>
      <c r="AC187" s="49"/>
      <c r="AD187" s="49"/>
      <c r="AE187" s="49"/>
      <c r="AF187" s="49"/>
      <c r="AG187" s="39"/>
      <c r="AH187" s="38"/>
      <c r="AI187" s="38"/>
      <c r="AJ187" s="50"/>
      <c r="AK187" s="44"/>
      <c r="AL187" s="39" t="str">
        <f t="shared" ca="1" si="38"/>
        <v>MUERTO</v>
      </c>
      <c r="AM187" s="39">
        <v>15401</v>
      </c>
      <c r="AN187" s="39" t="s">
        <v>183</v>
      </c>
      <c r="AO187" s="39" t="s">
        <v>924</v>
      </c>
      <c r="AP187" s="39"/>
      <c r="AQ187" s="109">
        <v>43862</v>
      </c>
      <c r="AR187" s="39"/>
      <c r="AS187" s="39"/>
      <c r="AT187" s="39"/>
      <c r="AU187" s="51"/>
      <c r="AV187" s="50"/>
      <c r="AW187" s="38"/>
      <c r="AX187" s="52"/>
      <c r="AY187" s="50"/>
      <c r="AZ187" s="38"/>
      <c r="BA187" s="38" t="e">
        <f>VLOOKUP(I187,#REF!,2,0)</f>
        <v>#REF!</v>
      </c>
      <c r="BB187" s="71"/>
      <c r="BC187" s="59"/>
      <c r="BD187" s="39"/>
      <c r="BE187" s="39"/>
      <c r="BF187" s="39"/>
      <c r="BG187" s="39"/>
      <c r="BH187" s="59"/>
      <c r="BI187" s="59"/>
      <c r="BJ187" s="59"/>
      <c r="BK187" s="59"/>
      <c r="BL187" s="59"/>
      <c r="BM187" s="59"/>
      <c r="BN187" s="59"/>
      <c r="BO187" s="59"/>
      <c r="BP187" s="59"/>
      <c r="BQ187" s="62"/>
      <c r="BR187" s="66"/>
      <c r="BS187" s="70"/>
      <c r="BT187" s="62"/>
      <c r="BU187" s="84"/>
      <c r="BV187" s="84"/>
      <c r="BW187" s="84"/>
      <c r="BX187" s="84"/>
      <c r="BY187" s="84"/>
      <c r="BZ187" s="84"/>
    </row>
    <row r="188" spans="1:78" ht="409.5" hidden="1" x14ac:dyDescent="0.25">
      <c r="A188" s="38" t="s">
        <v>2210</v>
      </c>
      <c r="B188" s="39">
        <v>186</v>
      </c>
      <c r="C188" s="38"/>
      <c r="D188" s="991" t="s">
        <v>2211</v>
      </c>
      <c r="E188" s="81" t="s">
        <v>163</v>
      </c>
      <c r="F188" s="39" t="s">
        <v>607</v>
      </c>
      <c r="G188" s="39" t="s">
        <v>1477</v>
      </c>
      <c r="H188" s="685" t="s">
        <v>546</v>
      </c>
      <c r="I188" s="81" t="s">
        <v>1850</v>
      </c>
      <c r="J188" s="82"/>
      <c r="K188" s="82"/>
      <c r="L188" s="82"/>
      <c r="M188" s="42" t="str">
        <f t="shared" si="39"/>
        <v xml:space="preserve">Medingenium, S.A. de C.V.  </v>
      </c>
      <c r="N188" s="42"/>
      <c r="O188" s="991" t="s">
        <v>763</v>
      </c>
      <c r="P188" s="991" t="s">
        <v>2212</v>
      </c>
      <c r="Q188" s="992">
        <v>1770198.8</v>
      </c>
      <c r="R188" s="44">
        <f t="shared" si="37"/>
        <v>283231.80800000002</v>
      </c>
      <c r="S188" s="45">
        <f t="shared" si="35"/>
        <v>2053430.608</v>
      </c>
      <c r="T188" s="46">
        <v>0</v>
      </c>
      <c r="U188" s="47">
        <f t="shared" si="40"/>
        <v>0</v>
      </c>
      <c r="V188" s="44">
        <f t="shared" si="36"/>
        <v>2053430.608</v>
      </c>
      <c r="W188" s="993"/>
      <c r="X188" s="48"/>
      <c r="Y188" s="39" t="s">
        <v>924</v>
      </c>
      <c r="Z188" s="48">
        <v>43826</v>
      </c>
      <c r="AA188" s="48">
        <v>43830</v>
      </c>
      <c r="AB188" s="38"/>
      <c r="AC188" s="49"/>
      <c r="AD188" s="49"/>
      <c r="AE188" s="49"/>
      <c r="AF188" s="49"/>
      <c r="AG188" s="39"/>
      <c r="AH188" s="38"/>
      <c r="AI188" s="38"/>
      <c r="AJ188" s="50"/>
      <c r="AK188" s="44"/>
      <c r="AL188" s="39" t="str">
        <f t="shared" ca="1" si="38"/>
        <v>MUERTO</v>
      </c>
      <c r="AM188" s="39">
        <v>53101</v>
      </c>
      <c r="AN188" s="39" t="s">
        <v>156</v>
      </c>
      <c r="AO188" s="39" t="s">
        <v>924</v>
      </c>
      <c r="AP188" s="39"/>
      <c r="AQ188" s="109">
        <v>43831</v>
      </c>
      <c r="AR188" s="39"/>
      <c r="AS188" s="39"/>
      <c r="AT188" s="39"/>
      <c r="AU188" s="51"/>
      <c r="AV188" s="50"/>
      <c r="AW188" s="38"/>
      <c r="AX188" s="52"/>
      <c r="AY188" s="50"/>
      <c r="AZ188" s="38"/>
      <c r="BA188" s="38" t="e">
        <f>VLOOKUP(I188,#REF!,2,0)</f>
        <v>#REF!</v>
      </c>
      <c r="BB188" s="71"/>
      <c r="BC188" s="59"/>
      <c r="BD188" s="39"/>
      <c r="BE188" s="39"/>
      <c r="BF188" s="39"/>
      <c r="BG188" s="39"/>
      <c r="BH188" s="59"/>
      <c r="BI188" s="59"/>
      <c r="BJ188" s="59"/>
      <c r="BK188" s="59"/>
      <c r="BL188" s="59"/>
      <c r="BM188" s="59"/>
      <c r="BN188" s="59"/>
      <c r="BO188" s="59"/>
      <c r="BP188" s="59"/>
      <c r="BQ188" s="62"/>
      <c r="BR188" s="66"/>
      <c r="BS188" s="70"/>
      <c r="BT188" s="62"/>
      <c r="BU188" s="84"/>
      <c r="BV188" s="84"/>
      <c r="BW188" s="84"/>
      <c r="BX188" s="84"/>
      <c r="BY188" s="84"/>
      <c r="BZ188" s="84"/>
    </row>
    <row r="189" spans="1:78" ht="285" hidden="1" x14ac:dyDescent="0.25">
      <c r="A189" s="38" t="s">
        <v>2213</v>
      </c>
      <c r="B189" s="39">
        <v>187</v>
      </c>
      <c r="C189" s="38"/>
      <c r="D189" s="991" t="s">
        <v>2211</v>
      </c>
      <c r="E189" s="81" t="s">
        <v>163</v>
      </c>
      <c r="F189" s="39" t="s">
        <v>607</v>
      </c>
      <c r="G189" s="39" t="s">
        <v>1477</v>
      </c>
      <c r="H189" s="685" t="s">
        <v>546</v>
      </c>
      <c r="I189" s="81" t="s">
        <v>2163</v>
      </c>
      <c r="J189" s="82"/>
      <c r="K189" s="82"/>
      <c r="L189" s="82"/>
      <c r="M189" s="42" t="str">
        <f t="shared" si="39"/>
        <v xml:space="preserve">Dentadec, S.A. de C.V.  </v>
      </c>
      <c r="N189" s="991"/>
      <c r="O189" s="991" t="s">
        <v>763</v>
      </c>
      <c r="P189" s="991" t="s">
        <v>2214</v>
      </c>
      <c r="Q189" s="992">
        <v>308893.46000000002</v>
      </c>
      <c r="R189" s="44">
        <f t="shared" si="37"/>
        <v>49422.953600000008</v>
      </c>
      <c r="S189" s="45">
        <f t="shared" si="35"/>
        <v>358316.41360000003</v>
      </c>
      <c r="T189" s="46">
        <v>0</v>
      </c>
      <c r="U189" s="47">
        <f t="shared" si="40"/>
        <v>0</v>
      </c>
      <c r="V189" s="44">
        <f t="shared" si="36"/>
        <v>358316.41360000003</v>
      </c>
      <c r="W189" s="993"/>
      <c r="X189" s="48"/>
      <c r="Y189" s="39" t="s">
        <v>924</v>
      </c>
      <c r="Z189" s="48">
        <v>43826</v>
      </c>
      <c r="AA189" s="48">
        <v>43830</v>
      </c>
      <c r="AB189" s="38"/>
      <c r="AC189" s="49"/>
      <c r="AD189" s="49"/>
      <c r="AE189" s="49"/>
      <c r="AF189" s="49"/>
      <c r="AG189" s="39"/>
      <c r="AH189" s="38"/>
      <c r="AI189" s="38"/>
      <c r="AJ189" s="50"/>
      <c r="AK189" s="44"/>
      <c r="AL189" s="39" t="str">
        <f t="shared" ca="1" si="38"/>
        <v>MUERTO</v>
      </c>
      <c r="AM189" s="39">
        <v>53101</v>
      </c>
      <c r="AN189" s="39" t="s">
        <v>156</v>
      </c>
      <c r="AO189" s="39" t="s">
        <v>924</v>
      </c>
      <c r="AP189" s="39"/>
      <c r="AQ189" s="109">
        <v>43831</v>
      </c>
      <c r="AR189" s="39"/>
      <c r="AS189" s="39"/>
      <c r="AT189" s="39"/>
      <c r="AU189" s="51"/>
      <c r="AV189" s="50"/>
      <c r="AW189" s="38"/>
      <c r="AX189" s="52"/>
      <c r="AY189" s="50"/>
      <c r="AZ189" s="38"/>
      <c r="BA189" s="38" t="e">
        <f>VLOOKUP(I189,#REF!,2,0)</f>
        <v>#REF!</v>
      </c>
      <c r="BB189" s="71"/>
      <c r="BC189" s="59"/>
      <c r="BD189" s="39"/>
      <c r="BE189" s="39"/>
      <c r="BF189" s="39"/>
      <c r="BG189" s="39"/>
      <c r="BH189" s="59"/>
      <c r="BI189" s="59"/>
      <c r="BJ189" s="59"/>
      <c r="BK189" s="59"/>
      <c r="BL189" s="59"/>
      <c r="BM189" s="59"/>
      <c r="BN189" s="59"/>
      <c r="BO189" s="59"/>
      <c r="BP189" s="59"/>
      <c r="BQ189" s="62"/>
      <c r="BR189" s="66"/>
      <c r="BS189" s="70"/>
      <c r="BT189" s="62"/>
      <c r="BU189" s="84"/>
      <c r="BV189" s="84"/>
      <c r="BW189" s="84"/>
      <c r="BX189" s="84"/>
      <c r="BY189" s="84"/>
      <c r="BZ189" s="84"/>
    </row>
    <row r="190" spans="1:78" ht="409.5" hidden="1" x14ac:dyDescent="0.25">
      <c r="A190" s="38" t="s">
        <v>2215</v>
      </c>
      <c r="B190" s="39">
        <v>188</v>
      </c>
      <c r="C190" s="38"/>
      <c r="D190" s="991" t="s">
        <v>2211</v>
      </c>
      <c r="E190" s="81" t="s">
        <v>163</v>
      </c>
      <c r="F190" s="39" t="s">
        <v>607</v>
      </c>
      <c r="G190" s="39" t="s">
        <v>1477</v>
      </c>
      <c r="H190" s="685" t="s">
        <v>546</v>
      </c>
      <c r="I190" s="81" t="s">
        <v>2216</v>
      </c>
      <c r="J190" s="82"/>
      <c r="K190" s="82"/>
      <c r="L190" s="82"/>
      <c r="M190" s="42" t="str">
        <f t="shared" si="39"/>
        <v xml:space="preserve">PRW Medical, S.A. de C.V.  </v>
      </c>
      <c r="N190" s="991"/>
      <c r="O190" s="991" t="s">
        <v>763</v>
      </c>
      <c r="P190" s="991" t="s">
        <v>2217</v>
      </c>
      <c r="Q190" s="992">
        <v>413389.79</v>
      </c>
      <c r="R190" s="44">
        <f t="shared" si="37"/>
        <v>66142.366399999999</v>
      </c>
      <c r="S190" s="45">
        <f t="shared" si="35"/>
        <v>479532.15639999998</v>
      </c>
      <c r="T190" s="46">
        <v>0</v>
      </c>
      <c r="U190" s="47">
        <f t="shared" si="40"/>
        <v>0</v>
      </c>
      <c r="V190" s="44">
        <f t="shared" si="36"/>
        <v>479532.15639999998</v>
      </c>
      <c r="W190" s="993"/>
      <c r="X190" s="48"/>
      <c r="Y190" s="39" t="s">
        <v>924</v>
      </c>
      <c r="Z190" s="48">
        <v>43826</v>
      </c>
      <c r="AA190" s="48">
        <v>43830</v>
      </c>
      <c r="AB190" s="38"/>
      <c r="AC190" s="49"/>
      <c r="AD190" s="49"/>
      <c r="AE190" s="49"/>
      <c r="AF190" s="49"/>
      <c r="AG190" s="39"/>
      <c r="AH190" s="38"/>
      <c r="AI190" s="38"/>
      <c r="AJ190" s="50"/>
      <c r="AK190" s="44"/>
      <c r="AL190" s="39" t="str">
        <f t="shared" ca="1" si="38"/>
        <v>MUERTO</v>
      </c>
      <c r="AM190" s="39">
        <v>53101</v>
      </c>
      <c r="AN190" s="39" t="s">
        <v>156</v>
      </c>
      <c r="AO190" s="39" t="s">
        <v>924</v>
      </c>
      <c r="AP190" s="39"/>
      <c r="AQ190" s="109">
        <v>43831</v>
      </c>
      <c r="AR190" s="39"/>
      <c r="AS190" s="39"/>
      <c r="AT190" s="39"/>
      <c r="AU190" s="51"/>
      <c r="AV190" s="50"/>
      <c r="AW190" s="38"/>
      <c r="AX190" s="52"/>
      <c r="AY190" s="50"/>
      <c r="AZ190" s="38"/>
      <c r="BA190" s="38" t="e">
        <f>VLOOKUP(I190,#REF!,2,0)</f>
        <v>#REF!</v>
      </c>
      <c r="BB190" s="71"/>
      <c r="BC190" s="59"/>
      <c r="BD190" s="39"/>
      <c r="BE190" s="39"/>
      <c r="BF190" s="39"/>
      <c r="BG190" s="39"/>
      <c r="BH190" s="59"/>
      <c r="BI190" s="59"/>
      <c r="BJ190" s="59"/>
      <c r="BK190" s="59"/>
      <c r="BL190" s="59"/>
      <c r="BM190" s="59"/>
      <c r="BN190" s="59"/>
      <c r="BO190" s="59"/>
      <c r="BP190" s="59"/>
      <c r="BQ190" s="62"/>
      <c r="BR190" s="67"/>
      <c r="BS190" s="70"/>
      <c r="BT190" s="62"/>
      <c r="BU190" s="84"/>
      <c r="BV190" s="84"/>
      <c r="BW190" s="84"/>
      <c r="BX190" s="84"/>
      <c r="BY190" s="84"/>
      <c r="BZ190" s="84"/>
    </row>
    <row r="191" spans="1:78" ht="165" hidden="1" x14ac:dyDescent="0.25">
      <c r="A191" s="38" t="s">
        <v>2218</v>
      </c>
      <c r="B191" s="39">
        <v>189</v>
      </c>
      <c r="C191" s="38" t="s">
        <v>225</v>
      </c>
      <c r="D191" s="991" t="s">
        <v>2196</v>
      </c>
      <c r="E191" s="81" t="s">
        <v>163</v>
      </c>
      <c r="F191" s="39" t="s">
        <v>312</v>
      </c>
      <c r="G191" s="39" t="s">
        <v>1111</v>
      </c>
      <c r="H191" s="685" t="s">
        <v>546</v>
      </c>
      <c r="I191" s="81" t="s">
        <v>2219</v>
      </c>
      <c r="J191" s="82"/>
      <c r="K191" s="82"/>
      <c r="L191" s="82"/>
      <c r="M191" s="42" t="str">
        <f t="shared" si="39"/>
        <v xml:space="preserve">Sirona Dental México, S. DE R.L. de C.V.  </v>
      </c>
      <c r="N191" s="991" t="s">
        <v>763</v>
      </c>
      <c r="O191" s="991" t="s">
        <v>763</v>
      </c>
      <c r="P191" s="42" t="s">
        <v>2220</v>
      </c>
      <c r="Q191" s="992">
        <v>1543964.6379310347</v>
      </c>
      <c r="R191" s="44">
        <f t="shared" si="37"/>
        <v>247034.34206896555</v>
      </c>
      <c r="S191" s="45">
        <f t="shared" si="35"/>
        <v>1790998.9800000002</v>
      </c>
      <c r="T191" s="46">
        <v>0</v>
      </c>
      <c r="U191" s="47">
        <f t="shared" si="40"/>
        <v>0</v>
      </c>
      <c r="V191" s="44">
        <f t="shared" si="36"/>
        <v>1790998.9800000002</v>
      </c>
      <c r="W191" s="993" t="s">
        <v>156</v>
      </c>
      <c r="X191" s="48">
        <v>43830</v>
      </c>
      <c r="Y191" s="39" t="s">
        <v>924</v>
      </c>
      <c r="Z191" s="48">
        <v>43826</v>
      </c>
      <c r="AA191" s="48">
        <v>43830</v>
      </c>
      <c r="AB191" s="38" t="s">
        <v>2173</v>
      </c>
      <c r="AC191" s="49"/>
      <c r="AD191" s="49"/>
      <c r="AE191" s="49"/>
      <c r="AF191" s="49"/>
      <c r="AG191" s="39"/>
      <c r="AH191" s="38"/>
      <c r="AI191" s="38"/>
      <c r="AJ191" s="50"/>
      <c r="AK191" s="44"/>
      <c r="AL191" s="39" t="str">
        <f t="shared" ca="1" si="38"/>
        <v>MUERTO</v>
      </c>
      <c r="AM191" s="39">
        <v>53101</v>
      </c>
      <c r="AN191" s="39" t="s">
        <v>156</v>
      </c>
      <c r="AO191" s="39" t="s">
        <v>924</v>
      </c>
      <c r="AP191" s="39"/>
      <c r="AQ191" s="109">
        <v>43831</v>
      </c>
      <c r="AR191" s="39"/>
      <c r="AS191" s="39"/>
      <c r="AT191" s="39"/>
      <c r="AU191" s="51"/>
      <c r="AV191" s="50"/>
      <c r="AW191" s="38"/>
      <c r="AX191" s="52"/>
      <c r="AY191" s="50"/>
      <c r="AZ191" s="38"/>
      <c r="BA191" s="38" t="e">
        <f>VLOOKUP(I191,#REF!,2,0)</f>
        <v>#REF!</v>
      </c>
      <c r="BB191" s="71"/>
      <c r="BC191" s="59"/>
      <c r="BD191" s="39"/>
      <c r="BE191" s="39"/>
      <c r="BF191" s="39"/>
      <c r="BG191" s="39"/>
      <c r="BH191" s="59"/>
      <c r="BI191" s="59"/>
      <c r="BJ191" s="59"/>
      <c r="BK191" s="59"/>
      <c r="BL191" s="59"/>
      <c r="BM191" s="59"/>
      <c r="BN191" s="59"/>
      <c r="BO191" s="59"/>
      <c r="BP191" s="59"/>
      <c r="BQ191" s="62"/>
      <c r="BR191" s="66"/>
      <c r="BS191" s="70"/>
      <c r="BT191" s="62"/>
      <c r="BU191" s="84"/>
      <c r="BV191" s="84"/>
      <c r="BW191" s="84"/>
      <c r="BX191" s="84"/>
      <c r="BY191" s="84"/>
      <c r="BZ191" s="84"/>
    </row>
    <row r="192" spans="1:78" ht="150" hidden="1" x14ac:dyDescent="0.25">
      <c r="A192" s="38" t="s">
        <v>2221</v>
      </c>
      <c r="B192" s="39">
        <v>190</v>
      </c>
      <c r="C192" s="38" t="s">
        <v>225</v>
      </c>
      <c r="D192" s="991" t="s">
        <v>2196</v>
      </c>
      <c r="E192" s="81" t="s">
        <v>163</v>
      </c>
      <c r="F192" s="39" t="s">
        <v>568</v>
      </c>
      <c r="G192" s="39" t="s">
        <v>1111</v>
      </c>
      <c r="H192" s="685" t="s">
        <v>546</v>
      </c>
      <c r="I192" s="81" t="s">
        <v>2222</v>
      </c>
      <c r="J192" s="82"/>
      <c r="K192" s="82"/>
      <c r="L192" s="82"/>
      <c r="M192" s="42" t="str">
        <f t="shared" si="39"/>
        <v xml:space="preserve">Multisistemas BVC, S.A. de C.V.  </v>
      </c>
      <c r="N192" s="991" t="s">
        <v>190</v>
      </c>
      <c r="O192" s="991" t="s">
        <v>190</v>
      </c>
      <c r="P192" s="42" t="s">
        <v>2223</v>
      </c>
      <c r="Q192" s="992">
        <v>7099249.9482758632</v>
      </c>
      <c r="R192" s="44">
        <f t="shared" si="37"/>
        <v>1135879.9917241381</v>
      </c>
      <c r="S192" s="45">
        <f t="shared" si="35"/>
        <v>8235129.9400000013</v>
      </c>
      <c r="T192" s="46">
        <v>0</v>
      </c>
      <c r="U192" s="47">
        <f t="shared" si="40"/>
        <v>0</v>
      </c>
      <c r="V192" s="44">
        <f t="shared" si="36"/>
        <v>8235129.9400000013</v>
      </c>
      <c r="W192" s="993" t="s">
        <v>156</v>
      </c>
      <c r="X192" s="48">
        <v>43830</v>
      </c>
      <c r="Y192" s="39" t="s">
        <v>924</v>
      </c>
      <c r="Z192" s="48">
        <v>43826</v>
      </c>
      <c r="AA192" s="48">
        <v>43830</v>
      </c>
      <c r="AB192" s="38" t="s">
        <v>2173</v>
      </c>
      <c r="AC192" s="49"/>
      <c r="AD192" s="49"/>
      <c r="AE192" s="49"/>
      <c r="AF192" s="49"/>
      <c r="AG192" s="39"/>
      <c r="AH192" s="38"/>
      <c r="AI192" s="38"/>
      <c r="AJ192" s="50"/>
      <c r="AK192" s="44"/>
      <c r="AL192" s="39" t="str">
        <f t="shared" ca="1" si="38"/>
        <v>MUERTO</v>
      </c>
      <c r="AM192" s="39">
        <v>51901</v>
      </c>
      <c r="AN192" s="39" t="s">
        <v>156</v>
      </c>
      <c r="AO192" s="39" t="s">
        <v>924</v>
      </c>
      <c r="AP192" s="39"/>
      <c r="AQ192" s="109">
        <v>43831</v>
      </c>
      <c r="AR192" s="39"/>
      <c r="AS192" s="39"/>
      <c r="AT192" s="39"/>
      <c r="AU192" s="51"/>
      <c r="AV192" s="50"/>
      <c r="AW192" s="38"/>
      <c r="AX192" s="52"/>
      <c r="AY192" s="50"/>
      <c r="AZ192" s="38"/>
      <c r="BA192" s="38" t="e">
        <f>VLOOKUP(I192,#REF!,2,0)</f>
        <v>#REF!</v>
      </c>
      <c r="BB192" s="71"/>
      <c r="BC192" s="59"/>
      <c r="BD192" s="176"/>
      <c r="BE192" s="176"/>
      <c r="BF192" s="176"/>
      <c r="BG192" s="176"/>
      <c r="BH192" s="59"/>
      <c r="BI192" s="59"/>
      <c r="BJ192" s="59"/>
      <c r="BK192" s="59"/>
      <c r="BL192" s="59"/>
      <c r="BM192" s="59"/>
      <c r="BN192" s="59"/>
      <c r="BO192" s="59"/>
      <c r="BP192" s="59"/>
      <c r="BQ192" s="62"/>
      <c r="BR192" s="66"/>
      <c r="BS192" s="70"/>
      <c r="BT192" s="62"/>
      <c r="BU192" s="84"/>
      <c r="BV192" s="84"/>
      <c r="BW192" s="84"/>
      <c r="BX192" s="84"/>
      <c r="BY192" s="84"/>
      <c r="BZ192" s="84"/>
    </row>
    <row r="193" spans="1:78" ht="315" hidden="1" x14ac:dyDescent="0.25">
      <c r="A193" s="38" t="s">
        <v>2224</v>
      </c>
      <c r="B193" s="39">
        <v>191</v>
      </c>
      <c r="C193" s="38" t="s">
        <v>225</v>
      </c>
      <c r="D193" s="991" t="s">
        <v>2196</v>
      </c>
      <c r="E193" s="81" t="s">
        <v>163</v>
      </c>
      <c r="F193" s="39" t="s">
        <v>312</v>
      </c>
      <c r="G193" s="39" t="s">
        <v>1111</v>
      </c>
      <c r="H193" s="685" t="s">
        <v>546</v>
      </c>
      <c r="I193" s="81" t="s">
        <v>1118</v>
      </c>
      <c r="J193" s="82"/>
      <c r="K193" s="82"/>
      <c r="L193" s="82"/>
      <c r="M193" s="42" t="str">
        <f t="shared" si="39"/>
        <v xml:space="preserve">  </v>
      </c>
      <c r="N193" s="991" t="s">
        <v>270</v>
      </c>
      <c r="O193" s="991" t="s">
        <v>270</v>
      </c>
      <c r="P193" s="42" t="s">
        <v>2225</v>
      </c>
      <c r="Q193" s="992">
        <v>2047500.0000000002</v>
      </c>
      <c r="R193" s="44">
        <f t="shared" si="37"/>
        <v>327600.00000000006</v>
      </c>
      <c r="S193" s="45">
        <f>Q193+R193</f>
        <v>2375100.0000000005</v>
      </c>
      <c r="T193" s="46">
        <v>0</v>
      </c>
      <c r="U193" s="47">
        <f t="shared" si="40"/>
        <v>0</v>
      </c>
      <c r="V193" s="44">
        <f t="shared" si="36"/>
        <v>2375100.0000000005</v>
      </c>
      <c r="W193" s="993" t="s">
        <v>156</v>
      </c>
      <c r="X193" s="48">
        <v>43830</v>
      </c>
      <c r="Y193" s="39" t="s">
        <v>924</v>
      </c>
      <c r="Z193" s="48">
        <v>43826</v>
      </c>
      <c r="AA193" s="48">
        <v>43830</v>
      </c>
      <c r="AB193" s="38" t="s">
        <v>2173</v>
      </c>
      <c r="AC193" s="49"/>
      <c r="AD193" s="49"/>
      <c r="AE193" s="49"/>
      <c r="AF193" s="49"/>
      <c r="AG193" s="39"/>
      <c r="AH193" s="38"/>
      <c r="AI193" s="38"/>
      <c r="AJ193" s="50"/>
      <c r="AK193" s="44"/>
      <c r="AL193" s="39" t="str">
        <f t="shared" ca="1" si="38"/>
        <v>MUERTO</v>
      </c>
      <c r="AM193" s="39">
        <v>56902</v>
      </c>
      <c r="AN193" s="39" t="s">
        <v>156</v>
      </c>
      <c r="AO193" s="39" t="s">
        <v>924</v>
      </c>
      <c r="AP193" s="39"/>
      <c r="AQ193" s="109">
        <v>43831</v>
      </c>
      <c r="AR193" s="39"/>
      <c r="AS193" s="39"/>
      <c r="AT193" s="39"/>
      <c r="AU193" s="51"/>
      <c r="AV193" s="50"/>
      <c r="AW193" s="38"/>
      <c r="AX193" s="52"/>
      <c r="AY193" s="50"/>
      <c r="AZ193" s="38"/>
      <c r="BA193" s="38" t="e">
        <f>VLOOKUP(I193,#REF!,2,0)</f>
        <v>#REF!</v>
      </c>
      <c r="BB193" s="71"/>
      <c r="BC193" s="59"/>
      <c r="BD193" s="39"/>
      <c r="BE193" s="39"/>
      <c r="BF193" s="39"/>
      <c r="BG193" s="39"/>
      <c r="BH193" s="59"/>
      <c r="BI193" s="59"/>
      <c r="BJ193" s="59"/>
      <c r="BK193" s="59"/>
      <c r="BL193" s="59"/>
      <c r="BM193" s="59"/>
      <c r="BN193" s="59"/>
      <c r="BO193" s="59"/>
      <c r="BP193" s="59"/>
      <c r="BQ193" s="62"/>
      <c r="BR193" s="66"/>
      <c r="BS193" s="70"/>
      <c r="BT193" s="62"/>
      <c r="BU193" s="84"/>
      <c r="BV193" s="84"/>
      <c r="BW193" s="84"/>
      <c r="BX193" s="84"/>
      <c r="BY193" s="84"/>
      <c r="BZ193" s="84"/>
    </row>
    <row r="194" spans="1:78" ht="75" hidden="1" x14ac:dyDescent="0.25">
      <c r="A194" s="38" t="s">
        <v>2226</v>
      </c>
      <c r="B194" s="39">
        <v>192</v>
      </c>
      <c r="C194" s="38" t="s">
        <v>225</v>
      </c>
      <c r="D194" s="991" t="s">
        <v>2196</v>
      </c>
      <c r="E194" s="81" t="s">
        <v>163</v>
      </c>
      <c r="F194" s="39" t="s">
        <v>568</v>
      </c>
      <c r="G194" s="39" t="s">
        <v>1111</v>
      </c>
      <c r="H194" s="685" t="s">
        <v>546</v>
      </c>
      <c r="I194" s="81" t="s">
        <v>1850</v>
      </c>
      <c r="J194" s="82"/>
      <c r="K194" s="82"/>
      <c r="L194" s="82"/>
      <c r="M194" s="42" t="str">
        <f t="shared" si="39"/>
        <v xml:space="preserve">Medingenium, S.A. de C.V.  </v>
      </c>
      <c r="N194" s="991" t="s">
        <v>763</v>
      </c>
      <c r="O194" s="991" t="s">
        <v>763</v>
      </c>
      <c r="P194" s="42" t="s">
        <v>2227</v>
      </c>
      <c r="Q194" s="992">
        <v>6939655.1724137934</v>
      </c>
      <c r="R194" s="44">
        <f t="shared" si="37"/>
        <v>1110344.8275862071</v>
      </c>
      <c r="S194" s="45">
        <f>Q194+R194</f>
        <v>8050000</v>
      </c>
      <c r="T194" s="46">
        <v>0</v>
      </c>
      <c r="U194" s="47">
        <f t="shared" si="40"/>
        <v>0</v>
      </c>
      <c r="V194" s="44">
        <f t="shared" si="36"/>
        <v>8050000</v>
      </c>
      <c r="W194" s="993" t="s">
        <v>156</v>
      </c>
      <c r="X194" s="48">
        <v>43830</v>
      </c>
      <c r="Y194" s="39" t="s">
        <v>924</v>
      </c>
      <c r="Z194" s="48">
        <v>43826</v>
      </c>
      <c r="AA194" s="48">
        <v>43830</v>
      </c>
      <c r="AB194" s="38" t="s">
        <v>2173</v>
      </c>
      <c r="AC194" s="49"/>
      <c r="AD194" s="49"/>
      <c r="AE194" s="49"/>
      <c r="AF194" s="49"/>
      <c r="AG194" s="39"/>
      <c r="AH194" s="38"/>
      <c r="AI194" s="38"/>
      <c r="AJ194" s="50"/>
      <c r="AK194" s="44"/>
      <c r="AL194" s="39" t="str">
        <f t="shared" ca="1" si="38"/>
        <v>MUERTO</v>
      </c>
      <c r="AM194" s="39">
        <v>53101</v>
      </c>
      <c r="AN194" s="39" t="s">
        <v>156</v>
      </c>
      <c r="AO194" s="39" t="s">
        <v>924</v>
      </c>
      <c r="AP194" s="39"/>
      <c r="AQ194" s="109">
        <v>43831</v>
      </c>
      <c r="AR194" s="39"/>
      <c r="AS194" s="39"/>
      <c r="AT194" s="39"/>
      <c r="AU194" s="51"/>
      <c r="AV194" s="50"/>
      <c r="AW194" s="38"/>
      <c r="AX194" s="52"/>
      <c r="AY194" s="50"/>
      <c r="AZ194" s="38"/>
      <c r="BA194" s="38" t="e">
        <f>VLOOKUP(I194,#REF!,2,0)</f>
        <v>#REF!</v>
      </c>
      <c r="BB194" s="71"/>
      <c r="BC194" s="59"/>
      <c r="BD194" s="176"/>
      <c r="BE194" s="176"/>
      <c r="BF194" s="176"/>
      <c r="BG194" s="176"/>
      <c r="BH194" s="59"/>
      <c r="BI194" s="59"/>
      <c r="BJ194" s="59"/>
      <c r="BK194" s="59"/>
      <c r="BL194" s="59"/>
      <c r="BM194" s="59"/>
      <c r="BN194" s="59"/>
      <c r="BO194" s="59"/>
      <c r="BP194" s="59"/>
      <c r="BQ194" s="62"/>
      <c r="BR194" s="6"/>
      <c r="BS194" s="70"/>
      <c r="BT194" s="62"/>
      <c r="BU194" s="84"/>
      <c r="BV194" s="84"/>
      <c r="BW194" s="84"/>
      <c r="BX194" s="84"/>
      <c r="BY194" s="84"/>
      <c r="BZ194" s="84"/>
    </row>
    <row r="195" spans="1:78" ht="92.25" hidden="1" customHeight="1" x14ac:dyDescent="0.25">
      <c r="A195" s="38" t="s">
        <v>2228</v>
      </c>
      <c r="B195" s="39">
        <v>193</v>
      </c>
      <c r="C195" s="38" t="s">
        <v>225</v>
      </c>
      <c r="D195" s="991" t="s">
        <v>2196</v>
      </c>
      <c r="E195" s="81" t="s">
        <v>163</v>
      </c>
      <c r="F195" s="39" t="s">
        <v>312</v>
      </c>
      <c r="G195" s="39" t="s">
        <v>1111</v>
      </c>
      <c r="H195" s="685" t="s">
        <v>546</v>
      </c>
      <c r="I195" s="81" t="s">
        <v>2229</v>
      </c>
      <c r="J195" s="82"/>
      <c r="K195" s="82"/>
      <c r="L195" s="82"/>
      <c r="M195" s="42" t="str">
        <f t="shared" si="39"/>
        <v xml:space="preserve">Centro de Diagnóstico Ortopédico de México, S.A. DE C.V.  </v>
      </c>
      <c r="N195" s="991" t="s">
        <v>763</v>
      </c>
      <c r="O195" s="991" t="s">
        <v>763</v>
      </c>
      <c r="P195" s="42" t="s">
        <v>2230</v>
      </c>
      <c r="Q195" s="992">
        <v>398232.81896551728</v>
      </c>
      <c r="R195" s="44">
        <f t="shared" si="37"/>
        <v>63717.251034482768</v>
      </c>
      <c r="S195" s="45">
        <f>Q195+R195</f>
        <v>461950.07000000007</v>
      </c>
      <c r="T195" s="46">
        <v>0</v>
      </c>
      <c r="U195" s="47">
        <f t="shared" si="40"/>
        <v>0</v>
      </c>
      <c r="V195" s="44">
        <f t="shared" si="36"/>
        <v>461950.07000000007</v>
      </c>
      <c r="W195" s="993" t="s">
        <v>156</v>
      </c>
      <c r="X195" s="48">
        <v>43830</v>
      </c>
      <c r="Y195" s="39" t="s">
        <v>924</v>
      </c>
      <c r="Z195" s="48">
        <v>43826</v>
      </c>
      <c r="AA195" s="48">
        <v>43830</v>
      </c>
      <c r="AB195" s="38" t="s">
        <v>2173</v>
      </c>
      <c r="AC195" s="49"/>
      <c r="AD195" s="49"/>
      <c r="AE195" s="49"/>
      <c r="AF195" s="49"/>
      <c r="AG195" s="39"/>
      <c r="AH195" s="38"/>
      <c r="AI195" s="38"/>
      <c r="AJ195" s="50"/>
      <c r="AK195" s="44"/>
      <c r="AL195" s="39" t="str">
        <f t="shared" ca="1" si="38"/>
        <v>MUERTO</v>
      </c>
      <c r="AM195" s="39">
        <v>53101</v>
      </c>
      <c r="AN195" s="39" t="s">
        <v>156</v>
      </c>
      <c r="AO195" s="39" t="s">
        <v>924</v>
      </c>
      <c r="AP195" s="39"/>
      <c r="AQ195" s="109">
        <v>43831</v>
      </c>
      <c r="AR195" s="39"/>
      <c r="AS195" s="39"/>
      <c r="AT195" s="39"/>
      <c r="AU195" s="51"/>
      <c r="AV195" s="50"/>
      <c r="AW195" s="38"/>
      <c r="AX195" s="52"/>
      <c r="AY195" s="50"/>
      <c r="AZ195" s="38"/>
      <c r="BA195" s="38" t="e">
        <f>VLOOKUP(I195,#REF!,2,0)</f>
        <v>#REF!</v>
      </c>
      <c r="BB195" s="71"/>
      <c r="BC195" s="59"/>
      <c r="BD195" s="39"/>
      <c r="BE195" s="39"/>
      <c r="BF195" s="39"/>
      <c r="BG195" s="39"/>
      <c r="BH195" s="59"/>
      <c r="BI195" s="59"/>
      <c r="BJ195" s="59"/>
      <c r="BK195" s="59"/>
      <c r="BL195" s="59"/>
      <c r="BM195" s="59"/>
      <c r="BN195" s="59"/>
      <c r="BO195" s="59"/>
      <c r="BP195" s="59"/>
      <c r="BQ195" s="62"/>
      <c r="BR195" s="6"/>
      <c r="BS195" s="70"/>
      <c r="BT195" s="62"/>
      <c r="BU195" s="84"/>
      <c r="BV195" s="84"/>
      <c r="BW195" s="84"/>
      <c r="BX195" s="84"/>
      <c r="BY195" s="84"/>
      <c r="BZ195" s="84"/>
    </row>
    <row r="196" spans="1:78" x14ac:dyDescent="0.25">
      <c r="R196" s="2">
        <f t="shared" ref="R196:W196" si="41">SUBTOTAL(9,Q3:Q195)</f>
        <v>79156503.5</v>
      </c>
      <c r="S196" s="2">
        <f t="shared" si="41"/>
        <v>12665040.560000001</v>
      </c>
      <c r="T196" s="13">
        <f t="shared" si="41"/>
        <v>91821544.060000002</v>
      </c>
      <c r="U196" s="15">
        <f t="shared" si="41"/>
        <v>0</v>
      </c>
      <c r="V196" s="15">
        <f t="shared" si="41"/>
        <v>0</v>
      </c>
      <c r="W196" s="2">
        <f t="shared" si="41"/>
        <v>91821544.060000002</v>
      </c>
      <c r="AL196" s="2">
        <f>SUBTOTAL(9,AK3:AK195)</f>
        <v>0</v>
      </c>
      <c r="AY196" s="2">
        <f>SUBTOTAL(9,AX3:AX195)</f>
        <v>0</v>
      </c>
      <c r="AZ196" s="11"/>
      <c r="BA196" s="2"/>
      <c r="BB196" s="2"/>
      <c r="BC196" s="12"/>
      <c r="BD196" s="2"/>
      <c r="BI196" s="2"/>
      <c r="BJ196" s="2"/>
      <c r="BK196" s="2"/>
      <c r="BL196" s="2"/>
      <c r="BM196" s="2"/>
      <c r="BN196" s="2"/>
      <c r="BO196" s="2"/>
      <c r="BT196" s="70"/>
    </row>
    <row r="197" spans="1:78" x14ac:dyDescent="0.25">
      <c r="BT197" s="70"/>
    </row>
    <row r="198" spans="1:78" x14ac:dyDescent="0.25">
      <c r="A198" s="20" t="s">
        <v>1080</v>
      </c>
      <c r="B198" s="20" t="s">
        <v>1080</v>
      </c>
      <c r="C198" s="20" t="s">
        <v>1080</v>
      </c>
      <c r="D198" s="20" t="s">
        <v>1080</v>
      </c>
      <c r="E198" s="20" t="s">
        <v>1080</v>
      </c>
      <c r="F198" s="20" t="s">
        <v>1080</v>
      </c>
      <c r="G198" s="20" t="s">
        <v>1080</v>
      </c>
      <c r="H198" s="20"/>
      <c r="I198" s="20" t="s">
        <v>1080</v>
      </c>
      <c r="J198" s="20" t="s">
        <v>1080</v>
      </c>
      <c r="K198" s="20" t="s">
        <v>1080</v>
      </c>
      <c r="L198" s="20" t="s">
        <v>1080</v>
      </c>
      <c r="M198" s="20" t="s">
        <v>1080</v>
      </c>
      <c r="N198" s="20" t="s">
        <v>1080</v>
      </c>
      <c r="O198" s="20" t="s">
        <v>1080</v>
      </c>
      <c r="P198" s="20" t="s">
        <v>1080</v>
      </c>
      <c r="Q198" s="20" t="s">
        <v>1080</v>
      </c>
      <c r="R198" s="20" t="s">
        <v>1080</v>
      </c>
      <c r="S198" s="20" t="s">
        <v>1080</v>
      </c>
      <c r="T198" s="20" t="s">
        <v>1080</v>
      </c>
      <c r="U198" s="20" t="s">
        <v>1080</v>
      </c>
      <c r="V198" s="20" t="s">
        <v>1080</v>
      </c>
      <c r="W198" s="20" t="s">
        <v>1080</v>
      </c>
      <c r="X198" s="20" t="s">
        <v>1080</v>
      </c>
      <c r="Y198" s="20" t="s">
        <v>1080</v>
      </c>
      <c r="Z198" s="20" t="s">
        <v>1080</v>
      </c>
      <c r="AA198" s="20" t="s">
        <v>1080</v>
      </c>
      <c r="AB198" s="20" t="s">
        <v>1080</v>
      </c>
      <c r="AC198" s="20" t="s">
        <v>1080</v>
      </c>
      <c r="AD198" s="20" t="s">
        <v>1080</v>
      </c>
      <c r="AE198" s="20" t="s">
        <v>1080</v>
      </c>
      <c r="AF198" s="20" t="s">
        <v>1080</v>
      </c>
      <c r="AG198" s="20" t="s">
        <v>1080</v>
      </c>
      <c r="AH198" s="20" t="s">
        <v>1080</v>
      </c>
      <c r="AI198" s="20" t="s">
        <v>1080</v>
      </c>
      <c r="AJ198" s="20" t="s">
        <v>1080</v>
      </c>
      <c r="AK198" s="20" t="s">
        <v>1080</v>
      </c>
      <c r="AL198" s="20" t="s">
        <v>1080</v>
      </c>
      <c r="AM198" s="20" t="s">
        <v>1080</v>
      </c>
      <c r="AN198" s="20"/>
      <c r="AO198" s="20"/>
      <c r="AP198" s="20" t="s">
        <v>1080</v>
      </c>
      <c r="AQ198" s="20" t="s">
        <v>1080</v>
      </c>
      <c r="AR198" s="20" t="s">
        <v>1080</v>
      </c>
      <c r="AS198" s="20" t="s">
        <v>1080</v>
      </c>
      <c r="AT198" s="20" t="s">
        <v>1080</v>
      </c>
      <c r="AU198" s="20"/>
      <c r="AV198" s="20" t="s">
        <v>1080</v>
      </c>
      <c r="AW198" s="20" t="s">
        <v>1080</v>
      </c>
      <c r="AX198" s="20" t="s">
        <v>1080</v>
      </c>
      <c r="AY198" s="20" t="s">
        <v>1080</v>
      </c>
      <c r="AZ198" s="20" t="s">
        <v>1080</v>
      </c>
      <c r="BA198" s="20" t="s">
        <v>1080</v>
      </c>
      <c r="BB198" s="20" t="s">
        <v>1080</v>
      </c>
      <c r="BC198" s="72"/>
      <c r="BD198" s="20" t="s">
        <v>1080</v>
      </c>
      <c r="BE198" s="20" t="s">
        <v>1080</v>
      </c>
      <c r="BF198" s="20" t="s">
        <v>1080</v>
      </c>
      <c r="BG198" s="20" t="s">
        <v>1080</v>
      </c>
      <c r="BH198" s="20"/>
      <c r="BI198" s="20" t="s">
        <v>1080</v>
      </c>
      <c r="BJ198" s="20"/>
      <c r="BK198" s="20" t="s">
        <v>1080</v>
      </c>
      <c r="BL198" s="20" t="s">
        <v>1080</v>
      </c>
      <c r="BM198" s="20" t="s">
        <v>1080</v>
      </c>
      <c r="BN198" s="20" t="s">
        <v>1080</v>
      </c>
      <c r="BO198" s="20" t="s">
        <v>1080</v>
      </c>
      <c r="BP198" s="20" t="s">
        <v>1080</v>
      </c>
      <c r="BQ198" s="20" t="s">
        <v>1080</v>
      </c>
      <c r="BR198" s="20" t="s">
        <v>1080</v>
      </c>
      <c r="BS198" s="65"/>
      <c r="BT198" s="70"/>
      <c r="BU198" s="20" t="s">
        <v>1080</v>
      </c>
    </row>
    <row r="199" spans="1:78" x14ac:dyDescent="0.25">
      <c r="BT199" s="70"/>
    </row>
    <row r="200" spans="1:78" x14ac:dyDescent="0.25">
      <c r="BT200" s="70"/>
    </row>
    <row r="201" spans="1:78" x14ac:dyDescent="0.25">
      <c r="AL201" s="10"/>
      <c r="AM201" s="10"/>
      <c r="BT201" s="70"/>
    </row>
    <row r="202" spans="1:78" s="676" customFormat="1" ht="15.75" x14ac:dyDescent="0.25">
      <c r="D202" s="677" t="s">
        <v>86</v>
      </c>
      <c r="E202" s="677" t="s">
        <v>1081</v>
      </c>
      <c r="F202" s="677" t="s">
        <v>1082</v>
      </c>
      <c r="J202"/>
      <c r="K202"/>
      <c r="L202"/>
      <c r="M202"/>
      <c r="N202"/>
      <c r="O202"/>
      <c r="P202"/>
      <c r="Q202"/>
      <c r="AL202" s="688"/>
      <c r="AM202" s="688"/>
      <c r="BT202" s="689"/>
    </row>
    <row r="203" spans="1:78" s="676" customFormat="1" ht="31.5" x14ac:dyDescent="0.25">
      <c r="D203" s="678" t="s">
        <v>163</v>
      </c>
      <c r="E203" s="679">
        <f>+SUMIF($E$3:$E$195,D203,$V$3:$V$195)</f>
        <v>666868430.0187999</v>
      </c>
      <c r="F203" s="680">
        <f>COUNTIF(E3:E195,D203)</f>
        <v>116</v>
      </c>
      <c r="J203"/>
      <c r="K203"/>
      <c r="L203"/>
      <c r="M203"/>
      <c r="N203"/>
      <c r="O203"/>
      <c r="P203"/>
      <c r="Q203"/>
      <c r="AL203" s="688"/>
      <c r="AM203" s="688"/>
      <c r="BT203" s="689"/>
    </row>
    <row r="204" spans="1:78" s="676" customFormat="1" ht="15.75" x14ac:dyDescent="0.25">
      <c r="D204" s="681" t="s">
        <v>173</v>
      </c>
      <c r="E204" s="679">
        <f>+SUMIF($E$3:$E$195,D204,$V$3:$V$195)</f>
        <v>602919119.0523001</v>
      </c>
      <c r="F204" s="680">
        <v>37</v>
      </c>
      <c r="J204"/>
      <c r="K204"/>
      <c r="L204"/>
      <c r="M204"/>
      <c r="N204"/>
      <c r="O204"/>
      <c r="P204"/>
      <c r="Q204"/>
      <c r="BT204" s="689"/>
    </row>
    <row r="205" spans="1:78" s="676" customFormat="1" ht="15.75" x14ac:dyDescent="0.25">
      <c r="D205" s="681" t="s">
        <v>151</v>
      </c>
      <c r="E205" s="679">
        <f>+SUMIF($E$3:$E$195,D205,$V$3:$V$195)</f>
        <v>80790825.066399992</v>
      </c>
      <c r="F205" s="680">
        <v>23</v>
      </c>
      <c r="J205"/>
      <c r="K205"/>
      <c r="L205"/>
      <c r="M205"/>
      <c r="N205"/>
      <c r="O205"/>
      <c r="P205"/>
      <c r="Q205"/>
      <c r="BT205" s="689"/>
    </row>
    <row r="206" spans="1:78" s="676" customFormat="1" ht="15.75" x14ac:dyDescent="0.25">
      <c r="D206" s="681" t="s">
        <v>1083</v>
      </c>
      <c r="E206" s="679">
        <f>SUM(E203:E205)</f>
        <v>1350578374.1375</v>
      </c>
      <c r="F206" s="680"/>
      <c r="J206"/>
      <c r="K206"/>
      <c r="L206"/>
      <c r="M206"/>
      <c r="N206"/>
      <c r="O206"/>
      <c r="P206"/>
      <c r="Q206"/>
      <c r="BT206" s="689"/>
    </row>
    <row r="207" spans="1:78" s="676" customFormat="1" ht="15.75" x14ac:dyDescent="0.25">
      <c r="D207" s="682" t="s">
        <v>1084</v>
      </c>
      <c r="E207" s="683">
        <f>+W196</f>
        <v>91821544.060000002</v>
      </c>
      <c r="F207" s="338"/>
      <c r="J207"/>
      <c r="K207"/>
      <c r="L207"/>
      <c r="M207"/>
      <c r="N207"/>
      <c r="O207"/>
      <c r="P207"/>
      <c r="Q207"/>
      <c r="BT207" s="689"/>
    </row>
    <row r="210" spans="4:6" s="676" customFormat="1" ht="15.75" x14ac:dyDescent="0.25">
      <c r="D210" s="1092" t="s">
        <v>1085</v>
      </c>
      <c r="E210" s="1092"/>
      <c r="F210" s="194" t="s">
        <v>1082</v>
      </c>
    </row>
    <row r="211" spans="4:6" s="676" customFormat="1" ht="15.75" x14ac:dyDescent="0.25">
      <c r="D211" s="684" t="s">
        <v>163</v>
      </c>
      <c r="E211" s="679">
        <f>+SUMIF($H$3:$H$195,D211,$V$3:$V$195)</f>
        <v>329773765.81040001</v>
      </c>
      <c r="F211" s="680">
        <f>COUNTIF(H3:H202,D211)</f>
        <v>47</v>
      </c>
    </row>
    <row r="212" spans="4:6" s="676" customFormat="1" ht="15.75" x14ac:dyDescent="0.25">
      <c r="D212" s="685" t="s">
        <v>546</v>
      </c>
      <c r="E212" s="679">
        <f>+SUMIF($H$3:$H$195,D212,$V$3:$V$195)</f>
        <v>337094664.20840001</v>
      </c>
      <c r="F212" s="680">
        <f>COUNTIF(H3:H203,D212)</f>
        <v>69</v>
      </c>
    </row>
    <row r="213" spans="4:6" s="676" customFormat="1" ht="31.5" x14ac:dyDescent="0.25">
      <c r="D213" s="686" t="s">
        <v>1086</v>
      </c>
      <c r="E213" s="687">
        <f>+E211+E212</f>
        <v>666868430.01880002</v>
      </c>
      <c r="F213" s="676">
        <f>SUM(F211:F212)</f>
        <v>116</v>
      </c>
    </row>
    <row r="214" spans="4:6" s="676" customFormat="1" ht="15.75" x14ac:dyDescent="0.25">
      <c r="E214" s="687">
        <f>+E213-E203</f>
        <v>0</v>
      </c>
    </row>
  </sheetData>
  <autoFilter ref="A1:CB195" xr:uid="{00000000-0001-0000-0200-000000000000}">
    <filterColumn colId="2">
      <filters>
        <filter val="OP"/>
      </filters>
    </filterColumn>
  </autoFilter>
  <mergeCells count="1">
    <mergeCell ref="D210:E2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9"/>
  <dimension ref="A1:CA212"/>
  <sheetViews>
    <sheetView zoomScale="85" zoomScaleNormal="85" workbookViewId="0">
      <pane ySplit="1" topLeftCell="A82" activePane="bottomLeft" state="frozen"/>
      <selection pane="bottomLeft" activeCell="I85" sqref="I85"/>
    </sheetView>
  </sheetViews>
  <sheetFormatPr baseColWidth="10" defaultColWidth="11.42578125" defaultRowHeight="15" x14ac:dyDescent="0.25"/>
  <cols>
    <col min="1" max="1" width="24.5703125" customWidth="1"/>
    <col min="2" max="4" width="11.42578125" customWidth="1"/>
    <col min="5" max="5" width="16.7109375" customWidth="1"/>
    <col min="6" max="6" width="19.42578125" customWidth="1"/>
    <col min="7" max="7" width="13.7109375" customWidth="1"/>
    <col min="8" max="8" width="13.7109375" hidden="1" customWidth="1"/>
    <col min="9" max="9" width="18" customWidth="1"/>
    <col min="10" max="12" width="11.42578125" customWidth="1"/>
    <col min="13" max="13" width="13.5703125" customWidth="1"/>
    <col min="14" max="14" width="29.28515625" customWidth="1"/>
    <col min="15" max="15" width="27.5703125" customWidth="1"/>
    <col min="16" max="16" width="33.140625" customWidth="1"/>
    <col min="17" max="17" width="16.42578125" bestFit="1" customWidth="1"/>
    <col min="18" max="18" width="13.7109375" bestFit="1" customWidth="1"/>
    <col min="19" max="19" width="16.42578125" bestFit="1" customWidth="1"/>
    <col min="20" max="21" width="14.7109375" bestFit="1" customWidth="1"/>
    <col min="22" max="22" width="18.7109375" customWidth="1"/>
    <col min="23" max="33" width="11.42578125" customWidth="1"/>
    <col min="36" max="36" width="45.85546875" customWidth="1"/>
    <col min="38" max="38" width="14.42578125" customWidth="1"/>
    <col min="73" max="73" width="17.42578125" customWidth="1"/>
    <col min="74" max="74" width="20.140625" customWidth="1"/>
    <col min="75" max="75" width="23" customWidth="1"/>
    <col min="76" max="76" width="14.42578125" customWidth="1"/>
  </cols>
  <sheetData>
    <row r="1" spans="1:79" ht="72" x14ac:dyDescent="0.25">
      <c r="A1" s="21" t="s">
        <v>83</v>
      </c>
      <c r="B1" s="22" t="s">
        <v>2231</v>
      </c>
      <c r="C1" s="23" t="s">
        <v>1088</v>
      </c>
      <c r="D1" s="24" t="s">
        <v>85</v>
      </c>
      <c r="E1" s="21" t="s">
        <v>86</v>
      </c>
      <c r="F1" s="21" t="s">
        <v>1</v>
      </c>
      <c r="G1" s="23" t="s">
        <v>88</v>
      </c>
      <c r="H1" s="23" t="s">
        <v>87</v>
      </c>
      <c r="I1" s="23" t="s">
        <v>89</v>
      </c>
      <c r="J1" s="23" t="s">
        <v>90</v>
      </c>
      <c r="K1" s="23" t="s">
        <v>91</v>
      </c>
      <c r="L1" s="23" t="s">
        <v>92</v>
      </c>
      <c r="M1" s="21" t="s">
        <v>93</v>
      </c>
      <c r="N1" s="21" t="s">
        <v>1089</v>
      </c>
      <c r="O1" s="23" t="s">
        <v>1090</v>
      </c>
      <c r="P1" s="21" t="s">
        <v>0</v>
      </c>
      <c r="Q1" s="25" t="s">
        <v>96</v>
      </c>
      <c r="R1" s="26" t="s">
        <v>97</v>
      </c>
      <c r="S1" s="26" t="s">
        <v>1091</v>
      </c>
      <c r="T1" s="26" t="s">
        <v>99</v>
      </c>
      <c r="U1" s="27" t="s">
        <v>100</v>
      </c>
      <c r="V1" s="28" t="s">
        <v>101</v>
      </c>
      <c r="W1" s="60" t="s">
        <v>102</v>
      </c>
      <c r="X1" s="29" t="s">
        <v>103</v>
      </c>
      <c r="Y1" s="23" t="s">
        <v>104</v>
      </c>
      <c r="Z1" s="30" t="s">
        <v>105</v>
      </c>
      <c r="AA1" s="30" t="s">
        <v>106</v>
      </c>
      <c r="AB1" s="23" t="s">
        <v>2232</v>
      </c>
      <c r="AC1" s="23" t="s">
        <v>110</v>
      </c>
      <c r="AD1" s="124" t="s">
        <v>111</v>
      </c>
      <c r="AE1" s="124" t="s">
        <v>112</v>
      </c>
      <c r="AF1" s="124" t="s">
        <v>113</v>
      </c>
      <c r="AG1" s="124" t="s">
        <v>114</v>
      </c>
      <c r="AH1" s="23" t="s">
        <v>1092</v>
      </c>
      <c r="AI1" s="32" t="s">
        <v>116</v>
      </c>
      <c r="AJ1" s="32" t="s">
        <v>117</v>
      </c>
      <c r="AK1" s="32" t="s">
        <v>118</v>
      </c>
      <c r="AL1" s="33" t="s">
        <v>119</v>
      </c>
      <c r="AM1" s="23" t="s">
        <v>120</v>
      </c>
      <c r="AN1" s="23" t="s">
        <v>2233</v>
      </c>
      <c r="AO1" s="23" t="s">
        <v>1093</v>
      </c>
      <c r="AP1" s="34" t="s">
        <v>121</v>
      </c>
      <c r="AQ1" s="34" t="s">
        <v>122</v>
      </c>
      <c r="AR1" s="34" t="s">
        <v>123</v>
      </c>
      <c r="AS1" s="34" t="s">
        <v>124</v>
      </c>
      <c r="AT1" s="34" t="s">
        <v>125</v>
      </c>
      <c r="AU1" s="35" t="s">
        <v>126</v>
      </c>
      <c r="AV1" s="29" t="s">
        <v>118</v>
      </c>
      <c r="AW1" s="23" t="s">
        <v>127</v>
      </c>
      <c r="AX1" s="25" t="s">
        <v>128</v>
      </c>
      <c r="AY1" s="171" t="s">
        <v>129</v>
      </c>
      <c r="AZ1" s="23" t="s">
        <v>130</v>
      </c>
      <c r="BA1" s="23" t="s">
        <v>131</v>
      </c>
      <c r="BB1" s="21" t="s">
        <v>107</v>
      </c>
      <c r="BC1" s="79" t="s">
        <v>132</v>
      </c>
      <c r="BD1" s="80" t="s">
        <v>133</v>
      </c>
      <c r="BE1" s="74" t="s">
        <v>134</v>
      </c>
      <c r="BF1" s="74" t="s">
        <v>1094</v>
      </c>
      <c r="BG1" s="74" t="s">
        <v>1095</v>
      </c>
      <c r="BH1" s="74" t="s">
        <v>1096</v>
      </c>
      <c r="BI1" s="75" t="s">
        <v>1097</v>
      </c>
      <c r="BJ1" s="75" t="s">
        <v>1098</v>
      </c>
      <c r="BK1" s="75" t="s">
        <v>1099</v>
      </c>
      <c r="BL1" s="75" t="s">
        <v>141</v>
      </c>
      <c r="BM1" s="75" t="s">
        <v>142</v>
      </c>
      <c r="BN1" s="75" t="s">
        <v>143</v>
      </c>
      <c r="BO1" s="75" t="s">
        <v>144</v>
      </c>
      <c r="BP1" s="74" t="s">
        <v>145</v>
      </c>
      <c r="BQ1" s="76" t="s">
        <v>2234</v>
      </c>
      <c r="BR1" s="77" t="s">
        <v>1100</v>
      </c>
      <c r="BS1" s="78" t="s">
        <v>1101</v>
      </c>
      <c r="BT1" s="64" t="s">
        <v>147</v>
      </c>
      <c r="BU1" s="83" t="s">
        <v>1103</v>
      </c>
      <c r="BV1" s="83" t="s">
        <v>1104</v>
      </c>
      <c r="BW1" s="83" t="s">
        <v>1105</v>
      </c>
      <c r="BX1" s="83" t="s">
        <v>1106</v>
      </c>
      <c r="BY1" s="83" t="s">
        <v>1107</v>
      </c>
    </row>
    <row r="2" spans="1:79" x14ac:dyDescent="0.25">
      <c r="A2" s="36">
        <v>1</v>
      </c>
      <c r="B2" s="36">
        <v>2</v>
      </c>
      <c r="C2" s="36">
        <v>3</v>
      </c>
      <c r="D2" s="37">
        <v>4</v>
      </c>
      <c r="E2" s="36">
        <v>5</v>
      </c>
      <c r="F2" s="36">
        <v>6</v>
      </c>
      <c r="G2" s="36">
        <v>7</v>
      </c>
      <c r="H2" s="36"/>
      <c r="I2" s="36">
        <v>8</v>
      </c>
      <c r="J2" s="36">
        <v>9</v>
      </c>
      <c r="K2" s="36">
        <v>10</v>
      </c>
      <c r="L2" s="36">
        <v>11</v>
      </c>
      <c r="M2" s="36">
        <v>12</v>
      </c>
      <c r="N2" s="36">
        <v>13</v>
      </c>
      <c r="O2" s="36">
        <v>14</v>
      </c>
      <c r="P2" s="36">
        <v>15</v>
      </c>
      <c r="Q2" s="36">
        <v>16</v>
      </c>
      <c r="R2" s="36">
        <v>17</v>
      </c>
      <c r="S2" s="36">
        <v>18</v>
      </c>
      <c r="T2" s="36">
        <v>19</v>
      </c>
      <c r="U2" s="36">
        <v>20</v>
      </c>
      <c r="V2" s="36">
        <v>21</v>
      </c>
      <c r="W2" s="36">
        <v>22</v>
      </c>
      <c r="X2" s="36">
        <v>23</v>
      </c>
      <c r="Y2" s="36">
        <v>24</v>
      </c>
      <c r="Z2" s="36">
        <v>25</v>
      </c>
      <c r="AA2" s="36">
        <v>26</v>
      </c>
      <c r="AB2" s="36">
        <v>27</v>
      </c>
      <c r="AC2" s="36"/>
      <c r="AD2" s="125">
        <v>28</v>
      </c>
      <c r="AE2" s="125">
        <v>29</v>
      </c>
      <c r="AF2" s="125">
        <v>30</v>
      </c>
      <c r="AG2" s="125">
        <v>31</v>
      </c>
      <c r="AH2" s="36">
        <v>32</v>
      </c>
      <c r="AI2" s="36">
        <v>33</v>
      </c>
      <c r="AJ2" s="36">
        <v>34</v>
      </c>
      <c r="AK2" s="36">
        <v>35</v>
      </c>
      <c r="AL2" s="36">
        <v>36</v>
      </c>
      <c r="AM2" s="36">
        <v>37</v>
      </c>
      <c r="AN2" s="36"/>
      <c r="AO2" s="36"/>
      <c r="AP2" s="36">
        <v>38</v>
      </c>
      <c r="AQ2" s="36">
        <v>39</v>
      </c>
      <c r="AR2" s="36">
        <v>40</v>
      </c>
      <c r="AS2" s="36">
        <v>41</v>
      </c>
      <c r="AT2" s="36">
        <v>42</v>
      </c>
      <c r="AU2" s="36">
        <v>43</v>
      </c>
      <c r="AV2" s="36">
        <v>44</v>
      </c>
      <c r="AW2" s="36">
        <v>45</v>
      </c>
      <c r="AX2" s="36">
        <v>46</v>
      </c>
      <c r="AY2" s="172">
        <v>47</v>
      </c>
      <c r="AZ2" s="36">
        <v>48</v>
      </c>
      <c r="BA2" s="36">
        <v>49</v>
      </c>
      <c r="BB2" s="36">
        <v>50</v>
      </c>
      <c r="BC2" s="36">
        <v>51</v>
      </c>
      <c r="BD2" s="36">
        <v>52</v>
      </c>
      <c r="BE2" s="36">
        <v>53</v>
      </c>
      <c r="BF2" s="36">
        <v>54</v>
      </c>
      <c r="BG2" s="36">
        <v>55</v>
      </c>
      <c r="BH2" s="36">
        <v>56</v>
      </c>
      <c r="BI2" s="36">
        <v>57</v>
      </c>
      <c r="BJ2" s="36">
        <v>58</v>
      </c>
      <c r="BK2" s="36">
        <v>59</v>
      </c>
      <c r="BL2" s="36">
        <v>60</v>
      </c>
      <c r="BM2" s="36">
        <v>61</v>
      </c>
      <c r="BN2" s="36">
        <v>62</v>
      </c>
      <c r="BO2" s="36">
        <v>63</v>
      </c>
      <c r="BP2" s="36">
        <v>64</v>
      </c>
      <c r="BQ2" s="177">
        <v>65</v>
      </c>
      <c r="BR2" s="179">
        <v>66</v>
      </c>
      <c r="BS2" s="181">
        <v>67</v>
      </c>
      <c r="BT2" s="177">
        <v>68</v>
      </c>
      <c r="BU2" s="86"/>
      <c r="BV2" s="84"/>
      <c r="BW2" s="84"/>
      <c r="BX2" s="84"/>
      <c r="BY2" s="84"/>
    </row>
    <row r="3" spans="1:79" s="362" customFormat="1" ht="225" x14ac:dyDescent="0.25">
      <c r="A3" s="363" t="s">
        <v>1724</v>
      </c>
      <c r="B3" s="340"/>
      <c r="C3" s="339" t="s">
        <v>149</v>
      </c>
      <c r="D3" s="341" t="s">
        <v>1177</v>
      </c>
      <c r="E3" s="340" t="s">
        <v>163</v>
      </c>
      <c r="F3" s="340" t="s">
        <v>188</v>
      </c>
      <c r="G3" s="340" t="s">
        <v>163</v>
      </c>
      <c r="H3" s="567" t="s">
        <v>163</v>
      </c>
      <c r="I3" s="342" t="s">
        <v>1725</v>
      </c>
      <c r="J3" s="343"/>
      <c r="K3" s="343"/>
      <c r="L3" s="343"/>
      <c r="M3" s="344" t="str">
        <f t="shared" ref="M3:M9" si="0">I3&amp;J3&amp;" "&amp;K3&amp;" "&amp;L3</f>
        <v xml:space="preserve">GRUPO IDSEC, S.A.P.I. DE C.V.  </v>
      </c>
      <c r="N3" s="996" t="s">
        <v>166</v>
      </c>
      <c r="O3" s="996" t="s">
        <v>166</v>
      </c>
      <c r="P3" s="996" t="s">
        <v>1726</v>
      </c>
      <c r="Q3" s="997">
        <v>16086000.000000002</v>
      </c>
      <c r="R3" s="345">
        <f>Q3*0.16</f>
        <v>2573760.0000000005</v>
      </c>
      <c r="S3" s="346">
        <f>Q3+R3</f>
        <v>18659760.000000004</v>
      </c>
      <c r="T3" s="347">
        <v>0</v>
      </c>
      <c r="U3" s="348">
        <f>(T3*0.16)+(T3)</f>
        <v>0</v>
      </c>
      <c r="V3" s="345">
        <f>S3+AK3</f>
        <v>18659760.000000004</v>
      </c>
      <c r="W3" s="998" t="s">
        <v>183</v>
      </c>
      <c r="X3" s="349">
        <v>43622</v>
      </c>
      <c r="Y3" s="349" t="s">
        <v>496</v>
      </c>
      <c r="Z3" s="349">
        <v>43617</v>
      </c>
      <c r="AA3" s="349">
        <v>45443</v>
      </c>
      <c r="AB3" s="339" t="s">
        <v>1727</v>
      </c>
      <c r="AC3" s="350"/>
      <c r="AD3" s="351" t="s">
        <v>1728</v>
      </c>
      <c r="AE3" s="350"/>
      <c r="AF3" s="350"/>
      <c r="AG3" s="340" t="s">
        <v>156</v>
      </c>
      <c r="AH3" s="339" t="s">
        <v>1729</v>
      </c>
      <c r="AI3" s="339" t="s">
        <v>1730</v>
      </c>
      <c r="AJ3" s="352">
        <v>45110</v>
      </c>
      <c r="AK3" s="345">
        <v>0</v>
      </c>
      <c r="AL3" s="340" t="str">
        <f ca="1">IF(ISBLANK(AA3),"",IF(AA3&gt;=TODAY(),"VIGENTE","MUERTO"))</f>
        <v>MUERTO</v>
      </c>
      <c r="AM3" s="340"/>
      <c r="AN3" s="340" t="s">
        <v>156</v>
      </c>
      <c r="AO3" s="340" t="s">
        <v>496</v>
      </c>
      <c r="AP3" s="340"/>
      <c r="AQ3" s="340" t="s">
        <v>1719</v>
      </c>
      <c r="AR3" s="340"/>
      <c r="AS3" s="340"/>
      <c r="AT3" s="340" t="s">
        <v>156</v>
      </c>
      <c r="AU3" s="353"/>
      <c r="AV3" s="352"/>
      <c r="AW3" s="339"/>
      <c r="AX3" s="354"/>
      <c r="AY3" s="352"/>
      <c r="AZ3" s="339" t="s">
        <v>1731</v>
      </c>
      <c r="BA3" s="339" t="e">
        <f>VLOOKUP(I3,#REF!,2,0)</f>
        <v>#REF!</v>
      </c>
      <c r="BB3" s="339" t="s">
        <v>1732</v>
      </c>
      <c r="BC3" s="355">
        <v>43585</v>
      </c>
      <c r="BD3" s="356">
        <v>43614</v>
      </c>
      <c r="BE3" s="356">
        <v>43627</v>
      </c>
      <c r="BF3" s="356" t="s">
        <v>1652</v>
      </c>
      <c r="BG3" s="356">
        <v>43658</v>
      </c>
      <c r="BH3" s="356">
        <v>43658</v>
      </c>
      <c r="BI3" s="340" t="e">
        <f>NETWORKDAYS(BF3,BG3,#REF!)</f>
        <v>#VALUE!</v>
      </c>
      <c r="BJ3" s="356" t="s">
        <v>1733</v>
      </c>
      <c r="BK3" s="356" t="s">
        <v>1734</v>
      </c>
      <c r="BL3" s="356" t="s">
        <v>1735</v>
      </c>
      <c r="BM3" s="356" t="s">
        <v>1652</v>
      </c>
      <c r="BN3" s="356" t="s">
        <v>1652</v>
      </c>
      <c r="BO3" s="356" t="s">
        <v>1652</v>
      </c>
      <c r="BP3" s="355" t="s">
        <v>1652</v>
      </c>
      <c r="BQ3" s="357" t="s">
        <v>1652</v>
      </c>
      <c r="BR3" s="358" t="e">
        <f xml:space="preserve"> NETWORKDAYS(BC3,BM3,#REF!)</f>
        <v>#VALUE!</v>
      </c>
      <c r="BS3" s="359" t="e">
        <f>NETWORKDAYS(BC3,BN3,#REF!)</f>
        <v>#VALUE!</v>
      </c>
      <c r="BT3" s="357"/>
      <c r="BU3" s="360">
        <f>43853500*1.16</f>
        <v>50870060</v>
      </c>
      <c r="BV3" s="361">
        <f>16086000*1.16</f>
        <v>18659760</v>
      </c>
      <c r="BW3" s="361">
        <f>16086000*1.16</f>
        <v>18659760</v>
      </c>
      <c r="BX3" s="361">
        <f>16086000*1.16</f>
        <v>18659760</v>
      </c>
      <c r="BY3" s="361">
        <f>16086000*1.16</f>
        <v>18659760</v>
      </c>
      <c r="BZ3" s="360">
        <f>6702500*1.16</f>
        <v>7774899.9999999991</v>
      </c>
      <c r="CA3" s="360">
        <f>BV3+BW3+BX3+BY3+BZ3+BU3</f>
        <v>133284000</v>
      </c>
    </row>
    <row r="4" spans="1:79" s="362" customFormat="1" ht="105" x14ac:dyDescent="0.25">
      <c r="A4" s="363" t="s">
        <v>2235</v>
      </c>
      <c r="B4" s="340"/>
      <c r="C4" s="339" t="s">
        <v>1959</v>
      </c>
      <c r="D4" s="341" t="s">
        <v>2010</v>
      </c>
      <c r="E4" s="340" t="s">
        <v>163</v>
      </c>
      <c r="F4" s="340" t="s">
        <v>607</v>
      </c>
      <c r="G4" s="340" t="s">
        <v>608</v>
      </c>
      <c r="H4" s="340" t="s">
        <v>546</v>
      </c>
      <c r="I4" s="342" t="s">
        <v>2011</v>
      </c>
      <c r="J4" s="343"/>
      <c r="K4" s="343"/>
      <c r="L4" s="343"/>
      <c r="M4" s="344" t="str">
        <f t="shared" si="0"/>
        <v xml:space="preserve">Proceso de Ingeniería Aplicada, S.A. de C.V.  </v>
      </c>
      <c r="N4" s="996" t="s">
        <v>198</v>
      </c>
      <c r="O4" s="996" t="s">
        <v>198</v>
      </c>
      <c r="P4" s="996" t="s">
        <v>2012</v>
      </c>
      <c r="Q4" s="997">
        <v>27525996.050000004</v>
      </c>
      <c r="R4" s="345">
        <f>Q4*0.16</f>
        <v>4404159.3680000007</v>
      </c>
      <c r="S4" s="346">
        <f>Q4+R4</f>
        <v>31930155.418000005</v>
      </c>
      <c r="T4" s="347">
        <v>0</v>
      </c>
      <c r="U4" s="348">
        <f>(T4*0.16)+(T4)</f>
        <v>0</v>
      </c>
      <c r="V4" s="345">
        <f>S4+AK4</f>
        <v>31930155.418000005</v>
      </c>
      <c r="W4" s="998" t="s">
        <v>183</v>
      </c>
      <c r="X4" s="349">
        <v>44145</v>
      </c>
      <c r="Y4" s="340" t="s">
        <v>729</v>
      </c>
      <c r="Z4" s="349">
        <v>43770</v>
      </c>
      <c r="AA4" s="349">
        <v>44666</v>
      </c>
      <c r="AB4" s="339" t="s">
        <v>1941</v>
      </c>
      <c r="AC4" s="350"/>
      <c r="AD4" s="350"/>
      <c r="AE4" s="350"/>
      <c r="AF4" s="350"/>
      <c r="AG4" s="340"/>
      <c r="AH4" s="365" t="s">
        <v>2236</v>
      </c>
      <c r="AI4" s="339" t="s">
        <v>2236</v>
      </c>
      <c r="AJ4" s="352">
        <v>44875</v>
      </c>
      <c r="AK4" s="345">
        <v>0</v>
      </c>
      <c r="AL4" s="340" t="str">
        <f ca="1">IF(ISBLANK(AA4),"",IF(AA4&gt;=TODAY(),"VIGENTE","MUERTO"))</f>
        <v>MUERTO</v>
      </c>
      <c r="AM4" s="340"/>
      <c r="AN4" s="340" t="s">
        <v>156</v>
      </c>
      <c r="AO4" s="340" t="s">
        <v>892</v>
      </c>
      <c r="AP4" s="340"/>
      <c r="AQ4" s="340" t="s">
        <v>729</v>
      </c>
      <c r="AR4" s="340"/>
      <c r="AS4" s="340"/>
      <c r="AT4" s="340"/>
      <c r="AU4" s="353"/>
      <c r="AV4" s="352"/>
      <c r="AW4" s="339"/>
      <c r="AX4" s="354"/>
      <c r="AY4" s="352"/>
      <c r="AZ4" s="339"/>
      <c r="BA4" s="339" t="e">
        <f>VLOOKUP(I4,#REF!,2,0)</f>
        <v>#REF!</v>
      </c>
      <c r="BB4" s="339"/>
      <c r="BC4" s="355"/>
      <c r="BD4" s="340"/>
      <c r="BE4" s="340"/>
      <c r="BF4" s="340"/>
      <c r="BG4" s="340"/>
      <c r="BH4" s="355"/>
      <c r="BI4" s="340" t="e">
        <f>NETWORKDAYS(BF4,BG4,#REF!)</f>
        <v>#REF!</v>
      </c>
      <c r="BJ4" s="355"/>
      <c r="BK4" s="355"/>
      <c r="BL4" s="355"/>
      <c r="BM4" s="355"/>
      <c r="BN4" s="355"/>
      <c r="BO4" s="355"/>
      <c r="BP4" s="355"/>
      <c r="BQ4" s="357"/>
      <c r="BR4" s="358" t="e">
        <f xml:space="preserve"> NETWORKDAYS(BC4,BM4,#REF!)</f>
        <v>#REF!</v>
      </c>
      <c r="BS4" s="366"/>
      <c r="BT4" s="357"/>
      <c r="BU4" s="360">
        <v>24801027.199999999</v>
      </c>
      <c r="BV4" s="361">
        <v>1697.24</v>
      </c>
      <c r="BW4" s="360">
        <v>22785175.73</v>
      </c>
      <c r="BX4" s="367">
        <f>26284289*1.16</f>
        <v>30489775.239999998</v>
      </c>
      <c r="BY4" s="360">
        <f>12560524.22*1.16</f>
        <v>14570208.0952</v>
      </c>
      <c r="BZ4" s="360">
        <f>6035796.79*1.16</f>
        <v>7001524.2763999999</v>
      </c>
      <c r="CA4" s="360">
        <f>BU4+BV4+BW4+BX4+BY4+BZ4</f>
        <v>99649407.781599998</v>
      </c>
    </row>
    <row r="5" spans="1:79" s="362" customFormat="1" ht="135" x14ac:dyDescent="0.25">
      <c r="A5" s="363" t="s">
        <v>2141</v>
      </c>
      <c r="B5" s="340"/>
      <c r="C5" s="339" t="s">
        <v>149</v>
      </c>
      <c r="D5" s="341" t="s">
        <v>2098</v>
      </c>
      <c r="E5" s="340" t="s">
        <v>163</v>
      </c>
      <c r="F5" s="340" t="s">
        <v>312</v>
      </c>
      <c r="G5" s="340" t="s">
        <v>2237</v>
      </c>
      <c r="H5" s="340" t="s">
        <v>546</v>
      </c>
      <c r="I5" s="342" t="s">
        <v>1065</v>
      </c>
      <c r="J5" s="343"/>
      <c r="K5" s="343"/>
      <c r="L5" s="343"/>
      <c r="M5" s="344" t="str">
        <f t="shared" si="0"/>
        <v xml:space="preserve">Elevadores Schindler, S.A. de C.V.  </v>
      </c>
      <c r="N5" s="996" t="s">
        <v>198</v>
      </c>
      <c r="O5" s="996" t="s">
        <v>198</v>
      </c>
      <c r="P5" s="996" t="s">
        <v>2142</v>
      </c>
      <c r="Q5" s="997">
        <v>5074263.5086206896</v>
      </c>
      <c r="R5" s="345">
        <f>Q5*0.16</f>
        <v>811882.1613793103</v>
      </c>
      <c r="S5" s="346">
        <f>Q5+R5</f>
        <v>5886145.6699999999</v>
      </c>
      <c r="T5" s="347">
        <v>0</v>
      </c>
      <c r="U5" s="348">
        <f>(T5*0.16)+(T5)</f>
        <v>0</v>
      </c>
      <c r="V5" s="345">
        <f>S5+AK5</f>
        <v>5886145.6699999999</v>
      </c>
      <c r="W5" s="998" t="s">
        <v>183</v>
      </c>
      <c r="X5" s="349">
        <v>43826</v>
      </c>
      <c r="Y5" s="340" t="s">
        <v>924</v>
      </c>
      <c r="Z5" s="349">
        <v>43808</v>
      </c>
      <c r="AA5" s="349">
        <v>44417</v>
      </c>
      <c r="AB5" s="339" t="s">
        <v>2025</v>
      </c>
      <c r="AC5" s="350" t="s">
        <v>1489</v>
      </c>
      <c r="AD5" s="350" t="s">
        <v>1489</v>
      </c>
      <c r="AE5" s="350" t="s">
        <v>159</v>
      </c>
      <c r="AF5" s="350" t="s">
        <v>159</v>
      </c>
      <c r="AG5" s="340" t="s">
        <v>1146</v>
      </c>
      <c r="AH5" s="365"/>
      <c r="AI5" s="339"/>
      <c r="AJ5" s="352"/>
      <c r="AK5" s="345"/>
      <c r="AL5" s="340" t="str">
        <f ca="1">IF(ISBLANK(AA5),"",IF(AA5&gt;=TODAY(),"VIGENTE","MUERTO"))</f>
        <v>MUERTO</v>
      </c>
      <c r="AM5" s="340"/>
      <c r="AN5" s="340"/>
      <c r="AO5" s="340"/>
      <c r="AP5" s="340"/>
      <c r="AQ5" s="340"/>
      <c r="AR5" s="340"/>
      <c r="AS5" s="340"/>
      <c r="AT5" s="340"/>
      <c r="AU5" s="353"/>
      <c r="AV5" s="352"/>
      <c r="AW5" s="339"/>
      <c r="AX5" s="354"/>
      <c r="AY5" s="352"/>
      <c r="AZ5" s="339" t="s">
        <v>2143</v>
      </c>
      <c r="BA5" s="339" t="e">
        <f>VLOOKUP(I5,#REF!,2,0)</f>
        <v>#REF!</v>
      </c>
      <c r="BB5" s="339"/>
      <c r="BC5" s="355"/>
      <c r="BD5" s="340">
        <v>44257</v>
      </c>
      <c r="BE5" s="340">
        <v>44259</v>
      </c>
      <c r="BF5" s="340"/>
      <c r="BG5" s="340"/>
      <c r="BH5" s="355"/>
      <c r="BI5" s="340" t="e">
        <f>NETWORKDAYS(BF5,BG5,#REF!)</f>
        <v>#REF!</v>
      </c>
      <c r="BJ5" s="355"/>
      <c r="BK5" s="355"/>
      <c r="BL5" s="355"/>
      <c r="BM5" s="355" t="s">
        <v>2144</v>
      </c>
      <c r="BN5" s="355"/>
      <c r="BO5" s="355"/>
      <c r="BP5" s="355"/>
      <c r="BQ5" s="357"/>
      <c r="BR5" s="358"/>
      <c r="BS5" s="366"/>
      <c r="BT5" s="357"/>
      <c r="BU5" s="360">
        <f>7248947.87*1.16</f>
        <v>8408779.5291999988</v>
      </c>
      <c r="BV5" s="361">
        <v>0</v>
      </c>
      <c r="BW5" s="360">
        <f>2501259.53*1.16</f>
        <v>2901461.0547999996</v>
      </c>
      <c r="BX5" s="367">
        <f>473004.97*1.16</f>
        <v>548685.76519999991</v>
      </c>
      <c r="BY5" s="360">
        <f>2010045.31*1.16</f>
        <v>2331652.5595999998</v>
      </c>
      <c r="BZ5" s="360">
        <f>2264638.06*1.16</f>
        <v>2626980.1495999997</v>
      </c>
      <c r="CA5" s="360">
        <f>BU5+BV5+BW5+BX5+BY5+CB5+BZ5</f>
        <v>16817559.058399998</v>
      </c>
    </row>
    <row r="6" spans="1:79" ht="165" x14ac:dyDescent="0.25">
      <c r="A6" s="38" t="s">
        <v>2238</v>
      </c>
      <c r="B6" s="39">
        <v>1</v>
      </c>
      <c r="C6" s="38" t="s">
        <v>149</v>
      </c>
      <c r="D6" s="40" t="s">
        <v>163</v>
      </c>
      <c r="E6" s="567" t="s">
        <v>163</v>
      </c>
      <c r="F6" s="39" t="s">
        <v>1055</v>
      </c>
      <c r="G6" s="567" t="s">
        <v>163</v>
      </c>
      <c r="H6" s="567" t="s">
        <v>163</v>
      </c>
      <c r="I6" s="81" t="s">
        <v>2239</v>
      </c>
      <c r="J6" s="41"/>
      <c r="K6" s="41"/>
      <c r="L6" s="41"/>
      <c r="M6" s="42" t="str">
        <f t="shared" si="0"/>
        <v xml:space="preserve">Desarrolladora de Estacionamientos Privados, S.A. de C.V.  </v>
      </c>
      <c r="N6" s="991" t="s">
        <v>301</v>
      </c>
      <c r="O6" s="991" t="s">
        <v>301</v>
      </c>
      <c r="P6" s="991" t="s">
        <v>2240</v>
      </c>
      <c r="Q6" s="992">
        <v>8170002.9299999997</v>
      </c>
      <c r="R6" s="44">
        <f t="shared" ref="R6:R21" si="1">Q6*0.16</f>
        <v>1307200.4687999999</v>
      </c>
      <c r="S6" s="45">
        <f t="shared" ref="S6:S24" si="2">Q6+R6</f>
        <v>9477203.3988000005</v>
      </c>
      <c r="T6" s="46">
        <v>3268001.17</v>
      </c>
      <c r="U6" s="47">
        <f t="shared" ref="U6:U21" si="3">(T6*0.16)+(T6)</f>
        <v>3790881.3572</v>
      </c>
      <c r="V6" s="44">
        <f t="shared" ref="V6:V24" si="4">S6+AL6</f>
        <v>9477203.3988000005</v>
      </c>
      <c r="W6" s="993" t="s">
        <v>156</v>
      </c>
      <c r="X6" s="48">
        <v>43840</v>
      </c>
      <c r="Y6" s="39" t="s">
        <v>157</v>
      </c>
      <c r="Z6" s="48">
        <v>43831</v>
      </c>
      <c r="AA6" s="48">
        <v>44196</v>
      </c>
      <c r="AB6" s="38" t="s">
        <v>161</v>
      </c>
      <c r="AC6" s="38"/>
      <c r="AD6" s="59"/>
      <c r="AE6" s="59"/>
      <c r="AF6" s="59"/>
      <c r="AG6" s="59"/>
      <c r="AH6" s="39"/>
      <c r="AI6" s="38"/>
      <c r="AJ6" s="38"/>
      <c r="AK6" s="50"/>
      <c r="AL6" s="44"/>
      <c r="AM6" s="39" t="str">
        <f t="shared" ref="AM6:AM14" ca="1" si="5">IF(ISBLANK(AA6),"",IF(AA6&gt;=TODAY(),"VIGENTE","MUERTO"))</f>
        <v>MUERTO</v>
      </c>
      <c r="AN6" s="39">
        <v>31902</v>
      </c>
      <c r="AO6" s="39" t="s">
        <v>183</v>
      </c>
      <c r="AP6" s="39" t="s">
        <v>157</v>
      </c>
      <c r="AQ6" s="39"/>
      <c r="AR6" s="39" t="s">
        <v>157</v>
      </c>
      <c r="AS6" s="39"/>
      <c r="AT6" s="39"/>
      <c r="AU6" s="51"/>
      <c r="AV6" s="50"/>
      <c r="AW6" s="38"/>
      <c r="AX6" s="52"/>
      <c r="AY6" s="173"/>
      <c r="AZ6" s="38"/>
      <c r="BA6" s="38" t="e">
        <f>VLOOKUP(I6,#REF!,2,0)</f>
        <v>#REF!</v>
      </c>
      <c r="BB6" s="71"/>
      <c r="BC6" s="59"/>
      <c r="BD6" s="39"/>
      <c r="BE6" s="39"/>
      <c r="BF6" s="39"/>
      <c r="BG6" s="39"/>
      <c r="BH6" s="59"/>
      <c r="BI6" s="39" t="e">
        <f>NETWORKDAYS(BF6,BG6,#REF!)</f>
        <v>#REF!</v>
      </c>
      <c r="BJ6" s="59"/>
      <c r="BK6" s="59"/>
      <c r="BL6" s="59"/>
      <c r="BM6" s="59"/>
      <c r="BN6" s="59"/>
      <c r="BO6" s="59"/>
      <c r="BP6" s="59"/>
      <c r="BQ6" s="59"/>
      <c r="BR6" s="178"/>
      <c r="BS6" s="180"/>
      <c r="BT6" s="59" t="s">
        <v>2241</v>
      </c>
      <c r="BU6" s="84"/>
      <c r="BV6" s="84"/>
      <c r="BW6" s="84"/>
      <c r="BX6" s="84"/>
      <c r="BY6" s="84"/>
    </row>
    <row r="7" spans="1:79" ht="105" x14ac:dyDescent="0.25">
      <c r="A7" s="38" t="s">
        <v>2242</v>
      </c>
      <c r="B7" s="39">
        <v>2</v>
      </c>
      <c r="C7" s="38" t="s">
        <v>149</v>
      </c>
      <c r="D7" s="40" t="s">
        <v>2243</v>
      </c>
      <c r="E7" s="567" t="s">
        <v>163</v>
      </c>
      <c r="F7" s="39" t="s">
        <v>312</v>
      </c>
      <c r="G7" s="567" t="s">
        <v>2237</v>
      </c>
      <c r="H7" s="685" t="s">
        <v>546</v>
      </c>
      <c r="I7" s="41" t="s">
        <v>1038</v>
      </c>
      <c r="J7" s="41"/>
      <c r="K7" s="41"/>
      <c r="L7" s="41"/>
      <c r="M7" s="42" t="str">
        <f t="shared" si="0"/>
        <v xml:space="preserve">Sistemas Neumáticos de Envíos, S.A. de C.V.  </v>
      </c>
      <c r="N7" s="991" t="s">
        <v>301</v>
      </c>
      <c r="O7" s="991" t="s">
        <v>301</v>
      </c>
      <c r="P7" s="991" t="s">
        <v>2244</v>
      </c>
      <c r="Q7" s="992">
        <v>2923681.24</v>
      </c>
      <c r="R7" s="44">
        <f t="shared" si="1"/>
        <v>467788.99840000004</v>
      </c>
      <c r="S7" s="45">
        <f t="shared" si="2"/>
        <v>3391470.2384000001</v>
      </c>
      <c r="T7" s="46">
        <v>0</v>
      </c>
      <c r="U7" s="47">
        <f t="shared" si="3"/>
        <v>0</v>
      </c>
      <c r="V7" s="44">
        <f t="shared" si="4"/>
        <v>3391470.2384000001</v>
      </c>
      <c r="W7" s="993" t="s">
        <v>156</v>
      </c>
      <c r="X7" s="48">
        <v>43840</v>
      </c>
      <c r="Y7" s="39" t="s">
        <v>157</v>
      </c>
      <c r="Z7" s="48">
        <v>43831</v>
      </c>
      <c r="AA7" s="48">
        <v>44196</v>
      </c>
      <c r="AB7" s="38" t="s">
        <v>2156</v>
      </c>
      <c r="AC7" s="38"/>
      <c r="AD7" s="59"/>
      <c r="AE7" s="59"/>
      <c r="AF7" s="59"/>
      <c r="AG7" s="59"/>
      <c r="AH7" s="39"/>
      <c r="AI7" s="38"/>
      <c r="AJ7" s="38"/>
      <c r="AK7" s="50"/>
      <c r="AL7" s="44"/>
      <c r="AM7" s="39" t="str">
        <f t="shared" ca="1" si="5"/>
        <v>MUERTO</v>
      </c>
      <c r="AN7" s="39">
        <v>35701</v>
      </c>
      <c r="AO7" s="39" t="s">
        <v>183</v>
      </c>
      <c r="AP7" s="39" t="s">
        <v>157</v>
      </c>
      <c r="AQ7" s="39"/>
      <c r="AR7" s="39" t="s">
        <v>157</v>
      </c>
      <c r="AS7" s="39"/>
      <c r="AT7" s="39"/>
      <c r="AU7" s="51"/>
      <c r="AV7" s="50"/>
      <c r="AW7" s="38"/>
      <c r="AX7" s="52"/>
      <c r="AY7" s="173"/>
      <c r="AZ7" s="38"/>
      <c r="BA7" s="38" t="e">
        <f>VLOOKUP(I7,#REF!,2,0)</f>
        <v>#REF!</v>
      </c>
      <c r="BB7" s="71"/>
      <c r="BC7" s="59"/>
      <c r="BD7" s="39"/>
      <c r="BE7" s="39"/>
      <c r="BF7" s="39"/>
      <c r="BG7" s="39"/>
      <c r="BH7" s="59"/>
      <c r="BI7" s="39" t="e">
        <f>NETWORKDAYS(BF7,BG7,#REF!)</f>
        <v>#REF!</v>
      </c>
      <c r="BJ7" s="59"/>
      <c r="BK7" s="59"/>
      <c r="BL7" s="59"/>
      <c r="BM7" s="59"/>
      <c r="BN7" s="59"/>
      <c r="BO7" s="59"/>
      <c r="BP7" s="59"/>
      <c r="BQ7" s="62"/>
      <c r="BR7" s="66"/>
      <c r="BS7" s="70"/>
      <c r="BT7" s="62" t="s">
        <v>2245</v>
      </c>
      <c r="BU7" s="84"/>
      <c r="BV7" s="84"/>
      <c r="BW7" s="84"/>
      <c r="BX7" s="84"/>
      <c r="BY7" s="84"/>
    </row>
    <row r="8" spans="1:79" ht="75" x14ac:dyDescent="0.25">
      <c r="A8" s="38" t="s">
        <v>2246</v>
      </c>
      <c r="B8" s="39">
        <v>3</v>
      </c>
      <c r="C8" s="38" t="s">
        <v>149</v>
      </c>
      <c r="D8" s="40" t="s">
        <v>163</v>
      </c>
      <c r="E8" s="567" t="s">
        <v>163</v>
      </c>
      <c r="F8" s="39" t="s">
        <v>164</v>
      </c>
      <c r="G8" s="567" t="s">
        <v>163</v>
      </c>
      <c r="H8" s="567" t="s">
        <v>163</v>
      </c>
      <c r="I8" s="41" t="s">
        <v>165</v>
      </c>
      <c r="J8" s="41"/>
      <c r="K8" s="41"/>
      <c r="L8" s="41"/>
      <c r="M8" s="42" t="str">
        <f t="shared" si="0"/>
        <v xml:space="preserve">Policía Auxiliar de la Ciudad de México  </v>
      </c>
      <c r="N8" s="991" t="s">
        <v>166</v>
      </c>
      <c r="O8" s="991" t="s">
        <v>166</v>
      </c>
      <c r="P8" s="991" t="s">
        <v>2247</v>
      </c>
      <c r="Q8" s="992">
        <v>52850400</v>
      </c>
      <c r="R8" s="44">
        <f t="shared" si="1"/>
        <v>8456064</v>
      </c>
      <c r="S8" s="45">
        <f t="shared" si="2"/>
        <v>61306464</v>
      </c>
      <c r="T8" s="46">
        <v>25000000</v>
      </c>
      <c r="U8" s="47">
        <f t="shared" si="3"/>
        <v>29000000</v>
      </c>
      <c r="V8" s="44">
        <f t="shared" si="4"/>
        <v>61306464</v>
      </c>
      <c r="W8" s="993" t="s">
        <v>156</v>
      </c>
      <c r="X8" s="48">
        <v>43840</v>
      </c>
      <c r="Y8" s="39" t="s">
        <v>157</v>
      </c>
      <c r="Z8" s="48">
        <v>43831</v>
      </c>
      <c r="AA8" s="48">
        <v>44196</v>
      </c>
      <c r="AB8" s="38" t="s">
        <v>161</v>
      </c>
      <c r="AC8" s="38"/>
      <c r="AD8" s="59"/>
      <c r="AE8" s="59"/>
      <c r="AF8" s="59"/>
      <c r="AG8" s="59"/>
      <c r="AH8" s="39"/>
      <c r="AI8" s="38"/>
      <c r="AJ8" s="38"/>
      <c r="AK8" s="50"/>
      <c r="AL8" s="44"/>
      <c r="AM8" s="39" t="str">
        <f t="shared" ca="1" si="5"/>
        <v>MUERTO</v>
      </c>
      <c r="AN8" s="39">
        <v>33801</v>
      </c>
      <c r="AO8" s="39" t="s">
        <v>183</v>
      </c>
      <c r="AP8" s="39" t="s">
        <v>157</v>
      </c>
      <c r="AQ8" s="39"/>
      <c r="AR8" s="39" t="s">
        <v>157</v>
      </c>
      <c r="AS8" s="39"/>
      <c r="AT8" s="39"/>
      <c r="AU8" s="51"/>
      <c r="AV8" s="50"/>
      <c r="AW8" s="38"/>
      <c r="AX8" s="52"/>
      <c r="AY8" s="173"/>
      <c r="AZ8" s="38"/>
      <c r="BA8" s="38" t="e">
        <f>VLOOKUP(I8,#REF!,2,0)</f>
        <v>#REF!</v>
      </c>
      <c r="BB8" s="71"/>
      <c r="BC8" s="59"/>
      <c r="BD8" s="39"/>
      <c r="BE8" s="39"/>
      <c r="BF8" s="39"/>
      <c r="BG8" s="39"/>
      <c r="BH8" s="59"/>
      <c r="BI8" s="39" t="e">
        <f>NETWORKDAYS(BF8,BG8,#REF!)</f>
        <v>#REF!</v>
      </c>
      <c r="BJ8" s="59"/>
      <c r="BK8" s="59"/>
      <c r="BL8" s="59"/>
      <c r="BM8" s="59"/>
      <c r="BN8" s="59"/>
      <c r="BO8" s="59"/>
      <c r="BP8" s="59"/>
      <c r="BQ8" s="62"/>
      <c r="BR8" s="66"/>
      <c r="BS8" s="70"/>
      <c r="BT8" s="62" t="s">
        <v>2248</v>
      </c>
      <c r="BU8" s="84"/>
      <c r="BV8" s="84"/>
      <c r="BW8" s="84"/>
      <c r="BX8" s="84"/>
      <c r="BY8" s="84"/>
    </row>
    <row r="9" spans="1:79" ht="120" x14ac:dyDescent="0.25">
      <c r="A9" s="38" t="s">
        <v>2249</v>
      </c>
      <c r="B9" s="39">
        <v>4</v>
      </c>
      <c r="C9" s="38" t="s">
        <v>149</v>
      </c>
      <c r="D9" s="40" t="s">
        <v>2243</v>
      </c>
      <c r="E9" s="567" t="s">
        <v>163</v>
      </c>
      <c r="F9" s="39" t="s">
        <v>568</v>
      </c>
      <c r="G9" s="567" t="s">
        <v>2237</v>
      </c>
      <c r="H9" s="685" t="s">
        <v>546</v>
      </c>
      <c r="I9" s="41" t="s">
        <v>757</v>
      </c>
      <c r="J9" s="41"/>
      <c r="K9" s="41"/>
      <c r="L9" s="41"/>
      <c r="M9" s="42" t="str">
        <f t="shared" si="0"/>
        <v xml:space="preserve">Teléfonos de México, S.A.B. de C.V.  </v>
      </c>
      <c r="N9" s="991" t="s">
        <v>656</v>
      </c>
      <c r="O9" s="991" t="s">
        <v>209</v>
      </c>
      <c r="P9" s="991" t="s">
        <v>2250</v>
      </c>
      <c r="Q9" s="992">
        <v>3017241.38</v>
      </c>
      <c r="R9" s="44">
        <f t="shared" si="1"/>
        <v>482758.62079999998</v>
      </c>
      <c r="S9" s="45">
        <f t="shared" si="2"/>
        <v>3500000.0008</v>
      </c>
      <c r="T9" s="46">
        <v>50000</v>
      </c>
      <c r="U9" s="47">
        <f t="shared" si="3"/>
        <v>58000</v>
      </c>
      <c r="V9" s="44">
        <f t="shared" si="4"/>
        <v>3500000.0008</v>
      </c>
      <c r="W9" s="993" t="s">
        <v>156</v>
      </c>
      <c r="X9" s="48">
        <v>43840</v>
      </c>
      <c r="Y9" s="39" t="s">
        <v>157</v>
      </c>
      <c r="Z9" s="48">
        <v>43831</v>
      </c>
      <c r="AA9" s="48">
        <v>44196</v>
      </c>
      <c r="AB9" s="38" t="s">
        <v>182</v>
      </c>
      <c r="AC9" s="38"/>
      <c r="AD9" s="59">
        <v>43917</v>
      </c>
      <c r="AE9" s="59" t="s">
        <v>161</v>
      </c>
      <c r="AF9" s="59" t="s">
        <v>161</v>
      </c>
      <c r="AG9" s="59" t="s">
        <v>161</v>
      </c>
      <c r="AH9" s="39" t="s">
        <v>183</v>
      </c>
      <c r="AI9" s="38"/>
      <c r="AJ9" s="38"/>
      <c r="AK9" s="50"/>
      <c r="AL9" s="44"/>
      <c r="AM9" s="39" t="str">
        <f t="shared" ca="1" si="5"/>
        <v>MUERTO</v>
      </c>
      <c r="AN9" s="39">
        <v>31401</v>
      </c>
      <c r="AO9" s="39" t="s">
        <v>183</v>
      </c>
      <c r="AP9" s="39" t="s">
        <v>157</v>
      </c>
      <c r="AQ9" s="39"/>
      <c r="AR9" s="39" t="s">
        <v>157</v>
      </c>
      <c r="AS9" s="39"/>
      <c r="AT9" s="39"/>
      <c r="AU9" s="51"/>
      <c r="AV9" s="50"/>
      <c r="AW9" s="38"/>
      <c r="AX9" s="52"/>
      <c r="AY9" s="173"/>
      <c r="AZ9" s="38"/>
      <c r="BA9" s="38" t="e">
        <f>VLOOKUP(I9,#REF!,2,0)</f>
        <v>#REF!</v>
      </c>
      <c r="BB9" s="71"/>
      <c r="BC9" s="59"/>
      <c r="BD9" s="39"/>
      <c r="BE9" s="39"/>
      <c r="BF9" s="39"/>
      <c r="BG9" s="39"/>
      <c r="BH9" s="59"/>
      <c r="BI9" s="39" t="e">
        <f>NETWORKDAYS(BF9,BG9,#REF!)</f>
        <v>#REF!</v>
      </c>
      <c r="BJ9" s="59"/>
      <c r="BK9" s="59"/>
      <c r="BL9" s="59"/>
      <c r="BM9" s="59"/>
      <c r="BN9" s="59"/>
      <c r="BO9" s="59"/>
      <c r="BP9" s="59"/>
      <c r="BQ9" s="62"/>
      <c r="BR9" s="66"/>
      <c r="BS9" s="70"/>
      <c r="BT9" s="62" t="s">
        <v>2251</v>
      </c>
      <c r="BU9" s="84"/>
      <c r="BV9" s="84"/>
      <c r="BW9" s="84"/>
      <c r="BX9" s="84"/>
      <c r="BY9" s="84"/>
    </row>
    <row r="10" spans="1:79" ht="150" x14ac:dyDescent="0.25">
      <c r="A10" s="38" t="s">
        <v>2252</v>
      </c>
      <c r="B10" s="39">
        <v>5</v>
      </c>
      <c r="C10" s="38" t="s">
        <v>149</v>
      </c>
      <c r="D10" s="40" t="s">
        <v>2253</v>
      </c>
      <c r="E10" s="567" t="s">
        <v>163</v>
      </c>
      <c r="F10" s="39" t="s">
        <v>568</v>
      </c>
      <c r="G10" s="567" t="s">
        <v>2237</v>
      </c>
      <c r="H10" s="685" t="s">
        <v>546</v>
      </c>
      <c r="I10" s="41" t="s">
        <v>757</v>
      </c>
      <c r="J10" s="41"/>
      <c r="K10" s="41"/>
      <c r="L10" s="41"/>
      <c r="M10" s="42" t="s">
        <v>2254</v>
      </c>
      <c r="N10" s="991" t="s">
        <v>656</v>
      </c>
      <c r="O10" s="991" t="s">
        <v>209</v>
      </c>
      <c r="P10" s="991" t="s">
        <v>2255</v>
      </c>
      <c r="Q10" s="992">
        <v>15862068.970000001</v>
      </c>
      <c r="R10" s="44">
        <f t="shared" si="1"/>
        <v>2537931.0352000003</v>
      </c>
      <c r="S10" s="45">
        <f t="shared" si="2"/>
        <v>18400000.005200002</v>
      </c>
      <c r="T10" s="46">
        <v>2000000</v>
      </c>
      <c r="U10" s="47">
        <f t="shared" si="3"/>
        <v>2320000</v>
      </c>
      <c r="V10" s="44">
        <f t="shared" si="4"/>
        <v>18400000.005200002</v>
      </c>
      <c r="W10" s="993" t="s">
        <v>156</v>
      </c>
      <c r="X10" s="48">
        <v>43840</v>
      </c>
      <c r="Y10" s="39" t="s">
        <v>157</v>
      </c>
      <c r="Z10" s="48">
        <v>43831</v>
      </c>
      <c r="AA10" s="48">
        <v>44196</v>
      </c>
      <c r="AB10" s="38" t="s">
        <v>182</v>
      </c>
      <c r="AC10" s="38"/>
      <c r="AD10" s="59">
        <v>43917</v>
      </c>
      <c r="AE10" s="59" t="s">
        <v>161</v>
      </c>
      <c r="AF10" s="59" t="s">
        <v>161</v>
      </c>
      <c r="AG10" s="59" t="s">
        <v>161</v>
      </c>
      <c r="AH10" s="39" t="s">
        <v>183</v>
      </c>
      <c r="AI10" s="38"/>
      <c r="AJ10" s="38"/>
      <c r="AK10" s="50"/>
      <c r="AL10" s="44"/>
      <c r="AM10" s="39" t="str">
        <f t="shared" ca="1" si="5"/>
        <v>MUERTO</v>
      </c>
      <c r="AN10" s="39">
        <v>31603</v>
      </c>
      <c r="AO10" s="39" t="s">
        <v>183</v>
      </c>
      <c r="AP10" s="39" t="s">
        <v>157</v>
      </c>
      <c r="AQ10" s="39"/>
      <c r="AR10" s="39" t="s">
        <v>157</v>
      </c>
      <c r="AS10" s="39"/>
      <c r="AT10" s="39"/>
      <c r="AU10" s="51"/>
      <c r="AV10" s="50"/>
      <c r="AW10" s="38"/>
      <c r="AX10" s="52"/>
      <c r="AY10" s="173"/>
      <c r="AZ10" s="38"/>
      <c r="BA10" s="38" t="e">
        <f>VLOOKUP(I10,#REF!,2,0)</f>
        <v>#REF!</v>
      </c>
      <c r="BB10" s="71"/>
      <c r="BC10" s="59"/>
      <c r="BD10" s="39"/>
      <c r="BE10" s="39"/>
      <c r="BF10" s="39"/>
      <c r="BG10" s="39"/>
      <c r="BH10" s="59"/>
      <c r="BI10" s="39" t="e">
        <f>NETWORKDAYS(BF10,BG10,#REF!)</f>
        <v>#REF!</v>
      </c>
      <c r="BJ10" s="59"/>
      <c r="BK10" s="59"/>
      <c r="BL10" s="59"/>
      <c r="BM10" s="59"/>
      <c r="BN10" s="59"/>
      <c r="BO10" s="59"/>
      <c r="BP10" s="59"/>
      <c r="BQ10" s="62"/>
      <c r="BR10" s="66"/>
      <c r="BS10" s="70"/>
      <c r="BT10" s="62" t="s">
        <v>2245</v>
      </c>
      <c r="BU10" s="84"/>
      <c r="BV10" s="84"/>
      <c r="BW10" s="84"/>
      <c r="BX10" s="84"/>
      <c r="BY10" s="84"/>
    </row>
    <row r="11" spans="1:79" ht="60" x14ac:dyDescent="0.25">
      <c r="A11" s="38" t="s">
        <v>2256</v>
      </c>
      <c r="B11" s="39">
        <v>6</v>
      </c>
      <c r="C11" s="38" t="s">
        <v>149</v>
      </c>
      <c r="D11" s="40" t="s">
        <v>163</v>
      </c>
      <c r="E11" s="567" t="s">
        <v>163</v>
      </c>
      <c r="F11" s="39" t="s">
        <v>561</v>
      </c>
      <c r="G11" s="567" t="s">
        <v>163</v>
      </c>
      <c r="H11" s="567" t="s">
        <v>163</v>
      </c>
      <c r="I11" s="41" t="s">
        <v>361</v>
      </c>
      <c r="J11" s="41"/>
      <c r="K11" s="41"/>
      <c r="L11" s="41"/>
      <c r="M11" s="42" t="str">
        <f t="shared" ref="M11:M25" si="6">I11&amp;J11&amp;" "&amp;K11&amp;" "&amp;L11</f>
        <v xml:space="preserve">Millenium Technologies, S.A. de C.V.  </v>
      </c>
      <c r="N11" s="991" t="s">
        <v>656</v>
      </c>
      <c r="O11" s="991" t="s">
        <v>209</v>
      </c>
      <c r="P11" s="991" t="s">
        <v>825</v>
      </c>
      <c r="Q11" s="992">
        <v>5654246.4000000004</v>
      </c>
      <c r="R11" s="44">
        <f t="shared" si="1"/>
        <v>904679.42400000012</v>
      </c>
      <c r="S11" s="45">
        <f t="shared" si="2"/>
        <v>6558925.824000001</v>
      </c>
      <c r="T11" s="46">
        <v>0</v>
      </c>
      <c r="U11" s="47">
        <f t="shared" si="3"/>
        <v>0</v>
      </c>
      <c r="V11" s="44">
        <f t="shared" si="4"/>
        <v>6558925.824000001</v>
      </c>
      <c r="W11" s="993" t="s">
        <v>156</v>
      </c>
      <c r="X11" s="48">
        <v>43840</v>
      </c>
      <c r="Y11" s="39" t="s">
        <v>157</v>
      </c>
      <c r="Z11" s="48">
        <v>43831</v>
      </c>
      <c r="AA11" s="48">
        <v>44196</v>
      </c>
      <c r="AB11" s="38" t="s">
        <v>2033</v>
      </c>
      <c r="AC11" s="38"/>
      <c r="AD11" s="59"/>
      <c r="AE11" s="59"/>
      <c r="AF11" s="59"/>
      <c r="AG11" s="59"/>
      <c r="AH11" s="39"/>
      <c r="AI11" s="38"/>
      <c r="AJ11" s="38"/>
      <c r="AK11" s="50"/>
      <c r="AL11" s="44"/>
      <c r="AM11" s="39" t="str">
        <f t="shared" ca="1" si="5"/>
        <v>MUERTO</v>
      </c>
      <c r="AN11" s="39">
        <v>31904</v>
      </c>
      <c r="AO11" s="39" t="s">
        <v>183</v>
      </c>
      <c r="AP11" s="39" t="s">
        <v>157</v>
      </c>
      <c r="AQ11" s="39"/>
      <c r="AR11" s="39" t="s">
        <v>157</v>
      </c>
      <c r="AS11" s="39"/>
      <c r="AT11" s="39"/>
      <c r="AU11" s="51"/>
      <c r="AV11" s="50"/>
      <c r="AW11" s="38"/>
      <c r="AX11" s="52"/>
      <c r="AY11" s="173"/>
      <c r="AZ11" s="38"/>
      <c r="BA11" s="38" t="e">
        <f>VLOOKUP(I11,#REF!,2,0)</f>
        <v>#REF!</v>
      </c>
      <c r="BB11" s="71"/>
      <c r="BC11" s="59"/>
      <c r="BD11" s="39"/>
      <c r="BE11" s="39"/>
      <c r="BF11" s="39"/>
      <c r="BG11" s="39"/>
      <c r="BH11" s="59"/>
      <c r="BI11" s="39" t="e">
        <f>NETWORKDAYS(BF11,BG11,#REF!)</f>
        <v>#REF!</v>
      </c>
      <c r="BJ11" s="59"/>
      <c r="BK11" s="59"/>
      <c r="BL11" s="59"/>
      <c r="BM11" s="59"/>
      <c r="BN11" s="59"/>
      <c r="BO11" s="59"/>
      <c r="BP11" s="59"/>
      <c r="BQ11" s="62"/>
      <c r="BR11" s="66"/>
      <c r="BS11" s="70"/>
      <c r="BT11" s="62" t="s">
        <v>2257</v>
      </c>
      <c r="BU11" s="84"/>
      <c r="BV11" s="84"/>
      <c r="BW11" s="84"/>
      <c r="BX11" s="84"/>
      <c r="BY11" s="84"/>
    </row>
    <row r="12" spans="1:79" ht="76.5" x14ac:dyDescent="0.25">
      <c r="A12" s="38" t="s">
        <v>2258</v>
      </c>
      <c r="B12" s="39">
        <v>7</v>
      </c>
      <c r="C12" s="38" t="s">
        <v>149</v>
      </c>
      <c r="D12" s="40" t="s">
        <v>2243</v>
      </c>
      <c r="E12" s="567" t="s">
        <v>163</v>
      </c>
      <c r="F12" s="39" t="s">
        <v>312</v>
      </c>
      <c r="G12" s="567" t="s">
        <v>2237</v>
      </c>
      <c r="H12" s="685" t="s">
        <v>546</v>
      </c>
      <c r="I12" s="41" t="s">
        <v>361</v>
      </c>
      <c r="J12" s="41"/>
      <c r="K12" s="41"/>
      <c r="L12" s="41"/>
      <c r="M12" s="42" t="str">
        <f t="shared" si="6"/>
        <v xml:space="preserve">Millenium Technologies, S.A. de C.V.  </v>
      </c>
      <c r="N12" s="991" t="s">
        <v>656</v>
      </c>
      <c r="O12" s="991" t="s">
        <v>209</v>
      </c>
      <c r="P12" s="991" t="s">
        <v>2259</v>
      </c>
      <c r="Q12" s="992">
        <v>4560000</v>
      </c>
      <c r="R12" s="44">
        <f t="shared" si="1"/>
        <v>729600</v>
      </c>
      <c r="S12" s="45">
        <f t="shared" si="2"/>
        <v>5289600</v>
      </c>
      <c r="T12" s="46">
        <v>0</v>
      </c>
      <c r="U12" s="47">
        <f t="shared" si="3"/>
        <v>0</v>
      </c>
      <c r="V12" s="44">
        <f t="shared" si="4"/>
        <v>5289600</v>
      </c>
      <c r="W12" s="993" t="s">
        <v>156</v>
      </c>
      <c r="X12" s="48">
        <v>43840</v>
      </c>
      <c r="Y12" s="39" t="s">
        <v>157</v>
      </c>
      <c r="Z12" s="48">
        <v>43831</v>
      </c>
      <c r="AA12" s="48">
        <v>44196</v>
      </c>
      <c r="AB12" s="38" t="s">
        <v>2017</v>
      </c>
      <c r="AC12" s="38"/>
      <c r="AD12" s="59"/>
      <c r="AE12" s="59"/>
      <c r="AF12" s="59"/>
      <c r="AG12" s="59" t="s">
        <v>2260</v>
      </c>
      <c r="AH12" s="39"/>
      <c r="AI12" s="38"/>
      <c r="AJ12" s="38"/>
      <c r="AK12" s="50"/>
      <c r="AL12" s="44"/>
      <c r="AM12" s="39" t="str">
        <f t="shared" ca="1" si="5"/>
        <v>MUERTO</v>
      </c>
      <c r="AN12" s="39">
        <v>31904</v>
      </c>
      <c r="AO12" s="39" t="s">
        <v>183</v>
      </c>
      <c r="AP12" s="39" t="s">
        <v>157</v>
      </c>
      <c r="AQ12" s="39"/>
      <c r="AR12" s="39" t="s">
        <v>157</v>
      </c>
      <c r="AS12" s="39"/>
      <c r="AT12" s="39"/>
      <c r="AU12" s="51"/>
      <c r="AV12" s="50"/>
      <c r="AW12" s="38"/>
      <c r="AX12" s="52"/>
      <c r="AY12" s="173"/>
      <c r="AZ12" s="38"/>
      <c r="BA12" s="38" t="e">
        <f>VLOOKUP(I12,#REF!,2,0)</f>
        <v>#REF!</v>
      </c>
      <c r="BB12" s="71"/>
      <c r="BC12" s="59"/>
      <c r="BD12" s="39"/>
      <c r="BE12" s="39"/>
      <c r="BF12" s="39"/>
      <c r="BG12" s="39"/>
      <c r="BH12" s="59"/>
      <c r="BI12" s="39" t="e">
        <f>NETWORKDAYS(BF12,BG12,#REF!)</f>
        <v>#REF!</v>
      </c>
      <c r="BJ12" s="59"/>
      <c r="BK12" s="59"/>
      <c r="BL12" s="59"/>
      <c r="BM12" s="59"/>
      <c r="BN12" s="59"/>
      <c r="BO12" s="59"/>
      <c r="BP12" s="59"/>
      <c r="BQ12" s="62"/>
      <c r="BR12" s="66"/>
      <c r="BS12" s="70"/>
      <c r="BT12" s="62" t="s">
        <v>2261</v>
      </c>
      <c r="BU12" s="84"/>
      <c r="BV12" s="84"/>
      <c r="BW12" s="84"/>
      <c r="BX12" s="84"/>
      <c r="BY12" s="84"/>
    </row>
    <row r="13" spans="1:79" ht="75" x14ac:dyDescent="0.25">
      <c r="A13" s="38" t="s">
        <v>2262</v>
      </c>
      <c r="B13" s="39">
        <v>8</v>
      </c>
      <c r="C13" s="38" t="s">
        <v>225</v>
      </c>
      <c r="D13" s="40" t="s">
        <v>2263</v>
      </c>
      <c r="E13" s="39" t="s">
        <v>151</v>
      </c>
      <c r="F13" s="39" t="s">
        <v>152</v>
      </c>
      <c r="G13" s="39" t="s">
        <v>151</v>
      </c>
      <c r="H13" s="41"/>
      <c r="I13" s="41" t="s">
        <v>685</v>
      </c>
      <c r="J13" s="41"/>
      <c r="K13" s="41"/>
      <c r="L13" s="41"/>
      <c r="M13" s="42" t="str">
        <f t="shared" si="6"/>
        <v xml:space="preserve">Jasev Computación, S.A. de C.V.  </v>
      </c>
      <c r="N13" s="991" t="s">
        <v>656</v>
      </c>
      <c r="O13" s="991" t="s">
        <v>667</v>
      </c>
      <c r="P13" s="991" t="s">
        <v>2264</v>
      </c>
      <c r="Q13" s="992">
        <v>860000</v>
      </c>
      <c r="R13" s="44">
        <f t="shared" si="1"/>
        <v>137600</v>
      </c>
      <c r="S13" s="45">
        <f t="shared" si="2"/>
        <v>997600</v>
      </c>
      <c r="T13" s="46">
        <v>258000</v>
      </c>
      <c r="U13" s="47">
        <f t="shared" si="3"/>
        <v>299280</v>
      </c>
      <c r="V13" s="44">
        <f t="shared" si="4"/>
        <v>997600</v>
      </c>
      <c r="W13" s="993" t="s">
        <v>156</v>
      </c>
      <c r="X13" s="48">
        <v>43845</v>
      </c>
      <c r="Y13" s="59" t="s">
        <v>157</v>
      </c>
      <c r="Z13" s="59">
        <v>43831</v>
      </c>
      <c r="AA13" s="48">
        <v>44196</v>
      </c>
      <c r="AB13" s="38" t="s">
        <v>182</v>
      </c>
      <c r="AC13" s="38"/>
      <c r="AD13" s="59"/>
      <c r="AE13" s="59"/>
      <c r="AF13" s="59"/>
      <c r="AG13" s="59"/>
      <c r="AH13" s="39"/>
      <c r="AI13" s="38"/>
      <c r="AJ13" s="38"/>
      <c r="AK13" s="50"/>
      <c r="AL13" s="44"/>
      <c r="AM13" s="39" t="str">
        <f t="shared" ca="1" si="5"/>
        <v>MUERTO</v>
      </c>
      <c r="AN13" s="39">
        <v>51501</v>
      </c>
      <c r="AO13" s="39" t="s">
        <v>183</v>
      </c>
      <c r="AP13" s="39" t="s">
        <v>157</v>
      </c>
      <c r="AQ13" s="39"/>
      <c r="AR13" s="39" t="s">
        <v>157</v>
      </c>
      <c r="AS13" s="39"/>
      <c r="AT13" s="39"/>
      <c r="AU13" s="51"/>
      <c r="AV13" s="50"/>
      <c r="AW13" s="38"/>
      <c r="AX13" s="52"/>
      <c r="AY13" s="173"/>
      <c r="AZ13" s="38"/>
      <c r="BA13" s="38" t="e">
        <f>VLOOKUP(I13,#REF!,2,0)</f>
        <v>#REF!</v>
      </c>
      <c r="BB13" s="71"/>
      <c r="BC13" s="59"/>
      <c r="BD13" s="39"/>
      <c r="BE13" s="39"/>
      <c r="BF13" s="39"/>
      <c r="BG13" s="39"/>
      <c r="BH13" s="59"/>
      <c r="BI13" s="39" t="e">
        <f>NETWORKDAYS(BF13,BG13,#REF!)</f>
        <v>#REF!</v>
      </c>
      <c r="BJ13" s="59"/>
      <c r="BK13" s="59"/>
      <c r="BL13" s="59"/>
      <c r="BM13" s="59"/>
      <c r="BN13" s="59"/>
      <c r="BO13" s="59"/>
      <c r="BP13" s="59"/>
      <c r="BQ13" s="62"/>
      <c r="BR13" s="66"/>
      <c r="BS13" s="70"/>
      <c r="BT13" s="62" t="s">
        <v>2265</v>
      </c>
      <c r="BU13" s="84"/>
      <c r="BV13" s="84"/>
      <c r="BW13" s="84"/>
      <c r="BX13" s="84"/>
      <c r="BY13" s="84"/>
    </row>
    <row r="14" spans="1:79" ht="76.5" x14ac:dyDescent="0.25">
      <c r="A14" s="38" t="s">
        <v>2266</v>
      </c>
      <c r="B14" s="39">
        <v>9</v>
      </c>
      <c r="C14" s="38" t="s">
        <v>149</v>
      </c>
      <c r="D14" s="40" t="s">
        <v>2243</v>
      </c>
      <c r="E14" s="567" t="s">
        <v>163</v>
      </c>
      <c r="F14" s="39" t="s">
        <v>312</v>
      </c>
      <c r="G14" s="567" t="s">
        <v>2237</v>
      </c>
      <c r="H14" s="685" t="s">
        <v>546</v>
      </c>
      <c r="I14" s="41" t="s">
        <v>600</v>
      </c>
      <c r="J14" s="41"/>
      <c r="K14" s="41"/>
      <c r="L14" s="41"/>
      <c r="M14" s="42" t="str">
        <f t="shared" si="6"/>
        <v xml:space="preserve">Incluir-T, S.A. de C.V.  </v>
      </c>
      <c r="N14" s="991" t="s">
        <v>860</v>
      </c>
      <c r="O14" s="991" t="s">
        <v>861</v>
      </c>
      <c r="P14" s="991" t="s">
        <v>2267</v>
      </c>
      <c r="Q14" s="992">
        <v>258621</v>
      </c>
      <c r="R14" s="44">
        <f t="shared" si="1"/>
        <v>41379.360000000001</v>
      </c>
      <c r="S14" s="45">
        <f t="shared" si="2"/>
        <v>300000.36</v>
      </c>
      <c r="T14" s="46">
        <v>0</v>
      </c>
      <c r="U14" s="47">
        <f t="shared" si="3"/>
        <v>0</v>
      </c>
      <c r="V14" s="44">
        <f t="shared" si="4"/>
        <v>300000.36</v>
      </c>
      <c r="W14" s="993" t="s">
        <v>156</v>
      </c>
      <c r="X14" s="48">
        <v>43845</v>
      </c>
      <c r="Y14" s="39" t="s">
        <v>157</v>
      </c>
      <c r="Z14" s="48">
        <v>43831</v>
      </c>
      <c r="AA14" s="48">
        <v>44196</v>
      </c>
      <c r="AB14" s="38" t="s">
        <v>182</v>
      </c>
      <c r="AC14" s="38"/>
      <c r="AD14" s="59"/>
      <c r="AE14" s="59"/>
      <c r="AF14" s="59"/>
      <c r="AG14" s="59"/>
      <c r="AH14" s="39"/>
      <c r="AI14" s="38"/>
      <c r="AJ14" s="38"/>
      <c r="AK14" s="50"/>
      <c r="AL14" s="44"/>
      <c r="AM14" s="39" t="str">
        <f t="shared" ca="1" si="5"/>
        <v>MUERTO</v>
      </c>
      <c r="AN14" s="39">
        <v>59701</v>
      </c>
      <c r="AO14" s="39" t="s">
        <v>183</v>
      </c>
      <c r="AP14" s="39" t="s">
        <v>157</v>
      </c>
      <c r="AQ14" s="39"/>
      <c r="AR14" s="39" t="s">
        <v>157</v>
      </c>
      <c r="AS14" s="39"/>
      <c r="AT14" s="39"/>
      <c r="AU14" s="51"/>
      <c r="AV14" s="50"/>
      <c r="AW14" s="38"/>
      <c r="AX14" s="52"/>
      <c r="AY14" s="173"/>
      <c r="AZ14" s="38"/>
      <c r="BA14" s="38" t="e">
        <f>VLOOKUP(I14,#REF!,2,0)</f>
        <v>#REF!</v>
      </c>
      <c r="BB14" s="71"/>
      <c r="BC14" s="59"/>
      <c r="BD14" s="39"/>
      <c r="BE14" s="39"/>
      <c r="BF14" s="39"/>
      <c r="BG14" s="39"/>
      <c r="BH14" s="59"/>
      <c r="BI14" s="39" t="e">
        <f>NETWORKDAYS(BF14,BG14,#REF!)</f>
        <v>#REF!</v>
      </c>
      <c r="BJ14" s="59"/>
      <c r="BK14" s="59"/>
      <c r="BL14" s="59"/>
      <c r="BM14" s="59"/>
      <c r="BN14" s="59"/>
      <c r="BO14" s="59"/>
      <c r="BP14" s="59"/>
      <c r="BQ14" s="62"/>
      <c r="BR14" s="66"/>
      <c r="BS14" s="70"/>
      <c r="BT14" s="62" t="s">
        <v>2268</v>
      </c>
      <c r="BU14" s="84"/>
      <c r="BV14" s="84"/>
      <c r="BW14" s="84"/>
      <c r="BX14" s="84"/>
      <c r="BY14" s="84"/>
    </row>
    <row r="15" spans="1:79" ht="120" x14ac:dyDescent="0.25">
      <c r="A15" s="38" t="s">
        <v>2269</v>
      </c>
      <c r="B15" s="39">
        <v>10</v>
      </c>
      <c r="C15" s="38" t="s">
        <v>149</v>
      </c>
      <c r="D15" s="40" t="s">
        <v>2270</v>
      </c>
      <c r="E15" s="39" t="s">
        <v>173</v>
      </c>
      <c r="F15" s="39" t="s">
        <v>326</v>
      </c>
      <c r="G15" s="39" t="s">
        <v>173</v>
      </c>
      <c r="H15" s="41"/>
      <c r="I15" s="41" t="s">
        <v>2271</v>
      </c>
      <c r="J15" s="41"/>
      <c r="K15" s="41"/>
      <c r="L15" s="41"/>
      <c r="M15" s="42" t="str">
        <f t="shared" si="6"/>
        <v xml:space="preserve">Caja Electrónica, S.A.   </v>
      </c>
      <c r="N15" s="991" t="s">
        <v>179</v>
      </c>
      <c r="O15" s="991" t="s">
        <v>179</v>
      </c>
      <c r="P15" s="991" t="s">
        <v>2272</v>
      </c>
      <c r="Q15" s="992">
        <v>331034.52</v>
      </c>
      <c r="R15" s="44">
        <f t="shared" si="1"/>
        <v>52965.523200000003</v>
      </c>
      <c r="S15" s="45">
        <f t="shared" si="2"/>
        <v>384000.04320000001</v>
      </c>
      <c r="T15" s="46">
        <v>0</v>
      </c>
      <c r="U15" s="47">
        <f t="shared" si="3"/>
        <v>0</v>
      </c>
      <c r="V15" s="44">
        <f t="shared" si="4"/>
        <v>480000.054</v>
      </c>
      <c r="W15" s="993" t="s">
        <v>156</v>
      </c>
      <c r="X15" s="48">
        <v>43846</v>
      </c>
      <c r="Y15" s="39" t="s">
        <v>157</v>
      </c>
      <c r="Z15" s="48">
        <v>43839</v>
      </c>
      <c r="AA15" s="48" t="s">
        <v>2273</v>
      </c>
      <c r="AB15" s="38" t="s">
        <v>2076</v>
      </c>
      <c r="AC15" s="38" t="s">
        <v>2274</v>
      </c>
      <c r="AD15" s="59" t="s">
        <v>2275</v>
      </c>
      <c r="AE15" s="59" t="s">
        <v>2275</v>
      </c>
      <c r="AF15" s="59"/>
      <c r="AG15" s="59"/>
      <c r="AH15" s="39"/>
      <c r="AI15" s="38" t="s">
        <v>2276</v>
      </c>
      <c r="AJ15" s="38" t="s">
        <v>2277</v>
      </c>
      <c r="AK15" s="50">
        <v>44196</v>
      </c>
      <c r="AL15" s="44">
        <f>82758.63*1.16</f>
        <v>96000.010800000004</v>
      </c>
      <c r="AM15" s="39" t="s">
        <v>2278</v>
      </c>
      <c r="AN15" s="39">
        <v>35201</v>
      </c>
      <c r="AO15" s="39" t="s">
        <v>183</v>
      </c>
      <c r="AP15" s="39" t="s">
        <v>157</v>
      </c>
      <c r="AQ15" s="39"/>
      <c r="AR15" s="39" t="s">
        <v>157</v>
      </c>
      <c r="AS15" s="39"/>
      <c r="AT15" s="39"/>
      <c r="AU15" s="51"/>
      <c r="AV15" s="50"/>
      <c r="AW15" s="38"/>
      <c r="AX15" s="52"/>
      <c r="AY15" s="173">
        <v>44223</v>
      </c>
      <c r="AZ15" s="38"/>
      <c r="BA15" s="38" t="e">
        <f>VLOOKUP(I15,#REF!,2,0)</f>
        <v>#REF!</v>
      </c>
      <c r="BB15" s="71"/>
      <c r="BC15" s="59"/>
      <c r="BD15" s="39"/>
      <c r="BE15" s="39"/>
      <c r="BF15" s="39"/>
      <c r="BG15" s="39"/>
      <c r="BH15" s="59"/>
      <c r="BI15" s="39" t="e">
        <f>NETWORKDAYS(BF15,BG15,#REF!)</f>
        <v>#REF!</v>
      </c>
      <c r="BJ15" s="59"/>
      <c r="BK15" s="59"/>
      <c r="BL15" s="59"/>
      <c r="BM15" s="59">
        <v>44246</v>
      </c>
      <c r="BN15" s="59"/>
      <c r="BO15" s="59"/>
      <c r="BP15" s="59"/>
      <c r="BQ15" s="62"/>
      <c r="BR15" s="66"/>
      <c r="BS15" s="70"/>
      <c r="BT15" s="62" t="s">
        <v>2279</v>
      </c>
      <c r="BU15" s="84"/>
      <c r="BV15" s="84"/>
      <c r="BW15" s="84"/>
      <c r="BX15" s="84"/>
      <c r="BY15" s="84"/>
    </row>
    <row r="16" spans="1:79" ht="120" x14ac:dyDescent="0.25">
      <c r="A16" s="38" t="s">
        <v>2280</v>
      </c>
      <c r="B16" s="39">
        <v>11</v>
      </c>
      <c r="C16" s="38" t="s">
        <v>149</v>
      </c>
      <c r="D16" s="40" t="s">
        <v>2270</v>
      </c>
      <c r="E16" s="39" t="s">
        <v>173</v>
      </c>
      <c r="F16" s="39" t="s">
        <v>326</v>
      </c>
      <c r="G16" s="39" t="s">
        <v>173</v>
      </c>
      <c r="H16" s="41"/>
      <c r="I16" s="41"/>
      <c r="J16" s="41" t="s">
        <v>239</v>
      </c>
      <c r="K16" s="41" t="s">
        <v>240</v>
      </c>
      <c r="L16" s="41" t="s">
        <v>241</v>
      </c>
      <c r="M16" s="42" t="str">
        <f t="shared" si="6"/>
        <v>Alfredo Muñoz Herranz</v>
      </c>
      <c r="N16" s="991" t="s">
        <v>179</v>
      </c>
      <c r="O16" s="991" t="s">
        <v>179</v>
      </c>
      <c r="P16" s="991" t="s">
        <v>2281</v>
      </c>
      <c r="Q16" s="992">
        <v>789360</v>
      </c>
      <c r="R16" s="44">
        <f t="shared" si="1"/>
        <v>126297.60000000001</v>
      </c>
      <c r="S16" s="45">
        <f t="shared" si="2"/>
        <v>915657.6</v>
      </c>
      <c r="T16" s="46">
        <v>528000</v>
      </c>
      <c r="U16" s="47">
        <f t="shared" si="3"/>
        <v>612480</v>
      </c>
      <c r="V16" s="44">
        <f t="shared" si="4"/>
        <v>1144572</v>
      </c>
      <c r="W16" s="993" t="s">
        <v>156</v>
      </c>
      <c r="X16" s="48">
        <v>43843</v>
      </c>
      <c r="Y16" s="39" t="s">
        <v>157</v>
      </c>
      <c r="Z16" s="48">
        <v>43839</v>
      </c>
      <c r="AA16" s="48" t="s">
        <v>2273</v>
      </c>
      <c r="AB16" s="38" t="s">
        <v>2076</v>
      </c>
      <c r="AC16" s="38" t="s">
        <v>2274</v>
      </c>
      <c r="AD16" s="59" t="s">
        <v>2282</v>
      </c>
      <c r="AE16" s="59" t="s">
        <v>2283</v>
      </c>
      <c r="AF16" s="59"/>
      <c r="AG16" s="59"/>
      <c r="AH16" s="39"/>
      <c r="AI16" s="38" t="s">
        <v>2284</v>
      </c>
      <c r="AJ16" s="38" t="s">
        <v>2277</v>
      </c>
      <c r="AK16" s="50">
        <v>44196</v>
      </c>
      <c r="AL16" s="44">
        <f>197340*1.16</f>
        <v>228914.4</v>
      </c>
      <c r="AM16" s="39" t="s">
        <v>2278</v>
      </c>
      <c r="AN16" s="39">
        <v>35101</v>
      </c>
      <c r="AO16" s="39" t="s">
        <v>183</v>
      </c>
      <c r="AP16" s="39" t="s">
        <v>157</v>
      </c>
      <c r="AQ16" s="39"/>
      <c r="AR16" s="39" t="s">
        <v>157</v>
      </c>
      <c r="AS16" s="39"/>
      <c r="AT16" s="39"/>
      <c r="AU16" s="51"/>
      <c r="AV16" s="50"/>
      <c r="AW16" s="38"/>
      <c r="AX16" s="52"/>
      <c r="AY16" s="173"/>
      <c r="AZ16" s="38"/>
      <c r="BA16" s="38" t="e">
        <f>VLOOKUP(I16,#REF!,2,0)</f>
        <v>#REF!</v>
      </c>
      <c r="BB16" s="71"/>
      <c r="BC16" s="59"/>
      <c r="BD16" s="39"/>
      <c r="BE16" s="39"/>
      <c r="BF16" s="39"/>
      <c r="BG16" s="39"/>
      <c r="BH16" s="59"/>
      <c r="BI16" s="39" t="e">
        <f>NETWORKDAYS(BF16,BG16,#REF!)</f>
        <v>#REF!</v>
      </c>
      <c r="BJ16" s="59"/>
      <c r="BK16" s="59"/>
      <c r="BL16" s="59"/>
      <c r="BM16" s="59">
        <v>44246</v>
      </c>
      <c r="BN16" s="59"/>
      <c r="BO16" s="59"/>
      <c r="BP16" s="59"/>
      <c r="BQ16" s="62"/>
      <c r="BR16" s="66"/>
      <c r="BS16" s="70"/>
      <c r="BT16" s="62" t="s">
        <v>2285</v>
      </c>
      <c r="BU16" s="84">
        <v>2025862.06</v>
      </c>
      <c r="BV16" s="84"/>
      <c r="BW16" s="84"/>
      <c r="BX16" s="84"/>
      <c r="BY16" s="84"/>
    </row>
    <row r="17" spans="1:77" ht="90" x14ac:dyDescent="0.25">
      <c r="A17" s="38" t="s">
        <v>2286</v>
      </c>
      <c r="B17" s="39">
        <v>12</v>
      </c>
      <c r="C17" s="38" t="s">
        <v>149</v>
      </c>
      <c r="D17" s="40" t="s">
        <v>2270</v>
      </c>
      <c r="E17" s="39" t="s">
        <v>173</v>
      </c>
      <c r="F17" s="39" t="s">
        <v>326</v>
      </c>
      <c r="G17" s="39" t="s">
        <v>173</v>
      </c>
      <c r="H17" s="41"/>
      <c r="I17" s="41"/>
      <c r="J17" s="41" t="s">
        <v>239</v>
      </c>
      <c r="K17" s="41" t="s">
        <v>240</v>
      </c>
      <c r="L17" s="41" t="s">
        <v>241</v>
      </c>
      <c r="M17" s="42" t="str">
        <f t="shared" si="6"/>
        <v>Alfredo Muñoz Herranz</v>
      </c>
      <c r="N17" s="991" t="s">
        <v>179</v>
      </c>
      <c r="O17" s="991" t="s">
        <v>179</v>
      </c>
      <c r="P17" s="991" t="s">
        <v>2287</v>
      </c>
      <c r="Q17" s="992">
        <v>429600</v>
      </c>
      <c r="R17" s="44">
        <f t="shared" si="1"/>
        <v>68736</v>
      </c>
      <c r="S17" s="45">
        <f t="shared" si="2"/>
        <v>498336</v>
      </c>
      <c r="T17" s="46">
        <v>0</v>
      </c>
      <c r="U17" s="47">
        <f t="shared" si="3"/>
        <v>0</v>
      </c>
      <c r="V17" s="44">
        <f t="shared" si="4"/>
        <v>622920</v>
      </c>
      <c r="W17" s="993" t="s">
        <v>156</v>
      </c>
      <c r="X17" s="48">
        <v>43843</v>
      </c>
      <c r="Y17" s="39" t="s">
        <v>157</v>
      </c>
      <c r="Z17" s="48">
        <v>43839</v>
      </c>
      <c r="AA17" s="48" t="s">
        <v>2273</v>
      </c>
      <c r="AB17" s="38" t="s">
        <v>2076</v>
      </c>
      <c r="AC17" s="38"/>
      <c r="AD17" s="59" t="s">
        <v>2282</v>
      </c>
      <c r="AE17" s="59" t="s">
        <v>2288</v>
      </c>
      <c r="AF17" s="59"/>
      <c r="AG17" s="59"/>
      <c r="AH17" s="39"/>
      <c r="AI17" s="38" t="s">
        <v>2289</v>
      </c>
      <c r="AJ17" s="38" t="s">
        <v>2277</v>
      </c>
      <c r="AK17" s="50">
        <v>44196</v>
      </c>
      <c r="AL17" s="44">
        <f>107400*1.16</f>
        <v>124583.99999999999</v>
      </c>
      <c r="AM17" s="39" t="s">
        <v>2278</v>
      </c>
      <c r="AN17" s="39">
        <v>35201</v>
      </c>
      <c r="AO17" s="39" t="s">
        <v>183</v>
      </c>
      <c r="AP17" s="39" t="s">
        <v>157</v>
      </c>
      <c r="AQ17" s="39"/>
      <c r="AR17" s="39" t="s">
        <v>157</v>
      </c>
      <c r="AS17" s="39"/>
      <c r="AT17" s="39"/>
      <c r="AU17" s="51"/>
      <c r="AV17" s="50"/>
      <c r="AW17" s="38"/>
      <c r="AX17" s="52"/>
      <c r="AY17" s="173"/>
      <c r="AZ17" s="38"/>
      <c r="BA17" s="38" t="e">
        <f>VLOOKUP(I17,#REF!,2,0)</f>
        <v>#REF!</v>
      </c>
      <c r="BB17" s="71"/>
      <c r="BC17" s="59"/>
      <c r="BD17" s="39"/>
      <c r="BE17" s="39"/>
      <c r="BF17" s="39"/>
      <c r="BG17" s="39"/>
      <c r="BH17" s="59"/>
      <c r="BI17" s="39" t="e">
        <f>NETWORKDAYS(BF17,BG17,#REF!)</f>
        <v>#REF!</v>
      </c>
      <c r="BJ17" s="59"/>
      <c r="BK17" s="59"/>
      <c r="BL17" s="59"/>
      <c r="BM17" s="59"/>
      <c r="BN17" s="59"/>
      <c r="BO17" s="59"/>
      <c r="BP17" s="59"/>
      <c r="BQ17" s="62"/>
      <c r="BR17" s="66"/>
      <c r="BS17" s="70"/>
      <c r="BT17" s="62" t="s">
        <v>2285</v>
      </c>
      <c r="BU17" s="84"/>
      <c r="BV17" s="84"/>
      <c r="BW17" s="84"/>
      <c r="BX17" s="84"/>
      <c r="BY17" s="84"/>
    </row>
    <row r="18" spans="1:77" ht="51" x14ac:dyDescent="0.25">
      <c r="A18" s="38" t="s">
        <v>2290</v>
      </c>
      <c r="B18" s="39">
        <v>13</v>
      </c>
      <c r="C18" s="38" t="s">
        <v>225</v>
      </c>
      <c r="D18" s="40" t="s">
        <v>2291</v>
      </c>
      <c r="E18" s="39" t="s">
        <v>173</v>
      </c>
      <c r="F18" s="39" t="s">
        <v>326</v>
      </c>
      <c r="G18" s="39" t="s">
        <v>173</v>
      </c>
      <c r="H18" s="41"/>
      <c r="I18" s="41"/>
      <c r="J18" s="41" t="s">
        <v>2292</v>
      </c>
      <c r="K18" s="41" t="s">
        <v>393</v>
      </c>
      <c r="L18" s="41" t="s">
        <v>2293</v>
      </c>
      <c r="M18" s="42" t="str">
        <f t="shared" si="6"/>
        <v>Zaira Lizbeth Martínez Laurel</v>
      </c>
      <c r="N18" s="991" t="s">
        <v>198</v>
      </c>
      <c r="O18" s="991" t="s">
        <v>198</v>
      </c>
      <c r="P18" s="991" t="s">
        <v>2294</v>
      </c>
      <c r="Q18" s="992">
        <f>497143.65+68181.82</f>
        <v>565325.47</v>
      </c>
      <c r="R18" s="44">
        <f t="shared" si="1"/>
        <v>90452.075199999992</v>
      </c>
      <c r="S18" s="45">
        <f t="shared" si="2"/>
        <v>655777.54519999993</v>
      </c>
      <c r="T18" s="46">
        <f>245600.47+34669.36</f>
        <v>280269.83</v>
      </c>
      <c r="U18" s="47">
        <f t="shared" si="3"/>
        <v>325113.00280000002</v>
      </c>
      <c r="V18" s="44">
        <f t="shared" si="4"/>
        <v>655777.54519999993</v>
      </c>
      <c r="W18" s="993" t="s">
        <v>156</v>
      </c>
      <c r="X18" s="48">
        <v>43843</v>
      </c>
      <c r="Y18" s="39" t="s">
        <v>157</v>
      </c>
      <c r="Z18" s="48">
        <v>43839</v>
      </c>
      <c r="AA18" s="48">
        <v>44196</v>
      </c>
      <c r="AB18" s="38" t="s">
        <v>182</v>
      </c>
      <c r="AC18" s="38"/>
      <c r="AD18" s="59"/>
      <c r="AE18" s="59"/>
      <c r="AF18" s="59"/>
      <c r="AG18" s="59"/>
      <c r="AH18" s="39"/>
      <c r="AI18" s="38" t="s">
        <v>2295</v>
      </c>
      <c r="AJ18" s="38" t="s">
        <v>2296</v>
      </c>
      <c r="AK18" s="50">
        <v>44054</v>
      </c>
      <c r="AL18" s="44">
        <v>0</v>
      </c>
      <c r="AM18" s="39" t="str">
        <f ca="1">IF(ISBLANK(AA18),"",IF(AA18&gt;=TODAY(),"VIGENTE","MUERTO"))</f>
        <v>MUERTO</v>
      </c>
      <c r="AN18" s="39">
        <v>21601</v>
      </c>
      <c r="AO18" s="39" t="s">
        <v>183</v>
      </c>
      <c r="AP18" s="39" t="s">
        <v>157</v>
      </c>
      <c r="AQ18" s="39"/>
      <c r="AR18" s="39" t="s">
        <v>193</v>
      </c>
      <c r="AS18" s="39"/>
      <c r="AT18" s="39"/>
      <c r="AU18" s="51"/>
      <c r="AV18" s="50"/>
      <c r="AW18" s="38"/>
      <c r="AX18" s="52"/>
      <c r="AY18" s="173"/>
      <c r="AZ18" s="38"/>
      <c r="BA18" s="38" t="e">
        <f>VLOOKUP(I18,#REF!,2,0)</f>
        <v>#REF!</v>
      </c>
      <c r="BB18" s="71"/>
      <c r="BC18" s="59"/>
      <c r="BD18" s="39"/>
      <c r="BE18" s="39"/>
      <c r="BF18" s="39"/>
      <c r="BG18" s="39"/>
      <c r="BH18" s="59"/>
      <c r="BI18" s="39" t="e">
        <f>NETWORKDAYS(BF18,BG18,#REF!)</f>
        <v>#REF!</v>
      </c>
      <c r="BJ18" s="59"/>
      <c r="BK18" s="59"/>
      <c r="BL18" s="59"/>
      <c r="BM18" s="59"/>
      <c r="BN18" s="59"/>
      <c r="BO18" s="59"/>
      <c r="BP18" s="59"/>
      <c r="BQ18" s="62"/>
      <c r="BR18" s="66"/>
      <c r="BS18" s="70"/>
      <c r="BT18" s="62" t="s">
        <v>2297</v>
      </c>
      <c r="BU18" s="84"/>
      <c r="BV18" s="84"/>
      <c r="BW18" s="84"/>
      <c r="BX18" s="84"/>
      <c r="BY18" s="84"/>
    </row>
    <row r="19" spans="1:77" ht="51" x14ac:dyDescent="0.25">
      <c r="A19" s="38" t="s">
        <v>2298</v>
      </c>
      <c r="B19" s="39">
        <v>14</v>
      </c>
      <c r="C19" s="38" t="s">
        <v>225</v>
      </c>
      <c r="D19" s="40" t="s">
        <v>2291</v>
      </c>
      <c r="E19" s="39" t="s">
        <v>173</v>
      </c>
      <c r="F19" s="39" t="s">
        <v>326</v>
      </c>
      <c r="G19" s="39" t="s">
        <v>173</v>
      </c>
      <c r="H19" s="41"/>
      <c r="I19" s="41" t="s">
        <v>1347</v>
      </c>
      <c r="J19" s="41"/>
      <c r="K19" s="41"/>
      <c r="L19" s="41"/>
      <c r="M19" s="42" t="str">
        <f t="shared" si="6"/>
        <v xml:space="preserve">Cocina y Aseo Institucional, S.A. de C.V.  </v>
      </c>
      <c r="N19" s="991" t="s">
        <v>198</v>
      </c>
      <c r="O19" s="991" t="s">
        <v>198</v>
      </c>
      <c r="P19" s="991" t="s">
        <v>2299</v>
      </c>
      <c r="Q19" s="992">
        <v>1573708.84</v>
      </c>
      <c r="R19" s="44">
        <f t="shared" si="1"/>
        <v>251793.41440000001</v>
      </c>
      <c r="S19" s="45">
        <f t="shared" si="2"/>
        <v>1825502.2544</v>
      </c>
      <c r="T19" s="46">
        <v>705675.54</v>
      </c>
      <c r="U19" s="47">
        <f t="shared" si="3"/>
        <v>818583.62640000007</v>
      </c>
      <c r="V19" s="44">
        <f t="shared" si="4"/>
        <v>1825502.2544</v>
      </c>
      <c r="W19" s="993" t="s">
        <v>156</v>
      </c>
      <c r="X19" s="48">
        <v>43843</v>
      </c>
      <c r="Y19" s="39" t="s">
        <v>157</v>
      </c>
      <c r="Z19" s="48">
        <v>43839</v>
      </c>
      <c r="AA19" s="48">
        <v>44196</v>
      </c>
      <c r="AB19" s="38" t="s">
        <v>182</v>
      </c>
      <c r="AC19" s="38"/>
      <c r="AD19" s="59"/>
      <c r="AE19" s="59"/>
      <c r="AF19" s="59"/>
      <c r="AG19" s="59"/>
      <c r="AH19" s="39"/>
      <c r="AI19" s="38"/>
      <c r="AJ19" s="38"/>
      <c r="AK19" s="50"/>
      <c r="AL19" s="44"/>
      <c r="AM19" s="39" t="str">
        <f ca="1">IF(ISBLANK(AA19),"",IF(AA19&gt;=TODAY(),"VIGENTE","MUERTO"))</f>
        <v>MUERTO</v>
      </c>
      <c r="AN19" s="39">
        <v>21601</v>
      </c>
      <c r="AO19" s="39" t="s">
        <v>183</v>
      </c>
      <c r="AP19" s="39" t="s">
        <v>157</v>
      </c>
      <c r="AQ19" s="39"/>
      <c r="AR19" s="39" t="s">
        <v>157</v>
      </c>
      <c r="AS19" s="39"/>
      <c r="AT19" s="39"/>
      <c r="AU19" s="51"/>
      <c r="AV19" s="50"/>
      <c r="AW19" s="38"/>
      <c r="AX19" s="52"/>
      <c r="AY19" s="173"/>
      <c r="AZ19" s="38"/>
      <c r="BA19" s="38" t="e">
        <f>VLOOKUP(I19,#REF!,2,0)</f>
        <v>#REF!</v>
      </c>
      <c r="BB19" s="71"/>
      <c r="BC19" s="59"/>
      <c r="BD19" s="39"/>
      <c r="BE19" s="39"/>
      <c r="BF19" s="39"/>
      <c r="BG19" s="39"/>
      <c r="BH19" s="59"/>
      <c r="BI19" s="39" t="e">
        <f>NETWORKDAYS(BF19,BG19,#REF!)</f>
        <v>#REF!</v>
      </c>
      <c r="BJ19" s="59"/>
      <c r="BK19" s="59"/>
      <c r="BL19" s="59"/>
      <c r="BM19" s="59"/>
      <c r="BN19" s="59"/>
      <c r="BO19" s="59"/>
      <c r="BP19" s="59"/>
      <c r="BQ19" s="62"/>
      <c r="BR19" s="66"/>
      <c r="BS19" s="70"/>
      <c r="BT19" s="62" t="s">
        <v>2300</v>
      </c>
      <c r="BU19" s="84"/>
      <c r="BV19" s="84"/>
      <c r="BW19" s="84"/>
      <c r="BX19" s="84"/>
      <c r="BY19" s="84"/>
    </row>
    <row r="20" spans="1:77" ht="150" x14ac:dyDescent="0.25">
      <c r="A20" s="38" t="s">
        <v>2301</v>
      </c>
      <c r="B20" s="39">
        <v>15</v>
      </c>
      <c r="C20" s="38" t="s">
        <v>149</v>
      </c>
      <c r="D20" s="40" t="s">
        <v>2270</v>
      </c>
      <c r="E20" s="39" t="s">
        <v>173</v>
      </c>
      <c r="F20" s="39" t="s">
        <v>326</v>
      </c>
      <c r="G20" s="39" t="s">
        <v>173</v>
      </c>
      <c r="H20" s="41"/>
      <c r="I20" s="41"/>
      <c r="J20" s="41" t="s">
        <v>2302</v>
      </c>
      <c r="K20" s="41" t="s">
        <v>2303</v>
      </c>
      <c r="L20" s="41" t="s">
        <v>260</v>
      </c>
      <c r="M20" s="42" t="str">
        <f t="shared" si="6"/>
        <v>Aureliano  Contreras  Morales</v>
      </c>
      <c r="N20" s="991" t="s">
        <v>179</v>
      </c>
      <c r="O20" s="991" t="s">
        <v>179</v>
      </c>
      <c r="P20" s="991" t="s">
        <v>2304</v>
      </c>
      <c r="Q20" s="992">
        <v>481200</v>
      </c>
      <c r="R20" s="44">
        <f t="shared" si="1"/>
        <v>76992</v>
      </c>
      <c r="S20" s="45">
        <f t="shared" si="2"/>
        <v>558192</v>
      </c>
      <c r="T20" s="46">
        <v>0</v>
      </c>
      <c r="U20" s="47">
        <f t="shared" si="3"/>
        <v>0</v>
      </c>
      <c r="V20" s="44">
        <f t="shared" si="4"/>
        <v>697740</v>
      </c>
      <c r="W20" s="993" t="s">
        <v>156</v>
      </c>
      <c r="X20" s="48">
        <v>43843</v>
      </c>
      <c r="Y20" s="39" t="s">
        <v>157</v>
      </c>
      <c r="Z20" s="48">
        <v>43839</v>
      </c>
      <c r="AA20" s="48" t="s">
        <v>2273</v>
      </c>
      <c r="AB20" s="38" t="s">
        <v>2076</v>
      </c>
      <c r="AC20" s="38" t="s">
        <v>2274</v>
      </c>
      <c r="AD20" s="59" t="s">
        <v>2305</v>
      </c>
      <c r="AE20" s="59" t="s">
        <v>2306</v>
      </c>
      <c r="AF20" s="59"/>
      <c r="AG20" s="59"/>
      <c r="AH20" s="39"/>
      <c r="AI20" s="38" t="s">
        <v>2307</v>
      </c>
      <c r="AJ20" s="38" t="s">
        <v>2277</v>
      </c>
      <c r="AK20" s="50">
        <v>44196</v>
      </c>
      <c r="AL20" s="44">
        <f>120300*1.16</f>
        <v>139548</v>
      </c>
      <c r="AM20" s="39" t="s">
        <v>2278</v>
      </c>
      <c r="AN20" s="39">
        <v>35101</v>
      </c>
      <c r="AO20" s="39" t="s">
        <v>183</v>
      </c>
      <c r="AP20" s="39" t="s">
        <v>157</v>
      </c>
      <c r="AQ20" s="39"/>
      <c r="AR20" s="39" t="s">
        <v>157</v>
      </c>
      <c r="AS20" s="39"/>
      <c r="AT20" s="39"/>
      <c r="AU20" s="51"/>
      <c r="AV20" s="50"/>
      <c r="AW20" s="38"/>
      <c r="AX20" s="52"/>
      <c r="AY20" s="173"/>
      <c r="AZ20" s="38"/>
      <c r="BA20" s="38" t="e">
        <f>VLOOKUP(I20,#REF!,2,0)</f>
        <v>#REF!</v>
      </c>
      <c r="BB20" s="71"/>
      <c r="BC20" s="59"/>
      <c r="BD20" s="39"/>
      <c r="BE20" s="39"/>
      <c r="BF20" s="39"/>
      <c r="BG20" s="39"/>
      <c r="BH20" s="59"/>
      <c r="BI20" s="39" t="e">
        <f>NETWORKDAYS(BF20,BG20,#REF!)</f>
        <v>#REF!</v>
      </c>
      <c r="BJ20" s="59"/>
      <c r="BK20" s="59"/>
      <c r="BL20" s="59"/>
      <c r="BM20" s="59">
        <v>44246</v>
      </c>
      <c r="BN20" s="59"/>
      <c r="BO20" s="59"/>
      <c r="BP20" s="59"/>
      <c r="BQ20" s="62"/>
      <c r="BR20" s="66"/>
      <c r="BS20" s="70"/>
      <c r="BT20" s="62" t="s">
        <v>2308</v>
      </c>
      <c r="BU20" s="84"/>
      <c r="BV20" s="84"/>
      <c r="BW20" s="84"/>
      <c r="BX20" s="84"/>
      <c r="BY20" s="84"/>
    </row>
    <row r="21" spans="1:77" ht="51" x14ac:dyDescent="0.25">
      <c r="A21" s="38" t="s">
        <v>2309</v>
      </c>
      <c r="B21" s="39">
        <v>16</v>
      </c>
      <c r="C21" s="38" t="s">
        <v>225</v>
      </c>
      <c r="D21" s="40" t="s">
        <v>2291</v>
      </c>
      <c r="E21" s="39" t="s">
        <v>173</v>
      </c>
      <c r="F21" s="39" t="s">
        <v>326</v>
      </c>
      <c r="G21" s="39" t="s">
        <v>173</v>
      </c>
      <c r="H21" s="41"/>
      <c r="I21" s="41" t="s">
        <v>2310</v>
      </c>
      <c r="J21" s="41"/>
      <c r="K21" s="41"/>
      <c r="L21" s="41"/>
      <c r="M21" s="42" t="str">
        <f t="shared" si="6"/>
        <v xml:space="preserve">Sanipap de México, S.A. de C.V.  </v>
      </c>
      <c r="N21" s="991" t="s">
        <v>198</v>
      </c>
      <c r="O21" s="991" t="s">
        <v>198</v>
      </c>
      <c r="P21" s="991" t="s">
        <v>2311</v>
      </c>
      <c r="Q21" s="992">
        <v>2233439.2200000002</v>
      </c>
      <c r="R21" s="44">
        <f t="shared" si="1"/>
        <v>357350.27520000003</v>
      </c>
      <c r="S21" s="45">
        <f t="shared" si="2"/>
        <v>2590789.4952000002</v>
      </c>
      <c r="T21" s="46">
        <v>938044.48</v>
      </c>
      <c r="U21" s="47">
        <f t="shared" si="3"/>
        <v>1088131.5967999999</v>
      </c>
      <c r="V21" s="44">
        <f t="shared" si="4"/>
        <v>2590789.4952000002</v>
      </c>
      <c r="W21" s="993" t="s">
        <v>156</v>
      </c>
      <c r="X21" s="48">
        <v>43843</v>
      </c>
      <c r="Y21" s="39" t="s">
        <v>157</v>
      </c>
      <c r="Z21" s="48">
        <v>43839</v>
      </c>
      <c r="AA21" s="48">
        <v>44196</v>
      </c>
      <c r="AB21" s="38" t="s">
        <v>182</v>
      </c>
      <c r="AC21" s="38"/>
      <c r="AD21" s="59"/>
      <c r="AE21" s="59"/>
      <c r="AF21" s="59"/>
      <c r="AG21" s="59"/>
      <c r="AH21" s="39"/>
      <c r="AI21" s="38"/>
      <c r="AJ21" s="38"/>
      <c r="AK21" s="50"/>
      <c r="AL21" s="44"/>
      <c r="AM21" s="39" t="str">
        <f ca="1">IF(ISBLANK(AA21),"",IF(AA21&gt;=TODAY(),"VIGENTE","MUERTO"))</f>
        <v>MUERTO</v>
      </c>
      <c r="AN21" s="39">
        <v>21601</v>
      </c>
      <c r="AO21" s="39" t="s">
        <v>183</v>
      </c>
      <c r="AP21" s="39" t="s">
        <v>157</v>
      </c>
      <c r="AQ21" s="39"/>
      <c r="AR21" s="39" t="s">
        <v>157</v>
      </c>
      <c r="AS21" s="39"/>
      <c r="AT21" s="39"/>
      <c r="AU21" s="51"/>
      <c r="AV21" s="50"/>
      <c r="AW21" s="38"/>
      <c r="AX21" s="52"/>
      <c r="AY21" s="173"/>
      <c r="AZ21" s="38"/>
      <c r="BA21" s="38" t="e">
        <f>VLOOKUP(I21,#REF!,2,0)</f>
        <v>#REF!</v>
      </c>
      <c r="BB21" s="71"/>
      <c r="BC21" s="59"/>
      <c r="BD21" s="39"/>
      <c r="BE21" s="39"/>
      <c r="BF21" s="39"/>
      <c r="BG21" s="39"/>
      <c r="BH21" s="59"/>
      <c r="BI21" s="39" t="e">
        <f>NETWORKDAYS(BF21,BG21,#REF!)</f>
        <v>#REF!</v>
      </c>
      <c r="BJ21" s="59"/>
      <c r="BK21" s="59"/>
      <c r="BL21" s="59"/>
      <c r="BM21" s="59"/>
      <c r="BN21" s="59"/>
      <c r="BO21" s="59"/>
      <c r="BP21" s="59"/>
      <c r="BQ21" s="62"/>
      <c r="BR21" s="66"/>
      <c r="BS21" s="70"/>
      <c r="BT21" s="62" t="s">
        <v>2265</v>
      </c>
      <c r="BU21" s="84"/>
      <c r="BV21" s="84"/>
      <c r="BW21" s="84"/>
      <c r="BX21" s="84"/>
      <c r="BY21" s="84"/>
    </row>
    <row r="22" spans="1:77" ht="60" x14ac:dyDescent="0.25">
      <c r="A22" s="38" t="s">
        <v>2312</v>
      </c>
      <c r="B22" s="39">
        <v>17</v>
      </c>
      <c r="C22" s="38" t="s">
        <v>149</v>
      </c>
      <c r="D22" s="40" t="s">
        <v>2313</v>
      </c>
      <c r="E22" s="39" t="s">
        <v>173</v>
      </c>
      <c r="F22" s="39" t="s">
        <v>326</v>
      </c>
      <c r="G22" s="39" t="s">
        <v>173</v>
      </c>
      <c r="H22" s="41"/>
      <c r="I22" s="41" t="s">
        <v>2314</v>
      </c>
      <c r="J22" s="41"/>
      <c r="K22" s="41"/>
      <c r="L22" s="41"/>
      <c r="M22" s="42" t="str">
        <f t="shared" si="6"/>
        <v xml:space="preserve">C.T.C. de México, S.A. de C.V.  </v>
      </c>
      <c r="N22" s="991" t="s">
        <v>179</v>
      </c>
      <c r="O22" s="991" t="s">
        <v>179</v>
      </c>
      <c r="P22" s="991" t="s">
        <v>2315</v>
      </c>
      <c r="Q22" s="992">
        <v>4920000</v>
      </c>
      <c r="R22" s="44">
        <v>0</v>
      </c>
      <c r="S22" s="45">
        <f t="shared" si="2"/>
        <v>4920000</v>
      </c>
      <c r="T22" s="46">
        <v>3240000</v>
      </c>
      <c r="U22" s="47">
        <v>3240000</v>
      </c>
      <c r="V22" s="44">
        <f t="shared" si="4"/>
        <v>4920000</v>
      </c>
      <c r="W22" s="993" t="s">
        <v>156</v>
      </c>
      <c r="X22" s="48">
        <v>43846</v>
      </c>
      <c r="Y22" s="39" t="s">
        <v>157</v>
      </c>
      <c r="Z22" s="48">
        <v>43843</v>
      </c>
      <c r="AA22" s="48">
        <v>44196</v>
      </c>
      <c r="AB22" s="38" t="s">
        <v>2076</v>
      </c>
      <c r="AC22" s="38"/>
      <c r="AD22" s="59"/>
      <c r="AE22" s="59"/>
      <c r="AF22" s="59"/>
      <c r="AG22" s="59"/>
      <c r="AH22" s="39"/>
      <c r="AI22" s="38" t="s">
        <v>2316</v>
      </c>
      <c r="AJ22" s="38" t="s">
        <v>2317</v>
      </c>
      <c r="AK22" s="50">
        <v>44112</v>
      </c>
      <c r="AL22" s="44">
        <v>0</v>
      </c>
      <c r="AM22" s="39" t="str">
        <f ca="1">IF(ISBLANK(AA22),"",IF(AA22&gt;=TODAY(),"VIGENTE","MUERTO"))</f>
        <v>MUERTO</v>
      </c>
      <c r="AN22" s="39">
        <v>21501</v>
      </c>
      <c r="AO22" s="39" t="s">
        <v>183</v>
      </c>
      <c r="AP22" s="39" t="s">
        <v>157</v>
      </c>
      <c r="AQ22" s="39"/>
      <c r="AR22" s="39" t="s">
        <v>157</v>
      </c>
      <c r="AS22" s="39"/>
      <c r="AT22" s="39"/>
      <c r="AU22" s="51"/>
      <c r="AV22" s="50"/>
      <c r="AW22" s="38"/>
      <c r="AX22" s="52"/>
      <c r="AY22" s="173"/>
      <c r="AZ22" s="38"/>
      <c r="BA22" s="38" t="e">
        <f>VLOOKUP(I22,#REF!,2,0)</f>
        <v>#REF!</v>
      </c>
      <c r="BB22" s="71"/>
      <c r="BC22" s="59"/>
      <c r="BD22" s="39"/>
      <c r="BE22" s="39"/>
      <c r="BF22" s="39"/>
      <c r="BG22" s="39"/>
      <c r="BH22" s="59"/>
      <c r="BI22" s="39" t="e">
        <f>NETWORKDAYS(BF22,BG22,#REF!)</f>
        <v>#REF!</v>
      </c>
      <c r="BJ22" s="59"/>
      <c r="BK22" s="59"/>
      <c r="BL22" s="59"/>
      <c r="BM22" s="59"/>
      <c r="BN22" s="59"/>
      <c r="BO22" s="59"/>
      <c r="BP22" s="59"/>
      <c r="BQ22" s="62"/>
      <c r="BR22" s="66"/>
      <c r="BS22" s="70"/>
      <c r="BT22" s="62" t="s">
        <v>2318</v>
      </c>
      <c r="BU22" s="84"/>
      <c r="BV22" s="84"/>
      <c r="BW22" s="84"/>
      <c r="BX22" s="84"/>
      <c r="BY22" s="84"/>
    </row>
    <row r="23" spans="1:77" ht="60" x14ac:dyDescent="0.25">
      <c r="A23" s="38" t="s">
        <v>2319</v>
      </c>
      <c r="B23" s="39">
        <v>18</v>
      </c>
      <c r="C23" s="38" t="s">
        <v>149</v>
      </c>
      <c r="D23" s="40" t="s">
        <v>2320</v>
      </c>
      <c r="E23" s="39" t="s">
        <v>173</v>
      </c>
      <c r="F23" s="39" t="s">
        <v>326</v>
      </c>
      <c r="G23" s="39" t="s">
        <v>173</v>
      </c>
      <c r="H23" s="41"/>
      <c r="I23" s="41" t="s">
        <v>2079</v>
      </c>
      <c r="J23" s="41"/>
      <c r="K23" s="41"/>
      <c r="L23" s="41"/>
      <c r="M23" s="42" t="str">
        <f t="shared" si="6"/>
        <v xml:space="preserve">Unified Networks, S.A. de C.V.  </v>
      </c>
      <c r="N23" s="991" t="s">
        <v>656</v>
      </c>
      <c r="O23" s="991" t="s">
        <v>209</v>
      </c>
      <c r="P23" s="991" t="s">
        <v>2321</v>
      </c>
      <c r="Q23" s="992">
        <v>6783716.8799999999</v>
      </c>
      <c r="R23" s="44">
        <f>Q23*0.16</f>
        <v>1085394.7008</v>
      </c>
      <c r="S23" s="45">
        <f t="shared" si="2"/>
        <v>7869111.5807999996</v>
      </c>
      <c r="T23" s="46">
        <v>0</v>
      </c>
      <c r="U23" s="47">
        <f>(T23*0.16)+(T23)</f>
        <v>0</v>
      </c>
      <c r="V23" s="44">
        <f t="shared" si="4"/>
        <v>7869111.5807999996</v>
      </c>
      <c r="W23" s="993" t="s">
        <v>156</v>
      </c>
      <c r="X23" s="48">
        <v>43854</v>
      </c>
      <c r="Y23" s="39" t="s">
        <v>157</v>
      </c>
      <c r="Z23" s="48">
        <v>43846</v>
      </c>
      <c r="AA23" s="48">
        <v>44196</v>
      </c>
      <c r="AB23" s="38" t="s">
        <v>2033</v>
      </c>
      <c r="AC23" s="38"/>
      <c r="AD23" s="59"/>
      <c r="AE23" s="59"/>
      <c r="AF23" s="59"/>
      <c r="AG23" s="59"/>
      <c r="AH23" s="39"/>
      <c r="AI23" s="38"/>
      <c r="AJ23" s="38"/>
      <c r="AK23" s="50"/>
      <c r="AL23" s="44"/>
      <c r="AM23" s="39" t="str">
        <f ca="1">IF(ISBLANK(AA23),"",IF(AA23&gt;=TODAY(),"VIGENTE","MUERTO"))</f>
        <v>MUERTO</v>
      </c>
      <c r="AN23" s="39">
        <v>33304</v>
      </c>
      <c r="AO23" s="39" t="s">
        <v>183</v>
      </c>
      <c r="AP23" s="39" t="s">
        <v>157</v>
      </c>
      <c r="AQ23" s="39"/>
      <c r="AR23" s="39" t="s">
        <v>157</v>
      </c>
      <c r="AS23" s="39"/>
      <c r="AT23" s="39"/>
      <c r="AU23" s="51"/>
      <c r="AV23" s="50"/>
      <c r="AW23" s="38"/>
      <c r="AX23" s="52"/>
      <c r="AY23" s="173"/>
      <c r="AZ23" s="38"/>
      <c r="BA23" s="38" t="e">
        <f>VLOOKUP(I23,#REF!,2,0)</f>
        <v>#REF!</v>
      </c>
      <c r="BB23" s="71"/>
      <c r="BC23" s="59"/>
      <c r="BD23" s="39"/>
      <c r="BE23" s="39"/>
      <c r="BF23" s="39"/>
      <c r="BG23" s="39"/>
      <c r="BH23" s="59"/>
      <c r="BI23" s="39" t="e">
        <f>NETWORKDAYS(BF23,BG23,#REF!)</f>
        <v>#REF!</v>
      </c>
      <c r="BJ23" s="59"/>
      <c r="BK23" s="59"/>
      <c r="BL23" s="59"/>
      <c r="BM23" s="59"/>
      <c r="BN23" s="59"/>
      <c r="BO23" s="59"/>
      <c r="BP23" s="59"/>
      <c r="BQ23" s="62"/>
      <c r="BR23" s="66"/>
      <c r="BS23" s="70"/>
      <c r="BT23" s="62" t="s">
        <v>2245</v>
      </c>
      <c r="BU23" s="84"/>
      <c r="BV23" s="84"/>
      <c r="BW23" s="84"/>
      <c r="BX23" s="84"/>
      <c r="BY23" s="84"/>
    </row>
    <row r="24" spans="1:77" ht="60" x14ac:dyDescent="0.25">
      <c r="A24" s="38" t="s">
        <v>2322</v>
      </c>
      <c r="B24" s="39">
        <v>19</v>
      </c>
      <c r="C24" s="38" t="s">
        <v>225</v>
      </c>
      <c r="D24" s="40" t="s">
        <v>2323</v>
      </c>
      <c r="E24" s="39" t="s">
        <v>173</v>
      </c>
      <c r="F24" s="39" t="s">
        <v>326</v>
      </c>
      <c r="G24" s="39" t="s">
        <v>173</v>
      </c>
      <c r="H24" s="41"/>
      <c r="I24" s="41" t="s">
        <v>2324</v>
      </c>
      <c r="J24" s="41"/>
      <c r="K24" s="41"/>
      <c r="L24" s="41"/>
      <c r="M24" s="42" t="str">
        <f t="shared" si="6"/>
        <v xml:space="preserve">Farvisan Insumos Institucionales, S.A. de C.V.  </v>
      </c>
      <c r="N24" s="991" t="s">
        <v>190</v>
      </c>
      <c r="O24" s="991" t="s">
        <v>190</v>
      </c>
      <c r="P24" s="991" t="s">
        <v>2325</v>
      </c>
      <c r="Q24" s="992">
        <v>1400000</v>
      </c>
      <c r="R24" s="44">
        <f>Q24*0.16</f>
        <v>224000</v>
      </c>
      <c r="S24" s="45">
        <f t="shared" si="2"/>
        <v>1624000</v>
      </c>
      <c r="T24" s="46">
        <v>100000</v>
      </c>
      <c r="U24" s="47">
        <f>(T24*0.16)+(T24)</f>
        <v>116000</v>
      </c>
      <c r="V24" s="44">
        <f t="shared" si="4"/>
        <v>1624000</v>
      </c>
      <c r="W24" s="993" t="s">
        <v>156</v>
      </c>
      <c r="X24" s="48">
        <v>43852</v>
      </c>
      <c r="Y24" s="39" t="s">
        <v>157</v>
      </c>
      <c r="Z24" s="48">
        <v>43847</v>
      </c>
      <c r="AA24" s="48">
        <v>44196</v>
      </c>
      <c r="AB24" s="38" t="s">
        <v>182</v>
      </c>
      <c r="AC24" s="38"/>
      <c r="AD24" s="59"/>
      <c r="AE24" s="59"/>
      <c r="AF24" s="59"/>
      <c r="AG24" s="59"/>
      <c r="AH24" s="39"/>
      <c r="AI24" s="38"/>
      <c r="AJ24" s="38"/>
      <c r="AK24" s="50"/>
      <c r="AL24" s="44"/>
      <c r="AM24" s="39" t="str">
        <f ca="1">IF(ISBLANK(AA24),"",IF(AA24&gt;=TODAY(),"VIGENTE","MUERTO"))</f>
        <v>MUERTO</v>
      </c>
      <c r="AN24" s="39">
        <v>22104</v>
      </c>
      <c r="AO24" s="39" t="s">
        <v>183</v>
      </c>
      <c r="AP24" s="39" t="s">
        <v>157</v>
      </c>
      <c r="AQ24" s="39"/>
      <c r="AR24" s="39" t="s">
        <v>157</v>
      </c>
      <c r="AS24" s="39"/>
      <c r="AT24" s="39"/>
      <c r="AU24" s="51"/>
      <c r="AV24" s="50"/>
      <c r="AW24" s="38"/>
      <c r="AX24" s="52"/>
      <c r="AY24" s="173"/>
      <c r="AZ24" s="38"/>
      <c r="BA24" s="38" t="e">
        <f>VLOOKUP(I24,#REF!,2,0)</f>
        <v>#REF!</v>
      </c>
      <c r="BB24" s="71"/>
      <c r="BC24" s="59"/>
      <c r="BD24" s="39"/>
      <c r="BE24" s="39"/>
      <c r="BF24" s="39"/>
      <c r="BG24" s="39"/>
      <c r="BH24" s="59"/>
      <c r="BI24" s="39" t="e">
        <f>NETWORKDAYS(BF24,BG24,#REF!)</f>
        <v>#REF!</v>
      </c>
      <c r="BJ24" s="59"/>
      <c r="BK24" s="59"/>
      <c r="BL24" s="59"/>
      <c r="BM24" s="59"/>
      <c r="BN24" s="59"/>
      <c r="BO24" s="59"/>
      <c r="BP24" s="59"/>
      <c r="BQ24" s="62"/>
      <c r="BR24" s="66"/>
      <c r="BS24" s="70"/>
      <c r="BT24" s="62" t="s">
        <v>2326</v>
      </c>
      <c r="BU24" s="84"/>
      <c r="BV24" s="84"/>
      <c r="BW24" s="84"/>
      <c r="BX24" s="84"/>
      <c r="BY24" s="84"/>
    </row>
    <row r="25" spans="1:77" ht="75" x14ac:dyDescent="0.25">
      <c r="A25" s="38" t="s">
        <v>2327</v>
      </c>
      <c r="B25" s="39">
        <v>20</v>
      </c>
      <c r="C25" s="38" t="s">
        <v>225</v>
      </c>
      <c r="D25" s="40" t="s">
        <v>2323</v>
      </c>
      <c r="E25" s="39" t="s">
        <v>173</v>
      </c>
      <c r="F25" s="39" t="s">
        <v>326</v>
      </c>
      <c r="G25" s="39" t="s">
        <v>173</v>
      </c>
      <c r="H25" s="41"/>
      <c r="I25" s="41"/>
      <c r="J25" s="41" t="s">
        <v>2328</v>
      </c>
      <c r="K25" s="41" t="s">
        <v>2303</v>
      </c>
      <c r="L25" s="41" t="s">
        <v>1571</v>
      </c>
      <c r="M25" s="42" t="str">
        <f t="shared" si="6"/>
        <v>Maria Bertha Guillermina Patricia Contreras  Espinosa</v>
      </c>
      <c r="N25" s="991" t="s">
        <v>270</v>
      </c>
      <c r="O25" s="991" t="s">
        <v>270</v>
      </c>
      <c r="P25" s="991" t="s">
        <v>2329</v>
      </c>
      <c r="Q25" s="992">
        <v>932699.5</v>
      </c>
      <c r="R25" s="44">
        <f>Q25*0.16</f>
        <v>149231.92000000001</v>
      </c>
      <c r="S25" s="45">
        <f t="shared" ref="S25:S49" si="7">Q25+R25</f>
        <v>1081931.42</v>
      </c>
      <c r="T25" s="46">
        <v>373079.8</v>
      </c>
      <c r="U25" s="47">
        <f>(T25*0.16)+(T25)</f>
        <v>432772.56799999997</v>
      </c>
      <c r="V25" s="44">
        <f t="shared" ref="V25:V49" si="8">S25+AL25</f>
        <v>1081931.42</v>
      </c>
      <c r="W25" s="993" t="s">
        <v>156</v>
      </c>
      <c r="X25" s="48">
        <v>43852</v>
      </c>
      <c r="Y25" s="39" t="s">
        <v>157</v>
      </c>
      <c r="Z25" s="48">
        <v>43847</v>
      </c>
      <c r="AA25" s="48">
        <v>44196</v>
      </c>
      <c r="AB25" s="38" t="s">
        <v>182</v>
      </c>
      <c r="AC25" s="38"/>
      <c r="AD25" s="59">
        <v>43917</v>
      </c>
      <c r="AE25" s="59" t="s">
        <v>161</v>
      </c>
      <c r="AF25" s="59" t="s">
        <v>161</v>
      </c>
      <c r="AG25" s="59" t="s">
        <v>161</v>
      </c>
      <c r="AH25" s="39" t="s">
        <v>183</v>
      </c>
      <c r="AI25" s="38" t="s">
        <v>2330</v>
      </c>
      <c r="AJ25" s="38" t="s">
        <v>2331</v>
      </c>
      <c r="AK25" s="50">
        <v>44116</v>
      </c>
      <c r="AL25" s="44">
        <v>0</v>
      </c>
      <c r="AM25" s="39" t="str">
        <f ca="1">IF(ISBLANK(AA25),"",IF(AA25&gt;=TODAY(),"VIGENTE","MUERTO"))</f>
        <v>MUERTO</v>
      </c>
      <c r="AN25" s="39">
        <v>22104</v>
      </c>
      <c r="AO25" s="39" t="s">
        <v>183</v>
      </c>
      <c r="AP25" s="39" t="s">
        <v>157</v>
      </c>
      <c r="AQ25" s="39"/>
      <c r="AR25" s="39" t="s">
        <v>157</v>
      </c>
      <c r="AS25" s="39"/>
      <c r="AT25" s="39"/>
      <c r="AU25" s="51"/>
      <c r="AV25" s="50"/>
      <c r="AW25" s="38"/>
      <c r="AX25" s="52"/>
      <c r="AY25" s="173"/>
      <c r="AZ25" s="38"/>
      <c r="BA25" s="38" t="e">
        <f>VLOOKUP(I25,#REF!,2,0)</f>
        <v>#REF!</v>
      </c>
      <c r="BB25" s="71"/>
      <c r="BC25" s="59"/>
      <c r="BD25" s="39"/>
      <c r="BE25" s="39"/>
      <c r="BF25" s="39"/>
      <c r="BG25" s="39"/>
      <c r="BH25" s="59"/>
      <c r="BI25" s="39" t="e">
        <f>NETWORKDAYS(BF25,BG25,#REF!)</f>
        <v>#REF!</v>
      </c>
      <c r="BJ25" s="59"/>
      <c r="BK25" s="59"/>
      <c r="BL25" s="59"/>
      <c r="BM25" s="59"/>
      <c r="BN25" s="59"/>
      <c r="BO25" s="59"/>
      <c r="BP25" s="59"/>
      <c r="BQ25" s="62"/>
      <c r="BR25" s="66"/>
      <c r="BS25" s="70"/>
      <c r="BT25" s="62" t="s">
        <v>2332</v>
      </c>
      <c r="BU25" s="84"/>
      <c r="BV25" s="84"/>
      <c r="BW25" s="84"/>
      <c r="BX25" s="84"/>
      <c r="BY25" s="84"/>
    </row>
    <row r="26" spans="1:77" ht="255" x14ac:dyDescent="0.25">
      <c r="A26" s="38" t="s">
        <v>2333</v>
      </c>
      <c r="B26" s="39">
        <v>21</v>
      </c>
      <c r="C26" s="38" t="s">
        <v>225</v>
      </c>
      <c r="D26" s="40" t="s">
        <v>2334</v>
      </c>
      <c r="E26" s="39" t="s">
        <v>151</v>
      </c>
      <c r="F26" s="39" t="s">
        <v>152</v>
      </c>
      <c r="G26" s="39" t="s">
        <v>151</v>
      </c>
      <c r="H26" s="41"/>
      <c r="I26" s="41" t="s">
        <v>1273</v>
      </c>
      <c r="J26" s="41"/>
      <c r="K26" s="41"/>
      <c r="L26" s="41"/>
      <c r="M26" s="42" t="str">
        <f t="shared" ref="M26:M54" si="9">I26&amp;J26&amp;" "&amp;K26&amp;" "&amp;L26</f>
        <v xml:space="preserve">Industria de Refrescos, S. de R.L. de C.V.  </v>
      </c>
      <c r="N26" s="991" t="s">
        <v>198</v>
      </c>
      <c r="O26" s="991" t="s">
        <v>198</v>
      </c>
      <c r="P26" s="991" t="s">
        <v>2335</v>
      </c>
      <c r="Q26" s="992">
        <v>673500</v>
      </c>
      <c r="R26" s="44">
        <v>0</v>
      </c>
      <c r="S26" s="45">
        <f t="shared" si="7"/>
        <v>673500</v>
      </c>
      <c r="T26" s="46">
        <v>223200</v>
      </c>
      <c r="U26" s="47">
        <v>223200</v>
      </c>
      <c r="V26" s="44">
        <f t="shared" si="8"/>
        <v>673500</v>
      </c>
      <c r="W26" s="993" t="s">
        <v>156</v>
      </c>
      <c r="X26" s="48">
        <v>43871</v>
      </c>
      <c r="Y26" s="39" t="s">
        <v>234</v>
      </c>
      <c r="Z26" s="48">
        <v>43891</v>
      </c>
      <c r="AA26" s="48" t="s">
        <v>2336</v>
      </c>
      <c r="AB26" s="38" t="s">
        <v>182</v>
      </c>
      <c r="AC26" s="38" t="s">
        <v>2337</v>
      </c>
      <c r="AD26" s="59" t="s">
        <v>2338</v>
      </c>
      <c r="AE26" s="59" t="s">
        <v>161</v>
      </c>
      <c r="AF26" s="59" t="s">
        <v>161</v>
      </c>
      <c r="AG26" s="59" t="s">
        <v>161</v>
      </c>
      <c r="AH26" s="39" t="s">
        <v>183</v>
      </c>
      <c r="AI26" s="38" t="s">
        <v>2339</v>
      </c>
      <c r="AJ26" s="38" t="s">
        <v>2340</v>
      </c>
      <c r="AK26" s="50">
        <v>44196</v>
      </c>
      <c r="AL26" s="44">
        <v>0</v>
      </c>
      <c r="AM26" s="39" t="s">
        <v>1388</v>
      </c>
      <c r="AN26" s="39">
        <v>22104</v>
      </c>
      <c r="AO26" s="39" t="s">
        <v>183</v>
      </c>
      <c r="AP26" s="39" t="s">
        <v>234</v>
      </c>
      <c r="AQ26" s="39"/>
      <c r="AR26" s="39" t="s">
        <v>234</v>
      </c>
      <c r="AS26" s="39"/>
      <c r="AT26" s="39"/>
      <c r="AU26" s="51"/>
      <c r="AV26" s="50"/>
      <c r="AW26" s="38"/>
      <c r="AX26" s="52"/>
      <c r="AY26" s="173"/>
      <c r="AZ26" s="38"/>
      <c r="BA26" s="38" t="e">
        <f>VLOOKUP(I26,#REF!,2,0)</f>
        <v>#REF!</v>
      </c>
      <c r="BB26" s="71"/>
      <c r="BC26" s="59"/>
      <c r="BD26" s="39"/>
      <c r="BE26" s="39"/>
      <c r="BF26" s="39"/>
      <c r="BG26" s="39"/>
      <c r="BH26" s="59"/>
      <c r="BI26" s="39" t="e">
        <f>NETWORKDAYS(BF26,BG26,#REF!)</f>
        <v>#REF!</v>
      </c>
      <c r="BJ26" s="59"/>
      <c r="BK26" s="59"/>
      <c r="BL26" s="59"/>
      <c r="BM26" s="59"/>
      <c r="BN26" s="59"/>
      <c r="BO26" s="59"/>
      <c r="BP26" s="59"/>
      <c r="BQ26" s="62"/>
      <c r="BR26" s="66"/>
      <c r="BS26" s="70"/>
      <c r="BT26" s="62" t="s">
        <v>2341</v>
      </c>
      <c r="BU26" s="84"/>
      <c r="BV26" s="84"/>
      <c r="BW26" s="84"/>
      <c r="BX26" s="84"/>
      <c r="BY26" s="84"/>
    </row>
    <row r="27" spans="1:77" ht="60" x14ac:dyDescent="0.25">
      <c r="A27" s="38" t="s">
        <v>2342</v>
      </c>
      <c r="B27" s="39">
        <v>22</v>
      </c>
      <c r="C27" s="38" t="s">
        <v>149</v>
      </c>
      <c r="D27" s="40" t="s">
        <v>2343</v>
      </c>
      <c r="E27" s="39" t="s">
        <v>173</v>
      </c>
      <c r="F27" s="39" t="s">
        <v>326</v>
      </c>
      <c r="G27" s="39" t="s">
        <v>173</v>
      </c>
      <c r="H27" s="41"/>
      <c r="I27" s="41" t="s">
        <v>2344</v>
      </c>
      <c r="J27" s="41"/>
      <c r="K27" s="41"/>
      <c r="L27" s="41"/>
      <c r="M27" s="42" t="str">
        <f t="shared" si="9"/>
        <v xml:space="preserve">Issa Edificaciones, S.A. de C.V.  </v>
      </c>
      <c r="N27" s="991" t="s">
        <v>656</v>
      </c>
      <c r="O27" s="991" t="s">
        <v>667</v>
      </c>
      <c r="P27" s="991" t="s">
        <v>2345</v>
      </c>
      <c r="Q27" s="992">
        <v>2700000</v>
      </c>
      <c r="R27" s="44">
        <f t="shared" ref="R27:R36" si="10">Q27*0.16</f>
        <v>432000</v>
      </c>
      <c r="S27" s="45">
        <f t="shared" si="7"/>
        <v>3132000</v>
      </c>
      <c r="T27" s="46">
        <v>860000</v>
      </c>
      <c r="U27" s="47">
        <f t="shared" ref="U27:U36" si="11">(T27*0.16)+(T27)</f>
        <v>997600</v>
      </c>
      <c r="V27" s="44">
        <f t="shared" si="8"/>
        <v>3132000</v>
      </c>
      <c r="W27" s="993" t="s">
        <v>156</v>
      </c>
      <c r="X27" s="48">
        <v>43871</v>
      </c>
      <c r="Y27" s="39" t="s">
        <v>193</v>
      </c>
      <c r="Z27" s="48">
        <v>43862</v>
      </c>
      <c r="AA27" s="48">
        <v>44196</v>
      </c>
      <c r="AB27" s="38" t="s">
        <v>2033</v>
      </c>
      <c r="AC27" s="38"/>
      <c r="AD27" s="59"/>
      <c r="AE27" s="59"/>
      <c r="AF27" s="59"/>
      <c r="AG27" s="59"/>
      <c r="AH27" s="39"/>
      <c r="AI27" s="38"/>
      <c r="AJ27" s="38"/>
      <c r="AK27" s="50"/>
      <c r="AL27" s="44"/>
      <c r="AM27" s="39" t="str">
        <f t="shared" ref="AM27:AM41" ca="1" si="12">IF(ISBLANK(AA27),"",IF(AA27&gt;=TODAY(),"VIGENTE","MUERTO"))</f>
        <v>MUERTO</v>
      </c>
      <c r="AN27" s="39">
        <v>35301</v>
      </c>
      <c r="AO27" s="39" t="s">
        <v>183</v>
      </c>
      <c r="AP27" s="39" t="s">
        <v>193</v>
      </c>
      <c r="AQ27" s="39"/>
      <c r="AR27" s="39" t="s">
        <v>193</v>
      </c>
      <c r="AS27" s="39"/>
      <c r="AT27" s="39"/>
      <c r="AU27" s="51"/>
      <c r="AV27" s="50"/>
      <c r="AW27" s="38"/>
      <c r="AX27" s="52"/>
      <c r="AY27" s="173"/>
      <c r="AZ27" s="38"/>
      <c r="BA27" s="38" t="e">
        <f>VLOOKUP(I27,#REF!,2,0)</f>
        <v>#REF!</v>
      </c>
      <c r="BB27" s="71"/>
      <c r="BC27" s="59"/>
      <c r="BD27" s="39"/>
      <c r="BE27" s="39"/>
      <c r="BF27" s="39"/>
      <c r="BG27" s="39"/>
      <c r="BH27" s="59"/>
      <c r="BI27" s="39" t="e">
        <f>NETWORKDAYS(BF27,BG27,#REF!)</f>
        <v>#REF!</v>
      </c>
      <c r="BJ27" s="59"/>
      <c r="BK27" s="59"/>
      <c r="BL27" s="59"/>
      <c r="BM27" s="59"/>
      <c r="BN27" s="59"/>
      <c r="BO27" s="59"/>
      <c r="BP27" s="59"/>
      <c r="BQ27" s="62"/>
      <c r="BR27" s="66"/>
      <c r="BS27" s="70"/>
      <c r="BT27" s="62" t="s">
        <v>2346</v>
      </c>
      <c r="BU27" s="84"/>
      <c r="BV27" s="84"/>
      <c r="BW27" s="84"/>
      <c r="BX27" s="84"/>
      <c r="BY27" s="84"/>
    </row>
    <row r="28" spans="1:77" ht="45" x14ac:dyDescent="0.25">
      <c r="A28" s="38" t="s">
        <v>2347</v>
      </c>
      <c r="B28" s="39">
        <v>23</v>
      </c>
      <c r="C28" s="38" t="s">
        <v>149</v>
      </c>
      <c r="D28" s="40" t="s">
        <v>2348</v>
      </c>
      <c r="E28" s="567" t="s">
        <v>163</v>
      </c>
      <c r="F28" s="39" t="s">
        <v>426</v>
      </c>
      <c r="G28" s="567" t="s">
        <v>163</v>
      </c>
      <c r="H28" s="567" t="s">
        <v>163</v>
      </c>
      <c r="I28" s="41"/>
      <c r="J28" s="41" t="s">
        <v>1301</v>
      </c>
      <c r="K28" s="41" t="s">
        <v>2349</v>
      </c>
      <c r="L28" s="41" t="s">
        <v>501</v>
      </c>
      <c r="M28" s="42" t="str">
        <f t="shared" si="9"/>
        <v>Verónica  Ortíz  Ortega</v>
      </c>
      <c r="N28" s="991" t="s">
        <v>860</v>
      </c>
      <c r="O28" s="991" t="s">
        <v>1946</v>
      </c>
      <c r="P28" s="991" t="s">
        <v>2350</v>
      </c>
      <c r="Q28" s="992">
        <v>368000</v>
      </c>
      <c r="R28" s="44">
        <f t="shared" si="10"/>
        <v>58880</v>
      </c>
      <c r="S28" s="45">
        <f t="shared" si="7"/>
        <v>426880</v>
      </c>
      <c r="T28" s="46">
        <v>149500</v>
      </c>
      <c r="U28" s="47">
        <f t="shared" si="11"/>
        <v>173420</v>
      </c>
      <c r="V28" s="44">
        <f t="shared" si="8"/>
        <v>426880</v>
      </c>
      <c r="W28" s="993" t="s">
        <v>156</v>
      </c>
      <c r="X28" s="48">
        <v>43874</v>
      </c>
      <c r="Y28" s="39" t="s">
        <v>193</v>
      </c>
      <c r="Z28" s="48">
        <v>43871</v>
      </c>
      <c r="AA28" s="48">
        <v>44196</v>
      </c>
      <c r="AB28" s="38" t="s">
        <v>2351</v>
      </c>
      <c r="AC28" s="38"/>
      <c r="AD28" s="59"/>
      <c r="AE28" s="59"/>
      <c r="AF28" s="59"/>
      <c r="AG28" s="59"/>
      <c r="AH28" s="39"/>
      <c r="AI28" s="38"/>
      <c r="AJ28" s="38"/>
      <c r="AK28" s="50"/>
      <c r="AL28" s="44"/>
      <c r="AM28" s="39" t="str">
        <f t="shared" ca="1" si="12"/>
        <v>MUERTO</v>
      </c>
      <c r="AN28" s="39">
        <v>33104</v>
      </c>
      <c r="AO28" s="39" t="s">
        <v>183</v>
      </c>
      <c r="AP28" s="39" t="s">
        <v>193</v>
      </c>
      <c r="AQ28" s="39"/>
      <c r="AR28" s="39" t="s">
        <v>193</v>
      </c>
      <c r="AS28" s="39"/>
      <c r="AT28" s="39"/>
      <c r="AU28" s="51"/>
      <c r="AV28" s="50"/>
      <c r="AW28" s="38"/>
      <c r="AX28" s="52"/>
      <c r="AY28" s="173"/>
      <c r="AZ28" s="38"/>
      <c r="BA28" s="38" t="e">
        <f>VLOOKUP(I28,#REF!,2,0)</f>
        <v>#REF!</v>
      </c>
      <c r="BB28" s="71"/>
      <c r="BC28" s="59"/>
      <c r="BD28" s="39"/>
      <c r="BE28" s="39"/>
      <c r="BF28" s="39"/>
      <c r="BG28" s="39"/>
      <c r="BH28" s="59"/>
      <c r="BI28" s="59"/>
      <c r="BJ28" s="59"/>
      <c r="BK28" s="59"/>
      <c r="BL28" s="59"/>
      <c r="BM28" s="59"/>
      <c r="BN28" s="59"/>
      <c r="BO28" s="59"/>
      <c r="BP28" s="59"/>
      <c r="BQ28" s="62"/>
      <c r="BR28" s="66"/>
      <c r="BS28" s="70"/>
      <c r="BT28" s="62" t="s">
        <v>2352</v>
      </c>
      <c r="BU28" s="84"/>
      <c r="BV28" s="84"/>
      <c r="BW28" s="84"/>
      <c r="BX28" s="84"/>
      <c r="BY28" s="84"/>
    </row>
    <row r="29" spans="1:77" ht="60" x14ac:dyDescent="0.25">
      <c r="A29" s="38" t="s">
        <v>2353</v>
      </c>
      <c r="B29" s="39">
        <v>24</v>
      </c>
      <c r="C29" s="38" t="s">
        <v>149</v>
      </c>
      <c r="D29" s="40" t="s">
        <v>2348</v>
      </c>
      <c r="E29" s="567" t="s">
        <v>163</v>
      </c>
      <c r="F29" s="39" t="s">
        <v>426</v>
      </c>
      <c r="G29" s="567" t="s">
        <v>163</v>
      </c>
      <c r="H29" s="567" t="s">
        <v>163</v>
      </c>
      <c r="I29" s="41"/>
      <c r="J29" s="41" t="s">
        <v>2354</v>
      </c>
      <c r="K29" s="41" t="s">
        <v>487</v>
      </c>
      <c r="L29" s="41" t="s">
        <v>467</v>
      </c>
      <c r="M29" s="42" t="str">
        <f t="shared" si="9"/>
        <v>Leonardo Antonio  Curzio Gutiérrez</v>
      </c>
      <c r="N29" s="991" t="s">
        <v>860</v>
      </c>
      <c r="O29" s="991" t="s">
        <v>1946</v>
      </c>
      <c r="P29" s="991" t="s">
        <v>2350</v>
      </c>
      <c r="Q29" s="992">
        <v>368000</v>
      </c>
      <c r="R29" s="44">
        <f t="shared" si="10"/>
        <v>58880</v>
      </c>
      <c r="S29" s="45">
        <f t="shared" si="7"/>
        <v>426880</v>
      </c>
      <c r="T29" s="46">
        <v>149500</v>
      </c>
      <c r="U29" s="47">
        <f t="shared" si="11"/>
        <v>173420</v>
      </c>
      <c r="V29" s="44">
        <f t="shared" si="8"/>
        <v>426880</v>
      </c>
      <c r="W29" s="993" t="s">
        <v>156</v>
      </c>
      <c r="X29" s="48">
        <v>43874</v>
      </c>
      <c r="Y29" s="39" t="s">
        <v>193</v>
      </c>
      <c r="Z29" s="48">
        <v>43871</v>
      </c>
      <c r="AA29" s="48">
        <v>44196</v>
      </c>
      <c r="AB29" s="38" t="s">
        <v>2351</v>
      </c>
      <c r="AC29" s="38"/>
      <c r="AD29" s="59" t="s">
        <v>161</v>
      </c>
      <c r="AE29" s="59" t="s">
        <v>161</v>
      </c>
      <c r="AF29" s="59" t="s">
        <v>161</v>
      </c>
      <c r="AG29" s="59" t="s">
        <v>161</v>
      </c>
      <c r="AH29" s="39" t="s">
        <v>183</v>
      </c>
      <c r="AI29" s="38"/>
      <c r="AJ29" s="38"/>
      <c r="AK29" s="50"/>
      <c r="AL29" s="44"/>
      <c r="AM29" s="39" t="str">
        <f t="shared" ca="1" si="12"/>
        <v>MUERTO</v>
      </c>
      <c r="AN29" s="39">
        <v>33104</v>
      </c>
      <c r="AO29" s="39" t="s">
        <v>183</v>
      </c>
      <c r="AP29" s="39" t="s">
        <v>193</v>
      </c>
      <c r="AQ29" s="39"/>
      <c r="AR29" s="39" t="s">
        <v>193</v>
      </c>
      <c r="AS29" s="39"/>
      <c r="AT29" s="39"/>
      <c r="AU29" s="51"/>
      <c r="AV29" s="50"/>
      <c r="AW29" s="38"/>
      <c r="AX29" s="52"/>
      <c r="AY29" s="173"/>
      <c r="AZ29" s="38"/>
      <c r="BA29" s="38" t="e">
        <f>VLOOKUP(I29,#REF!,2,0)</f>
        <v>#REF!</v>
      </c>
      <c r="BB29" s="71"/>
      <c r="BC29" s="59"/>
      <c r="BD29" s="39"/>
      <c r="BE29" s="39"/>
      <c r="BF29" s="39"/>
      <c r="BG29" s="39"/>
      <c r="BH29" s="59"/>
      <c r="BI29" s="59"/>
      <c r="BJ29" s="59"/>
      <c r="BK29" s="59"/>
      <c r="BL29" s="59"/>
      <c r="BM29" s="59"/>
      <c r="BN29" s="59"/>
      <c r="BO29" s="59"/>
      <c r="BP29" s="59"/>
      <c r="BQ29" s="62"/>
      <c r="BR29" s="66"/>
      <c r="BS29" s="70"/>
      <c r="BT29" s="62" t="s">
        <v>2268</v>
      </c>
      <c r="BU29" s="84"/>
      <c r="BV29" s="84"/>
      <c r="BW29" s="84"/>
      <c r="BX29" s="84"/>
      <c r="BY29" s="84"/>
    </row>
    <row r="30" spans="1:77" ht="45" x14ac:dyDescent="0.25">
      <c r="A30" s="38" t="s">
        <v>2355</v>
      </c>
      <c r="B30" s="39">
        <v>25</v>
      </c>
      <c r="C30" s="38" t="s">
        <v>149</v>
      </c>
      <c r="D30" s="40" t="s">
        <v>2348</v>
      </c>
      <c r="E30" s="567" t="s">
        <v>163</v>
      </c>
      <c r="F30" s="39" t="s">
        <v>426</v>
      </c>
      <c r="G30" s="567" t="s">
        <v>163</v>
      </c>
      <c r="H30" s="567" t="s">
        <v>163</v>
      </c>
      <c r="I30" s="41"/>
      <c r="J30" s="41" t="s">
        <v>492</v>
      </c>
      <c r="K30" s="41" t="s">
        <v>2356</v>
      </c>
      <c r="L30" s="41" t="s">
        <v>494</v>
      </c>
      <c r="M30" s="42" t="str">
        <f t="shared" si="9"/>
        <v>Javier Solórzano  Zinser</v>
      </c>
      <c r="N30" s="991" t="s">
        <v>860</v>
      </c>
      <c r="O30" s="991" t="s">
        <v>1946</v>
      </c>
      <c r="P30" s="991" t="s">
        <v>2357</v>
      </c>
      <c r="Q30" s="992">
        <v>490000</v>
      </c>
      <c r="R30" s="44">
        <f t="shared" si="10"/>
        <v>78400</v>
      </c>
      <c r="S30" s="45">
        <f t="shared" si="7"/>
        <v>568400</v>
      </c>
      <c r="T30" s="46">
        <v>196000</v>
      </c>
      <c r="U30" s="47">
        <f t="shared" si="11"/>
        <v>227360</v>
      </c>
      <c r="V30" s="44">
        <f t="shared" si="8"/>
        <v>568400</v>
      </c>
      <c r="W30" s="993" t="s">
        <v>156</v>
      </c>
      <c r="X30" s="48">
        <v>43874</v>
      </c>
      <c r="Y30" s="39" t="s">
        <v>193</v>
      </c>
      <c r="Z30" s="48">
        <v>43871</v>
      </c>
      <c r="AA30" s="48">
        <v>44196</v>
      </c>
      <c r="AB30" s="38" t="s">
        <v>2351</v>
      </c>
      <c r="AC30" s="38"/>
      <c r="AD30" s="59"/>
      <c r="AE30" s="59"/>
      <c r="AF30" s="59"/>
      <c r="AG30" s="59"/>
      <c r="AH30" s="39"/>
      <c r="AI30" s="38"/>
      <c r="AJ30" s="38"/>
      <c r="AK30" s="50"/>
      <c r="AL30" s="44"/>
      <c r="AM30" s="39" t="str">
        <f t="shared" ca="1" si="12"/>
        <v>MUERTO</v>
      </c>
      <c r="AN30" s="39">
        <v>33104</v>
      </c>
      <c r="AO30" s="39" t="s">
        <v>183</v>
      </c>
      <c r="AP30" s="39" t="s">
        <v>193</v>
      </c>
      <c r="AQ30" s="39"/>
      <c r="AR30" s="39" t="s">
        <v>193</v>
      </c>
      <c r="AS30" s="39"/>
      <c r="AT30" s="39"/>
      <c r="AU30" s="51"/>
      <c r="AV30" s="50"/>
      <c r="AW30" s="38"/>
      <c r="AX30" s="52"/>
      <c r="AY30" s="173"/>
      <c r="AZ30" s="38"/>
      <c r="BA30" s="38" t="e">
        <f>VLOOKUP(I30,#REF!,2,0)</f>
        <v>#REF!</v>
      </c>
      <c r="BB30" s="71"/>
      <c r="BC30" s="59"/>
      <c r="BD30" s="39"/>
      <c r="BE30" s="39"/>
      <c r="BF30" s="39"/>
      <c r="BG30" s="39"/>
      <c r="BH30" s="59"/>
      <c r="BI30" s="59"/>
      <c r="BJ30" s="59"/>
      <c r="BK30" s="59"/>
      <c r="BL30" s="59"/>
      <c r="BM30" s="59"/>
      <c r="BN30" s="59"/>
      <c r="BO30" s="59"/>
      <c r="BP30" s="59"/>
      <c r="BQ30" s="62"/>
      <c r="BR30" s="66"/>
      <c r="BS30" s="70"/>
      <c r="BT30" s="62" t="s">
        <v>2358</v>
      </c>
      <c r="BU30" s="84"/>
      <c r="BV30" s="84"/>
      <c r="BW30" s="84"/>
      <c r="BX30" s="84"/>
      <c r="BY30" s="84"/>
    </row>
    <row r="31" spans="1:77" ht="150" x14ac:dyDescent="0.25">
      <c r="A31" s="38" t="s">
        <v>2359</v>
      </c>
      <c r="B31" s="39">
        <v>26</v>
      </c>
      <c r="C31" s="38" t="s">
        <v>149</v>
      </c>
      <c r="D31" s="40" t="s">
        <v>2360</v>
      </c>
      <c r="E31" s="567" t="s">
        <v>163</v>
      </c>
      <c r="F31" s="39" t="s">
        <v>426</v>
      </c>
      <c r="G31" s="567" t="s">
        <v>163</v>
      </c>
      <c r="H31" s="567" t="s">
        <v>163</v>
      </c>
      <c r="I31" s="41"/>
      <c r="J31" s="41" t="s">
        <v>2361</v>
      </c>
      <c r="K31" s="41" t="s">
        <v>2362</v>
      </c>
      <c r="L31" s="41" t="s">
        <v>2363</v>
      </c>
      <c r="M31" s="42" t="str">
        <f t="shared" si="9"/>
        <v>Alejandra  Sánchez  Salazar</v>
      </c>
      <c r="N31" s="991" t="s">
        <v>860</v>
      </c>
      <c r="O31" s="991" t="s">
        <v>1946</v>
      </c>
      <c r="P31" s="991" t="s">
        <v>2364</v>
      </c>
      <c r="Q31" s="992">
        <v>264000</v>
      </c>
      <c r="R31" s="44">
        <f t="shared" si="10"/>
        <v>42240</v>
      </c>
      <c r="S31" s="45">
        <f t="shared" si="7"/>
        <v>306240</v>
      </c>
      <c r="T31" s="46">
        <v>105600</v>
      </c>
      <c r="U31" s="47">
        <f t="shared" si="11"/>
        <v>122496</v>
      </c>
      <c r="V31" s="44">
        <f t="shared" si="8"/>
        <v>306240</v>
      </c>
      <c r="W31" s="993" t="s">
        <v>156</v>
      </c>
      <c r="X31" s="48">
        <v>43878</v>
      </c>
      <c r="Y31" s="39" t="s">
        <v>193</v>
      </c>
      <c r="Z31" s="48">
        <v>43871</v>
      </c>
      <c r="AA31" s="48">
        <v>44196</v>
      </c>
      <c r="AB31" s="38" t="s">
        <v>2351</v>
      </c>
      <c r="AC31" s="38"/>
      <c r="AD31" s="59" t="s">
        <v>161</v>
      </c>
      <c r="AE31" s="59" t="s">
        <v>161</v>
      </c>
      <c r="AF31" s="59" t="s">
        <v>161</v>
      </c>
      <c r="AG31" s="59" t="s">
        <v>161</v>
      </c>
      <c r="AH31" s="39" t="s">
        <v>183</v>
      </c>
      <c r="AI31" s="100"/>
      <c r="AJ31" s="100"/>
      <c r="AK31" s="101"/>
      <c r="AL31" s="102"/>
      <c r="AM31" s="39" t="str">
        <f t="shared" ca="1" si="12"/>
        <v>MUERTO</v>
      </c>
      <c r="AN31" s="39">
        <v>33601</v>
      </c>
      <c r="AO31" s="39" t="s">
        <v>183</v>
      </c>
      <c r="AP31" s="39" t="s">
        <v>193</v>
      </c>
      <c r="AQ31" s="39"/>
      <c r="AR31" s="39" t="s">
        <v>193</v>
      </c>
      <c r="AS31" s="39"/>
      <c r="AT31" s="39"/>
      <c r="AU31" s="51"/>
      <c r="AV31" s="50"/>
      <c r="AW31" s="38"/>
      <c r="AX31" s="52"/>
      <c r="AY31" s="173"/>
      <c r="AZ31" s="38"/>
      <c r="BA31" s="38" t="e">
        <f>VLOOKUP(I31,#REF!,2,0)</f>
        <v>#REF!</v>
      </c>
      <c r="BB31" s="71"/>
      <c r="BC31" s="59"/>
      <c r="BD31" s="39"/>
      <c r="BE31" s="39"/>
      <c r="BF31" s="39"/>
      <c r="BG31" s="39"/>
      <c r="BH31" s="59"/>
      <c r="BI31" s="59"/>
      <c r="BJ31" s="59"/>
      <c r="BK31" s="59"/>
      <c r="BL31" s="59"/>
      <c r="BM31" s="59"/>
      <c r="BN31" s="59"/>
      <c r="BO31" s="59"/>
      <c r="BP31" s="59"/>
      <c r="BQ31" s="62"/>
      <c r="BR31" s="66"/>
      <c r="BS31" s="70"/>
      <c r="BT31" s="62" t="s">
        <v>2365</v>
      </c>
      <c r="BU31" s="84"/>
      <c r="BV31" s="84"/>
      <c r="BW31" s="84"/>
      <c r="BX31" s="84"/>
      <c r="BY31" s="84"/>
    </row>
    <row r="32" spans="1:77" ht="195" x14ac:dyDescent="0.25">
      <c r="A32" s="38" t="s">
        <v>2366</v>
      </c>
      <c r="B32" s="39">
        <v>27</v>
      </c>
      <c r="C32" s="38" t="s">
        <v>149</v>
      </c>
      <c r="D32" s="40" t="s">
        <v>2367</v>
      </c>
      <c r="E32" s="39" t="s">
        <v>151</v>
      </c>
      <c r="F32" s="39" t="s">
        <v>152</v>
      </c>
      <c r="G32" s="39" t="s">
        <v>151</v>
      </c>
      <c r="H32" s="41"/>
      <c r="I32" s="41" t="s">
        <v>1421</v>
      </c>
      <c r="J32" s="41"/>
      <c r="K32" s="41"/>
      <c r="L32" s="41"/>
      <c r="M32" s="42" t="str">
        <f t="shared" si="9"/>
        <v xml:space="preserve">Manatie Prod, S.A. de C.V.  </v>
      </c>
      <c r="N32" s="42" t="s">
        <v>860</v>
      </c>
      <c r="O32" s="991" t="s">
        <v>861</v>
      </c>
      <c r="P32" s="42" t="s">
        <v>2368</v>
      </c>
      <c r="Q32" s="992">
        <v>465500</v>
      </c>
      <c r="R32" s="44">
        <f t="shared" si="10"/>
        <v>74480</v>
      </c>
      <c r="S32" s="45">
        <f t="shared" si="7"/>
        <v>539980</v>
      </c>
      <c r="T32" s="46">
        <v>0</v>
      </c>
      <c r="U32" s="47">
        <f t="shared" si="11"/>
        <v>0</v>
      </c>
      <c r="V32" s="44">
        <f t="shared" si="8"/>
        <v>621180</v>
      </c>
      <c r="W32" s="993" t="s">
        <v>156</v>
      </c>
      <c r="X32" s="48">
        <v>43879</v>
      </c>
      <c r="Y32" s="39" t="s">
        <v>234</v>
      </c>
      <c r="Z32" s="48">
        <v>43891</v>
      </c>
      <c r="AA32" s="48" t="s">
        <v>2369</v>
      </c>
      <c r="AB32" s="38" t="s">
        <v>182</v>
      </c>
      <c r="AC32" s="38" t="s">
        <v>2370</v>
      </c>
      <c r="AD32" s="59" t="s">
        <v>2371</v>
      </c>
      <c r="AE32" s="59"/>
      <c r="AF32" s="59"/>
      <c r="AG32" s="59"/>
      <c r="AH32" s="39"/>
      <c r="AI32" s="100" t="s">
        <v>2372</v>
      </c>
      <c r="AJ32" s="100" t="s">
        <v>2373</v>
      </c>
      <c r="AK32" s="101">
        <v>44196</v>
      </c>
      <c r="AL32" s="102">
        <f>70000*1.16</f>
        <v>81200</v>
      </c>
      <c r="AM32" s="39" t="str">
        <f t="shared" ca="1" si="12"/>
        <v>VIGENTE</v>
      </c>
      <c r="AN32" s="39">
        <v>33901</v>
      </c>
      <c r="AO32" s="39" t="s">
        <v>183</v>
      </c>
      <c r="AP32" s="39" t="s">
        <v>234</v>
      </c>
      <c r="AQ32" s="39"/>
      <c r="AR32" s="39" t="s">
        <v>234</v>
      </c>
      <c r="AS32" s="39"/>
      <c r="AT32" s="39"/>
      <c r="AU32" s="51"/>
      <c r="AV32" s="50"/>
      <c r="AW32" s="38"/>
      <c r="AX32" s="52"/>
      <c r="AY32" s="173"/>
      <c r="AZ32" s="38"/>
      <c r="BA32" s="38" t="e">
        <f>VLOOKUP(I32,#REF!,2,0)</f>
        <v>#REF!</v>
      </c>
      <c r="BB32" s="71"/>
      <c r="BC32" s="59"/>
      <c r="BD32" s="56"/>
      <c r="BE32" s="56"/>
      <c r="BF32" s="56"/>
      <c r="BG32" s="56"/>
      <c r="BH32" s="59"/>
      <c r="BI32" s="59"/>
      <c r="BJ32" s="59"/>
      <c r="BK32" s="59"/>
      <c r="BL32" s="59"/>
      <c r="BM32" s="59"/>
      <c r="BN32" s="59"/>
      <c r="BO32" s="59"/>
      <c r="BP32" s="59"/>
      <c r="BQ32" s="62"/>
      <c r="BR32" s="66"/>
      <c r="BS32" s="70"/>
      <c r="BT32" s="59" t="s">
        <v>2374</v>
      </c>
      <c r="BU32" s="84"/>
      <c r="BV32" s="84"/>
      <c r="BW32" s="84"/>
      <c r="BX32" s="84"/>
      <c r="BY32" s="84"/>
    </row>
    <row r="33" spans="1:77" ht="90" x14ac:dyDescent="0.25">
      <c r="A33" s="38" t="s">
        <v>2375</v>
      </c>
      <c r="B33" s="39">
        <v>28</v>
      </c>
      <c r="C33" s="38" t="s">
        <v>225</v>
      </c>
      <c r="D33" s="40" t="s">
        <v>2376</v>
      </c>
      <c r="E33" s="39" t="s">
        <v>151</v>
      </c>
      <c r="F33" s="39" t="s">
        <v>152</v>
      </c>
      <c r="G33" s="39" t="s">
        <v>151</v>
      </c>
      <c r="H33" s="41"/>
      <c r="I33" s="41" t="s">
        <v>685</v>
      </c>
      <c r="J33" s="41"/>
      <c r="K33" s="41"/>
      <c r="L33" s="41"/>
      <c r="M33" s="42" t="str">
        <f t="shared" si="9"/>
        <v xml:space="preserve">Jasev Computación, S.A. de C.V.  </v>
      </c>
      <c r="N33" s="42" t="s">
        <v>656</v>
      </c>
      <c r="O33" s="991" t="s">
        <v>667</v>
      </c>
      <c r="P33" s="42" t="s">
        <v>2377</v>
      </c>
      <c r="Q33" s="992">
        <v>990000</v>
      </c>
      <c r="R33" s="44">
        <f t="shared" si="10"/>
        <v>158400</v>
      </c>
      <c r="S33" s="45">
        <f t="shared" si="7"/>
        <v>1148400</v>
      </c>
      <c r="T33" s="46">
        <v>300000</v>
      </c>
      <c r="U33" s="47">
        <f t="shared" si="11"/>
        <v>348000</v>
      </c>
      <c r="V33" s="44">
        <f t="shared" si="8"/>
        <v>1148400</v>
      </c>
      <c r="W33" s="993" t="s">
        <v>156</v>
      </c>
      <c r="X33" s="48">
        <v>43892</v>
      </c>
      <c r="Y33" s="39" t="s">
        <v>193</v>
      </c>
      <c r="Z33" s="48">
        <v>43886</v>
      </c>
      <c r="AA33" s="48">
        <v>44196</v>
      </c>
      <c r="AB33" s="38" t="s">
        <v>182</v>
      </c>
      <c r="AC33" s="38"/>
      <c r="AD33" s="59">
        <v>43903</v>
      </c>
      <c r="AE33" s="59" t="s">
        <v>161</v>
      </c>
      <c r="AF33" s="59" t="s">
        <v>161</v>
      </c>
      <c r="AG33" s="59" t="s">
        <v>161</v>
      </c>
      <c r="AH33" s="39" t="s">
        <v>183</v>
      </c>
      <c r="AI33" s="38"/>
      <c r="AJ33" s="38"/>
      <c r="AK33" s="50"/>
      <c r="AL33" s="44"/>
      <c r="AM33" s="39" t="str">
        <f t="shared" ca="1" si="12"/>
        <v>MUERTO</v>
      </c>
      <c r="AN33" s="39">
        <v>32701</v>
      </c>
      <c r="AO33" s="39" t="s">
        <v>183</v>
      </c>
      <c r="AP33" s="39" t="s">
        <v>193</v>
      </c>
      <c r="AQ33" s="39"/>
      <c r="AR33" s="39" t="s">
        <v>234</v>
      </c>
      <c r="AS33" s="39"/>
      <c r="AT33" s="39"/>
      <c r="AU33" s="51"/>
      <c r="AV33" s="50"/>
      <c r="AW33" s="38"/>
      <c r="AX33" s="52"/>
      <c r="AY33" s="173"/>
      <c r="AZ33" s="38"/>
      <c r="BA33" s="38"/>
      <c r="BB33" s="71"/>
      <c r="BC33" s="59"/>
      <c r="BD33" s="56"/>
      <c r="BE33" s="56"/>
      <c r="BF33" s="56"/>
      <c r="BG33" s="56"/>
      <c r="BH33" s="59"/>
      <c r="BI33" s="59"/>
      <c r="BJ33" s="59"/>
      <c r="BK33" s="59"/>
      <c r="BL33" s="59"/>
      <c r="BM33" s="59"/>
      <c r="BN33" s="59"/>
      <c r="BO33" s="59"/>
      <c r="BP33" s="59"/>
      <c r="BQ33" s="62"/>
      <c r="BR33" s="66"/>
      <c r="BS33" s="70"/>
      <c r="BT33" s="62" t="s">
        <v>2245</v>
      </c>
      <c r="BU33" s="84"/>
      <c r="BV33" s="84"/>
      <c r="BW33" s="84"/>
      <c r="BX33" s="84"/>
      <c r="BY33" s="84"/>
    </row>
    <row r="34" spans="1:77" ht="409.5" x14ac:dyDescent="0.25">
      <c r="A34" s="38" t="s">
        <v>2378</v>
      </c>
      <c r="B34" s="39">
        <v>29</v>
      </c>
      <c r="C34" s="38" t="s">
        <v>149</v>
      </c>
      <c r="D34" s="40" t="s">
        <v>2379</v>
      </c>
      <c r="E34" s="567" t="s">
        <v>163</v>
      </c>
      <c r="F34" s="39" t="s">
        <v>237</v>
      </c>
      <c r="G34" s="567" t="s">
        <v>238</v>
      </c>
      <c r="H34" s="567" t="s">
        <v>163</v>
      </c>
      <c r="I34" s="41" t="s">
        <v>2380</v>
      </c>
      <c r="J34" s="41"/>
      <c r="K34" s="41"/>
      <c r="L34" s="41"/>
      <c r="M34" s="42" t="str">
        <f t="shared" si="9"/>
        <v xml:space="preserve">Estación de Gas Xochimilco, S.A. de C.V..  </v>
      </c>
      <c r="N34" s="42" t="s">
        <v>198</v>
      </c>
      <c r="O34" s="991" t="s">
        <v>198</v>
      </c>
      <c r="P34" s="42" t="s">
        <v>2381</v>
      </c>
      <c r="Q34" s="992">
        <v>560705.31000000006</v>
      </c>
      <c r="R34" s="44">
        <f t="shared" si="10"/>
        <v>89712.849600000016</v>
      </c>
      <c r="S34" s="45">
        <f t="shared" si="7"/>
        <v>650418.15960000013</v>
      </c>
      <c r="T34" s="46">
        <v>168705.2</v>
      </c>
      <c r="U34" s="47">
        <f t="shared" si="11"/>
        <v>195698.03200000001</v>
      </c>
      <c r="V34" s="44">
        <f t="shared" si="8"/>
        <v>650418.15960000013</v>
      </c>
      <c r="W34" s="993" t="s">
        <v>156</v>
      </c>
      <c r="X34" s="48">
        <v>43881</v>
      </c>
      <c r="Y34" s="39" t="s">
        <v>193</v>
      </c>
      <c r="Z34" s="48">
        <v>43874</v>
      </c>
      <c r="AA34" s="48" t="s">
        <v>2336</v>
      </c>
      <c r="AB34" s="38" t="s">
        <v>2033</v>
      </c>
      <c r="AC34" s="38" t="s">
        <v>2382</v>
      </c>
      <c r="AD34" s="59">
        <v>43917</v>
      </c>
      <c r="AE34" s="59">
        <v>43985</v>
      </c>
      <c r="AF34" s="59" t="s">
        <v>161</v>
      </c>
      <c r="AG34" s="59" t="s">
        <v>161</v>
      </c>
      <c r="AH34" s="39" t="s">
        <v>183</v>
      </c>
      <c r="AI34" s="100" t="s">
        <v>2383</v>
      </c>
      <c r="AJ34" s="100" t="s">
        <v>2340</v>
      </c>
      <c r="AK34" s="101">
        <v>44195</v>
      </c>
      <c r="AL34" s="102">
        <v>0</v>
      </c>
      <c r="AM34" s="39" t="str">
        <f t="shared" ca="1" si="12"/>
        <v>VIGENTE</v>
      </c>
      <c r="AN34" s="39">
        <v>26105</v>
      </c>
      <c r="AO34" s="39" t="s">
        <v>183</v>
      </c>
      <c r="AP34" s="39" t="s">
        <v>193</v>
      </c>
      <c r="AQ34" s="39"/>
      <c r="AR34" s="39" t="s">
        <v>193</v>
      </c>
      <c r="AS34" s="39"/>
      <c r="AT34" s="39"/>
      <c r="AU34" s="51"/>
      <c r="AV34" s="50"/>
      <c r="AW34" s="38"/>
      <c r="AX34" s="52"/>
      <c r="AY34" s="173"/>
      <c r="AZ34" s="38"/>
      <c r="BA34" s="38" t="e">
        <f>VLOOKUP(I34,#REF!,2,0)</f>
        <v>#REF!</v>
      </c>
      <c r="BB34" s="71"/>
      <c r="BC34" s="59"/>
      <c r="BD34" s="56"/>
      <c r="BE34" s="56"/>
      <c r="BF34" s="56"/>
      <c r="BG34" s="56"/>
      <c r="BH34" s="59"/>
      <c r="BI34" s="59"/>
      <c r="BJ34" s="59"/>
      <c r="BK34" s="59"/>
      <c r="BL34" s="59"/>
      <c r="BM34" s="59"/>
      <c r="BN34" s="59"/>
      <c r="BO34" s="59"/>
      <c r="BP34" s="59"/>
      <c r="BQ34" s="62"/>
      <c r="BR34" s="66"/>
      <c r="BS34" s="70"/>
      <c r="BT34" s="62" t="s">
        <v>2384</v>
      </c>
      <c r="BU34" s="84"/>
      <c r="BV34" s="84"/>
      <c r="BW34" s="84"/>
      <c r="BX34" s="84"/>
      <c r="BY34" s="84"/>
    </row>
    <row r="35" spans="1:77" ht="45" x14ac:dyDescent="0.25">
      <c r="A35" s="38" t="s">
        <v>2385</v>
      </c>
      <c r="B35" s="39">
        <v>30</v>
      </c>
      <c r="C35" s="38" t="s">
        <v>149</v>
      </c>
      <c r="D35" s="40" t="s">
        <v>1177</v>
      </c>
      <c r="E35" s="567" t="s">
        <v>163</v>
      </c>
      <c r="F35" s="39" t="s">
        <v>164</v>
      </c>
      <c r="G35" s="567" t="s">
        <v>163</v>
      </c>
      <c r="H35" s="567" t="s">
        <v>163</v>
      </c>
      <c r="I35" s="41" t="s">
        <v>1305</v>
      </c>
      <c r="J35" s="41"/>
      <c r="K35" s="41"/>
      <c r="L35" s="41"/>
      <c r="M35" s="42" t="str">
        <f t="shared" si="9"/>
        <v xml:space="preserve">Fonatur Infraestructura, S.A. de C.V.  </v>
      </c>
      <c r="N35" s="42" t="s">
        <v>198</v>
      </c>
      <c r="O35" s="991" t="s">
        <v>198</v>
      </c>
      <c r="P35" s="991" t="s">
        <v>1311</v>
      </c>
      <c r="Q35" s="992">
        <v>36121151.68</v>
      </c>
      <c r="R35" s="44">
        <f t="shared" si="10"/>
        <v>5779384.2687999997</v>
      </c>
      <c r="S35" s="45">
        <f t="shared" si="7"/>
        <v>41900535.948799998</v>
      </c>
      <c r="T35" s="46">
        <v>14448460.67</v>
      </c>
      <c r="U35" s="47">
        <f t="shared" si="11"/>
        <v>16760214.3772</v>
      </c>
      <c r="V35" s="44">
        <f t="shared" si="8"/>
        <v>41900535.948799998</v>
      </c>
      <c r="W35" s="993" t="s">
        <v>156</v>
      </c>
      <c r="X35" s="48">
        <v>43888</v>
      </c>
      <c r="Y35" s="39" t="s">
        <v>234</v>
      </c>
      <c r="Z35" s="48">
        <v>43891</v>
      </c>
      <c r="AA35" s="48">
        <v>44196</v>
      </c>
      <c r="AB35" s="38" t="s">
        <v>161</v>
      </c>
      <c r="AC35" s="38"/>
      <c r="AD35" s="59"/>
      <c r="AE35" s="59"/>
      <c r="AF35" s="59"/>
      <c r="AG35" s="59"/>
      <c r="AH35" s="39"/>
      <c r="AI35" s="38"/>
      <c r="AJ35" s="38"/>
      <c r="AK35" s="50"/>
      <c r="AL35" s="44"/>
      <c r="AM35" s="39" t="str">
        <f t="shared" ca="1" si="12"/>
        <v>MUERTO</v>
      </c>
      <c r="AN35" s="39">
        <v>35801</v>
      </c>
      <c r="AO35" s="39" t="s">
        <v>183</v>
      </c>
      <c r="AP35" s="39" t="s">
        <v>234</v>
      </c>
      <c r="AQ35" s="39"/>
      <c r="AR35" s="39" t="s">
        <v>234</v>
      </c>
      <c r="AS35" s="39"/>
      <c r="AT35" s="39"/>
      <c r="AU35" s="51"/>
      <c r="AV35" s="50"/>
      <c r="AW35" s="38"/>
      <c r="AX35" s="52"/>
      <c r="AY35" s="173"/>
      <c r="AZ35" s="38"/>
      <c r="BA35" s="38" t="e">
        <f>VLOOKUP(I35,#REF!,2,0)</f>
        <v>#REF!</v>
      </c>
      <c r="BB35" s="71"/>
      <c r="BC35" s="59"/>
      <c r="BD35" s="39"/>
      <c r="BE35" s="39"/>
      <c r="BF35" s="39"/>
      <c r="BG35" s="39"/>
      <c r="BH35" s="59"/>
      <c r="BI35" s="59"/>
      <c r="BJ35" s="59"/>
      <c r="BK35" s="59"/>
      <c r="BL35" s="59"/>
      <c r="BM35" s="59"/>
      <c r="BN35" s="59"/>
      <c r="BO35" s="59"/>
      <c r="BP35" s="59"/>
      <c r="BQ35" s="62"/>
      <c r="BR35" s="66"/>
      <c r="BS35" s="70"/>
      <c r="BT35" s="62" t="s">
        <v>2346</v>
      </c>
      <c r="BU35" s="84"/>
      <c r="BV35" s="84"/>
      <c r="BW35" s="84"/>
      <c r="BX35" s="84"/>
      <c r="BY35" s="84"/>
    </row>
    <row r="36" spans="1:77" ht="60" x14ac:dyDescent="0.25">
      <c r="A36" s="38" t="s">
        <v>2386</v>
      </c>
      <c r="B36" s="39">
        <v>31</v>
      </c>
      <c r="C36" s="38" t="s">
        <v>225</v>
      </c>
      <c r="D36" s="40" t="s">
        <v>2387</v>
      </c>
      <c r="E36" s="39" t="s">
        <v>173</v>
      </c>
      <c r="F36" s="39" t="s">
        <v>326</v>
      </c>
      <c r="G36" s="39" t="s">
        <v>173</v>
      </c>
      <c r="H36" s="41"/>
      <c r="I36" s="41" t="s">
        <v>1401</v>
      </c>
      <c r="J36" s="41"/>
      <c r="K36" s="41"/>
      <c r="L36" s="41"/>
      <c r="M36" s="42" t="str">
        <f t="shared" si="9"/>
        <v xml:space="preserve">Servicios Broxel, S.A.P.I. de C.V.  </v>
      </c>
      <c r="N36" s="991" t="s">
        <v>370</v>
      </c>
      <c r="O36" s="991" t="s">
        <v>370</v>
      </c>
      <c r="P36" s="991" t="s">
        <v>371</v>
      </c>
      <c r="Q36" s="992">
        <v>36476548.490000002</v>
      </c>
      <c r="R36" s="44">
        <f t="shared" si="10"/>
        <v>5836247.7584000006</v>
      </c>
      <c r="S36" s="45">
        <f t="shared" si="7"/>
        <v>42312796.248400003</v>
      </c>
      <c r="T36" s="46">
        <v>32584424.210000001</v>
      </c>
      <c r="U36" s="47">
        <f t="shared" si="11"/>
        <v>37797932.0836</v>
      </c>
      <c r="V36" s="44">
        <f t="shared" si="8"/>
        <v>42312796.248400003</v>
      </c>
      <c r="W36" s="993" t="s">
        <v>156</v>
      </c>
      <c r="X36" s="48">
        <v>43893</v>
      </c>
      <c r="Y36" s="39" t="s">
        <v>234</v>
      </c>
      <c r="Z36" s="48">
        <v>43891</v>
      </c>
      <c r="AA36" s="48">
        <v>44196</v>
      </c>
      <c r="AB36" s="38" t="s">
        <v>182</v>
      </c>
      <c r="AC36" s="38"/>
      <c r="AD36" s="59">
        <v>43920</v>
      </c>
      <c r="AE36" s="59" t="s">
        <v>161</v>
      </c>
      <c r="AF36" s="59" t="s">
        <v>161</v>
      </c>
      <c r="AG36" s="59" t="s">
        <v>161</v>
      </c>
      <c r="AH36" s="39" t="s">
        <v>183</v>
      </c>
      <c r="AI36" s="38"/>
      <c r="AJ36" s="38"/>
      <c r="AK36" s="50"/>
      <c r="AL36" s="44"/>
      <c r="AM36" s="39" t="str">
        <f t="shared" ca="1" si="12"/>
        <v>MUERTO</v>
      </c>
      <c r="AN36" s="39"/>
      <c r="AO36" s="39" t="s">
        <v>183</v>
      </c>
      <c r="AP36" s="39" t="s">
        <v>234</v>
      </c>
      <c r="AQ36" s="39"/>
      <c r="AR36" s="39" t="s">
        <v>234</v>
      </c>
      <c r="AS36" s="39"/>
      <c r="AT36" s="39"/>
      <c r="AU36" s="51"/>
      <c r="AV36" s="50"/>
      <c r="AW36" s="38"/>
      <c r="AX36" s="52"/>
      <c r="AY36" s="173"/>
      <c r="AZ36" s="38"/>
      <c r="BA36" s="38" t="e">
        <f>VLOOKUP(I36,#REF!,2,0)</f>
        <v>#REF!</v>
      </c>
      <c r="BB36" s="71"/>
      <c r="BC36" s="59"/>
      <c r="BD36" s="39"/>
      <c r="BE36" s="39"/>
      <c r="BF36" s="39"/>
      <c r="BG36" s="39"/>
      <c r="BH36" s="59"/>
      <c r="BI36" s="59"/>
      <c r="BJ36" s="59"/>
      <c r="BK36" s="59"/>
      <c r="BL36" s="59"/>
      <c r="BM36" s="59"/>
      <c r="BN36" s="59"/>
      <c r="BO36" s="59"/>
      <c r="BP36" s="59"/>
      <c r="BQ36" s="62"/>
      <c r="BR36" s="66"/>
      <c r="BS36" s="70"/>
      <c r="BT36" s="62" t="s">
        <v>2245</v>
      </c>
      <c r="BU36" s="84"/>
      <c r="BV36" s="84"/>
      <c r="BW36" s="84"/>
      <c r="BX36" s="84"/>
      <c r="BY36" s="84"/>
    </row>
    <row r="37" spans="1:77" ht="51" x14ac:dyDescent="0.25">
      <c r="A37" s="38" t="s">
        <v>2388</v>
      </c>
      <c r="B37" s="39">
        <v>32</v>
      </c>
      <c r="C37" s="38" t="s">
        <v>225</v>
      </c>
      <c r="D37" s="40" t="s">
        <v>2387</v>
      </c>
      <c r="E37" s="39" t="s">
        <v>173</v>
      </c>
      <c r="F37" s="39" t="s">
        <v>326</v>
      </c>
      <c r="G37" s="39" t="s">
        <v>173</v>
      </c>
      <c r="H37" s="41"/>
      <c r="I37" s="41" t="s">
        <v>719</v>
      </c>
      <c r="J37" s="41"/>
      <c r="K37" s="41"/>
      <c r="L37" s="41"/>
      <c r="M37" s="42" t="str">
        <f t="shared" si="9"/>
        <v xml:space="preserve">Sí Vale México, S.A. de C.V.  </v>
      </c>
      <c r="N37" s="991" t="s">
        <v>198</v>
      </c>
      <c r="O37" s="991" t="s">
        <v>198</v>
      </c>
      <c r="P37" s="991" t="s">
        <v>2389</v>
      </c>
      <c r="Q37" s="992">
        <v>600000</v>
      </c>
      <c r="R37" s="44">
        <v>0</v>
      </c>
      <c r="S37" s="45">
        <f t="shared" si="7"/>
        <v>600000</v>
      </c>
      <c r="T37" s="46">
        <v>100000</v>
      </c>
      <c r="U37" s="47">
        <v>100000</v>
      </c>
      <c r="V37" s="44">
        <f t="shared" si="8"/>
        <v>600000</v>
      </c>
      <c r="W37" s="993" t="s">
        <v>156</v>
      </c>
      <c r="X37" s="48">
        <v>43893</v>
      </c>
      <c r="Y37" s="39" t="s">
        <v>234</v>
      </c>
      <c r="Z37" s="48">
        <v>43891</v>
      </c>
      <c r="AA37" s="48">
        <v>44196</v>
      </c>
      <c r="AB37" s="38" t="s">
        <v>182</v>
      </c>
      <c r="AC37" s="38"/>
      <c r="AD37" s="59">
        <v>43934</v>
      </c>
      <c r="AE37" s="59" t="s">
        <v>161</v>
      </c>
      <c r="AF37" s="59" t="s">
        <v>161</v>
      </c>
      <c r="AG37" s="59" t="s">
        <v>161</v>
      </c>
      <c r="AH37" s="39" t="s">
        <v>183</v>
      </c>
      <c r="AI37" s="38"/>
      <c r="AJ37" s="38"/>
      <c r="AK37" s="50"/>
      <c r="AL37" s="44"/>
      <c r="AM37" s="39" t="str">
        <f t="shared" ca="1" si="12"/>
        <v>MUERTO</v>
      </c>
      <c r="AN37" s="39">
        <v>26103</v>
      </c>
      <c r="AO37" s="39" t="s">
        <v>156</v>
      </c>
      <c r="AP37" s="39" t="s">
        <v>234</v>
      </c>
      <c r="AQ37" s="39"/>
      <c r="AR37" s="39" t="s">
        <v>234</v>
      </c>
      <c r="AS37" s="39"/>
      <c r="AT37" s="39"/>
      <c r="AU37" s="51"/>
      <c r="AV37" s="50"/>
      <c r="AW37" s="38"/>
      <c r="AX37" s="52"/>
      <c r="AY37" s="173"/>
      <c r="AZ37" s="38"/>
      <c r="BA37" s="38" t="e">
        <f>VLOOKUP(I37,#REF!,2,0)</f>
        <v>#REF!</v>
      </c>
      <c r="BB37" s="71"/>
      <c r="BC37" s="59"/>
      <c r="BD37" s="39"/>
      <c r="BE37" s="39"/>
      <c r="BF37" s="39"/>
      <c r="BG37" s="39"/>
      <c r="BH37" s="59"/>
      <c r="BI37" s="59"/>
      <c r="BJ37" s="59"/>
      <c r="BK37" s="59"/>
      <c r="BL37" s="59"/>
      <c r="BM37" s="59"/>
      <c r="BN37" s="59"/>
      <c r="BO37" s="59"/>
      <c r="BP37" s="59"/>
      <c r="BQ37" s="62"/>
      <c r="BR37" s="66"/>
      <c r="BS37" s="70"/>
      <c r="BT37" s="62" t="s">
        <v>2390</v>
      </c>
      <c r="BU37" s="84"/>
      <c r="BV37" s="84"/>
      <c r="BW37" s="84"/>
      <c r="BX37" s="84"/>
      <c r="BY37" s="84"/>
    </row>
    <row r="38" spans="1:77" ht="75" x14ac:dyDescent="0.25">
      <c r="A38" s="38" t="s">
        <v>2391</v>
      </c>
      <c r="B38" s="39">
        <v>33</v>
      </c>
      <c r="C38" s="38" t="s">
        <v>225</v>
      </c>
      <c r="D38" s="40" t="s">
        <v>1177</v>
      </c>
      <c r="E38" s="567" t="s">
        <v>163</v>
      </c>
      <c r="F38" s="39" t="s">
        <v>561</v>
      </c>
      <c r="G38" s="567" t="s">
        <v>163</v>
      </c>
      <c r="H38" s="567" t="s">
        <v>163</v>
      </c>
      <c r="I38" s="41" t="s">
        <v>2392</v>
      </c>
      <c r="J38" s="41"/>
      <c r="K38" s="41"/>
      <c r="L38" s="41"/>
      <c r="M38" s="42" t="str">
        <f t="shared" si="9"/>
        <v xml:space="preserve">Interamericana CMH, S.A.de C.V.  </v>
      </c>
      <c r="N38" s="991" t="s">
        <v>198</v>
      </c>
      <c r="O38" s="991" t="s">
        <v>198</v>
      </c>
      <c r="P38" s="991" t="s">
        <v>2393</v>
      </c>
      <c r="Q38" s="992">
        <v>449955.06</v>
      </c>
      <c r="R38" s="44">
        <f t="shared" ref="R38:R54" si="13">Q38*0.16</f>
        <v>71992.809600000008</v>
      </c>
      <c r="S38" s="45">
        <f t="shared" si="7"/>
        <v>521947.86959999998</v>
      </c>
      <c r="T38" s="46">
        <v>0</v>
      </c>
      <c r="U38" s="47">
        <f t="shared" ref="U38:U54" si="14">(T38*0.16)+(T38)</f>
        <v>0</v>
      </c>
      <c r="V38" s="44">
        <f t="shared" si="8"/>
        <v>521947.86959999998</v>
      </c>
      <c r="W38" s="993" t="s">
        <v>156</v>
      </c>
      <c r="X38" s="48">
        <v>43892</v>
      </c>
      <c r="Y38" s="39" t="s">
        <v>193</v>
      </c>
      <c r="Z38" s="48">
        <v>43886</v>
      </c>
      <c r="AA38" s="48">
        <v>43896</v>
      </c>
      <c r="AB38" s="38" t="s">
        <v>2033</v>
      </c>
      <c r="AC38" s="38"/>
      <c r="AD38" s="59">
        <v>43934</v>
      </c>
      <c r="AE38" s="59">
        <v>43934</v>
      </c>
      <c r="AF38" s="59" t="s">
        <v>161</v>
      </c>
      <c r="AG38" s="59" t="s">
        <v>161</v>
      </c>
      <c r="AH38" s="39" t="s">
        <v>183</v>
      </c>
      <c r="AI38" s="38"/>
      <c r="AJ38" s="38"/>
      <c r="AK38" s="50"/>
      <c r="AL38" s="44"/>
      <c r="AM38" s="39" t="str">
        <f t="shared" ca="1" si="12"/>
        <v>MUERTO</v>
      </c>
      <c r="AN38" s="39">
        <v>35101</v>
      </c>
      <c r="AO38" s="39" t="s">
        <v>156</v>
      </c>
      <c r="AP38" s="39" t="s">
        <v>193</v>
      </c>
      <c r="AQ38" s="39"/>
      <c r="AR38" s="39" t="s">
        <v>193</v>
      </c>
      <c r="AS38" s="39"/>
      <c r="AT38" s="39"/>
      <c r="AU38" s="51"/>
      <c r="AV38" s="50"/>
      <c r="AW38" s="38"/>
      <c r="AX38" s="52"/>
      <c r="AY38" s="173"/>
      <c r="AZ38" s="38"/>
      <c r="BA38" s="38" t="e">
        <f>VLOOKUP(I38,#REF!,2,0)</f>
        <v>#REF!</v>
      </c>
      <c r="BB38" s="71"/>
      <c r="BC38" s="59"/>
      <c r="BD38" s="39"/>
      <c r="BE38" s="39"/>
      <c r="BF38" s="39"/>
      <c r="BG38" s="39"/>
      <c r="BH38" s="59"/>
      <c r="BI38" s="59"/>
      <c r="BJ38" s="59"/>
      <c r="BK38" s="59"/>
      <c r="BL38" s="59"/>
      <c r="BM38" s="59"/>
      <c r="BN38" s="59"/>
      <c r="BO38" s="59"/>
      <c r="BP38" s="59"/>
      <c r="BQ38" s="62"/>
      <c r="BR38" s="67"/>
      <c r="BS38" s="70"/>
      <c r="BT38" s="62" t="s">
        <v>2245</v>
      </c>
      <c r="BU38" s="84"/>
      <c r="BV38" s="84"/>
      <c r="BW38" s="84"/>
      <c r="BX38" s="84"/>
      <c r="BY38" s="84"/>
    </row>
    <row r="39" spans="1:77" ht="51" x14ac:dyDescent="0.25">
      <c r="A39" s="38" t="s">
        <v>2394</v>
      </c>
      <c r="B39" s="39">
        <v>34</v>
      </c>
      <c r="C39" s="38" t="s">
        <v>225</v>
      </c>
      <c r="D39" s="40" t="s">
        <v>2395</v>
      </c>
      <c r="E39" s="39" t="s">
        <v>173</v>
      </c>
      <c r="F39" s="39" t="s">
        <v>326</v>
      </c>
      <c r="G39" s="39" t="s">
        <v>173</v>
      </c>
      <c r="H39" s="41"/>
      <c r="I39" s="41"/>
      <c r="J39" s="41" t="s">
        <v>407</v>
      </c>
      <c r="K39" s="41" t="s">
        <v>408</v>
      </c>
      <c r="L39" s="41" t="s">
        <v>409</v>
      </c>
      <c r="M39" s="42" t="str">
        <f t="shared" si="9"/>
        <v>Carolina Maldonado Sánchez</v>
      </c>
      <c r="N39" s="991" t="s">
        <v>301</v>
      </c>
      <c r="O39" s="991" t="s">
        <v>301</v>
      </c>
      <c r="P39" s="991" t="s">
        <v>2396</v>
      </c>
      <c r="Q39" s="992">
        <v>605489.22</v>
      </c>
      <c r="R39" s="44">
        <f t="shared" si="13"/>
        <v>96878.275200000004</v>
      </c>
      <c r="S39" s="45">
        <f t="shared" si="7"/>
        <v>702367.4952</v>
      </c>
      <c r="T39" s="46">
        <v>242195.69</v>
      </c>
      <c r="U39" s="47">
        <f t="shared" si="14"/>
        <v>280947.00040000002</v>
      </c>
      <c r="V39" s="44">
        <f t="shared" si="8"/>
        <v>702367.4952</v>
      </c>
      <c r="W39" s="993" t="s">
        <v>156</v>
      </c>
      <c r="X39" s="48">
        <v>43893</v>
      </c>
      <c r="Y39" s="39" t="s">
        <v>234</v>
      </c>
      <c r="Z39" s="48">
        <v>43906</v>
      </c>
      <c r="AA39" s="48">
        <v>44196</v>
      </c>
      <c r="AB39" s="38" t="s">
        <v>182</v>
      </c>
      <c r="AC39" s="38"/>
      <c r="AD39" s="59">
        <v>43903</v>
      </c>
      <c r="AE39" s="59" t="s">
        <v>161</v>
      </c>
      <c r="AF39" s="59" t="s">
        <v>161</v>
      </c>
      <c r="AG39" s="59" t="s">
        <v>161</v>
      </c>
      <c r="AH39" s="39" t="s">
        <v>183</v>
      </c>
      <c r="AI39" s="38"/>
      <c r="AJ39" s="38"/>
      <c r="AK39" s="50"/>
      <c r="AL39" s="44"/>
      <c r="AM39" s="39" t="str">
        <f t="shared" ca="1" si="12"/>
        <v>MUERTO</v>
      </c>
      <c r="AN39" s="39">
        <v>33602</v>
      </c>
      <c r="AO39" s="39" t="s">
        <v>183</v>
      </c>
      <c r="AP39" s="39" t="s">
        <v>234</v>
      </c>
      <c r="AQ39" s="39"/>
      <c r="AR39" s="39" t="s">
        <v>234</v>
      </c>
      <c r="AS39" s="39"/>
      <c r="AT39" s="39"/>
      <c r="AU39" s="51"/>
      <c r="AV39" s="50"/>
      <c r="AW39" s="38"/>
      <c r="AX39" s="52"/>
      <c r="AY39" s="173"/>
      <c r="AZ39" s="38"/>
      <c r="BA39" s="38" t="e">
        <f>VLOOKUP(I39,#REF!,2,0)</f>
        <v>#REF!</v>
      </c>
      <c r="BB39" s="71"/>
      <c r="BC39" s="59"/>
      <c r="BD39" s="39"/>
      <c r="BE39" s="39"/>
      <c r="BF39" s="39"/>
      <c r="BG39" s="39"/>
      <c r="BH39" s="59"/>
      <c r="BI39" s="59"/>
      <c r="BJ39" s="59"/>
      <c r="BK39" s="59"/>
      <c r="BL39" s="59"/>
      <c r="BM39" s="59"/>
      <c r="BN39" s="59"/>
      <c r="BO39" s="59"/>
      <c r="BP39" s="59"/>
      <c r="BQ39" s="62"/>
      <c r="BR39" s="66"/>
      <c r="BS39" s="70"/>
      <c r="BT39" s="62" t="s">
        <v>2397</v>
      </c>
      <c r="BU39" s="84"/>
      <c r="BV39" s="84"/>
      <c r="BW39" s="84"/>
      <c r="BX39" s="84"/>
      <c r="BY39" s="84"/>
    </row>
    <row r="40" spans="1:77" ht="75" x14ac:dyDescent="0.25">
      <c r="A40" s="38" t="s">
        <v>2398</v>
      </c>
      <c r="B40" s="39">
        <v>35</v>
      </c>
      <c r="C40" s="38" t="s">
        <v>149</v>
      </c>
      <c r="D40" s="40" t="s">
        <v>1177</v>
      </c>
      <c r="E40" s="567" t="s">
        <v>163</v>
      </c>
      <c r="F40" s="39" t="s">
        <v>164</v>
      </c>
      <c r="G40" s="567" t="s">
        <v>163</v>
      </c>
      <c r="H40" s="567" t="s">
        <v>163</v>
      </c>
      <c r="I40" s="41" t="s">
        <v>1305</v>
      </c>
      <c r="J40" s="41"/>
      <c r="K40" s="41"/>
      <c r="L40" s="41"/>
      <c r="M40" s="42" t="str">
        <f t="shared" si="9"/>
        <v xml:space="preserve">Fonatur Infraestructura, S.A. de C.V.  </v>
      </c>
      <c r="N40" s="42" t="s">
        <v>198</v>
      </c>
      <c r="O40" s="991" t="s">
        <v>198</v>
      </c>
      <c r="P40" s="42" t="s">
        <v>2399</v>
      </c>
      <c r="Q40" s="992">
        <v>59183995.159999996</v>
      </c>
      <c r="R40" s="44">
        <f t="shared" si="13"/>
        <v>9469439.2256000005</v>
      </c>
      <c r="S40" s="45">
        <f t="shared" si="7"/>
        <v>68653434.385600001</v>
      </c>
      <c r="T40" s="46">
        <v>23673598.059999999</v>
      </c>
      <c r="U40" s="47">
        <f t="shared" si="14"/>
        <v>27461373.749599997</v>
      </c>
      <c r="V40" s="44">
        <f t="shared" si="8"/>
        <v>68653434.385600001</v>
      </c>
      <c r="W40" s="993" t="s">
        <v>156</v>
      </c>
      <c r="X40" s="48">
        <v>43893</v>
      </c>
      <c r="Y40" s="39" t="s">
        <v>234</v>
      </c>
      <c r="Z40" s="48">
        <v>43891</v>
      </c>
      <c r="AA40" s="48">
        <v>44196</v>
      </c>
      <c r="AB40" s="38" t="s">
        <v>161</v>
      </c>
      <c r="AC40" s="38"/>
      <c r="AD40" s="59" t="s">
        <v>161</v>
      </c>
      <c r="AE40" s="59" t="s">
        <v>161</v>
      </c>
      <c r="AF40" s="59" t="s">
        <v>161</v>
      </c>
      <c r="AG40" s="59" t="s">
        <v>161</v>
      </c>
      <c r="AH40" s="39" t="s">
        <v>183</v>
      </c>
      <c r="AI40" s="38"/>
      <c r="AJ40" s="38"/>
      <c r="AK40" s="50"/>
      <c r="AL40" s="44"/>
      <c r="AM40" s="39" t="str">
        <f t="shared" ca="1" si="12"/>
        <v>MUERTO</v>
      </c>
      <c r="AN40" s="39">
        <v>33701</v>
      </c>
      <c r="AO40" s="39" t="s">
        <v>183</v>
      </c>
      <c r="AP40" s="39" t="s">
        <v>234</v>
      </c>
      <c r="AQ40" s="39"/>
      <c r="AR40" s="39" t="s">
        <v>234</v>
      </c>
      <c r="AS40" s="39"/>
      <c r="AT40" s="39"/>
      <c r="AU40" s="51"/>
      <c r="AV40" s="50"/>
      <c r="AW40" s="38"/>
      <c r="AX40" s="52"/>
      <c r="AY40" s="173"/>
      <c r="AZ40" s="38"/>
      <c r="BA40" s="38" t="e">
        <f>VLOOKUP(I40,#REF!,2,0)</f>
        <v>#REF!</v>
      </c>
      <c r="BB40" s="71"/>
      <c r="BC40" s="59"/>
      <c r="BD40" s="56"/>
      <c r="BE40" s="56"/>
      <c r="BF40" s="56"/>
      <c r="BG40" s="56"/>
      <c r="BH40" s="59"/>
      <c r="BI40" s="59"/>
      <c r="BJ40" s="59"/>
      <c r="BK40" s="59"/>
      <c r="BL40" s="59"/>
      <c r="BM40" s="59"/>
      <c r="BN40" s="59"/>
      <c r="BO40" s="59"/>
      <c r="BP40" s="59"/>
      <c r="BQ40" s="62"/>
      <c r="BR40" s="66"/>
      <c r="BS40" s="70"/>
      <c r="BT40" s="62" t="s">
        <v>2400</v>
      </c>
      <c r="BU40" s="84"/>
      <c r="BV40" s="84"/>
      <c r="BW40" s="84"/>
      <c r="BX40" s="84"/>
      <c r="BY40" s="84"/>
    </row>
    <row r="41" spans="1:77" ht="89.25" x14ac:dyDescent="0.25">
      <c r="A41" s="38" t="s">
        <v>2401</v>
      </c>
      <c r="B41" s="39">
        <v>36</v>
      </c>
      <c r="C41" s="38" t="s">
        <v>225</v>
      </c>
      <c r="D41" s="40" t="s">
        <v>2402</v>
      </c>
      <c r="E41" s="567" t="s">
        <v>163</v>
      </c>
      <c r="F41" s="39" t="s">
        <v>312</v>
      </c>
      <c r="G41" s="567" t="s">
        <v>2237</v>
      </c>
      <c r="H41" s="685" t="s">
        <v>546</v>
      </c>
      <c r="I41" s="41" t="s">
        <v>1254</v>
      </c>
      <c r="J41" s="41"/>
      <c r="K41" s="41"/>
      <c r="L41" s="41"/>
      <c r="M41" s="42" t="str">
        <f t="shared" si="9"/>
        <v xml:space="preserve">Intercomza, S.A. de C.V.  </v>
      </c>
      <c r="N41" s="42" t="s">
        <v>198</v>
      </c>
      <c r="O41" s="42" t="s">
        <v>198</v>
      </c>
      <c r="P41" s="991" t="s">
        <v>2403</v>
      </c>
      <c r="Q41" s="992">
        <v>1063674</v>
      </c>
      <c r="R41" s="44">
        <f t="shared" si="13"/>
        <v>170187.84</v>
      </c>
      <c r="S41" s="45">
        <f t="shared" si="7"/>
        <v>1233861.8400000001</v>
      </c>
      <c r="T41" s="46">
        <v>254896.55</v>
      </c>
      <c r="U41" s="47">
        <f t="shared" si="14"/>
        <v>295679.99799999996</v>
      </c>
      <c r="V41" s="44">
        <f t="shared" si="8"/>
        <v>1233861.8400000001</v>
      </c>
      <c r="W41" s="993" t="s">
        <v>156</v>
      </c>
      <c r="X41" s="48">
        <v>43902</v>
      </c>
      <c r="Y41" s="39" t="s">
        <v>234</v>
      </c>
      <c r="Z41" s="48">
        <v>43891</v>
      </c>
      <c r="AA41" s="48">
        <v>44196</v>
      </c>
      <c r="AB41" s="38" t="s">
        <v>161</v>
      </c>
      <c r="AC41" s="38"/>
      <c r="AD41" s="59" t="s">
        <v>161</v>
      </c>
      <c r="AE41" s="59" t="s">
        <v>161</v>
      </c>
      <c r="AF41" s="59" t="s">
        <v>161</v>
      </c>
      <c r="AG41" s="59" t="s">
        <v>161</v>
      </c>
      <c r="AH41" s="39" t="s">
        <v>183</v>
      </c>
      <c r="AI41" s="38"/>
      <c r="AJ41" s="38"/>
      <c r="AK41" s="50"/>
      <c r="AL41" s="44"/>
      <c r="AM41" s="39" t="str">
        <f t="shared" ca="1" si="12"/>
        <v>MUERTO</v>
      </c>
      <c r="AN41" s="39">
        <v>21601</v>
      </c>
      <c r="AO41" s="39" t="s">
        <v>183</v>
      </c>
      <c r="AP41" s="39" t="s">
        <v>234</v>
      </c>
      <c r="AQ41" s="39"/>
      <c r="AR41" s="39" t="s">
        <v>234</v>
      </c>
      <c r="AS41" s="39"/>
      <c r="AT41" s="39"/>
      <c r="AU41" s="51"/>
      <c r="AV41" s="50"/>
      <c r="AW41" s="38"/>
      <c r="AX41" s="52"/>
      <c r="AY41" s="173"/>
      <c r="AZ41" s="38"/>
      <c r="BA41" s="38" t="e">
        <f>VLOOKUP(I41,#REF!,2,0)</f>
        <v>#REF!</v>
      </c>
      <c r="BB41" s="71"/>
      <c r="BC41" s="59"/>
      <c r="BD41" s="39"/>
      <c r="BE41" s="39"/>
      <c r="BF41" s="39"/>
      <c r="BG41" s="39"/>
      <c r="BH41" s="59"/>
      <c r="BI41" s="59"/>
      <c r="BJ41" s="59"/>
      <c r="BK41" s="59"/>
      <c r="BL41" s="59"/>
      <c r="BM41" s="59"/>
      <c r="BN41" s="59"/>
      <c r="BO41" s="59"/>
      <c r="BP41" s="59"/>
      <c r="BQ41" s="62"/>
      <c r="BR41" s="66"/>
      <c r="BS41" s="70"/>
      <c r="BT41" s="62" t="s">
        <v>2358</v>
      </c>
      <c r="BU41" s="84"/>
      <c r="BV41" s="84"/>
      <c r="BW41" s="84"/>
      <c r="BX41" s="84"/>
      <c r="BY41" s="84"/>
    </row>
    <row r="42" spans="1:77" ht="105" x14ac:dyDescent="0.25">
      <c r="A42" s="38" t="s">
        <v>2404</v>
      </c>
      <c r="B42" s="39">
        <v>37</v>
      </c>
      <c r="C42" s="38" t="s">
        <v>225</v>
      </c>
      <c r="D42" s="40" t="s">
        <v>2395</v>
      </c>
      <c r="E42" s="39" t="s">
        <v>173</v>
      </c>
      <c r="F42" s="39" t="s">
        <v>326</v>
      </c>
      <c r="G42" s="39" t="s">
        <v>173</v>
      </c>
      <c r="H42" s="41"/>
      <c r="I42" s="41"/>
      <c r="J42" s="41" t="s">
        <v>384</v>
      </c>
      <c r="K42" s="41" t="s">
        <v>2303</v>
      </c>
      <c r="L42" s="41" t="s">
        <v>385</v>
      </c>
      <c r="M42" s="42" t="str">
        <f t="shared" si="9"/>
        <v>Mario Alberto Contreras  García</v>
      </c>
      <c r="N42" s="42" t="s">
        <v>301</v>
      </c>
      <c r="O42" s="991" t="s">
        <v>301</v>
      </c>
      <c r="P42" s="42" t="s">
        <v>2405</v>
      </c>
      <c r="Q42" s="992">
        <v>908233.83</v>
      </c>
      <c r="R42" s="44">
        <f t="shared" si="13"/>
        <v>145317.41279999999</v>
      </c>
      <c r="S42" s="45">
        <f t="shared" si="7"/>
        <v>1053551.2427999999</v>
      </c>
      <c r="T42" s="46">
        <v>363293.53</v>
      </c>
      <c r="U42" s="47">
        <f t="shared" si="14"/>
        <v>421420.49480000004</v>
      </c>
      <c r="V42" s="44">
        <f t="shared" si="8"/>
        <v>1053551.2427999999</v>
      </c>
      <c r="W42" s="993" t="s">
        <v>156</v>
      </c>
      <c r="X42" s="48">
        <v>43893</v>
      </c>
      <c r="Y42" s="39" t="s">
        <v>234</v>
      </c>
      <c r="Z42" s="48">
        <v>43906</v>
      </c>
      <c r="AA42" s="48" t="s">
        <v>2369</v>
      </c>
      <c r="AB42" s="38" t="s">
        <v>182</v>
      </c>
      <c r="AC42" s="38"/>
      <c r="AD42" s="59" t="s">
        <v>2406</v>
      </c>
      <c r="AE42" s="59" t="s">
        <v>161</v>
      </c>
      <c r="AF42" s="59" t="s">
        <v>161</v>
      </c>
      <c r="AG42" s="59" t="s">
        <v>161</v>
      </c>
      <c r="AH42" s="39" t="s">
        <v>183</v>
      </c>
      <c r="AI42" s="100" t="s">
        <v>1118</v>
      </c>
      <c r="AJ42" s="100" t="s">
        <v>1118</v>
      </c>
      <c r="AK42" s="101" t="s">
        <v>1118</v>
      </c>
      <c r="AL42" s="102">
        <v>0</v>
      </c>
      <c r="AM42" s="39" t="s">
        <v>2278</v>
      </c>
      <c r="AN42" s="39">
        <v>33602</v>
      </c>
      <c r="AO42" s="39" t="s">
        <v>183</v>
      </c>
      <c r="AP42" s="39" t="s">
        <v>234</v>
      </c>
      <c r="AQ42" s="39"/>
      <c r="AR42" s="39" t="s">
        <v>234</v>
      </c>
      <c r="AS42" s="39"/>
      <c r="AT42" s="39"/>
      <c r="AU42" s="51"/>
      <c r="AV42" s="50"/>
      <c r="AW42" s="38"/>
      <c r="AX42" s="52"/>
      <c r="AY42" s="173"/>
      <c r="AZ42" s="38" t="s">
        <v>2407</v>
      </c>
      <c r="BA42" s="38" t="e">
        <f>VLOOKUP(I42,#REF!,2,0)</f>
        <v>#REF!</v>
      </c>
      <c r="BB42" s="71"/>
      <c r="BC42" s="59"/>
      <c r="BD42" s="56"/>
      <c r="BE42" s="56"/>
      <c r="BF42" s="56"/>
      <c r="BG42" s="56"/>
      <c r="BH42" s="59"/>
      <c r="BI42" s="59"/>
      <c r="BJ42" s="59"/>
      <c r="BK42" s="59"/>
      <c r="BL42" s="59"/>
      <c r="BM42" s="59">
        <v>44251</v>
      </c>
      <c r="BN42" s="59"/>
      <c r="BO42" s="59"/>
      <c r="BP42" s="59"/>
      <c r="BQ42" s="62"/>
      <c r="BR42" s="6"/>
      <c r="BS42" s="70"/>
      <c r="BT42" s="62" t="s">
        <v>2408</v>
      </c>
      <c r="BU42" s="84"/>
      <c r="BV42" s="84"/>
      <c r="BW42" s="84"/>
      <c r="BX42" s="84"/>
      <c r="BY42" s="84"/>
    </row>
    <row r="43" spans="1:77" ht="135" x14ac:dyDescent="0.25">
      <c r="A43" s="38" t="s">
        <v>2409</v>
      </c>
      <c r="B43" s="39">
        <v>38</v>
      </c>
      <c r="C43" s="38" t="s">
        <v>2410</v>
      </c>
      <c r="D43" s="40" t="s">
        <v>2411</v>
      </c>
      <c r="E43" s="567" t="s">
        <v>163</v>
      </c>
      <c r="F43" s="39" t="s">
        <v>312</v>
      </c>
      <c r="G43" s="567" t="s">
        <v>2237</v>
      </c>
      <c r="H43" s="685" t="s">
        <v>546</v>
      </c>
      <c r="I43" s="41"/>
      <c r="J43" s="41" t="s">
        <v>1992</v>
      </c>
      <c r="K43" s="41" t="s">
        <v>2412</v>
      </c>
      <c r="L43" s="41" t="s">
        <v>1994</v>
      </c>
      <c r="M43" s="42" t="str">
        <f t="shared" si="9"/>
        <v>César Marco Parra  Olmedo</v>
      </c>
      <c r="N43" s="991" t="s">
        <v>220</v>
      </c>
      <c r="O43" s="991" t="s">
        <v>220</v>
      </c>
      <c r="P43" s="991" t="s">
        <v>2413</v>
      </c>
      <c r="Q43" s="992">
        <v>1600000</v>
      </c>
      <c r="R43" s="44">
        <f t="shared" si="13"/>
        <v>256000</v>
      </c>
      <c r="S43" s="45">
        <f t="shared" si="7"/>
        <v>1856000</v>
      </c>
      <c r="T43" s="46">
        <v>0</v>
      </c>
      <c r="U43" s="47">
        <f t="shared" si="14"/>
        <v>0</v>
      </c>
      <c r="V43" s="44">
        <f t="shared" si="8"/>
        <v>1856000</v>
      </c>
      <c r="W43" s="993" t="s">
        <v>156</v>
      </c>
      <c r="X43" s="48">
        <v>43895</v>
      </c>
      <c r="Y43" s="39" t="s">
        <v>234</v>
      </c>
      <c r="Z43" s="48">
        <v>43906</v>
      </c>
      <c r="AA43" s="48">
        <v>44027</v>
      </c>
      <c r="AB43" s="38" t="s">
        <v>1118</v>
      </c>
      <c r="AC43" s="38"/>
      <c r="AD43" s="59" t="s">
        <v>161</v>
      </c>
      <c r="AE43" s="59" t="s">
        <v>161</v>
      </c>
      <c r="AF43" s="59" t="s">
        <v>161</v>
      </c>
      <c r="AG43" s="59" t="s">
        <v>161</v>
      </c>
      <c r="AH43" s="39" t="s">
        <v>183</v>
      </c>
      <c r="AI43" s="38"/>
      <c r="AJ43" s="38"/>
      <c r="AK43" s="50"/>
      <c r="AL43" s="44"/>
      <c r="AM43" s="39" t="str">
        <f t="shared" ref="AM43:AM59" ca="1" si="15">IF(ISBLANK(AA43),"",IF(AA43&gt;=TODAY(),"VIGENTE","MUERTO"))</f>
        <v>MUERTO</v>
      </c>
      <c r="AN43" s="39">
        <v>32701</v>
      </c>
      <c r="AO43" s="39" t="s">
        <v>183</v>
      </c>
      <c r="AP43" s="39" t="s">
        <v>234</v>
      </c>
      <c r="AQ43" s="39"/>
      <c r="AR43" s="39" t="s">
        <v>234</v>
      </c>
      <c r="AS43" s="39"/>
      <c r="AT43" s="39"/>
      <c r="AU43" s="51"/>
      <c r="AV43" s="50"/>
      <c r="AW43" s="38"/>
      <c r="AX43" s="52"/>
      <c r="AY43" s="173"/>
      <c r="AZ43" s="38"/>
      <c r="BA43" s="38" t="e">
        <f>VLOOKUP(I43,#REF!,2,0)</f>
        <v>#REF!</v>
      </c>
      <c r="BB43" s="71"/>
      <c r="BC43" s="59"/>
      <c r="BD43" s="39"/>
      <c r="BE43" s="39"/>
      <c r="BF43" s="39"/>
      <c r="BG43" s="39"/>
      <c r="BH43" s="59"/>
      <c r="BI43" s="59"/>
      <c r="BJ43" s="59"/>
      <c r="BK43" s="59"/>
      <c r="BL43" s="59"/>
      <c r="BM43" s="59"/>
      <c r="BN43" s="59"/>
      <c r="BO43" s="59"/>
      <c r="BP43" s="59"/>
      <c r="BQ43" s="62"/>
      <c r="BR43" s="6"/>
      <c r="BS43" s="70"/>
      <c r="BT43" s="62" t="s">
        <v>2414</v>
      </c>
      <c r="BU43" s="84"/>
      <c r="BV43" s="84"/>
      <c r="BW43" s="84"/>
      <c r="BX43" s="84"/>
      <c r="BY43" s="84"/>
    </row>
    <row r="44" spans="1:77" ht="90" x14ac:dyDescent="0.25">
      <c r="A44" s="38" t="s">
        <v>2415</v>
      </c>
      <c r="B44" s="39">
        <v>39</v>
      </c>
      <c r="C44" s="38" t="s">
        <v>149</v>
      </c>
      <c r="D44" s="40" t="s">
        <v>2416</v>
      </c>
      <c r="E44" s="567" t="s">
        <v>163</v>
      </c>
      <c r="F44" s="39" t="s">
        <v>568</v>
      </c>
      <c r="G44" s="39" t="s">
        <v>427</v>
      </c>
      <c r="H44" s="685" t="s">
        <v>546</v>
      </c>
      <c r="I44" s="41" t="s">
        <v>2417</v>
      </c>
      <c r="J44" s="41"/>
      <c r="K44" s="41"/>
      <c r="L44" s="41"/>
      <c r="M44" s="42" t="str">
        <f t="shared" si="9"/>
        <v xml:space="preserve">Compañía Operadora de Estacionamientos Mexicanos, S.A. de C.V.  </v>
      </c>
      <c r="N44" s="42" t="s">
        <v>301</v>
      </c>
      <c r="O44" s="991" t="s">
        <v>301</v>
      </c>
      <c r="P44" s="42" t="s">
        <v>2418</v>
      </c>
      <c r="Q44" s="992">
        <v>2347057.88</v>
      </c>
      <c r="R44" s="44">
        <f t="shared" si="13"/>
        <v>375529.26079999999</v>
      </c>
      <c r="S44" s="45">
        <f t="shared" si="7"/>
        <v>2722587.1407999997</v>
      </c>
      <c r="T44" s="46">
        <v>938823.79</v>
      </c>
      <c r="U44" s="47">
        <f t="shared" si="14"/>
        <v>1089035.5964000002</v>
      </c>
      <c r="V44" s="44">
        <f t="shared" si="8"/>
        <v>2885942.3659999995</v>
      </c>
      <c r="W44" s="993" t="s">
        <v>156</v>
      </c>
      <c r="X44" s="48">
        <v>43901</v>
      </c>
      <c r="Y44" s="39" t="s">
        <v>234</v>
      </c>
      <c r="Z44" s="48">
        <v>43892</v>
      </c>
      <c r="AA44" s="48" t="s">
        <v>2419</v>
      </c>
      <c r="AB44" s="38" t="s">
        <v>2156</v>
      </c>
      <c r="AC44" s="38"/>
      <c r="AD44" s="59">
        <v>43934</v>
      </c>
      <c r="AE44" s="59" t="s">
        <v>2420</v>
      </c>
      <c r="AF44" s="59" t="s">
        <v>161</v>
      </c>
      <c r="AG44" s="59" t="s">
        <v>161</v>
      </c>
      <c r="AH44" s="39" t="s">
        <v>183</v>
      </c>
      <c r="AI44" s="100" t="s">
        <v>2415</v>
      </c>
      <c r="AJ44" s="100" t="s">
        <v>2421</v>
      </c>
      <c r="AK44" s="101">
        <v>44195</v>
      </c>
      <c r="AL44" s="102">
        <f>140823.47*1.16</f>
        <v>163355.22519999999</v>
      </c>
      <c r="AM44" s="39" t="str">
        <f t="shared" ca="1" si="15"/>
        <v>VIGENTE</v>
      </c>
      <c r="AN44" s="39">
        <v>31902</v>
      </c>
      <c r="AO44" s="39" t="s">
        <v>183</v>
      </c>
      <c r="AP44" s="39" t="s">
        <v>234</v>
      </c>
      <c r="AQ44" s="39"/>
      <c r="AR44" s="39" t="s">
        <v>234</v>
      </c>
      <c r="AS44" s="39"/>
      <c r="AT44" s="39"/>
      <c r="AU44" s="51"/>
      <c r="AV44" s="50"/>
      <c r="AW44" s="38"/>
      <c r="AX44" s="52"/>
      <c r="AY44" s="173"/>
      <c r="AZ44" s="38" t="s">
        <v>2407</v>
      </c>
      <c r="BA44" s="38" t="e">
        <f>VLOOKUP(I44,#REF!,2,0)</f>
        <v>#REF!</v>
      </c>
      <c r="BB44" s="71"/>
      <c r="BC44" s="59"/>
      <c r="BD44" s="56"/>
      <c r="BE44" s="56"/>
      <c r="BF44" s="56"/>
      <c r="BG44" s="56"/>
      <c r="BH44" s="59"/>
      <c r="BI44" s="59"/>
      <c r="BJ44" s="59"/>
      <c r="BK44" s="59"/>
      <c r="BL44" s="59"/>
      <c r="BM44" s="59"/>
      <c r="BN44" s="59"/>
      <c r="BO44" s="59"/>
      <c r="BP44" s="59"/>
      <c r="BQ44" s="62"/>
      <c r="BR44" s="6"/>
      <c r="BS44" s="70"/>
      <c r="BT44" s="62" t="s">
        <v>2422</v>
      </c>
      <c r="BU44" s="84"/>
      <c r="BV44" s="84"/>
      <c r="BW44" s="84"/>
      <c r="BX44" s="84"/>
      <c r="BY44" s="84"/>
    </row>
    <row r="45" spans="1:77" ht="76.5" x14ac:dyDescent="0.25">
      <c r="A45" s="38" t="s">
        <v>2423</v>
      </c>
      <c r="B45" s="39">
        <v>40</v>
      </c>
      <c r="C45" s="38" t="s">
        <v>225</v>
      </c>
      <c r="D45" s="40" t="s">
        <v>2411</v>
      </c>
      <c r="E45" s="567" t="s">
        <v>163</v>
      </c>
      <c r="F45" s="39" t="s">
        <v>2035</v>
      </c>
      <c r="G45" s="567" t="s">
        <v>2237</v>
      </c>
      <c r="H45" s="685" t="s">
        <v>546</v>
      </c>
      <c r="I45" s="41" t="s">
        <v>2424</v>
      </c>
      <c r="J45" s="41"/>
      <c r="K45" s="41"/>
      <c r="L45" s="41"/>
      <c r="M45" s="42" t="str">
        <f t="shared" si="9"/>
        <v xml:space="preserve">9 Once Distribuidora, S.A. de C.V.  </v>
      </c>
      <c r="N45" s="991" t="s">
        <v>763</v>
      </c>
      <c r="O45" s="991" t="s">
        <v>763</v>
      </c>
      <c r="P45" s="991" t="s">
        <v>2425</v>
      </c>
      <c r="Q45" s="992">
        <v>269463.65999999997</v>
      </c>
      <c r="R45" s="44">
        <f t="shared" si="13"/>
        <v>43114.185599999997</v>
      </c>
      <c r="S45" s="45">
        <f t="shared" si="7"/>
        <v>312577.8456</v>
      </c>
      <c r="T45" s="46">
        <v>0</v>
      </c>
      <c r="U45" s="47">
        <f t="shared" si="14"/>
        <v>0</v>
      </c>
      <c r="V45" s="44">
        <f t="shared" si="8"/>
        <v>312577.8456</v>
      </c>
      <c r="W45" s="993" t="s">
        <v>156</v>
      </c>
      <c r="X45" s="48">
        <v>43896</v>
      </c>
      <c r="Y45" s="39" t="s">
        <v>234</v>
      </c>
      <c r="Z45" s="48">
        <v>43894</v>
      </c>
      <c r="AA45" s="48">
        <v>43899</v>
      </c>
      <c r="AB45" s="38" t="s">
        <v>2050</v>
      </c>
      <c r="AC45" s="38"/>
      <c r="AD45" s="59"/>
      <c r="AE45" s="59"/>
      <c r="AF45" s="59"/>
      <c r="AG45" s="59"/>
      <c r="AH45" s="39"/>
      <c r="AI45" s="38"/>
      <c r="AJ45" s="38"/>
      <c r="AK45" s="50"/>
      <c r="AL45" s="44"/>
      <c r="AM45" s="39" t="str">
        <f t="shared" ca="1" si="15"/>
        <v>MUERTO</v>
      </c>
      <c r="AN45" s="39">
        <v>25401</v>
      </c>
      <c r="AO45" s="39" t="s">
        <v>156</v>
      </c>
      <c r="AP45" s="39" t="s">
        <v>234</v>
      </c>
      <c r="AQ45" s="39"/>
      <c r="AR45" s="39" t="s">
        <v>234</v>
      </c>
      <c r="AS45" s="39"/>
      <c r="AT45" s="39"/>
      <c r="AU45" s="51"/>
      <c r="AV45" s="50"/>
      <c r="AW45" s="38"/>
      <c r="AX45" s="52"/>
      <c r="AY45" s="173"/>
      <c r="AZ45" s="38"/>
      <c r="BA45" s="38" t="e">
        <f>VLOOKUP(I45,#REF!,2,0)</f>
        <v>#REF!</v>
      </c>
      <c r="BB45" s="71"/>
      <c r="BC45" s="59"/>
      <c r="BD45" s="39"/>
      <c r="BE45" s="39"/>
      <c r="BF45" s="39"/>
      <c r="BG45" s="39"/>
      <c r="BH45" s="59"/>
      <c r="BI45" s="59"/>
      <c r="BJ45" s="59"/>
      <c r="BK45" s="59"/>
      <c r="BL45" s="59"/>
      <c r="BM45" s="59"/>
      <c r="BN45" s="59"/>
      <c r="BO45" s="59"/>
      <c r="BP45" s="59"/>
      <c r="BQ45" s="62"/>
      <c r="BR45" s="6"/>
      <c r="BS45" s="70"/>
      <c r="BT45" s="62" t="s">
        <v>2346</v>
      </c>
      <c r="BU45" s="84"/>
      <c r="BV45" s="84"/>
      <c r="BW45" s="84"/>
      <c r="BX45" s="84"/>
      <c r="BY45" s="84"/>
    </row>
    <row r="46" spans="1:77" ht="76.5" x14ac:dyDescent="0.25">
      <c r="A46" s="38" t="s">
        <v>2426</v>
      </c>
      <c r="B46" s="39">
        <v>41</v>
      </c>
      <c r="C46" s="38" t="s">
        <v>225</v>
      </c>
      <c r="D46" s="40" t="s">
        <v>2411</v>
      </c>
      <c r="E46" s="567" t="s">
        <v>163</v>
      </c>
      <c r="F46" s="39" t="s">
        <v>2035</v>
      </c>
      <c r="G46" s="567" t="s">
        <v>2237</v>
      </c>
      <c r="H46" s="685" t="s">
        <v>546</v>
      </c>
      <c r="I46" s="41" t="s">
        <v>2427</v>
      </c>
      <c r="J46" s="41"/>
      <c r="K46" s="41"/>
      <c r="L46" s="41"/>
      <c r="M46" s="42" t="str">
        <f t="shared" si="9"/>
        <v xml:space="preserve">Comercializadora Eurogrup, S.A. de C.V.  </v>
      </c>
      <c r="N46" s="991" t="s">
        <v>763</v>
      </c>
      <c r="O46" s="991" t="s">
        <v>763</v>
      </c>
      <c r="P46" s="42" t="s">
        <v>2428</v>
      </c>
      <c r="Q46" s="992">
        <v>1092000</v>
      </c>
      <c r="R46" s="44">
        <f t="shared" si="13"/>
        <v>174720</v>
      </c>
      <c r="S46" s="45">
        <f t="shared" si="7"/>
        <v>1266720</v>
      </c>
      <c r="T46" s="46">
        <v>0</v>
      </c>
      <c r="U46" s="47">
        <f t="shared" si="14"/>
        <v>0</v>
      </c>
      <c r="V46" s="44">
        <f t="shared" si="8"/>
        <v>1266720</v>
      </c>
      <c r="W46" s="993" t="s">
        <v>156</v>
      </c>
      <c r="X46" s="48">
        <v>43896</v>
      </c>
      <c r="Y46" s="39" t="s">
        <v>234</v>
      </c>
      <c r="Z46" s="48">
        <v>43894</v>
      </c>
      <c r="AA46" s="48">
        <v>43899</v>
      </c>
      <c r="AB46" s="38" t="s">
        <v>2050</v>
      </c>
      <c r="AC46" s="38"/>
      <c r="AD46" s="59"/>
      <c r="AE46" s="59"/>
      <c r="AF46" s="59"/>
      <c r="AG46" s="59"/>
      <c r="AH46" s="39"/>
      <c r="AI46" s="38"/>
      <c r="AJ46" s="38"/>
      <c r="AK46" s="50"/>
      <c r="AL46" s="44"/>
      <c r="AM46" s="39" t="str">
        <f t="shared" ca="1" si="15"/>
        <v>MUERTO</v>
      </c>
      <c r="AN46" s="39"/>
      <c r="AO46" s="39" t="s">
        <v>156</v>
      </c>
      <c r="AP46" s="39" t="s">
        <v>234</v>
      </c>
      <c r="AQ46" s="39"/>
      <c r="AR46" s="39" t="s">
        <v>234</v>
      </c>
      <c r="AS46" s="39"/>
      <c r="AT46" s="39"/>
      <c r="AU46" s="51"/>
      <c r="AV46" s="50"/>
      <c r="AW46" s="38"/>
      <c r="AX46" s="52"/>
      <c r="AY46" s="173"/>
      <c r="AZ46" s="38"/>
      <c r="BA46" s="38" t="e">
        <f>VLOOKUP(I46,#REF!,2,0)</f>
        <v>#REF!</v>
      </c>
      <c r="BB46" s="71"/>
      <c r="BC46" s="59"/>
      <c r="BD46" s="56"/>
      <c r="BE46" s="56"/>
      <c r="BF46" s="56"/>
      <c r="BG46" s="56"/>
      <c r="BH46" s="59"/>
      <c r="BI46" s="59"/>
      <c r="BJ46" s="59"/>
      <c r="BK46" s="59"/>
      <c r="BL46" s="59"/>
      <c r="BM46" s="59"/>
      <c r="BN46" s="59"/>
      <c r="BO46" s="59"/>
      <c r="BP46" s="59"/>
      <c r="BQ46" s="62"/>
      <c r="BR46" s="6"/>
      <c r="BS46" s="70"/>
      <c r="BT46" s="62" t="s">
        <v>2346</v>
      </c>
      <c r="BU46" s="84"/>
      <c r="BV46" s="84"/>
      <c r="BW46" s="84"/>
      <c r="BX46" s="84"/>
      <c r="BY46" s="84"/>
    </row>
    <row r="47" spans="1:77" ht="150" x14ac:dyDescent="0.25">
      <c r="A47" s="38" t="s">
        <v>2429</v>
      </c>
      <c r="B47" s="39">
        <v>42</v>
      </c>
      <c r="C47" s="38" t="s">
        <v>149</v>
      </c>
      <c r="D47" s="40" t="s">
        <v>2411</v>
      </c>
      <c r="E47" s="567" t="s">
        <v>163</v>
      </c>
      <c r="F47" s="39" t="s">
        <v>726</v>
      </c>
      <c r="G47" s="567" t="s">
        <v>2237</v>
      </c>
      <c r="H47" s="567" t="s">
        <v>163</v>
      </c>
      <c r="I47" s="41" t="s">
        <v>2132</v>
      </c>
      <c r="J47" s="41"/>
      <c r="K47" s="41"/>
      <c r="L47" s="41"/>
      <c r="M47" s="42" t="str">
        <f t="shared" si="9"/>
        <v xml:space="preserve">Detecno, S.A. de C.V.  </v>
      </c>
      <c r="N47" s="991" t="s">
        <v>2084</v>
      </c>
      <c r="O47" s="991" t="s">
        <v>461</v>
      </c>
      <c r="P47" s="991" t="s">
        <v>2430</v>
      </c>
      <c r="Q47" s="992">
        <v>1452000</v>
      </c>
      <c r="R47" s="44">
        <f t="shared" si="13"/>
        <v>232320</v>
      </c>
      <c r="S47" s="45">
        <f t="shared" si="7"/>
        <v>1684320</v>
      </c>
      <c r="T47" s="46">
        <v>0</v>
      </c>
      <c r="U47" s="47">
        <f t="shared" si="14"/>
        <v>0</v>
      </c>
      <c r="V47" s="44">
        <f t="shared" si="8"/>
        <v>2021184</v>
      </c>
      <c r="W47" s="993" t="s">
        <v>156</v>
      </c>
      <c r="X47" s="48">
        <v>43896</v>
      </c>
      <c r="Y47" s="39" t="s">
        <v>234</v>
      </c>
      <c r="Z47" s="48">
        <v>43892</v>
      </c>
      <c r="AA47" s="48" t="s">
        <v>2369</v>
      </c>
      <c r="AB47" s="38" t="s">
        <v>182</v>
      </c>
      <c r="AC47" s="38"/>
      <c r="AD47" s="59" t="s">
        <v>2431</v>
      </c>
      <c r="AE47" s="59" t="s">
        <v>161</v>
      </c>
      <c r="AF47" s="59" t="s">
        <v>161</v>
      </c>
      <c r="AG47" s="59" t="s">
        <v>161</v>
      </c>
      <c r="AH47" s="39" t="s">
        <v>183</v>
      </c>
      <c r="AI47" s="118" t="s">
        <v>2432</v>
      </c>
      <c r="AJ47" s="100" t="s">
        <v>2433</v>
      </c>
      <c r="AK47" s="101">
        <v>44195</v>
      </c>
      <c r="AL47" s="120">
        <v>336864</v>
      </c>
      <c r="AM47" s="39" t="str">
        <f t="shared" ca="1" si="15"/>
        <v>VIGENTE</v>
      </c>
      <c r="AN47" s="39">
        <v>33301</v>
      </c>
      <c r="AO47" s="39" t="s">
        <v>183</v>
      </c>
      <c r="AP47" s="39" t="s">
        <v>234</v>
      </c>
      <c r="AQ47" s="39"/>
      <c r="AR47" s="39" t="s">
        <v>234</v>
      </c>
      <c r="AS47" s="39"/>
      <c r="AT47" s="39"/>
      <c r="AU47" s="51"/>
      <c r="AV47" s="50"/>
      <c r="AW47" s="38"/>
      <c r="AX47" s="52"/>
      <c r="AY47" s="173"/>
      <c r="AZ47" s="38"/>
      <c r="BA47" s="38" t="e">
        <f>VLOOKUP(I47,#REF!,2,0)</f>
        <v>#REF!</v>
      </c>
      <c r="BB47" s="71"/>
      <c r="BC47" s="59"/>
      <c r="BD47" s="39"/>
      <c r="BE47" s="39"/>
      <c r="BF47" s="39"/>
      <c r="BG47" s="39"/>
      <c r="BH47" s="59"/>
      <c r="BI47" s="59"/>
      <c r="BJ47" s="59"/>
      <c r="BK47" s="59"/>
      <c r="BL47" s="59"/>
      <c r="BM47" s="59"/>
      <c r="BN47" s="59"/>
      <c r="BO47" s="59"/>
      <c r="BP47" s="59"/>
      <c r="BQ47" s="62"/>
      <c r="BR47" s="6"/>
      <c r="BS47" s="70"/>
      <c r="BT47" s="59" t="s">
        <v>2434</v>
      </c>
      <c r="BU47" s="84"/>
      <c r="BV47" s="84"/>
      <c r="BW47" s="84"/>
      <c r="BX47" s="84"/>
      <c r="BY47" s="84"/>
    </row>
    <row r="48" spans="1:77" ht="135" x14ac:dyDescent="0.25">
      <c r="A48" s="38" t="s">
        <v>2435</v>
      </c>
      <c r="B48" s="39">
        <v>43</v>
      </c>
      <c r="C48" s="38" t="s">
        <v>149</v>
      </c>
      <c r="D48" s="40" t="s">
        <v>2411</v>
      </c>
      <c r="E48" s="567" t="s">
        <v>163</v>
      </c>
      <c r="F48" s="39" t="s">
        <v>312</v>
      </c>
      <c r="G48" s="567" t="s">
        <v>2237</v>
      </c>
      <c r="H48" s="685" t="s">
        <v>546</v>
      </c>
      <c r="I48" s="41" t="s">
        <v>2436</v>
      </c>
      <c r="J48" s="41"/>
      <c r="K48" s="41"/>
      <c r="L48" s="41"/>
      <c r="M48" s="42" t="str">
        <f t="shared" si="9"/>
        <v xml:space="preserve">Teletec de México, S.A.P.I. de C.V.  </v>
      </c>
      <c r="N48" s="42" t="s">
        <v>198</v>
      </c>
      <c r="O48" s="991" t="s">
        <v>198</v>
      </c>
      <c r="P48" s="42" t="s">
        <v>2437</v>
      </c>
      <c r="Q48" s="992">
        <v>3509720</v>
      </c>
      <c r="R48" s="44">
        <f t="shared" si="13"/>
        <v>561555.20000000007</v>
      </c>
      <c r="S48" s="45">
        <f t="shared" si="7"/>
        <v>4071275.2</v>
      </c>
      <c r="T48" s="46">
        <v>3154850</v>
      </c>
      <c r="U48" s="47">
        <f t="shared" si="14"/>
        <v>3659626</v>
      </c>
      <c r="V48" s="44">
        <f t="shared" si="8"/>
        <v>4071275.2</v>
      </c>
      <c r="W48" s="993" t="s">
        <v>156</v>
      </c>
      <c r="X48" s="48">
        <v>43899</v>
      </c>
      <c r="Y48" s="39" t="s">
        <v>234</v>
      </c>
      <c r="Z48" s="48">
        <v>43892</v>
      </c>
      <c r="AA48" s="48">
        <v>44196</v>
      </c>
      <c r="AB48" s="38" t="s">
        <v>2033</v>
      </c>
      <c r="AC48" s="38"/>
      <c r="AD48" s="59">
        <v>43920</v>
      </c>
      <c r="AE48" s="59">
        <v>43948</v>
      </c>
      <c r="AF48" s="59" t="s">
        <v>161</v>
      </c>
      <c r="AG48" s="59" t="s">
        <v>161</v>
      </c>
      <c r="AH48" s="39" t="s">
        <v>183</v>
      </c>
      <c r="AI48" s="38"/>
      <c r="AJ48" s="38"/>
      <c r="AK48" s="50"/>
      <c r="AL48" s="44"/>
      <c r="AM48" s="39" t="str">
        <f t="shared" ca="1" si="15"/>
        <v>MUERTO</v>
      </c>
      <c r="AN48" s="39">
        <v>35101</v>
      </c>
      <c r="AO48" s="39" t="s">
        <v>183</v>
      </c>
      <c r="AP48" s="39" t="s">
        <v>234</v>
      </c>
      <c r="AQ48" s="39"/>
      <c r="AR48" s="39" t="s">
        <v>234</v>
      </c>
      <c r="AS48" s="39"/>
      <c r="AT48" s="39"/>
      <c r="AU48" s="51"/>
      <c r="AV48" s="50"/>
      <c r="AW48" s="38"/>
      <c r="AX48" s="52"/>
      <c r="AY48" s="173"/>
      <c r="AZ48" s="38"/>
      <c r="BA48" s="38" t="e">
        <f>VLOOKUP(I48,#REF!,2,0)</f>
        <v>#REF!</v>
      </c>
      <c r="BB48" s="71"/>
      <c r="BC48" s="59"/>
      <c r="BD48" s="56"/>
      <c r="BE48" s="56"/>
      <c r="BF48" s="56"/>
      <c r="BG48" s="56"/>
      <c r="BH48" s="59"/>
      <c r="BI48" s="59"/>
      <c r="BJ48" s="59"/>
      <c r="BK48" s="59"/>
      <c r="BL48" s="59"/>
      <c r="BM48" s="59"/>
      <c r="BN48" s="59"/>
      <c r="BO48" s="59"/>
      <c r="BP48" s="59"/>
      <c r="BQ48" s="62"/>
      <c r="BR48" s="6"/>
      <c r="BS48" s="70"/>
      <c r="BT48" s="62" t="s">
        <v>2245</v>
      </c>
      <c r="BU48" s="84"/>
      <c r="BV48" s="84"/>
      <c r="BW48" s="84"/>
      <c r="BX48" s="84"/>
      <c r="BY48" s="84"/>
    </row>
    <row r="49" spans="1:77" ht="45" x14ac:dyDescent="0.25">
      <c r="A49" s="38" t="s">
        <v>2438</v>
      </c>
      <c r="B49" s="39">
        <v>44</v>
      </c>
      <c r="C49" s="38" t="s">
        <v>149</v>
      </c>
      <c r="D49" s="40" t="s">
        <v>1177</v>
      </c>
      <c r="E49" s="567" t="s">
        <v>163</v>
      </c>
      <c r="F49" s="39" t="s">
        <v>164</v>
      </c>
      <c r="G49" s="567" t="s">
        <v>163</v>
      </c>
      <c r="H49" s="567" t="s">
        <v>163</v>
      </c>
      <c r="I49" s="41" t="s">
        <v>1884</v>
      </c>
      <c r="J49" s="41"/>
      <c r="K49" s="41"/>
      <c r="L49" s="41"/>
      <c r="M49" s="42" t="str">
        <f t="shared" si="9"/>
        <v xml:space="preserve">Idiomas de Iztapalapa, S.C.  </v>
      </c>
      <c r="N49" s="991" t="s">
        <v>370</v>
      </c>
      <c r="O49" s="991" t="s">
        <v>370</v>
      </c>
      <c r="P49" s="991" t="s">
        <v>2439</v>
      </c>
      <c r="Q49" s="992">
        <v>775862.07</v>
      </c>
      <c r="R49" s="44">
        <f t="shared" si="13"/>
        <v>124137.93119999999</v>
      </c>
      <c r="S49" s="45">
        <f t="shared" si="7"/>
        <v>900000.00119999994</v>
      </c>
      <c r="T49" s="46">
        <v>0</v>
      </c>
      <c r="U49" s="47">
        <f t="shared" si="14"/>
        <v>0</v>
      </c>
      <c r="V49" s="44">
        <f t="shared" si="8"/>
        <v>900000.00119999994</v>
      </c>
      <c r="W49" s="993" t="s">
        <v>156</v>
      </c>
      <c r="X49" s="48">
        <v>43902</v>
      </c>
      <c r="Y49" s="39" t="s">
        <v>234</v>
      </c>
      <c r="Z49" s="48">
        <v>43907</v>
      </c>
      <c r="AA49" s="48">
        <v>44196</v>
      </c>
      <c r="AB49" s="38" t="s">
        <v>2351</v>
      </c>
      <c r="AC49" s="38"/>
      <c r="AD49" s="59" t="s">
        <v>161</v>
      </c>
      <c r="AE49" s="59" t="s">
        <v>161</v>
      </c>
      <c r="AF49" s="59" t="s">
        <v>161</v>
      </c>
      <c r="AG49" s="59" t="s">
        <v>161</v>
      </c>
      <c r="AH49" s="39" t="s">
        <v>183</v>
      </c>
      <c r="AI49" s="38"/>
      <c r="AJ49" s="38"/>
      <c r="AK49" s="50"/>
      <c r="AL49" s="44"/>
      <c r="AM49" s="39" t="str">
        <f t="shared" ca="1" si="15"/>
        <v>MUERTO</v>
      </c>
      <c r="AN49" s="39">
        <v>33401</v>
      </c>
      <c r="AO49" s="39" t="s">
        <v>183</v>
      </c>
      <c r="AP49" s="39" t="s">
        <v>234</v>
      </c>
      <c r="AQ49" s="39"/>
      <c r="AR49" s="39" t="s">
        <v>234</v>
      </c>
      <c r="AS49" s="39"/>
      <c r="AT49" s="39"/>
      <c r="AU49" s="51"/>
      <c r="AV49" s="50"/>
      <c r="AW49" s="38"/>
      <c r="AX49" s="52"/>
      <c r="AY49" s="173"/>
      <c r="AZ49" s="38"/>
      <c r="BA49" s="38" t="e">
        <f>VLOOKUP(I49,#REF!,2,0)</f>
        <v>#REF!</v>
      </c>
      <c r="BB49" s="71"/>
      <c r="BC49" s="59"/>
      <c r="BD49" s="39"/>
      <c r="BE49" s="39"/>
      <c r="BF49" s="39"/>
      <c r="BG49" s="39"/>
      <c r="BH49" s="59"/>
      <c r="BI49" s="59"/>
      <c r="BJ49" s="59"/>
      <c r="BK49" s="59"/>
      <c r="BL49" s="59"/>
      <c r="BM49" s="59"/>
      <c r="BN49" s="59"/>
      <c r="BO49" s="59"/>
      <c r="BP49" s="59"/>
      <c r="BQ49" s="62"/>
      <c r="BR49" s="6"/>
      <c r="BS49" s="70"/>
      <c r="BT49" s="62" t="s">
        <v>2440</v>
      </c>
      <c r="BU49" s="84"/>
      <c r="BV49" s="84"/>
      <c r="BW49" s="84"/>
      <c r="BX49" s="84"/>
      <c r="BY49" s="84"/>
    </row>
    <row r="50" spans="1:77" ht="76.5" x14ac:dyDescent="0.25">
      <c r="A50" s="38" t="s">
        <v>2441</v>
      </c>
      <c r="B50" s="39">
        <v>45</v>
      </c>
      <c r="C50" s="38" t="s">
        <v>225</v>
      </c>
      <c r="D50" s="40" t="s">
        <v>2411</v>
      </c>
      <c r="E50" s="567" t="s">
        <v>163</v>
      </c>
      <c r="F50" s="39" t="s">
        <v>2035</v>
      </c>
      <c r="G50" s="567" t="s">
        <v>2237</v>
      </c>
      <c r="H50" s="685" t="s">
        <v>546</v>
      </c>
      <c r="I50" s="41" t="s">
        <v>2442</v>
      </c>
      <c r="J50" s="41"/>
      <c r="K50" s="41"/>
      <c r="L50" s="41"/>
      <c r="M50" s="42" t="str">
        <f t="shared" si="9"/>
        <v xml:space="preserve">Mipra, S.A. de C.V.  </v>
      </c>
      <c r="N50" s="991" t="s">
        <v>763</v>
      </c>
      <c r="O50" s="991" t="s">
        <v>763</v>
      </c>
      <c r="P50" s="991" t="s">
        <v>2443</v>
      </c>
      <c r="Q50" s="992">
        <v>1800000</v>
      </c>
      <c r="R50" s="44">
        <f t="shared" si="13"/>
        <v>288000</v>
      </c>
      <c r="S50" s="45">
        <f t="shared" ref="S50:S77" si="16">Q50+R50</f>
        <v>2088000</v>
      </c>
      <c r="T50" s="46">
        <v>0</v>
      </c>
      <c r="U50" s="47">
        <f t="shared" si="14"/>
        <v>0</v>
      </c>
      <c r="V50" s="44">
        <f t="shared" ref="V50:V80" si="17">S50+AL50</f>
        <v>2088000</v>
      </c>
      <c r="W50" s="993" t="s">
        <v>156</v>
      </c>
      <c r="X50" s="48">
        <v>37321</v>
      </c>
      <c r="Y50" s="39" t="s">
        <v>234</v>
      </c>
      <c r="Z50" s="48">
        <v>43894</v>
      </c>
      <c r="AA50" s="48">
        <v>43899</v>
      </c>
      <c r="AB50" s="38" t="s">
        <v>2351</v>
      </c>
      <c r="AC50" s="38"/>
      <c r="AD50" s="59"/>
      <c r="AE50" s="59"/>
      <c r="AF50" s="59"/>
      <c r="AG50" s="59"/>
      <c r="AH50" s="39"/>
      <c r="AI50" s="38"/>
      <c r="AJ50" s="38"/>
      <c r="AK50" s="50"/>
      <c r="AL50" s="44"/>
      <c r="AM50" s="39" t="str">
        <f t="shared" ca="1" si="15"/>
        <v>MUERTO</v>
      </c>
      <c r="AN50" s="39">
        <v>25401</v>
      </c>
      <c r="AO50" s="39" t="s">
        <v>156</v>
      </c>
      <c r="AP50" s="39" t="s">
        <v>234</v>
      </c>
      <c r="AQ50" s="39"/>
      <c r="AR50" s="39" t="s">
        <v>234</v>
      </c>
      <c r="AS50" s="39"/>
      <c r="AT50" s="39"/>
      <c r="AU50" s="51"/>
      <c r="AV50" s="50"/>
      <c r="AW50" s="38"/>
      <c r="AX50" s="52"/>
      <c r="AY50" s="173"/>
      <c r="AZ50" s="38"/>
      <c r="BA50" s="38" t="e">
        <f>VLOOKUP(I50,#REF!,2,0)</f>
        <v>#REF!</v>
      </c>
      <c r="BB50" s="71"/>
      <c r="BC50" s="59"/>
      <c r="BD50" s="39"/>
      <c r="BE50" s="39"/>
      <c r="BF50" s="39"/>
      <c r="BG50" s="39"/>
      <c r="BH50" s="59"/>
      <c r="BI50" s="59"/>
      <c r="BJ50" s="59"/>
      <c r="BK50" s="59"/>
      <c r="BL50" s="59"/>
      <c r="BM50" s="59"/>
      <c r="BN50" s="59"/>
      <c r="BO50" s="59"/>
      <c r="BP50" s="59"/>
      <c r="BQ50" s="62"/>
      <c r="BR50" s="6"/>
      <c r="BS50" s="70"/>
      <c r="BT50" s="62" t="s">
        <v>2268</v>
      </c>
      <c r="BU50" s="84"/>
      <c r="BV50" s="84"/>
      <c r="BW50" s="84"/>
      <c r="BX50" s="84"/>
      <c r="BY50" s="84"/>
    </row>
    <row r="51" spans="1:77" ht="60" x14ac:dyDescent="0.25">
      <c r="A51" s="38" t="s">
        <v>2444</v>
      </c>
      <c r="B51" s="39">
        <v>46</v>
      </c>
      <c r="C51" s="38" t="s">
        <v>149</v>
      </c>
      <c r="D51" s="40" t="s">
        <v>2445</v>
      </c>
      <c r="E51" s="567" t="s">
        <v>163</v>
      </c>
      <c r="F51" s="39" t="s">
        <v>620</v>
      </c>
      <c r="G51" s="567" t="s">
        <v>163</v>
      </c>
      <c r="H51" s="567" t="s">
        <v>163</v>
      </c>
      <c r="I51" s="41" t="s">
        <v>2046</v>
      </c>
      <c r="J51" s="41"/>
      <c r="K51" s="41"/>
      <c r="L51" s="41"/>
      <c r="M51" s="42" t="str">
        <f t="shared" si="9"/>
        <v xml:space="preserve">Miguel Ángel Porrúa, S.A. de C.V.  </v>
      </c>
      <c r="N51" s="991" t="s">
        <v>2446</v>
      </c>
      <c r="O51" s="991" t="s">
        <v>2446</v>
      </c>
      <c r="P51" s="991" t="s">
        <v>2447</v>
      </c>
      <c r="Q51" s="992">
        <v>630000</v>
      </c>
      <c r="R51" s="44">
        <f t="shared" si="13"/>
        <v>100800</v>
      </c>
      <c r="S51" s="45">
        <f t="shared" si="16"/>
        <v>730800</v>
      </c>
      <c r="T51" s="46">
        <v>0</v>
      </c>
      <c r="U51" s="47">
        <f t="shared" si="14"/>
        <v>0</v>
      </c>
      <c r="V51" s="44">
        <f t="shared" si="17"/>
        <v>730800</v>
      </c>
      <c r="W51" s="993" t="s">
        <v>156</v>
      </c>
      <c r="X51" s="48">
        <v>43903</v>
      </c>
      <c r="Y51" s="39" t="s">
        <v>234</v>
      </c>
      <c r="Z51" s="48">
        <v>43903</v>
      </c>
      <c r="AA51" s="48">
        <v>43920</v>
      </c>
      <c r="AB51" s="38" t="s">
        <v>2351</v>
      </c>
      <c r="AC51" s="38"/>
      <c r="AD51" s="59" t="s">
        <v>161</v>
      </c>
      <c r="AE51" s="59" t="s">
        <v>161</v>
      </c>
      <c r="AF51" s="59" t="s">
        <v>161</v>
      </c>
      <c r="AG51" s="59" t="s">
        <v>161</v>
      </c>
      <c r="AH51" s="39" t="s">
        <v>183</v>
      </c>
      <c r="AI51" s="38"/>
      <c r="AJ51" s="38"/>
      <c r="AK51" s="50"/>
      <c r="AL51" s="44"/>
      <c r="AM51" s="39" t="str">
        <f t="shared" ca="1" si="15"/>
        <v>MUERTO</v>
      </c>
      <c r="AN51" s="39">
        <v>33604</v>
      </c>
      <c r="AO51" s="39" t="s">
        <v>156</v>
      </c>
      <c r="AP51" s="39" t="s">
        <v>234</v>
      </c>
      <c r="AQ51" s="39"/>
      <c r="AR51" s="39" t="s">
        <v>234</v>
      </c>
      <c r="AS51" s="39"/>
      <c r="AT51" s="39"/>
      <c r="AU51" s="51"/>
      <c r="AV51" s="50"/>
      <c r="AW51" s="38"/>
      <c r="AX51" s="52"/>
      <c r="AY51" s="173"/>
      <c r="AZ51" s="38"/>
      <c r="BA51" s="38" t="e">
        <f>VLOOKUP(I51,#REF!,2,0)</f>
        <v>#REF!</v>
      </c>
      <c r="BB51" s="71"/>
      <c r="BC51" s="59"/>
      <c r="BD51" s="39"/>
      <c r="BE51" s="39"/>
      <c r="BF51" s="39"/>
      <c r="BG51" s="39"/>
      <c r="BH51" s="59"/>
      <c r="BI51" s="59"/>
      <c r="BJ51" s="59"/>
      <c r="BK51" s="59"/>
      <c r="BL51" s="59"/>
      <c r="BM51" s="59"/>
      <c r="BN51" s="59"/>
      <c r="BO51" s="59"/>
      <c r="BP51" s="59"/>
      <c r="BQ51" s="62"/>
      <c r="BR51" s="6"/>
      <c r="BS51" s="70"/>
      <c r="BT51" s="62" t="s">
        <v>2414</v>
      </c>
      <c r="BU51" s="84"/>
      <c r="BV51" s="84"/>
      <c r="BW51" s="84"/>
      <c r="BX51" s="84"/>
      <c r="BY51" s="84"/>
    </row>
    <row r="52" spans="1:77" ht="120" x14ac:dyDescent="0.25">
      <c r="A52" s="38" t="s">
        <v>2448</v>
      </c>
      <c r="B52" s="39">
        <v>47</v>
      </c>
      <c r="C52" s="38" t="s">
        <v>149</v>
      </c>
      <c r="D52" s="40" t="s">
        <v>2411</v>
      </c>
      <c r="E52" s="567" t="s">
        <v>163</v>
      </c>
      <c r="F52" s="39" t="s">
        <v>312</v>
      </c>
      <c r="G52" s="567" t="s">
        <v>2237</v>
      </c>
      <c r="H52" s="685" t="s">
        <v>546</v>
      </c>
      <c r="I52" s="41" t="s">
        <v>2449</v>
      </c>
      <c r="J52" s="41"/>
      <c r="K52" s="41"/>
      <c r="L52" s="41"/>
      <c r="M52" s="42" t="str">
        <f t="shared" si="9"/>
        <v xml:space="preserve">Johnson Controls BE Operations México, S. de R.L. de C.V.  </v>
      </c>
      <c r="N52" s="991" t="s">
        <v>198</v>
      </c>
      <c r="O52" s="991" t="s">
        <v>198</v>
      </c>
      <c r="P52" s="991" t="s">
        <v>2450</v>
      </c>
      <c r="Q52" s="992">
        <v>5833333.3300000001</v>
      </c>
      <c r="R52" s="44">
        <f t="shared" si="13"/>
        <v>933333.33279999997</v>
      </c>
      <c r="S52" s="45">
        <f t="shared" si="16"/>
        <v>6766666.6628</v>
      </c>
      <c r="T52" s="46">
        <v>4662142.3</v>
      </c>
      <c r="U52" s="47">
        <f t="shared" si="14"/>
        <v>5408085.068</v>
      </c>
      <c r="V52" s="44">
        <f t="shared" si="17"/>
        <v>6766666.6628</v>
      </c>
      <c r="W52" s="993" t="s">
        <v>156</v>
      </c>
      <c r="X52" s="48">
        <v>43909</v>
      </c>
      <c r="Y52" s="39" t="s">
        <v>234</v>
      </c>
      <c r="Z52" s="48">
        <v>43892</v>
      </c>
      <c r="AA52" s="48">
        <v>44196</v>
      </c>
      <c r="AB52" s="38" t="s">
        <v>2033</v>
      </c>
      <c r="AC52" s="38"/>
      <c r="AD52" s="59">
        <v>43957</v>
      </c>
      <c r="AE52" s="59">
        <v>43999</v>
      </c>
      <c r="AF52" s="59" t="s">
        <v>161</v>
      </c>
      <c r="AG52" s="59" t="s">
        <v>161</v>
      </c>
      <c r="AH52" s="39" t="s">
        <v>183</v>
      </c>
      <c r="AI52" s="38"/>
      <c r="AJ52" s="38"/>
      <c r="AK52" s="50"/>
      <c r="AL52" s="44"/>
      <c r="AM52" s="39" t="str">
        <f t="shared" ca="1" si="15"/>
        <v>MUERTO</v>
      </c>
      <c r="AN52" s="39">
        <v>35301</v>
      </c>
      <c r="AO52" s="39" t="s">
        <v>183</v>
      </c>
      <c r="AP52" s="39" t="s">
        <v>234</v>
      </c>
      <c r="AQ52" s="39"/>
      <c r="AR52" s="39" t="s">
        <v>234</v>
      </c>
      <c r="AS52" s="39"/>
      <c r="AT52" s="39"/>
      <c r="AU52" s="51"/>
      <c r="AV52" s="50"/>
      <c r="AW52" s="38"/>
      <c r="AX52" s="52"/>
      <c r="AY52" s="173"/>
      <c r="AZ52" s="38"/>
      <c r="BA52" s="38" t="e">
        <f>VLOOKUP(I52,#REF!,2,0)</f>
        <v>#REF!</v>
      </c>
      <c r="BB52" s="71"/>
      <c r="BC52" s="59"/>
      <c r="BD52" s="39"/>
      <c r="BE52" s="39"/>
      <c r="BF52" s="39"/>
      <c r="BG52" s="39"/>
      <c r="BH52" s="59"/>
      <c r="BI52" s="59"/>
      <c r="BJ52" s="59"/>
      <c r="BK52" s="59"/>
      <c r="BL52" s="59"/>
      <c r="BM52" s="59"/>
      <c r="BN52" s="59"/>
      <c r="BO52" s="59"/>
      <c r="BP52" s="59"/>
      <c r="BQ52" s="62"/>
      <c r="BR52" s="6"/>
      <c r="BS52" s="70"/>
      <c r="BT52" s="62" t="s">
        <v>2251</v>
      </c>
      <c r="BU52" s="84"/>
      <c r="BV52" s="84"/>
      <c r="BW52" s="84"/>
      <c r="BX52" s="84"/>
      <c r="BY52" s="84"/>
    </row>
    <row r="53" spans="1:77" ht="105" x14ac:dyDescent="0.25">
      <c r="A53" s="38" t="s">
        <v>2451</v>
      </c>
      <c r="B53" s="39">
        <v>48</v>
      </c>
      <c r="C53" s="38" t="s">
        <v>149</v>
      </c>
      <c r="D53" s="40" t="s">
        <v>2411</v>
      </c>
      <c r="E53" s="567" t="s">
        <v>163</v>
      </c>
      <c r="F53" s="39" t="s">
        <v>312</v>
      </c>
      <c r="G53" s="567" t="s">
        <v>2237</v>
      </c>
      <c r="H53" s="685" t="s">
        <v>546</v>
      </c>
      <c r="I53" s="41" t="s">
        <v>2449</v>
      </c>
      <c r="J53" s="41"/>
      <c r="K53" s="41"/>
      <c r="L53" s="41"/>
      <c r="M53" s="42" t="str">
        <f t="shared" si="9"/>
        <v xml:space="preserve">Johnson Controls BE Operations México, S. de R.L. de C.V.  </v>
      </c>
      <c r="N53" s="991" t="s">
        <v>198</v>
      </c>
      <c r="O53" s="991" t="s">
        <v>198</v>
      </c>
      <c r="P53" s="991" t="s">
        <v>2452</v>
      </c>
      <c r="Q53" s="992">
        <v>6066666.0599999996</v>
      </c>
      <c r="R53" s="44">
        <f t="shared" si="13"/>
        <v>970666.56959999993</v>
      </c>
      <c r="S53" s="45">
        <f t="shared" si="16"/>
        <v>7037332.6295999996</v>
      </c>
      <c r="T53" s="46">
        <v>4663326.8</v>
      </c>
      <c r="U53" s="47">
        <f t="shared" si="14"/>
        <v>5409459.0879999995</v>
      </c>
      <c r="V53" s="44">
        <f t="shared" si="17"/>
        <v>8796665.7927999999</v>
      </c>
      <c r="W53" s="993" t="s">
        <v>156</v>
      </c>
      <c r="X53" s="48">
        <v>43909</v>
      </c>
      <c r="Y53" s="39" t="s">
        <v>234</v>
      </c>
      <c r="Z53" s="48">
        <v>43892</v>
      </c>
      <c r="AA53" s="48" t="s">
        <v>2369</v>
      </c>
      <c r="AB53" s="38" t="s">
        <v>2033</v>
      </c>
      <c r="AC53" s="38"/>
      <c r="AD53" s="59">
        <v>43957</v>
      </c>
      <c r="AE53" s="59">
        <v>43999</v>
      </c>
      <c r="AF53" s="59" t="s">
        <v>161</v>
      </c>
      <c r="AG53" s="59" t="s">
        <v>161</v>
      </c>
      <c r="AH53" s="39" t="s">
        <v>183</v>
      </c>
      <c r="AI53" s="118" t="s">
        <v>2453</v>
      </c>
      <c r="AJ53" s="118" t="s">
        <v>2454</v>
      </c>
      <c r="AK53" s="119">
        <v>44196</v>
      </c>
      <c r="AL53" s="120">
        <f>1516666.52*1.16</f>
        <v>1759333.1631999998</v>
      </c>
      <c r="AM53" s="39" t="str">
        <f t="shared" ca="1" si="15"/>
        <v>VIGENTE</v>
      </c>
      <c r="AN53" s="39">
        <v>35101</v>
      </c>
      <c r="AO53" s="39" t="s">
        <v>183</v>
      </c>
      <c r="AP53" s="39" t="s">
        <v>234</v>
      </c>
      <c r="AQ53" s="39"/>
      <c r="AR53" s="39" t="s">
        <v>234</v>
      </c>
      <c r="AS53" s="39"/>
      <c r="AT53" s="39"/>
      <c r="AU53" s="51"/>
      <c r="AV53" s="50"/>
      <c r="AW53" s="38"/>
      <c r="AX53" s="52"/>
      <c r="AY53" s="173"/>
      <c r="AZ53" s="38"/>
      <c r="BA53" s="38" t="e">
        <f>VLOOKUP(I53,#REF!,2,0)</f>
        <v>#REF!</v>
      </c>
      <c r="BB53" s="71"/>
      <c r="BC53" s="59"/>
      <c r="BD53" s="39"/>
      <c r="BE53" s="39"/>
      <c r="BF53" s="39"/>
      <c r="BG53" s="39"/>
      <c r="BH53" s="59"/>
      <c r="BI53" s="59"/>
      <c r="BJ53" s="59"/>
      <c r="BK53" s="59"/>
      <c r="BL53" s="59"/>
      <c r="BM53" s="59" t="s">
        <v>2455</v>
      </c>
      <c r="BN53" s="59"/>
      <c r="BO53" s="59"/>
      <c r="BP53" s="59"/>
      <c r="BQ53" s="62"/>
      <c r="BR53" s="6"/>
      <c r="BS53" s="70"/>
      <c r="BT53" s="62" t="s">
        <v>2456</v>
      </c>
      <c r="BU53" s="84"/>
      <c r="BV53" s="84"/>
      <c r="BW53" s="84"/>
      <c r="BX53" s="84"/>
      <c r="BY53" s="84"/>
    </row>
    <row r="54" spans="1:77" ht="75" x14ac:dyDescent="0.25">
      <c r="A54" s="38" t="s">
        <v>2457</v>
      </c>
      <c r="B54" s="39">
        <v>49</v>
      </c>
      <c r="C54" s="38" t="s">
        <v>149</v>
      </c>
      <c r="D54" s="40" t="s">
        <v>2458</v>
      </c>
      <c r="E54" s="39" t="s">
        <v>151</v>
      </c>
      <c r="F54" s="39" t="s">
        <v>152</v>
      </c>
      <c r="G54" s="39" t="s">
        <v>151</v>
      </c>
      <c r="H54" s="41"/>
      <c r="I54" s="41" t="s">
        <v>2459</v>
      </c>
      <c r="J54" s="41"/>
      <c r="K54" s="41"/>
      <c r="L54" s="41"/>
      <c r="M54" s="42" t="str">
        <f t="shared" si="9"/>
        <v xml:space="preserve">Segudirecto, Agente de Seguros y de Fianzas, S.A. de C.V.  </v>
      </c>
      <c r="N54" s="991" t="s">
        <v>270</v>
      </c>
      <c r="O54" s="991" t="s">
        <v>270</v>
      </c>
      <c r="P54" s="991" t="s">
        <v>2460</v>
      </c>
      <c r="Q54" s="992">
        <v>420000</v>
      </c>
      <c r="R54" s="44">
        <f t="shared" si="13"/>
        <v>67200</v>
      </c>
      <c r="S54" s="45">
        <f t="shared" si="16"/>
        <v>487200</v>
      </c>
      <c r="T54" s="46">
        <v>0</v>
      </c>
      <c r="U54" s="47">
        <f t="shared" si="14"/>
        <v>0</v>
      </c>
      <c r="V54" s="44">
        <f t="shared" si="17"/>
        <v>487200</v>
      </c>
      <c r="W54" s="993" t="s">
        <v>156</v>
      </c>
      <c r="X54" s="48">
        <v>43909</v>
      </c>
      <c r="Y54" s="59" t="s">
        <v>234</v>
      </c>
      <c r="Z54" s="48">
        <v>43901</v>
      </c>
      <c r="AA54" s="48">
        <v>44196</v>
      </c>
      <c r="AB54" s="38" t="s">
        <v>182</v>
      </c>
      <c r="AC54" s="38"/>
      <c r="AD54" s="59">
        <v>43934</v>
      </c>
      <c r="AE54" s="59" t="s">
        <v>161</v>
      </c>
      <c r="AF54" s="59" t="s">
        <v>161</v>
      </c>
      <c r="AG54" s="59" t="s">
        <v>161</v>
      </c>
      <c r="AH54" s="39" t="s">
        <v>183</v>
      </c>
      <c r="AI54" s="38"/>
      <c r="AJ54" s="38"/>
      <c r="AK54" s="50"/>
      <c r="AL54" s="44"/>
      <c r="AM54" s="39" t="str">
        <f t="shared" ca="1" si="15"/>
        <v>MUERTO</v>
      </c>
      <c r="AN54" s="39"/>
      <c r="AO54" s="39" t="s">
        <v>183</v>
      </c>
      <c r="AP54" s="39" t="s">
        <v>234</v>
      </c>
      <c r="AQ54" s="39"/>
      <c r="AR54" s="39" t="s">
        <v>234</v>
      </c>
      <c r="AS54" s="39"/>
      <c r="AT54" s="39"/>
      <c r="AU54" s="51"/>
      <c r="AV54" s="50"/>
      <c r="AW54" s="38"/>
      <c r="AX54" s="52"/>
      <c r="AY54" s="173"/>
      <c r="AZ54" s="38"/>
      <c r="BA54" s="38" t="e">
        <f>VLOOKUP(I54,#REF!,2,0)</f>
        <v>#REF!</v>
      </c>
      <c r="BB54" s="71"/>
      <c r="BC54" s="59"/>
      <c r="BD54" s="39"/>
      <c r="BE54" s="39"/>
      <c r="BF54" s="39"/>
      <c r="BG54" s="39"/>
      <c r="BH54" s="59"/>
      <c r="BI54" s="59"/>
      <c r="BJ54" s="59"/>
      <c r="BK54" s="59"/>
      <c r="BL54" s="59"/>
      <c r="BM54" s="59"/>
      <c r="BN54" s="59"/>
      <c r="BO54" s="59"/>
      <c r="BP54" s="59"/>
      <c r="BQ54" s="62"/>
      <c r="BR54" s="6"/>
      <c r="BS54" s="70"/>
      <c r="BT54" s="62" t="s">
        <v>2251</v>
      </c>
      <c r="BU54" s="84"/>
      <c r="BV54" s="84"/>
      <c r="BW54" s="84"/>
      <c r="BX54" s="84"/>
      <c r="BY54" s="84"/>
    </row>
    <row r="55" spans="1:77" ht="51" x14ac:dyDescent="0.25">
      <c r="A55" s="38" t="s">
        <v>2461</v>
      </c>
      <c r="B55" s="39">
        <v>50</v>
      </c>
      <c r="C55" s="38" t="s">
        <v>225</v>
      </c>
      <c r="D55" s="40" t="s">
        <v>2462</v>
      </c>
      <c r="E55" s="39" t="s">
        <v>173</v>
      </c>
      <c r="F55" s="39" t="s">
        <v>326</v>
      </c>
      <c r="G55" s="39" t="s">
        <v>173</v>
      </c>
      <c r="H55" s="41"/>
      <c r="I55" s="41" t="s">
        <v>528</v>
      </c>
      <c r="J55" s="41"/>
      <c r="K55" s="41"/>
      <c r="L55" s="41"/>
      <c r="M55" s="42" t="str">
        <f t="shared" ref="M55:M80" si="18">I55&amp;J55&amp;" "&amp;K55&amp;" "&amp;L55</f>
        <v xml:space="preserve">Café 1810, S.A. de C.V.  </v>
      </c>
      <c r="N55" s="991" t="s">
        <v>270</v>
      </c>
      <c r="O55" s="991" t="s">
        <v>270</v>
      </c>
      <c r="P55" s="991" t="s">
        <v>2463</v>
      </c>
      <c r="Q55" s="992">
        <f>657104.8+596860</f>
        <v>1253964.8</v>
      </c>
      <c r="R55" s="44">
        <v>0</v>
      </c>
      <c r="S55" s="45">
        <f t="shared" si="16"/>
        <v>1253964.8</v>
      </c>
      <c r="T55" s="46">
        <f>262841.92+238744</f>
        <v>501585.91999999998</v>
      </c>
      <c r="U55" s="47">
        <v>0</v>
      </c>
      <c r="V55" s="44">
        <f t="shared" si="17"/>
        <v>1253964.8</v>
      </c>
      <c r="W55" s="993" t="s">
        <v>156</v>
      </c>
      <c r="X55" s="48">
        <v>1</v>
      </c>
      <c r="Y55" s="39" t="s">
        <v>234</v>
      </c>
      <c r="Z55" s="48">
        <v>43899</v>
      </c>
      <c r="AA55" s="48">
        <v>44196</v>
      </c>
      <c r="AB55" s="38" t="s">
        <v>182</v>
      </c>
      <c r="AC55" s="38"/>
      <c r="AD55" s="59">
        <v>43941</v>
      </c>
      <c r="AE55" s="59" t="s">
        <v>161</v>
      </c>
      <c r="AF55" s="59" t="s">
        <v>161</v>
      </c>
      <c r="AG55" s="59" t="s">
        <v>161</v>
      </c>
      <c r="AH55" s="39" t="s">
        <v>183</v>
      </c>
      <c r="AI55" s="38"/>
      <c r="AJ55" s="38"/>
      <c r="AK55" s="50"/>
      <c r="AL55" s="44"/>
      <c r="AM55" s="39" t="str">
        <f t="shared" ca="1" si="15"/>
        <v>MUERTO</v>
      </c>
      <c r="AN55" s="39">
        <v>22104</v>
      </c>
      <c r="AO55" s="39" t="s">
        <v>183</v>
      </c>
      <c r="AP55" s="39" t="s">
        <v>234</v>
      </c>
      <c r="AQ55" s="39"/>
      <c r="AR55" s="39" t="s">
        <v>234</v>
      </c>
      <c r="AS55" s="39"/>
      <c r="AT55" s="39"/>
      <c r="AU55" s="51"/>
      <c r="AV55" s="50"/>
      <c r="AW55" s="38"/>
      <c r="AX55" s="52"/>
      <c r="AY55" s="173"/>
      <c r="AZ55" s="38"/>
      <c r="BA55" s="38" t="e">
        <f>VLOOKUP(I55,#REF!,2,0)</f>
        <v>#REF!</v>
      </c>
      <c r="BB55" s="71"/>
      <c r="BC55" s="59"/>
      <c r="BD55" s="39"/>
      <c r="BE55" s="39"/>
      <c r="BF55" s="39"/>
      <c r="BG55" s="39"/>
      <c r="BH55" s="59"/>
      <c r="BI55" s="59"/>
      <c r="BJ55" s="59"/>
      <c r="BK55" s="59"/>
      <c r="BL55" s="59"/>
      <c r="BM55" s="59"/>
      <c r="BN55" s="59"/>
      <c r="BO55" s="59"/>
      <c r="BP55" s="59"/>
      <c r="BQ55" s="62"/>
      <c r="BR55" s="6"/>
      <c r="BS55" s="70"/>
      <c r="BT55" s="62" t="s">
        <v>2251</v>
      </c>
      <c r="BU55" s="84"/>
      <c r="BV55" s="84"/>
      <c r="BW55" s="84"/>
      <c r="BX55" s="84"/>
      <c r="BY55" s="84"/>
    </row>
    <row r="56" spans="1:77" ht="60" x14ac:dyDescent="0.25">
      <c r="A56" s="38" t="s">
        <v>2464</v>
      </c>
      <c r="B56" s="39">
        <v>51</v>
      </c>
      <c r="C56" s="38" t="s">
        <v>225</v>
      </c>
      <c r="D56" s="40" t="s">
        <v>2465</v>
      </c>
      <c r="E56" s="39" t="s">
        <v>151</v>
      </c>
      <c r="F56" s="39" t="s">
        <v>152</v>
      </c>
      <c r="G56" s="39" t="s">
        <v>151</v>
      </c>
      <c r="H56" s="41"/>
      <c r="I56" s="41" t="s">
        <v>1135</v>
      </c>
      <c r="J56" s="41"/>
      <c r="K56" s="41"/>
      <c r="L56" s="41"/>
      <c r="M56" s="42" t="str">
        <f t="shared" si="18"/>
        <v xml:space="preserve">Kronaline, S.A. de C.V.  </v>
      </c>
      <c r="N56" s="991" t="s">
        <v>190</v>
      </c>
      <c r="O56" s="991" t="s">
        <v>190</v>
      </c>
      <c r="P56" s="991" t="s">
        <v>2466</v>
      </c>
      <c r="Q56" s="992">
        <v>341100</v>
      </c>
      <c r="R56" s="44">
        <f t="shared" ref="R56:R80" si="19">Q56*0.16</f>
        <v>54576</v>
      </c>
      <c r="S56" s="45">
        <f t="shared" si="16"/>
        <v>395676</v>
      </c>
      <c r="T56" s="46">
        <v>0</v>
      </c>
      <c r="U56" s="47">
        <f t="shared" ref="U56:U80" si="20">(T56*0.16)+(T56)</f>
        <v>0</v>
      </c>
      <c r="V56" s="44">
        <f t="shared" si="17"/>
        <v>395676</v>
      </c>
      <c r="W56" s="993" t="s">
        <v>156</v>
      </c>
      <c r="X56" s="48">
        <v>43910</v>
      </c>
      <c r="Y56" s="39" t="s">
        <v>234</v>
      </c>
      <c r="Z56" s="48">
        <v>43907</v>
      </c>
      <c r="AA56" s="48">
        <v>44196</v>
      </c>
      <c r="AB56" s="38" t="s">
        <v>182</v>
      </c>
      <c r="AC56" s="38"/>
      <c r="AD56" s="59">
        <v>43920</v>
      </c>
      <c r="AE56" s="59" t="s">
        <v>161</v>
      </c>
      <c r="AF56" s="59" t="s">
        <v>161</v>
      </c>
      <c r="AG56" s="59" t="s">
        <v>161</v>
      </c>
      <c r="AH56" s="39" t="s">
        <v>183</v>
      </c>
      <c r="AI56" s="38"/>
      <c r="AJ56" s="120"/>
      <c r="AK56" s="50"/>
      <c r="AL56" s="44"/>
      <c r="AM56" s="39" t="str">
        <f t="shared" ca="1" si="15"/>
        <v>MUERTO</v>
      </c>
      <c r="AN56" s="39">
        <v>21101</v>
      </c>
      <c r="AO56" s="39" t="s">
        <v>183</v>
      </c>
      <c r="AP56" s="39" t="s">
        <v>234</v>
      </c>
      <c r="AQ56" s="39"/>
      <c r="AR56" s="39" t="s">
        <v>234</v>
      </c>
      <c r="AS56" s="39"/>
      <c r="AT56" s="39"/>
      <c r="AU56" s="51"/>
      <c r="AV56" s="50"/>
      <c r="AW56" s="38"/>
      <c r="AX56" s="52"/>
      <c r="AY56" s="173"/>
      <c r="AZ56" s="38"/>
      <c r="BA56" s="38" t="e">
        <f>VLOOKUP(I56,#REF!,2,0)</f>
        <v>#REF!</v>
      </c>
      <c r="BB56" s="71"/>
      <c r="BC56" s="59"/>
      <c r="BD56" s="39"/>
      <c r="BE56" s="39"/>
      <c r="BF56" s="39"/>
      <c r="BG56" s="39"/>
      <c r="BH56" s="59"/>
      <c r="BI56" s="59"/>
      <c r="BJ56" s="59"/>
      <c r="BK56" s="59"/>
      <c r="BL56" s="59"/>
      <c r="BM56" s="59"/>
      <c r="BN56" s="59"/>
      <c r="BO56" s="59"/>
      <c r="BP56" s="59"/>
      <c r="BQ56" s="62"/>
      <c r="BR56" s="6"/>
      <c r="BS56" s="70"/>
      <c r="BT56" s="62" t="s">
        <v>2467</v>
      </c>
      <c r="BU56" s="84"/>
      <c r="BV56" s="84"/>
      <c r="BW56" s="84"/>
      <c r="BX56" s="84"/>
      <c r="BY56" s="84"/>
    </row>
    <row r="57" spans="1:77" ht="75" x14ac:dyDescent="0.25">
      <c r="A57" s="38" t="s">
        <v>2468</v>
      </c>
      <c r="B57" s="39">
        <v>52</v>
      </c>
      <c r="C57" s="38" t="s">
        <v>149</v>
      </c>
      <c r="D57" s="40" t="s">
        <v>2469</v>
      </c>
      <c r="E57" s="39" t="s">
        <v>151</v>
      </c>
      <c r="F57" s="39" t="s">
        <v>152</v>
      </c>
      <c r="G57" s="39" t="s">
        <v>151</v>
      </c>
      <c r="H57" s="41"/>
      <c r="I57" s="41" t="s">
        <v>2470</v>
      </c>
      <c r="J57" s="41"/>
      <c r="K57" s="41"/>
      <c r="L57" s="41"/>
      <c r="M57" s="42" t="str">
        <f t="shared" si="18"/>
        <v xml:space="preserve">Inmobiliaria y Constructora Mal &amp; Jor, S.A. de C.V.  </v>
      </c>
      <c r="N57" s="991" t="s">
        <v>198</v>
      </c>
      <c r="O57" s="991" t="s">
        <v>198</v>
      </c>
      <c r="P57" s="991" t="s">
        <v>2471</v>
      </c>
      <c r="Q57" s="992">
        <v>471552.04</v>
      </c>
      <c r="R57" s="44">
        <f t="shared" si="19"/>
        <v>75448.326400000005</v>
      </c>
      <c r="S57" s="45">
        <f t="shared" si="16"/>
        <v>547000.36639999994</v>
      </c>
      <c r="T57" s="46">
        <v>0</v>
      </c>
      <c r="U57" s="47">
        <f t="shared" si="20"/>
        <v>0</v>
      </c>
      <c r="V57" s="44">
        <f t="shared" si="17"/>
        <v>547000.36639999994</v>
      </c>
      <c r="W57" s="993" t="s">
        <v>156</v>
      </c>
      <c r="X57" s="48">
        <v>43915</v>
      </c>
      <c r="Y57" s="39" t="s">
        <v>234</v>
      </c>
      <c r="Z57" s="48">
        <v>43914</v>
      </c>
      <c r="AA57" s="48">
        <v>43912</v>
      </c>
      <c r="AB57" s="38" t="s">
        <v>2025</v>
      </c>
      <c r="AC57" s="38"/>
      <c r="AD57" s="59">
        <v>43957</v>
      </c>
      <c r="AE57" s="59">
        <v>43957</v>
      </c>
      <c r="AF57" s="59" t="s">
        <v>161</v>
      </c>
      <c r="AG57" s="59">
        <v>43914</v>
      </c>
      <c r="AH57" s="39" t="s">
        <v>183</v>
      </c>
      <c r="AI57" s="38"/>
      <c r="AJ57" s="38"/>
      <c r="AK57" s="50"/>
      <c r="AL57" s="44"/>
      <c r="AM57" s="39" t="str">
        <f t="shared" ca="1" si="15"/>
        <v>MUERTO</v>
      </c>
      <c r="AN57" s="39"/>
      <c r="AO57" s="39" t="s">
        <v>183</v>
      </c>
      <c r="AP57" s="39" t="s">
        <v>234</v>
      </c>
      <c r="AQ57" s="39"/>
      <c r="AR57" s="39" t="s">
        <v>234</v>
      </c>
      <c r="AS57" s="39"/>
      <c r="AT57" s="39"/>
      <c r="AU57" s="51"/>
      <c r="AV57" s="50"/>
      <c r="AW57" s="38"/>
      <c r="AX57" s="52"/>
      <c r="AY57" s="173"/>
      <c r="AZ57" s="38"/>
      <c r="BA57" s="38" t="e">
        <f>VLOOKUP(I57,#REF!,2,0)</f>
        <v>#REF!</v>
      </c>
      <c r="BB57" s="71"/>
      <c r="BC57" s="59"/>
      <c r="BD57" s="39"/>
      <c r="BE57" s="39"/>
      <c r="BF57" s="39"/>
      <c r="BG57" s="39"/>
      <c r="BH57" s="59"/>
      <c r="BI57" s="59"/>
      <c r="BJ57" s="59"/>
      <c r="BK57" s="59"/>
      <c r="BL57" s="59"/>
      <c r="BM57" s="59"/>
      <c r="BN57" s="59"/>
      <c r="BO57" s="59"/>
      <c r="BP57" s="59"/>
      <c r="BQ57" s="62"/>
      <c r="BR57" s="6"/>
      <c r="BS57" s="70"/>
      <c r="BT57" s="62" t="s">
        <v>2251</v>
      </c>
      <c r="BU57" s="84"/>
      <c r="BV57" s="84"/>
      <c r="BW57" s="84"/>
      <c r="BX57" s="84"/>
      <c r="BY57" s="84"/>
    </row>
    <row r="58" spans="1:77" ht="75" x14ac:dyDescent="0.25">
      <c r="A58" s="38" t="s">
        <v>2472</v>
      </c>
      <c r="B58" s="39">
        <v>53</v>
      </c>
      <c r="C58" s="38" t="s">
        <v>149</v>
      </c>
      <c r="D58" s="40" t="s">
        <v>2469</v>
      </c>
      <c r="E58" s="39" t="s">
        <v>151</v>
      </c>
      <c r="F58" s="39" t="s">
        <v>152</v>
      </c>
      <c r="G58" s="39" t="s">
        <v>151</v>
      </c>
      <c r="H58" s="41"/>
      <c r="I58" s="41" t="s">
        <v>2473</v>
      </c>
      <c r="J58" s="41"/>
      <c r="K58" s="41"/>
      <c r="L58" s="41"/>
      <c r="M58" s="42" t="str">
        <f t="shared" si="18"/>
        <v xml:space="preserve">Cubyservicios Industriales, S.A. de C.V.  </v>
      </c>
      <c r="N58" s="991" t="s">
        <v>198</v>
      </c>
      <c r="O58" s="991" t="s">
        <v>198</v>
      </c>
      <c r="P58" s="991" t="s">
        <v>2474</v>
      </c>
      <c r="Q58" s="992">
        <v>516232.76</v>
      </c>
      <c r="R58" s="44">
        <f t="shared" si="19"/>
        <v>82597.241600000008</v>
      </c>
      <c r="S58" s="45">
        <f t="shared" si="16"/>
        <v>598830.00160000008</v>
      </c>
      <c r="T58" s="46">
        <v>0</v>
      </c>
      <c r="U58" s="47">
        <f t="shared" si="20"/>
        <v>0</v>
      </c>
      <c r="V58" s="44">
        <f t="shared" si="17"/>
        <v>598830.00160000008</v>
      </c>
      <c r="W58" s="993" t="s">
        <v>156</v>
      </c>
      <c r="X58" s="48">
        <v>43915</v>
      </c>
      <c r="Y58" s="39" t="s">
        <v>234</v>
      </c>
      <c r="Z58" s="48">
        <v>43914</v>
      </c>
      <c r="AA58" s="48">
        <v>43957</v>
      </c>
      <c r="AB58" s="38" t="s">
        <v>2025</v>
      </c>
      <c r="AC58" s="38"/>
      <c r="AD58" s="59">
        <v>43945</v>
      </c>
      <c r="AE58" s="59">
        <v>43948</v>
      </c>
      <c r="AF58" s="59" t="s">
        <v>161</v>
      </c>
      <c r="AG58" s="59">
        <v>44075</v>
      </c>
      <c r="AH58" s="39" t="s">
        <v>183</v>
      </c>
      <c r="AI58" s="38"/>
      <c r="AJ58" s="38"/>
      <c r="AK58" s="50"/>
      <c r="AL58" s="44"/>
      <c r="AM58" s="39" t="str">
        <f t="shared" ca="1" si="15"/>
        <v>MUERTO</v>
      </c>
      <c r="AN58" s="39">
        <v>35101</v>
      </c>
      <c r="AO58" s="39" t="s">
        <v>183</v>
      </c>
      <c r="AP58" s="39" t="s">
        <v>234</v>
      </c>
      <c r="AQ58" s="39"/>
      <c r="AR58" s="39" t="s">
        <v>234</v>
      </c>
      <c r="AS58" s="39"/>
      <c r="AT58" s="39"/>
      <c r="AU58" s="51"/>
      <c r="AV58" s="50"/>
      <c r="AW58" s="38"/>
      <c r="AX58" s="52"/>
      <c r="AY58" s="173"/>
      <c r="AZ58" s="38"/>
      <c r="BA58" s="38" t="e">
        <f>VLOOKUP(I58,#REF!,2,0)</f>
        <v>#REF!</v>
      </c>
      <c r="BB58" s="71"/>
      <c r="BC58" s="59"/>
      <c r="BD58" s="39"/>
      <c r="BE58" s="39"/>
      <c r="BF58" s="39"/>
      <c r="BG58" s="39"/>
      <c r="BH58" s="59"/>
      <c r="BI58" s="59"/>
      <c r="BJ58" s="59"/>
      <c r="BK58" s="59"/>
      <c r="BL58" s="59"/>
      <c r="BM58" s="59"/>
      <c r="BN58" s="59"/>
      <c r="BO58" s="59"/>
      <c r="BP58" s="59"/>
      <c r="BQ58" s="62"/>
      <c r="BR58" s="6"/>
      <c r="BS58" s="70"/>
      <c r="BT58" s="62" t="s">
        <v>2251</v>
      </c>
      <c r="BU58" s="84"/>
      <c r="BV58" s="84"/>
      <c r="BW58" s="84"/>
      <c r="BX58" s="84"/>
      <c r="BY58" s="84"/>
    </row>
    <row r="59" spans="1:77" ht="195" x14ac:dyDescent="0.25">
      <c r="A59" s="38" t="s">
        <v>2475</v>
      </c>
      <c r="B59" s="39">
        <v>54</v>
      </c>
      <c r="C59" s="38" t="s">
        <v>149</v>
      </c>
      <c r="D59" s="40" t="s">
        <v>2476</v>
      </c>
      <c r="E59" s="39" t="s">
        <v>173</v>
      </c>
      <c r="F59" s="39" t="s">
        <v>326</v>
      </c>
      <c r="G59" s="39" t="s">
        <v>173</v>
      </c>
      <c r="H59" s="41"/>
      <c r="I59" s="41" t="s">
        <v>1655</v>
      </c>
      <c r="J59" s="41"/>
      <c r="K59" s="41"/>
      <c r="L59" s="41"/>
      <c r="M59" s="42" t="str">
        <f t="shared" si="18"/>
        <v xml:space="preserve">Comercializadora Dopaj, S.A. de C.V.  </v>
      </c>
      <c r="N59" s="991" t="s">
        <v>301</v>
      </c>
      <c r="O59" s="991" t="s">
        <v>301</v>
      </c>
      <c r="P59" s="991" t="s">
        <v>2477</v>
      </c>
      <c r="Q59" s="992">
        <v>25500000</v>
      </c>
      <c r="R59" s="44">
        <f t="shared" si="19"/>
        <v>4080000</v>
      </c>
      <c r="S59" s="45">
        <f t="shared" si="16"/>
        <v>29580000</v>
      </c>
      <c r="T59" s="46">
        <v>4800000</v>
      </c>
      <c r="U59" s="47">
        <f t="shared" si="20"/>
        <v>5568000</v>
      </c>
      <c r="V59" s="44">
        <f t="shared" si="17"/>
        <v>29580000</v>
      </c>
      <c r="W59" s="993" t="s">
        <v>183</v>
      </c>
      <c r="X59" s="48">
        <v>43920</v>
      </c>
      <c r="Y59" s="39" t="s">
        <v>333</v>
      </c>
      <c r="Z59" s="48">
        <v>43922</v>
      </c>
      <c r="AA59" s="48">
        <v>45046</v>
      </c>
      <c r="AB59" s="38" t="s">
        <v>2478</v>
      </c>
      <c r="AC59" s="38"/>
      <c r="AD59" s="59">
        <v>43942</v>
      </c>
      <c r="AE59" s="59" t="s">
        <v>2479</v>
      </c>
      <c r="AF59" s="59" t="s">
        <v>161</v>
      </c>
      <c r="AG59" s="59" t="s">
        <v>161</v>
      </c>
      <c r="AH59" s="39" t="s">
        <v>183</v>
      </c>
      <c r="AI59" s="38"/>
      <c r="AJ59" s="38"/>
      <c r="AK59" s="50"/>
      <c r="AL59" s="44"/>
      <c r="AM59" s="39" t="str">
        <f t="shared" ca="1" si="15"/>
        <v>MUERTO</v>
      </c>
      <c r="AN59" s="39"/>
      <c r="AO59" s="39" t="s">
        <v>183</v>
      </c>
      <c r="AP59" s="39" t="s">
        <v>333</v>
      </c>
      <c r="AQ59" s="39"/>
      <c r="AR59" s="39" t="s">
        <v>333</v>
      </c>
      <c r="AS59" s="39"/>
      <c r="AT59" s="39"/>
      <c r="AU59" s="51"/>
      <c r="AV59" s="50"/>
      <c r="AW59" s="38"/>
      <c r="AX59" s="52"/>
      <c r="AY59" s="173"/>
      <c r="AZ59" s="38"/>
      <c r="BA59" s="38" t="e">
        <f>VLOOKUP(I59,#REF!,2,0)</f>
        <v>#REF!</v>
      </c>
      <c r="BB59" s="71"/>
      <c r="BC59" s="59"/>
      <c r="BD59" s="39"/>
      <c r="BE59" s="39"/>
      <c r="BF59" s="39"/>
      <c r="BG59" s="39"/>
      <c r="BH59" s="59"/>
      <c r="BI59" s="59"/>
      <c r="BJ59" s="59"/>
      <c r="BK59" s="59"/>
      <c r="BL59" s="59"/>
      <c r="BM59" s="59"/>
      <c r="BN59" s="59"/>
      <c r="BO59" s="59"/>
      <c r="BP59" s="59"/>
      <c r="BQ59" s="62"/>
      <c r="BR59" s="6"/>
      <c r="BS59" s="70"/>
      <c r="BT59" s="62" t="s">
        <v>2251</v>
      </c>
      <c r="BU59" s="86" t="s">
        <v>2480</v>
      </c>
      <c r="BV59" s="86" t="s">
        <v>2481</v>
      </c>
      <c r="BW59" s="86" t="s">
        <v>2481</v>
      </c>
      <c r="BX59" s="86" t="s">
        <v>2482</v>
      </c>
      <c r="BY59" s="84"/>
    </row>
    <row r="60" spans="1:77" ht="75" x14ac:dyDescent="0.25">
      <c r="A60" s="38" t="s">
        <v>2483</v>
      </c>
      <c r="B60" s="39">
        <v>55</v>
      </c>
      <c r="C60" s="38" t="s">
        <v>149</v>
      </c>
      <c r="D60" s="40" t="s">
        <v>1177</v>
      </c>
      <c r="E60" s="567" t="s">
        <v>163</v>
      </c>
      <c r="F60" s="39" t="s">
        <v>561</v>
      </c>
      <c r="G60" s="567" t="s">
        <v>163</v>
      </c>
      <c r="H60" s="567" t="s">
        <v>163</v>
      </c>
      <c r="I60" s="41" t="s">
        <v>2484</v>
      </c>
      <c r="J60" s="41"/>
      <c r="K60" s="41"/>
      <c r="L60" s="41"/>
      <c r="M60" s="42" t="str">
        <f t="shared" si="18"/>
        <v xml:space="preserve">RCM Seguridad Privada, S.A. de C.V.  </v>
      </c>
      <c r="N60" s="991" t="s">
        <v>166</v>
      </c>
      <c r="O60" s="991" t="s">
        <v>166</v>
      </c>
      <c r="P60" s="991" t="s">
        <v>2485</v>
      </c>
      <c r="Q60" s="992">
        <v>1387500</v>
      </c>
      <c r="R60" s="44">
        <f t="shared" si="19"/>
        <v>222000</v>
      </c>
      <c r="S60" s="45">
        <f t="shared" si="16"/>
        <v>1609500</v>
      </c>
      <c r="T60" s="46">
        <v>0</v>
      </c>
      <c r="U60" s="47">
        <f t="shared" si="20"/>
        <v>0</v>
      </c>
      <c r="V60" s="44">
        <f t="shared" si="17"/>
        <v>1609500</v>
      </c>
      <c r="W60" s="993" t="s">
        <v>156</v>
      </c>
      <c r="X60" s="48">
        <v>43922</v>
      </c>
      <c r="Y60" s="39" t="s">
        <v>333</v>
      </c>
      <c r="Z60" s="48">
        <v>43899</v>
      </c>
      <c r="AA60" s="48">
        <v>44196</v>
      </c>
      <c r="AB60" s="38" t="s">
        <v>2033</v>
      </c>
      <c r="AC60" s="38"/>
      <c r="AD60" s="59">
        <v>43973</v>
      </c>
      <c r="AE60" s="59">
        <v>43994</v>
      </c>
      <c r="AF60" s="59" t="s">
        <v>161</v>
      </c>
      <c r="AG60" s="59" t="s">
        <v>161</v>
      </c>
      <c r="AH60" s="39" t="s">
        <v>183</v>
      </c>
      <c r="AI60" s="38"/>
      <c r="AJ60" s="38"/>
      <c r="AK60" s="50"/>
      <c r="AL60" s="44"/>
      <c r="AM60" s="39"/>
      <c r="AN60" s="39"/>
      <c r="AO60" s="39"/>
      <c r="AP60" s="39"/>
      <c r="AQ60" s="39"/>
      <c r="AR60" s="39" t="s">
        <v>333</v>
      </c>
      <c r="AS60" s="39"/>
      <c r="AT60" s="39"/>
      <c r="AU60" s="51"/>
      <c r="AV60" s="50"/>
      <c r="AW60" s="38"/>
      <c r="AX60" s="52"/>
      <c r="AY60" s="173"/>
      <c r="AZ60" s="38"/>
      <c r="BA60" s="38"/>
      <c r="BB60" s="71"/>
      <c r="BC60" s="59"/>
      <c r="BD60" s="39"/>
      <c r="BE60" s="39"/>
      <c r="BF60" s="39"/>
      <c r="BG60" s="39"/>
      <c r="BH60" s="59"/>
      <c r="BI60" s="59"/>
      <c r="BJ60" s="59"/>
      <c r="BK60" s="59"/>
      <c r="BL60" s="59"/>
      <c r="BM60" s="59"/>
      <c r="BN60" s="59"/>
      <c r="BO60" s="59"/>
      <c r="BP60" s="59"/>
      <c r="BQ60" s="62"/>
      <c r="BR60" s="6"/>
      <c r="BS60" s="70"/>
      <c r="BT60" s="62" t="s">
        <v>2486</v>
      </c>
      <c r="BU60" s="86"/>
      <c r="BV60" s="86"/>
      <c r="BW60" s="86"/>
      <c r="BX60" s="86"/>
      <c r="BY60" s="84"/>
    </row>
    <row r="61" spans="1:77" ht="105" x14ac:dyDescent="0.25">
      <c r="A61" s="38" t="s">
        <v>2487</v>
      </c>
      <c r="B61" s="39">
        <v>56</v>
      </c>
      <c r="C61" s="38" t="s">
        <v>149</v>
      </c>
      <c r="D61" s="40" t="s">
        <v>1177</v>
      </c>
      <c r="E61" s="567" t="s">
        <v>163</v>
      </c>
      <c r="F61" s="39" t="s">
        <v>561</v>
      </c>
      <c r="G61" s="567" t="s">
        <v>163</v>
      </c>
      <c r="H61" s="567" t="s">
        <v>163</v>
      </c>
      <c r="I61" s="41" t="s">
        <v>1046</v>
      </c>
      <c r="J61" s="41"/>
      <c r="K61" s="41"/>
      <c r="L61" s="41"/>
      <c r="M61" s="42" t="str">
        <f t="shared" si="18"/>
        <v xml:space="preserve">Blue &amp; Green Servicios y Soluciones al Medio Ambiente, S.A. de C.V.  </v>
      </c>
      <c r="N61" s="991" t="s">
        <v>198</v>
      </c>
      <c r="O61" s="991" t="s">
        <v>198</v>
      </c>
      <c r="P61" s="991" t="s">
        <v>2488</v>
      </c>
      <c r="Q61" s="992">
        <v>1535526.6</v>
      </c>
      <c r="R61" s="44">
        <f t="shared" si="19"/>
        <v>245684.25600000002</v>
      </c>
      <c r="S61" s="45">
        <f t="shared" si="16"/>
        <v>1781210.8560000001</v>
      </c>
      <c r="T61" s="46">
        <v>1228421.28</v>
      </c>
      <c r="U61" s="47">
        <f t="shared" si="20"/>
        <v>1424968.6847999999</v>
      </c>
      <c r="V61" s="44">
        <f t="shared" si="17"/>
        <v>1781210.8560000001</v>
      </c>
      <c r="W61" s="993" t="s">
        <v>156</v>
      </c>
      <c r="X61" s="48">
        <v>43921</v>
      </c>
      <c r="Y61" s="39" t="s">
        <v>333</v>
      </c>
      <c r="Z61" s="48">
        <v>43899</v>
      </c>
      <c r="AA61" s="48">
        <v>44196</v>
      </c>
      <c r="AB61" s="38" t="s">
        <v>2033</v>
      </c>
      <c r="AC61" s="38"/>
      <c r="AD61" s="59">
        <v>43934</v>
      </c>
      <c r="AE61" s="59">
        <v>43948</v>
      </c>
      <c r="AF61" s="59" t="s">
        <v>161</v>
      </c>
      <c r="AG61" s="59" t="s">
        <v>161</v>
      </c>
      <c r="AH61" s="39" t="s">
        <v>183</v>
      </c>
      <c r="AI61" s="38"/>
      <c r="AJ61" s="38"/>
      <c r="AK61" s="50"/>
      <c r="AL61" s="44"/>
      <c r="AM61" s="39" t="str">
        <f ca="1">IF(ISBLANK(AA61),"",IF(AA61&gt;=TODAY(),"VIGENTE","MUERTO"))</f>
        <v>MUERTO</v>
      </c>
      <c r="AN61" s="39"/>
      <c r="AO61" s="39" t="s">
        <v>183</v>
      </c>
      <c r="AP61" s="39" t="s">
        <v>333</v>
      </c>
      <c r="AQ61" s="39"/>
      <c r="AR61" s="39" t="s">
        <v>333</v>
      </c>
      <c r="AS61" s="39"/>
      <c r="AT61" s="39"/>
      <c r="AU61" s="51"/>
      <c r="AV61" s="50"/>
      <c r="AW61" s="38"/>
      <c r="AX61" s="52"/>
      <c r="AY61" s="173"/>
      <c r="AZ61" s="38"/>
      <c r="BA61" s="38" t="e">
        <f>VLOOKUP(I61,#REF!,2,0)</f>
        <v>#REF!</v>
      </c>
      <c r="BB61" s="71"/>
      <c r="BC61" s="59"/>
      <c r="BD61" s="39"/>
      <c r="BE61" s="39"/>
      <c r="BF61" s="39"/>
      <c r="BG61" s="39"/>
      <c r="BH61" s="59"/>
      <c r="BI61" s="59"/>
      <c r="BJ61" s="59"/>
      <c r="BK61" s="59"/>
      <c r="BL61" s="59"/>
      <c r="BM61" s="59"/>
      <c r="BN61" s="59"/>
      <c r="BO61" s="59"/>
      <c r="BP61" s="59"/>
      <c r="BQ61" s="62"/>
      <c r="BR61" s="6"/>
      <c r="BS61" s="70"/>
      <c r="BT61" s="62" t="s">
        <v>2251</v>
      </c>
      <c r="BU61" s="84"/>
      <c r="BV61" s="84"/>
      <c r="BW61" s="84"/>
      <c r="BX61" s="84"/>
      <c r="BY61" s="84"/>
    </row>
    <row r="62" spans="1:77" ht="60" x14ac:dyDescent="0.25">
      <c r="A62" s="38" t="s">
        <v>2489</v>
      </c>
      <c r="B62" s="39">
        <v>57</v>
      </c>
      <c r="C62" s="38" t="s">
        <v>225</v>
      </c>
      <c r="D62" s="40" t="s">
        <v>2490</v>
      </c>
      <c r="E62" s="567" t="s">
        <v>163</v>
      </c>
      <c r="F62" s="39" t="s">
        <v>561</v>
      </c>
      <c r="G62" s="567" t="s">
        <v>163</v>
      </c>
      <c r="H62" s="567" t="s">
        <v>163</v>
      </c>
      <c r="I62" s="41" t="s">
        <v>1254</v>
      </c>
      <c r="J62" s="41"/>
      <c r="K62" s="41"/>
      <c r="L62" s="41"/>
      <c r="M62" s="42" t="str">
        <f t="shared" si="18"/>
        <v xml:space="preserve">Intercomza, S.A. de C.V.  </v>
      </c>
      <c r="N62" s="991" t="s">
        <v>198</v>
      </c>
      <c r="O62" s="991" t="s">
        <v>198</v>
      </c>
      <c r="P62" s="991" t="s">
        <v>2491</v>
      </c>
      <c r="Q62" s="992">
        <v>1326392</v>
      </c>
      <c r="R62" s="44">
        <f t="shared" si="19"/>
        <v>212222.72</v>
      </c>
      <c r="S62" s="45">
        <f t="shared" si="16"/>
        <v>1538614.72</v>
      </c>
      <c r="T62" s="46">
        <v>0</v>
      </c>
      <c r="U62" s="47">
        <f t="shared" si="20"/>
        <v>0</v>
      </c>
      <c r="V62" s="44">
        <f t="shared" si="17"/>
        <v>1538614.72</v>
      </c>
      <c r="W62" s="993" t="s">
        <v>156</v>
      </c>
      <c r="X62" s="48">
        <v>43921</v>
      </c>
      <c r="Y62" s="39" t="s">
        <v>333</v>
      </c>
      <c r="Z62" s="48">
        <v>43922</v>
      </c>
      <c r="AA62" s="48">
        <v>43951</v>
      </c>
      <c r="AB62" s="38" t="s">
        <v>2351</v>
      </c>
      <c r="AC62" s="38"/>
      <c r="AD62" s="59" t="s">
        <v>161</v>
      </c>
      <c r="AE62" s="59" t="s">
        <v>161</v>
      </c>
      <c r="AF62" s="59" t="s">
        <v>161</v>
      </c>
      <c r="AG62" s="59" t="s">
        <v>161</v>
      </c>
      <c r="AH62" s="39" t="s">
        <v>183</v>
      </c>
      <c r="AI62" s="38"/>
      <c r="AJ62" s="38"/>
      <c r="AK62" s="50"/>
      <c r="AL62" s="44"/>
      <c r="AM62" s="39" t="str">
        <f ca="1">IF(ISBLANK(AA62),"",IF(AA62&gt;=TODAY(),"VIGENTE","MUERTO"))</f>
        <v>MUERTO</v>
      </c>
      <c r="AN62" s="39"/>
      <c r="AO62" s="39" t="s">
        <v>183</v>
      </c>
      <c r="AP62" s="39" t="s">
        <v>333</v>
      </c>
      <c r="AQ62" s="39"/>
      <c r="AR62" s="39" t="s">
        <v>333</v>
      </c>
      <c r="AS62" s="39"/>
      <c r="AT62" s="39"/>
      <c r="AU62" s="51"/>
      <c r="AV62" s="50"/>
      <c r="AW62" s="38"/>
      <c r="AX62" s="52"/>
      <c r="AY62" s="173"/>
      <c r="AZ62" s="38"/>
      <c r="BA62" s="38" t="e">
        <f>VLOOKUP(I62,#REF!,2,0)</f>
        <v>#REF!</v>
      </c>
      <c r="BB62" s="71"/>
      <c r="BC62" s="59"/>
      <c r="BD62" s="39"/>
      <c r="BE62" s="39"/>
      <c r="BF62" s="39"/>
      <c r="BG62" s="39"/>
      <c r="BH62" s="59"/>
      <c r="BI62" s="59"/>
      <c r="BJ62" s="59"/>
      <c r="BK62" s="59"/>
      <c r="BL62" s="59"/>
      <c r="BM62" s="59"/>
      <c r="BN62" s="59"/>
      <c r="BO62" s="59"/>
      <c r="BP62" s="59"/>
      <c r="BQ62" s="62"/>
      <c r="BR62" s="6"/>
      <c r="BS62" s="70"/>
      <c r="BT62" s="62" t="s">
        <v>2492</v>
      </c>
      <c r="BU62" s="84"/>
      <c r="BV62" s="84"/>
      <c r="BW62" s="84"/>
      <c r="BX62" s="84"/>
      <c r="BY62" s="84"/>
    </row>
    <row r="63" spans="1:77" ht="120" x14ac:dyDescent="0.25">
      <c r="A63" s="38" t="s">
        <v>2493</v>
      </c>
      <c r="B63" s="39">
        <v>58</v>
      </c>
      <c r="C63" s="38" t="s">
        <v>149</v>
      </c>
      <c r="D63" s="40" t="s">
        <v>2494</v>
      </c>
      <c r="E63" s="567" t="s">
        <v>163</v>
      </c>
      <c r="F63" s="39" t="s">
        <v>553</v>
      </c>
      <c r="G63" s="39" t="s">
        <v>427</v>
      </c>
      <c r="H63" s="567" t="s">
        <v>163</v>
      </c>
      <c r="I63" s="41" t="s">
        <v>2495</v>
      </c>
      <c r="J63" s="41"/>
      <c r="K63" s="41"/>
      <c r="L63" s="41"/>
      <c r="M63" s="42" t="str">
        <f t="shared" si="18"/>
        <v xml:space="preserve">Aquí se Esta Mejor, S.A. de C.V.  </v>
      </c>
      <c r="N63" s="991" t="s">
        <v>190</v>
      </c>
      <c r="O63" s="991" t="s">
        <v>190</v>
      </c>
      <c r="P63" s="991" t="s">
        <v>2496</v>
      </c>
      <c r="Q63" s="992">
        <f>2400000+1600000</f>
        <v>4000000</v>
      </c>
      <c r="R63" s="44">
        <f t="shared" si="19"/>
        <v>640000</v>
      </c>
      <c r="S63" s="45">
        <f t="shared" si="16"/>
        <v>4640000</v>
      </c>
      <c r="T63" s="46">
        <v>1200000</v>
      </c>
      <c r="U63" s="47">
        <f t="shared" si="20"/>
        <v>1392000</v>
      </c>
      <c r="V63" s="44">
        <f t="shared" si="17"/>
        <v>5800000</v>
      </c>
      <c r="W63" s="993" t="s">
        <v>156</v>
      </c>
      <c r="X63" s="48">
        <v>43922</v>
      </c>
      <c r="Y63" s="39" t="s">
        <v>333</v>
      </c>
      <c r="Z63" s="48">
        <v>43922</v>
      </c>
      <c r="AA63" s="48" t="s">
        <v>2369</v>
      </c>
      <c r="AB63" s="38" t="s">
        <v>2497</v>
      </c>
      <c r="AC63" s="38" t="s">
        <v>2498</v>
      </c>
      <c r="AD63" s="59" t="s">
        <v>2499</v>
      </c>
      <c r="AE63" s="59" t="s">
        <v>2500</v>
      </c>
      <c r="AF63" s="59" t="s">
        <v>161</v>
      </c>
      <c r="AG63" s="59" t="s">
        <v>161</v>
      </c>
      <c r="AH63" s="39" t="s">
        <v>183</v>
      </c>
      <c r="AI63" s="100" t="s">
        <v>2501</v>
      </c>
      <c r="AJ63" s="100" t="s">
        <v>2433</v>
      </c>
      <c r="AK63" s="101">
        <v>44195</v>
      </c>
      <c r="AL63" s="102">
        <v>1160000</v>
      </c>
      <c r="AM63" s="39" t="str">
        <f ca="1">IF(ISBLANK(AA63),"",IF(AA63&gt;=TODAY(),"VIGENTE","MUERTO"))</f>
        <v>VIGENTE</v>
      </c>
      <c r="AN63" s="39"/>
      <c r="AO63" s="39" t="s">
        <v>183</v>
      </c>
      <c r="AP63" s="39" t="s">
        <v>333</v>
      </c>
      <c r="AQ63" s="39"/>
      <c r="AR63" s="39" t="s">
        <v>333</v>
      </c>
      <c r="AS63" s="39"/>
      <c r="AT63" s="39"/>
      <c r="AU63" s="51"/>
      <c r="AV63" s="50"/>
      <c r="AW63" s="38"/>
      <c r="AX63" s="52"/>
      <c r="AY63" s="173"/>
      <c r="AZ63" s="38"/>
      <c r="BA63" s="38" t="e">
        <f>VLOOKUP(I63,#REF!,2,0)</f>
        <v>#REF!</v>
      </c>
      <c r="BB63" s="71"/>
      <c r="BC63" s="59"/>
      <c r="BD63" s="39"/>
      <c r="BE63" s="39"/>
      <c r="BF63" s="39"/>
      <c r="BG63" s="39"/>
      <c r="BH63" s="59"/>
      <c r="BI63" s="59"/>
      <c r="BJ63" s="59"/>
      <c r="BK63" s="59"/>
      <c r="BL63" s="59"/>
      <c r="BM63" s="59"/>
      <c r="BN63" s="59"/>
      <c r="BO63" s="59"/>
      <c r="BP63" s="59"/>
      <c r="BQ63" s="62"/>
      <c r="BR63" s="6"/>
      <c r="BS63" s="70"/>
      <c r="BT63" s="62" t="s">
        <v>2502</v>
      </c>
      <c r="BU63" s="84"/>
      <c r="BV63" s="84"/>
      <c r="BW63" s="84"/>
      <c r="BX63" s="84"/>
      <c r="BY63" s="84"/>
    </row>
    <row r="64" spans="1:77" ht="195" x14ac:dyDescent="0.25">
      <c r="A64" s="38" t="s">
        <v>2503</v>
      </c>
      <c r="B64" s="39">
        <v>59</v>
      </c>
      <c r="C64" s="38" t="s">
        <v>225</v>
      </c>
      <c r="D64" s="40" t="s">
        <v>2504</v>
      </c>
      <c r="E64" s="39" t="s">
        <v>151</v>
      </c>
      <c r="F64" s="39" t="s">
        <v>152</v>
      </c>
      <c r="G64" s="39" t="s">
        <v>151</v>
      </c>
      <c r="H64" s="41"/>
      <c r="I64" s="41" t="s">
        <v>2505</v>
      </c>
      <c r="J64" s="41"/>
      <c r="K64" s="41"/>
      <c r="L64" s="41"/>
      <c r="M64" s="42" t="str">
        <f t="shared" si="18"/>
        <v xml:space="preserve">Grupo Antda, S.A. de C.V.  </v>
      </c>
      <c r="N64" s="991" t="s">
        <v>198</v>
      </c>
      <c r="O64" s="991" t="s">
        <v>198</v>
      </c>
      <c r="P64" s="991" t="s">
        <v>2506</v>
      </c>
      <c r="Q64" s="992">
        <v>830000</v>
      </c>
      <c r="R64" s="44">
        <f t="shared" si="19"/>
        <v>132800</v>
      </c>
      <c r="S64" s="45">
        <f t="shared" si="16"/>
        <v>962800</v>
      </c>
      <c r="T64" s="46">
        <v>415000</v>
      </c>
      <c r="U64" s="47">
        <f t="shared" si="20"/>
        <v>481400</v>
      </c>
      <c r="V64" s="44">
        <f t="shared" si="17"/>
        <v>1203500</v>
      </c>
      <c r="W64" s="993" t="s">
        <v>156</v>
      </c>
      <c r="X64" s="48">
        <v>43922</v>
      </c>
      <c r="Y64" s="39" t="s">
        <v>333</v>
      </c>
      <c r="Z64" s="48">
        <v>43922</v>
      </c>
      <c r="AA64" s="48" t="s">
        <v>2507</v>
      </c>
      <c r="AB64" s="38" t="s">
        <v>182</v>
      </c>
      <c r="AC64" s="38" t="s">
        <v>2370</v>
      </c>
      <c r="AD64" s="59" t="s">
        <v>2508</v>
      </c>
      <c r="AE64" s="59" t="s">
        <v>161</v>
      </c>
      <c r="AF64" s="59" t="s">
        <v>161</v>
      </c>
      <c r="AG64" s="59" t="s">
        <v>161</v>
      </c>
      <c r="AH64" s="39" t="s">
        <v>183</v>
      </c>
      <c r="AI64" s="100" t="s">
        <v>2509</v>
      </c>
      <c r="AJ64" s="100" t="s">
        <v>1118</v>
      </c>
      <c r="AK64" s="101" t="s">
        <v>2510</v>
      </c>
      <c r="AL64" s="102">
        <v>240700</v>
      </c>
      <c r="AM64" s="39" t="s">
        <v>1388</v>
      </c>
      <c r="AN64" s="39"/>
      <c r="AO64" s="39" t="s">
        <v>183</v>
      </c>
      <c r="AP64" s="39" t="s">
        <v>333</v>
      </c>
      <c r="AQ64" s="39"/>
      <c r="AR64" s="39" t="s">
        <v>333</v>
      </c>
      <c r="AS64" s="39"/>
      <c r="AT64" s="39"/>
      <c r="AU64" s="51"/>
      <c r="AV64" s="50"/>
      <c r="AW64" s="38"/>
      <c r="AX64" s="52"/>
      <c r="AY64" s="173"/>
      <c r="AZ64" s="38"/>
      <c r="BA64" s="38" t="e">
        <f>VLOOKUP(I64,#REF!,2,0)</f>
        <v>#REF!</v>
      </c>
      <c r="BB64" s="71"/>
      <c r="BC64" s="59"/>
      <c r="BD64" s="39"/>
      <c r="BE64" s="39"/>
      <c r="BF64" s="39"/>
      <c r="BG64" s="39"/>
      <c r="BH64" s="59"/>
      <c r="BI64" s="59"/>
      <c r="BJ64" s="59"/>
      <c r="BK64" s="59"/>
      <c r="BL64" s="59"/>
      <c r="BM64" s="59"/>
      <c r="BN64" s="59"/>
      <c r="BO64" s="59"/>
      <c r="BP64" s="59"/>
      <c r="BQ64" s="62"/>
      <c r="BR64" s="6"/>
      <c r="BS64" s="70"/>
      <c r="BT64" s="62" t="s">
        <v>2341</v>
      </c>
      <c r="BU64" s="84"/>
      <c r="BV64" s="84"/>
      <c r="BW64" s="84"/>
      <c r="BX64" s="84"/>
      <c r="BY64" s="84"/>
    </row>
    <row r="65" spans="1:77" ht="105" x14ac:dyDescent="0.25">
      <c r="A65" s="38" t="s">
        <v>2511</v>
      </c>
      <c r="B65" s="39">
        <v>60</v>
      </c>
      <c r="C65" s="38" t="s">
        <v>149</v>
      </c>
      <c r="D65" s="40" t="s">
        <v>2494</v>
      </c>
      <c r="E65" s="567" t="s">
        <v>163</v>
      </c>
      <c r="F65" s="39" t="s">
        <v>553</v>
      </c>
      <c r="G65" s="39" t="s">
        <v>427</v>
      </c>
      <c r="H65" s="567" t="s">
        <v>163</v>
      </c>
      <c r="I65" s="41" t="s">
        <v>1162</v>
      </c>
      <c r="J65" s="41"/>
      <c r="K65" s="41"/>
      <c r="L65" s="41"/>
      <c r="M65" s="42" t="str">
        <f t="shared" si="18"/>
        <v xml:space="preserve">Lemonroy Business Solutions, S.A. de C.V.  </v>
      </c>
      <c r="N65" s="991" t="s">
        <v>198</v>
      </c>
      <c r="O65" s="991" t="s">
        <v>198</v>
      </c>
      <c r="P65" s="991" t="s">
        <v>2512</v>
      </c>
      <c r="Q65" s="992">
        <v>1067100.95</v>
      </c>
      <c r="R65" s="44">
        <f t="shared" si="19"/>
        <v>170736.152</v>
      </c>
      <c r="S65" s="45">
        <f t="shared" si="16"/>
        <v>1237837.102</v>
      </c>
      <c r="T65" s="46">
        <v>711545.4</v>
      </c>
      <c r="U65" s="47">
        <f t="shared" si="20"/>
        <v>825392.66399999999</v>
      </c>
      <c r="V65" s="44">
        <f t="shared" si="17"/>
        <v>1423512.6643999999</v>
      </c>
      <c r="W65" s="993" t="s">
        <v>156</v>
      </c>
      <c r="X65" s="48">
        <v>43922</v>
      </c>
      <c r="Y65" s="39" t="s">
        <v>333</v>
      </c>
      <c r="Z65" s="48">
        <v>43922</v>
      </c>
      <c r="AA65" s="48">
        <v>44043</v>
      </c>
      <c r="AB65" s="38" t="s">
        <v>2033</v>
      </c>
      <c r="AC65" s="38"/>
      <c r="AD65" s="59">
        <v>43957</v>
      </c>
      <c r="AE65" s="59">
        <v>43977</v>
      </c>
      <c r="AF65" s="59" t="s">
        <v>161</v>
      </c>
      <c r="AG65" s="59" t="s">
        <v>161</v>
      </c>
      <c r="AH65" s="39" t="s">
        <v>183</v>
      </c>
      <c r="AI65" s="38" t="s">
        <v>2513</v>
      </c>
      <c r="AJ65" s="38" t="s">
        <v>2514</v>
      </c>
      <c r="AK65" s="50">
        <v>44004</v>
      </c>
      <c r="AL65" s="44">
        <f>160065.14*1.16</f>
        <v>185675.5624</v>
      </c>
      <c r="AM65" s="39" t="str">
        <f t="shared" ref="AM65:AM80" ca="1" si="21">IF(ISBLANK(AA65),"",IF(AA65&gt;=TODAY(),"VIGENTE","MUERTO"))</f>
        <v>MUERTO</v>
      </c>
      <c r="AN65" s="39"/>
      <c r="AO65" s="39" t="s">
        <v>183</v>
      </c>
      <c r="AP65" s="39" t="s">
        <v>333</v>
      </c>
      <c r="AQ65" s="39" t="s">
        <v>496</v>
      </c>
      <c r="AR65" s="39" t="s">
        <v>333</v>
      </c>
      <c r="AS65" s="39"/>
      <c r="AT65" s="39"/>
      <c r="AU65" s="51"/>
      <c r="AV65" s="50"/>
      <c r="AW65" s="38"/>
      <c r="AX65" s="52"/>
      <c r="AY65" s="173"/>
      <c r="AZ65" s="38"/>
      <c r="BA65" s="38" t="e">
        <f>VLOOKUP(I65,#REF!,2,0)</f>
        <v>#REF!</v>
      </c>
      <c r="BB65" s="71"/>
      <c r="BC65" s="59"/>
      <c r="BD65" s="39"/>
      <c r="BE65" s="39"/>
      <c r="BF65" s="39"/>
      <c r="BG65" s="39"/>
      <c r="BH65" s="59"/>
      <c r="BI65" s="59"/>
      <c r="BJ65" s="59"/>
      <c r="BK65" s="59"/>
      <c r="BL65" s="59"/>
      <c r="BM65" s="59"/>
      <c r="BN65" s="59"/>
      <c r="BO65" s="59"/>
      <c r="BP65" s="59"/>
      <c r="BQ65" s="62"/>
      <c r="BR65" s="6"/>
      <c r="BS65" s="70"/>
      <c r="BT65" s="62" t="s">
        <v>2486</v>
      </c>
      <c r="BU65" s="84"/>
      <c r="BV65" s="84"/>
      <c r="BW65" s="84"/>
      <c r="BX65" s="84"/>
      <c r="BY65" s="84"/>
    </row>
    <row r="66" spans="1:77" ht="102" x14ac:dyDescent="0.25">
      <c r="A66" s="38" t="s">
        <v>2515</v>
      </c>
      <c r="B66" s="39">
        <v>61</v>
      </c>
      <c r="C66" s="38" t="s">
        <v>149</v>
      </c>
      <c r="D66" s="40" t="s">
        <v>2516</v>
      </c>
      <c r="E66" s="567" t="s">
        <v>163</v>
      </c>
      <c r="F66" s="39" t="s">
        <v>553</v>
      </c>
      <c r="G66" s="39" t="s">
        <v>427</v>
      </c>
      <c r="H66" s="567" t="s">
        <v>163</v>
      </c>
      <c r="I66" s="41" t="s">
        <v>2517</v>
      </c>
      <c r="J66" s="41"/>
      <c r="K66" s="41"/>
      <c r="L66" s="41"/>
      <c r="M66" s="42" t="str">
        <f t="shared" si="18"/>
        <v xml:space="preserve">Tecnologías Digitales Alternas de México, S.A. de C.V.  </v>
      </c>
      <c r="N66" s="991" t="s">
        <v>209</v>
      </c>
      <c r="O66" s="991" t="s">
        <v>209</v>
      </c>
      <c r="P66" s="991" t="s">
        <v>2518</v>
      </c>
      <c r="Q66" s="992">
        <v>13351500</v>
      </c>
      <c r="R66" s="44">
        <f t="shared" si="19"/>
        <v>2136240</v>
      </c>
      <c r="S66" s="45">
        <f t="shared" si="16"/>
        <v>15487740</v>
      </c>
      <c r="T66" s="46">
        <v>0</v>
      </c>
      <c r="U66" s="47">
        <f t="shared" si="20"/>
        <v>0</v>
      </c>
      <c r="V66" s="44">
        <f t="shared" si="17"/>
        <v>15487740</v>
      </c>
      <c r="W66" s="993" t="s">
        <v>156</v>
      </c>
      <c r="X66" s="48">
        <v>43923</v>
      </c>
      <c r="Y66" s="39" t="s">
        <v>333</v>
      </c>
      <c r="Z66" s="48">
        <v>43922</v>
      </c>
      <c r="AA66" s="48">
        <v>44196</v>
      </c>
      <c r="AB66" s="38" t="s">
        <v>2033</v>
      </c>
      <c r="AC66" s="38"/>
      <c r="AD66" s="59">
        <v>43948</v>
      </c>
      <c r="AE66" s="59">
        <v>43957</v>
      </c>
      <c r="AF66" s="59" t="s">
        <v>161</v>
      </c>
      <c r="AG66" s="59" t="s">
        <v>161</v>
      </c>
      <c r="AH66" s="39" t="s">
        <v>183</v>
      </c>
      <c r="AI66" s="38"/>
      <c r="AJ66" s="38"/>
      <c r="AK66" s="50"/>
      <c r="AL66" s="44"/>
      <c r="AM66" s="39" t="str">
        <f t="shared" ca="1" si="21"/>
        <v>MUERTO</v>
      </c>
      <c r="AN66" s="39"/>
      <c r="AO66" s="39" t="s">
        <v>183</v>
      </c>
      <c r="AP66" s="39" t="s">
        <v>333</v>
      </c>
      <c r="AQ66" s="39"/>
      <c r="AR66" s="39" t="s">
        <v>333</v>
      </c>
      <c r="AS66" s="39"/>
      <c r="AT66" s="39"/>
      <c r="AU66" s="51"/>
      <c r="AV66" s="50"/>
      <c r="AW66" s="38"/>
      <c r="AX66" s="52"/>
      <c r="AY66" s="173"/>
      <c r="AZ66" s="38"/>
      <c r="BA66" s="38" t="e">
        <f>VLOOKUP(I66,#REF!,2,0)</f>
        <v>#REF!</v>
      </c>
      <c r="BB66" s="71"/>
      <c r="BC66" s="59"/>
      <c r="BD66" s="39"/>
      <c r="BE66" s="39"/>
      <c r="BF66" s="39"/>
      <c r="BG66" s="39"/>
      <c r="BH66" s="59"/>
      <c r="BI66" s="59"/>
      <c r="BJ66" s="59"/>
      <c r="BK66" s="59"/>
      <c r="BL66" s="59"/>
      <c r="BM66" s="59"/>
      <c r="BN66" s="59"/>
      <c r="BO66" s="59"/>
      <c r="BP66" s="59"/>
      <c r="BQ66" s="62"/>
      <c r="BR66" s="6"/>
      <c r="BS66" s="70"/>
      <c r="BT66" s="62" t="s">
        <v>2318</v>
      </c>
      <c r="BU66" s="84"/>
      <c r="BV66" s="84"/>
      <c r="BW66" s="84"/>
      <c r="BX66" s="84"/>
      <c r="BY66" s="84"/>
    </row>
    <row r="67" spans="1:77" ht="63.75" x14ac:dyDescent="0.25">
      <c r="A67" s="38" t="s">
        <v>2519</v>
      </c>
      <c r="B67" s="39">
        <v>62</v>
      </c>
      <c r="C67" s="38" t="s">
        <v>149</v>
      </c>
      <c r="D67" s="40" t="s">
        <v>2520</v>
      </c>
      <c r="E67" s="567" t="s">
        <v>163</v>
      </c>
      <c r="F67" s="39" t="s">
        <v>553</v>
      </c>
      <c r="G67" s="39" t="s">
        <v>427</v>
      </c>
      <c r="H67" s="567" t="s">
        <v>163</v>
      </c>
      <c r="I67" s="41" t="s">
        <v>1008</v>
      </c>
      <c r="J67" s="41"/>
      <c r="K67" s="41"/>
      <c r="L67" s="41"/>
      <c r="M67" s="42" t="str">
        <f t="shared" si="18"/>
        <v xml:space="preserve">Dhimex Ciudad de México, S.A. de C.V.  </v>
      </c>
      <c r="N67" s="42" t="s">
        <v>315</v>
      </c>
      <c r="O67" s="991" t="s">
        <v>315</v>
      </c>
      <c r="P67" s="42" t="s">
        <v>2521</v>
      </c>
      <c r="Q67" s="992">
        <v>717386.61</v>
      </c>
      <c r="R67" s="44">
        <f t="shared" si="19"/>
        <v>114781.8576</v>
      </c>
      <c r="S67" s="45">
        <f t="shared" si="16"/>
        <v>832168.46759999997</v>
      </c>
      <c r="T67" s="46">
        <v>0</v>
      </c>
      <c r="U67" s="47">
        <f t="shared" si="20"/>
        <v>0</v>
      </c>
      <c r="V67" s="44">
        <f t="shared" si="17"/>
        <v>832168.46759999997</v>
      </c>
      <c r="W67" s="993" t="s">
        <v>156</v>
      </c>
      <c r="X67" s="48">
        <v>43924</v>
      </c>
      <c r="Y67" s="39" t="s">
        <v>333</v>
      </c>
      <c r="Z67" s="48">
        <v>43927</v>
      </c>
      <c r="AA67" s="48">
        <v>44012</v>
      </c>
      <c r="AB67" s="38" t="s">
        <v>2033</v>
      </c>
      <c r="AC67" s="38"/>
      <c r="AD67" s="59">
        <v>43929</v>
      </c>
      <c r="AE67" s="59">
        <v>43938</v>
      </c>
      <c r="AF67" s="59" t="s">
        <v>161</v>
      </c>
      <c r="AG67" s="59" t="s">
        <v>161</v>
      </c>
      <c r="AH67" s="39" t="s">
        <v>183</v>
      </c>
      <c r="AI67" s="38"/>
      <c r="AJ67" s="38"/>
      <c r="AK67" s="50"/>
      <c r="AL67" s="44"/>
      <c r="AM67" s="39" t="str">
        <f t="shared" ca="1" si="21"/>
        <v>MUERTO</v>
      </c>
      <c r="AN67" s="39"/>
      <c r="AO67" s="39" t="s">
        <v>183</v>
      </c>
      <c r="AP67" s="39" t="s">
        <v>333</v>
      </c>
      <c r="AQ67" s="39"/>
      <c r="AR67" s="39" t="s">
        <v>333</v>
      </c>
      <c r="AS67" s="39"/>
      <c r="AT67" s="39"/>
      <c r="AU67" s="51"/>
      <c r="AV67" s="50"/>
      <c r="AW67" s="38"/>
      <c r="AX67" s="52"/>
      <c r="AY67" s="173"/>
      <c r="AZ67" s="38"/>
      <c r="BA67" s="38" t="e">
        <f>VLOOKUP(I67,#REF!,2,0)</f>
        <v>#REF!</v>
      </c>
      <c r="BB67" s="71"/>
      <c r="BC67" s="59"/>
      <c r="BD67" s="56"/>
      <c r="BE67" s="56"/>
      <c r="BF67" s="56"/>
      <c r="BG67" s="56"/>
      <c r="BH67" s="59"/>
      <c r="BI67" s="59"/>
      <c r="BJ67" s="59"/>
      <c r="BK67" s="59"/>
      <c r="BL67" s="59"/>
      <c r="BM67" s="59"/>
      <c r="BN67" s="59"/>
      <c r="BO67" s="59"/>
      <c r="BP67" s="59"/>
      <c r="BQ67" s="62"/>
      <c r="BR67" s="6"/>
      <c r="BS67" s="70"/>
      <c r="BT67" s="62" t="s">
        <v>2390</v>
      </c>
      <c r="BU67" s="84"/>
      <c r="BV67" s="84"/>
      <c r="BW67" s="84"/>
      <c r="BX67" s="84"/>
      <c r="BY67" s="84"/>
    </row>
    <row r="68" spans="1:77" ht="120" x14ac:dyDescent="0.25">
      <c r="A68" s="38" t="s">
        <v>2522</v>
      </c>
      <c r="B68" s="39">
        <v>63</v>
      </c>
      <c r="C68" s="38" t="s">
        <v>149</v>
      </c>
      <c r="D68" s="40" t="s">
        <v>2494</v>
      </c>
      <c r="E68" s="567" t="s">
        <v>163</v>
      </c>
      <c r="F68" s="39" t="s">
        <v>553</v>
      </c>
      <c r="G68" s="39" t="s">
        <v>427</v>
      </c>
      <c r="H68" s="567" t="s">
        <v>163</v>
      </c>
      <c r="I68" s="41" t="s">
        <v>903</v>
      </c>
      <c r="J68" s="41"/>
      <c r="K68" s="41"/>
      <c r="L68" s="41"/>
      <c r="M68" s="42" t="str">
        <f t="shared" si="18"/>
        <v xml:space="preserve">Escore Alimentos, S.A. de C.V.  </v>
      </c>
      <c r="N68" s="991" t="s">
        <v>190</v>
      </c>
      <c r="O68" s="991" t="s">
        <v>190</v>
      </c>
      <c r="P68" s="991" t="s">
        <v>2523</v>
      </c>
      <c r="Q68" s="992">
        <v>5250000</v>
      </c>
      <c r="R68" s="44">
        <f t="shared" si="19"/>
        <v>840000</v>
      </c>
      <c r="S68" s="45">
        <f t="shared" si="16"/>
        <v>6090000</v>
      </c>
      <c r="T68" s="46">
        <v>1400000</v>
      </c>
      <c r="U68" s="47">
        <f t="shared" si="20"/>
        <v>1624000</v>
      </c>
      <c r="V68" s="44">
        <f t="shared" si="17"/>
        <v>6090000</v>
      </c>
      <c r="W68" s="993" t="s">
        <v>156</v>
      </c>
      <c r="X68" s="48">
        <v>43924</v>
      </c>
      <c r="Y68" s="39" t="s">
        <v>333</v>
      </c>
      <c r="Z68" s="48">
        <v>43922</v>
      </c>
      <c r="AA68" s="48">
        <v>44196</v>
      </c>
      <c r="AB68" s="38" t="s">
        <v>2524</v>
      </c>
      <c r="AC68" s="38"/>
      <c r="AD68" s="59">
        <v>43970</v>
      </c>
      <c r="AE68" s="59">
        <v>43973</v>
      </c>
      <c r="AF68" s="59" t="s">
        <v>161</v>
      </c>
      <c r="AG68" s="59" t="s">
        <v>161</v>
      </c>
      <c r="AH68" s="39" t="s">
        <v>183</v>
      </c>
      <c r="AI68" s="38"/>
      <c r="AJ68" s="38"/>
      <c r="AK68" s="50"/>
      <c r="AL68" s="44"/>
      <c r="AM68" s="39" t="str">
        <f t="shared" ca="1" si="21"/>
        <v>MUERTO</v>
      </c>
      <c r="AN68" s="39"/>
      <c r="AO68" s="39" t="s">
        <v>183</v>
      </c>
      <c r="AP68" s="39" t="s">
        <v>333</v>
      </c>
      <c r="AQ68" s="39"/>
      <c r="AR68" s="39" t="s">
        <v>333</v>
      </c>
      <c r="AS68" s="39"/>
      <c r="AT68" s="39"/>
      <c r="AU68" s="51"/>
      <c r="AV68" s="50"/>
      <c r="AW68" s="38"/>
      <c r="AX68" s="52"/>
      <c r="AY68" s="173"/>
      <c r="AZ68" s="38"/>
      <c r="BA68" s="38" t="e">
        <f>VLOOKUP(I68,#REF!,2,0)</f>
        <v>#REF!</v>
      </c>
      <c r="BB68" s="71"/>
      <c r="BC68" s="59"/>
      <c r="BD68" s="39"/>
      <c r="BE68" s="39"/>
      <c r="BF68" s="39"/>
      <c r="BG68" s="39"/>
      <c r="BH68" s="59"/>
      <c r="BI68" s="59"/>
      <c r="BJ68" s="59"/>
      <c r="BK68" s="59"/>
      <c r="BL68" s="59"/>
      <c r="BM68" s="59"/>
      <c r="BN68" s="59"/>
      <c r="BO68" s="59"/>
      <c r="BP68" s="59"/>
      <c r="BQ68" s="62"/>
      <c r="BR68" s="6"/>
      <c r="BS68" s="70"/>
      <c r="BT68" s="62" t="s">
        <v>2525</v>
      </c>
      <c r="BU68" s="84"/>
      <c r="BV68" s="84"/>
      <c r="BW68" s="84"/>
      <c r="BX68" s="84"/>
      <c r="BY68" s="84"/>
    </row>
    <row r="69" spans="1:77" ht="89.25" x14ac:dyDescent="0.25">
      <c r="A69" s="38" t="s">
        <v>2526</v>
      </c>
      <c r="B69" s="39">
        <v>64</v>
      </c>
      <c r="C69" s="38" t="s">
        <v>149</v>
      </c>
      <c r="D69" s="40" t="s">
        <v>2527</v>
      </c>
      <c r="E69" s="567" t="s">
        <v>163</v>
      </c>
      <c r="F69" s="38" t="s">
        <v>164</v>
      </c>
      <c r="G69" s="567" t="s">
        <v>163</v>
      </c>
      <c r="H69" s="567" t="s">
        <v>163</v>
      </c>
      <c r="I69" s="41" t="s">
        <v>1884</v>
      </c>
      <c r="J69" s="41"/>
      <c r="K69" s="41"/>
      <c r="L69" s="41"/>
      <c r="M69" s="42" t="str">
        <f t="shared" si="18"/>
        <v xml:space="preserve">Idiomas de Iztapalapa, S.C.  </v>
      </c>
      <c r="N69" s="991" t="s">
        <v>2528</v>
      </c>
      <c r="O69" s="991" t="s">
        <v>2528</v>
      </c>
      <c r="P69" s="991" t="s">
        <v>2529</v>
      </c>
      <c r="Q69" s="992">
        <v>659482.76</v>
      </c>
      <c r="R69" s="44">
        <f t="shared" si="19"/>
        <v>105517.24160000001</v>
      </c>
      <c r="S69" s="45">
        <f t="shared" si="16"/>
        <v>765000.00160000008</v>
      </c>
      <c r="T69" s="46">
        <v>0</v>
      </c>
      <c r="U69" s="47">
        <f t="shared" si="20"/>
        <v>0</v>
      </c>
      <c r="V69" s="44">
        <f t="shared" si="17"/>
        <v>765000.00160000008</v>
      </c>
      <c r="W69" s="993" t="s">
        <v>156</v>
      </c>
      <c r="X69" s="48">
        <v>43937</v>
      </c>
      <c r="Y69" s="39" t="s">
        <v>333</v>
      </c>
      <c r="Z69" s="48">
        <v>43934</v>
      </c>
      <c r="AA69" s="48">
        <v>44196</v>
      </c>
      <c r="AB69" s="38" t="s">
        <v>2351</v>
      </c>
      <c r="AC69" s="38"/>
      <c r="AD69" s="59"/>
      <c r="AE69" s="59"/>
      <c r="AF69" s="59"/>
      <c r="AG69" s="59"/>
      <c r="AH69" s="39"/>
      <c r="AI69" s="38"/>
      <c r="AJ69" s="38"/>
      <c r="AK69" s="50"/>
      <c r="AL69" s="44"/>
      <c r="AM69" s="39" t="str">
        <f t="shared" ca="1" si="21"/>
        <v>MUERTO</v>
      </c>
      <c r="AN69" s="39"/>
      <c r="AO69" s="39" t="s">
        <v>183</v>
      </c>
      <c r="AP69" s="39" t="s">
        <v>333</v>
      </c>
      <c r="AQ69" s="39"/>
      <c r="AR69" s="39" t="s">
        <v>333</v>
      </c>
      <c r="AS69" s="39"/>
      <c r="AT69" s="39"/>
      <c r="AU69" s="51"/>
      <c r="AV69" s="50"/>
      <c r="AW69" s="38"/>
      <c r="AX69" s="52"/>
      <c r="AY69" s="173"/>
      <c r="AZ69" s="38"/>
      <c r="BA69" s="38" t="e">
        <f>VLOOKUP(I69,#REF!,2,0)</f>
        <v>#REF!</v>
      </c>
      <c r="BB69" s="71"/>
      <c r="BC69" s="59"/>
      <c r="BD69" s="38"/>
      <c r="BE69" s="38"/>
      <c r="BF69" s="38"/>
      <c r="BG69" s="38"/>
      <c r="BH69" s="59"/>
      <c r="BI69" s="59"/>
      <c r="BJ69" s="59"/>
      <c r="BK69" s="59"/>
      <c r="BL69" s="59"/>
      <c r="BM69" s="59"/>
      <c r="BN69" s="59"/>
      <c r="BO69" s="59"/>
      <c r="BP69" s="59"/>
      <c r="BQ69" s="62"/>
      <c r="BR69" s="6"/>
      <c r="BS69" s="70"/>
      <c r="BT69" s="62" t="s">
        <v>2530</v>
      </c>
      <c r="BU69" s="84"/>
      <c r="BV69" s="84"/>
      <c r="BW69" s="84"/>
      <c r="BX69" s="84"/>
      <c r="BY69" s="84"/>
    </row>
    <row r="70" spans="1:77" ht="60" x14ac:dyDescent="0.25">
      <c r="A70" s="38" t="s">
        <v>2531</v>
      </c>
      <c r="B70" s="39">
        <v>65</v>
      </c>
      <c r="C70" s="38" t="s">
        <v>149</v>
      </c>
      <c r="D70" s="40" t="s">
        <v>2532</v>
      </c>
      <c r="E70" s="567" t="s">
        <v>163</v>
      </c>
      <c r="F70" s="39" t="s">
        <v>188</v>
      </c>
      <c r="G70" s="39" t="s">
        <v>427</v>
      </c>
      <c r="H70" s="567" t="s">
        <v>163</v>
      </c>
      <c r="I70" s="41" t="s">
        <v>2046</v>
      </c>
      <c r="J70" s="41"/>
      <c r="K70" s="41"/>
      <c r="L70" s="41"/>
      <c r="M70" s="42" t="str">
        <f t="shared" si="18"/>
        <v xml:space="preserve">Miguel Ángel Porrúa, S.A. de C.V.  </v>
      </c>
      <c r="N70" s="991" t="s">
        <v>2533</v>
      </c>
      <c r="O70" s="991" t="s">
        <v>2533</v>
      </c>
      <c r="P70" s="991" t="s">
        <v>2534</v>
      </c>
      <c r="Q70" s="992">
        <v>1287000</v>
      </c>
      <c r="R70" s="44">
        <f t="shared" si="19"/>
        <v>205920</v>
      </c>
      <c r="S70" s="45">
        <f t="shared" si="16"/>
        <v>1492920</v>
      </c>
      <c r="T70" s="46">
        <v>0</v>
      </c>
      <c r="U70" s="47">
        <f t="shared" si="20"/>
        <v>0</v>
      </c>
      <c r="V70" s="44">
        <f t="shared" si="17"/>
        <v>1492920</v>
      </c>
      <c r="W70" s="993" t="s">
        <v>156</v>
      </c>
      <c r="X70" s="48">
        <v>43943</v>
      </c>
      <c r="Y70" s="39" t="s">
        <v>333</v>
      </c>
      <c r="Z70" s="48">
        <v>43945</v>
      </c>
      <c r="AA70" s="48">
        <v>43951</v>
      </c>
      <c r="AB70" s="38" t="s">
        <v>2351</v>
      </c>
      <c r="AC70" s="38"/>
      <c r="AD70" s="59"/>
      <c r="AE70" s="59"/>
      <c r="AF70" s="59"/>
      <c r="AG70" s="59"/>
      <c r="AH70" s="39"/>
      <c r="AI70" s="38"/>
      <c r="AJ70" s="38"/>
      <c r="AK70" s="50"/>
      <c r="AL70" s="44"/>
      <c r="AM70" s="39" t="str">
        <f t="shared" ca="1" si="21"/>
        <v>MUERTO</v>
      </c>
      <c r="AN70" s="39"/>
      <c r="AO70" s="39" t="s">
        <v>156</v>
      </c>
      <c r="AP70" s="39" t="s">
        <v>333</v>
      </c>
      <c r="AQ70" s="39"/>
      <c r="AR70" s="39" t="s">
        <v>333</v>
      </c>
      <c r="AS70" s="39"/>
      <c r="AT70" s="39"/>
      <c r="AU70" s="51"/>
      <c r="AV70" s="50"/>
      <c r="AW70" s="38"/>
      <c r="AX70" s="52"/>
      <c r="AY70" s="173"/>
      <c r="AZ70" s="38"/>
      <c r="BA70" s="38" t="e">
        <f>VLOOKUP(I70,#REF!,2,0)</f>
        <v>#REF!</v>
      </c>
      <c r="BB70" s="71"/>
      <c r="BC70" s="59"/>
      <c r="BD70" s="39"/>
      <c r="BE70" s="39"/>
      <c r="BF70" s="39"/>
      <c r="BG70" s="39"/>
      <c r="BH70" s="59"/>
      <c r="BI70" s="59"/>
      <c r="BJ70" s="59"/>
      <c r="BK70" s="59"/>
      <c r="BL70" s="59"/>
      <c r="BM70" s="59"/>
      <c r="BN70" s="59"/>
      <c r="BO70" s="59"/>
      <c r="BP70" s="59"/>
      <c r="BQ70" s="62"/>
      <c r="BR70" s="6"/>
      <c r="BS70" s="70"/>
      <c r="BT70" s="62" t="s">
        <v>2535</v>
      </c>
      <c r="BU70" s="84"/>
      <c r="BV70" s="84"/>
      <c r="BW70" s="84"/>
      <c r="BX70" s="84"/>
      <c r="BY70" s="84"/>
    </row>
    <row r="71" spans="1:77" ht="75" x14ac:dyDescent="0.25">
      <c r="A71" s="38" t="s">
        <v>2536</v>
      </c>
      <c r="B71" s="39">
        <v>66</v>
      </c>
      <c r="C71" s="38" t="s">
        <v>149</v>
      </c>
      <c r="D71" s="40" t="s">
        <v>2537</v>
      </c>
      <c r="E71" s="567" t="s">
        <v>163</v>
      </c>
      <c r="F71" s="39" t="s">
        <v>188</v>
      </c>
      <c r="G71" s="39" t="s">
        <v>427</v>
      </c>
      <c r="H71" s="567" t="s">
        <v>163</v>
      </c>
      <c r="I71" s="41" t="s">
        <v>1214</v>
      </c>
      <c r="J71" s="41"/>
      <c r="K71" s="41"/>
      <c r="L71" s="41"/>
      <c r="M71" s="42" t="str">
        <f t="shared" si="18"/>
        <v xml:space="preserve">Gaini, S.C.  </v>
      </c>
      <c r="N71" s="991" t="s">
        <v>179</v>
      </c>
      <c r="O71" s="991" t="s">
        <v>179</v>
      </c>
      <c r="P71" s="991" t="s">
        <v>2538</v>
      </c>
      <c r="Q71" s="992">
        <v>14913793.1</v>
      </c>
      <c r="R71" s="44">
        <f t="shared" si="19"/>
        <v>2386206.8960000002</v>
      </c>
      <c r="S71" s="45">
        <f t="shared" si="16"/>
        <v>17299999.995999999</v>
      </c>
      <c r="T71" s="46">
        <v>0</v>
      </c>
      <c r="U71" s="47">
        <f t="shared" si="20"/>
        <v>0</v>
      </c>
      <c r="V71" s="44">
        <f t="shared" si="17"/>
        <v>17299999.995999999</v>
      </c>
      <c r="W71" s="993" t="s">
        <v>156</v>
      </c>
      <c r="X71" s="48">
        <v>43948</v>
      </c>
      <c r="Y71" s="39" t="s">
        <v>333</v>
      </c>
      <c r="Z71" s="48">
        <v>43922</v>
      </c>
      <c r="AA71" s="48">
        <v>44196</v>
      </c>
      <c r="AB71" s="38" t="s">
        <v>182</v>
      </c>
      <c r="AC71" s="38"/>
      <c r="AD71" s="59">
        <v>43963</v>
      </c>
      <c r="AE71" s="59" t="s">
        <v>161</v>
      </c>
      <c r="AF71" s="59" t="s">
        <v>161</v>
      </c>
      <c r="AG71" s="59" t="s">
        <v>161</v>
      </c>
      <c r="AH71" s="39" t="s">
        <v>183</v>
      </c>
      <c r="AI71" s="38"/>
      <c r="AJ71" s="38"/>
      <c r="AK71" s="50"/>
      <c r="AL71" s="44"/>
      <c r="AM71" s="39" t="str">
        <f t="shared" ca="1" si="21"/>
        <v>MUERTO</v>
      </c>
      <c r="AN71" s="39"/>
      <c r="AO71" s="39" t="s">
        <v>183</v>
      </c>
      <c r="AP71" s="39" t="s">
        <v>333</v>
      </c>
      <c r="AQ71" s="39"/>
      <c r="AR71" s="39" t="s">
        <v>333</v>
      </c>
      <c r="AS71" s="39"/>
      <c r="AT71" s="39"/>
      <c r="AU71" s="51"/>
      <c r="AV71" s="50"/>
      <c r="AW71" s="38"/>
      <c r="AX71" s="52"/>
      <c r="AY71" s="173"/>
      <c r="AZ71" s="38"/>
      <c r="BA71" s="38" t="e">
        <f>VLOOKUP(I71,#REF!,2,0)</f>
        <v>#REF!</v>
      </c>
      <c r="BB71" s="71"/>
      <c r="BC71" s="59"/>
      <c r="BD71" s="39"/>
      <c r="BE71" s="39"/>
      <c r="BF71" s="39"/>
      <c r="BG71" s="39"/>
      <c r="BH71" s="59"/>
      <c r="BI71" s="59"/>
      <c r="BJ71" s="59"/>
      <c r="BK71" s="59"/>
      <c r="BL71" s="59"/>
      <c r="BM71" s="59"/>
      <c r="BN71" s="59"/>
      <c r="BO71" s="59"/>
      <c r="BP71" s="59"/>
      <c r="BQ71" s="62"/>
      <c r="BR71" s="6"/>
      <c r="BS71" s="70"/>
      <c r="BT71" s="62" t="s">
        <v>2539</v>
      </c>
      <c r="BU71" s="84"/>
      <c r="BV71" s="84"/>
      <c r="BW71" s="84"/>
      <c r="BX71" s="84"/>
      <c r="BY71" s="84"/>
    </row>
    <row r="72" spans="1:77" ht="75" x14ac:dyDescent="0.25">
      <c r="A72" s="38" t="s">
        <v>2540</v>
      </c>
      <c r="B72" s="39">
        <v>67</v>
      </c>
      <c r="C72" s="38" t="s">
        <v>149</v>
      </c>
      <c r="D72" s="40" t="s">
        <v>1177</v>
      </c>
      <c r="E72" s="567" t="s">
        <v>163</v>
      </c>
      <c r="F72" s="39" t="s">
        <v>561</v>
      </c>
      <c r="G72" s="567" t="s">
        <v>163</v>
      </c>
      <c r="H72" s="567" t="s">
        <v>163</v>
      </c>
      <c r="I72" s="41" t="s">
        <v>1065</v>
      </c>
      <c r="J72" s="41"/>
      <c r="K72" s="41"/>
      <c r="L72" s="41"/>
      <c r="M72" s="42" t="str">
        <f t="shared" si="18"/>
        <v xml:space="preserve">Elevadores Schindler, S.A. de C.V.  </v>
      </c>
      <c r="N72" s="991" t="s">
        <v>198</v>
      </c>
      <c r="O72" s="991" t="s">
        <v>198</v>
      </c>
      <c r="P72" s="991" t="s">
        <v>2541</v>
      </c>
      <c r="Q72" s="992">
        <v>938813.43999999994</v>
      </c>
      <c r="R72" s="44">
        <f t="shared" si="19"/>
        <v>150210.15039999998</v>
      </c>
      <c r="S72" s="45">
        <f t="shared" si="16"/>
        <v>1089023.5903999999</v>
      </c>
      <c r="T72" s="46">
        <v>312937.81</v>
      </c>
      <c r="U72" s="47">
        <f t="shared" si="20"/>
        <v>363007.85959999997</v>
      </c>
      <c r="V72" s="44">
        <f t="shared" si="17"/>
        <v>1089023.5903999999</v>
      </c>
      <c r="W72" s="993" t="s">
        <v>156</v>
      </c>
      <c r="X72" s="48">
        <v>43951</v>
      </c>
      <c r="Y72" s="39" t="s">
        <v>559</v>
      </c>
      <c r="Z72" s="48">
        <v>43953</v>
      </c>
      <c r="AA72" s="48">
        <v>44043</v>
      </c>
      <c r="AB72" s="38" t="s">
        <v>2076</v>
      </c>
      <c r="AC72" s="38"/>
      <c r="AD72" s="59">
        <v>43963</v>
      </c>
      <c r="AE72" s="59">
        <v>44008</v>
      </c>
      <c r="AF72" s="59" t="s">
        <v>161</v>
      </c>
      <c r="AG72" s="59" t="s">
        <v>161</v>
      </c>
      <c r="AH72" s="39" t="s">
        <v>183</v>
      </c>
      <c r="AI72" s="38"/>
      <c r="AJ72" s="38"/>
      <c r="AK72" s="50"/>
      <c r="AL72" s="44"/>
      <c r="AM72" s="39" t="str">
        <f t="shared" ca="1" si="21"/>
        <v>MUERTO</v>
      </c>
      <c r="AN72" s="39"/>
      <c r="AO72" s="39" t="s">
        <v>183</v>
      </c>
      <c r="AP72" s="39" t="s">
        <v>559</v>
      </c>
      <c r="AQ72" s="39"/>
      <c r="AR72" s="39" t="s">
        <v>559</v>
      </c>
      <c r="AS72" s="39"/>
      <c r="AT72" s="39"/>
      <c r="AU72" s="51"/>
      <c r="AV72" s="50"/>
      <c r="AW72" s="38"/>
      <c r="AX72" s="52"/>
      <c r="AY72" s="173"/>
      <c r="AZ72" s="38"/>
      <c r="BA72" s="38" t="e">
        <f>VLOOKUP(I72,#REF!,2,0)</f>
        <v>#REF!</v>
      </c>
      <c r="BB72" s="71"/>
      <c r="BC72" s="59"/>
      <c r="BD72" s="39"/>
      <c r="BE72" s="39"/>
      <c r="BF72" s="39"/>
      <c r="BG72" s="39"/>
      <c r="BH72" s="59"/>
      <c r="BI72" s="59"/>
      <c r="BJ72" s="59"/>
      <c r="BK72" s="59"/>
      <c r="BL72" s="59"/>
      <c r="BM72" s="59"/>
      <c r="BN72" s="59"/>
      <c r="BO72" s="59"/>
      <c r="BP72" s="59"/>
      <c r="BQ72" s="62"/>
      <c r="BR72" s="6"/>
      <c r="BS72" s="70"/>
      <c r="BT72" s="62" t="s">
        <v>2542</v>
      </c>
      <c r="BU72" s="84"/>
      <c r="BV72" s="84"/>
      <c r="BW72" s="84"/>
      <c r="BX72" s="84"/>
      <c r="BY72" s="84"/>
    </row>
    <row r="73" spans="1:77" ht="90" x14ac:dyDescent="0.25">
      <c r="A73" s="38" t="s">
        <v>2543</v>
      </c>
      <c r="B73" s="39">
        <v>68</v>
      </c>
      <c r="C73" s="38" t="s">
        <v>149</v>
      </c>
      <c r="D73" s="40" t="s">
        <v>1177</v>
      </c>
      <c r="E73" s="567" t="s">
        <v>163</v>
      </c>
      <c r="F73" s="39" t="s">
        <v>561</v>
      </c>
      <c r="G73" s="567" t="s">
        <v>163</v>
      </c>
      <c r="H73" s="567" t="s">
        <v>163</v>
      </c>
      <c r="I73" s="41" t="s">
        <v>2544</v>
      </c>
      <c r="J73" s="41"/>
      <c r="K73" s="41"/>
      <c r="L73" s="41"/>
      <c r="M73" s="42" t="str">
        <f t="shared" si="18"/>
        <v xml:space="preserve">Howfa, S.A. de C.V.  </v>
      </c>
      <c r="N73" s="991" t="s">
        <v>198</v>
      </c>
      <c r="O73" s="991" t="s">
        <v>198</v>
      </c>
      <c r="P73" s="991" t="s">
        <v>2545</v>
      </c>
      <c r="Q73" s="992">
        <v>2975000</v>
      </c>
      <c r="R73" s="44">
        <f t="shared" si="19"/>
        <v>476000</v>
      </c>
      <c r="S73" s="45">
        <f t="shared" si="16"/>
        <v>3451000</v>
      </c>
      <c r="T73" s="46">
        <v>1190000</v>
      </c>
      <c r="U73" s="47">
        <f t="shared" si="20"/>
        <v>1380400</v>
      </c>
      <c r="V73" s="44">
        <f t="shared" si="17"/>
        <v>3451000</v>
      </c>
      <c r="W73" s="993" t="s">
        <v>156</v>
      </c>
      <c r="X73" s="48">
        <v>43957</v>
      </c>
      <c r="Y73" s="39" t="s">
        <v>559</v>
      </c>
      <c r="Z73" s="48">
        <v>43957</v>
      </c>
      <c r="AA73" s="48">
        <v>43967</v>
      </c>
      <c r="AB73" s="38" t="s">
        <v>2546</v>
      </c>
      <c r="AC73" s="38"/>
      <c r="AD73" s="59" t="s">
        <v>2547</v>
      </c>
      <c r="AE73" s="59">
        <v>43959</v>
      </c>
      <c r="AF73" s="59" t="s">
        <v>161</v>
      </c>
      <c r="AG73" s="59" t="s">
        <v>161</v>
      </c>
      <c r="AH73" s="39" t="s">
        <v>183</v>
      </c>
      <c r="AI73" s="38"/>
      <c r="AJ73" s="38"/>
      <c r="AK73" s="50"/>
      <c r="AL73" s="44"/>
      <c r="AM73" s="39" t="str">
        <f t="shared" ca="1" si="21"/>
        <v>MUERTO</v>
      </c>
      <c r="AN73" s="39"/>
      <c r="AO73" s="39" t="s">
        <v>156</v>
      </c>
      <c r="AP73" s="39" t="s">
        <v>559</v>
      </c>
      <c r="AQ73" s="39"/>
      <c r="AR73" s="39" t="s">
        <v>559</v>
      </c>
      <c r="AS73" s="39"/>
      <c r="AT73" s="39"/>
      <c r="AU73" s="51"/>
      <c r="AV73" s="50"/>
      <c r="AW73" s="38"/>
      <c r="AX73" s="52"/>
      <c r="AY73" s="173"/>
      <c r="AZ73" s="38"/>
      <c r="BA73" s="38" t="e">
        <f>VLOOKUP(I73,#REF!,2,0)</f>
        <v>#REF!</v>
      </c>
      <c r="BB73" s="71"/>
      <c r="BC73" s="59"/>
      <c r="BD73" s="39"/>
      <c r="BE73" s="39"/>
      <c r="BF73" s="39"/>
      <c r="BG73" s="39"/>
      <c r="BH73" s="59"/>
      <c r="BI73" s="59"/>
      <c r="BJ73" s="59"/>
      <c r="BK73" s="59"/>
      <c r="BL73" s="59"/>
      <c r="BM73" s="59"/>
      <c r="BN73" s="59"/>
      <c r="BO73" s="59"/>
      <c r="BP73" s="59"/>
      <c r="BQ73" s="62"/>
      <c r="BR73" s="6"/>
      <c r="BS73" s="70"/>
      <c r="BT73" s="62" t="s">
        <v>2539</v>
      </c>
      <c r="BU73" s="84"/>
      <c r="BV73" s="84"/>
      <c r="BW73" s="84"/>
      <c r="BX73" s="84"/>
      <c r="BY73" s="84"/>
    </row>
    <row r="74" spans="1:77" ht="75" x14ac:dyDescent="0.25">
      <c r="A74" s="38" t="s">
        <v>2548</v>
      </c>
      <c r="B74" s="39">
        <v>69</v>
      </c>
      <c r="C74" s="38" t="s">
        <v>225</v>
      </c>
      <c r="D74" s="40" t="s">
        <v>1177</v>
      </c>
      <c r="E74" s="567" t="s">
        <v>163</v>
      </c>
      <c r="F74" s="39" t="s">
        <v>561</v>
      </c>
      <c r="G74" s="567" t="s">
        <v>163</v>
      </c>
      <c r="H74" s="567" t="s">
        <v>163</v>
      </c>
      <c r="I74" s="41" t="s">
        <v>1547</v>
      </c>
      <c r="J74" s="41"/>
      <c r="K74" s="41"/>
      <c r="L74" s="41"/>
      <c r="M74" s="42" t="str">
        <f t="shared" si="18"/>
        <v xml:space="preserve">Amarello Tecnologías de Información, S.A. de C.V.  </v>
      </c>
      <c r="N74" s="991" t="s">
        <v>656</v>
      </c>
      <c r="O74" s="991" t="s">
        <v>1548</v>
      </c>
      <c r="P74" s="991" t="s">
        <v>2549</v>
      </c>
      <c r="Q74" s="992">
        <v>750000</v>
      </c>
      <c r="R74" s="44">
        <f t="shared" si="19"/>
        <v>120000</v>
      </c>
      <c r="S74" s="45">
        <f t="shared" si="16"/>
        <v>870000</v>
      </c>
      <c r="T74" s="46">
        <v>0</v>
      </c>
      <c r="U74" s="47">
        <f t="shared" si="20"/>
        <v>0</v>
      </c>
      <c r="V74" s="44">
        <f t="shared" si="17"/>
        <v>870000</v>
      </c>
      <c r="W74" s="993" t="s">
        <v>156</v>
      </c>
      <c r="X74" s="48">
        <v>43966</v>
      </c>
      <c r="Y74" s="39" t="s">
        <v>559</v>
      </c>
      <c r="Z74" s="48">
        <v>43969</v>
      </c>
      <c r="AA74" s="48">
        <v>44333</v>
      </c>
      <c r="AB74" s="38" t="s">
        <v>182</v>
      </c>
      <c r="AC74" s="38"/>
      <c r="AD74" s="59">
        <v>43979</v>
      </c>
      <c r="AE74" s="59" t="s">
        <v>161</v>
      </c>
      <c r="AF74" s="59" t="s">
        <v>161</v>
      </c>
      <c r="AG74" s="59" t="s">
        <v>161</v>
      </c>
      <c r="AH74" s="39" t="s">
        <v>183</v>
      </c>
      <c r="AI74" s="38"/>
      <c r="AJ74" s="38"/>
      <c r="AK74" s="50"/>
      <c r="AL74" s="44"/>
      <c r="AM74" s="39" t="str">
        <f t="shared" ca="1" si="21"/>
        <v>MUERTO</v>
      </c>
      <c r="AN74" s="39"/>
      <c r="AO74" s="39" t="s">
        <v>183</v>
      </c>
      <c r="AP74" s="39" t="s">
        <v>559</v>
      </c>
      <c r="AQ74" s="39"/>
      <c r="AR74" s="39" t="s">
        <v>559</v>
      </c>
      <c r="AS74" s="39"/>
      <c r="AT74" s="39"/>
      <c r="AU74" s="51"/>
      <c r="AV74" s="50"/>
      <c r="AW74" s="38"/>
      <c r="AX74" s="52"/>
      <c r="AY74" s="173"/>
      <c r="AZ74" s="38"/>
      <c r="BA74" s="38" t="e">
        <f>VLOOKUP(I74,#REF!,2,0)</f>
        <v>#REF!</v>
      </c>
      <c r="BB74" s="71"/>
      <c r="BC74" s="59"/>
      <c r="BD74" s="39"/>
      <c r="BE74" s="39"/>
      <c r="BF74" s="39"/>
      <c r="BG74" s="39"/>
      <c r="BH74" s="59"/>
      <c r="BI74" s="59"/>
      <c r="BJ74" s="59"/>
      <c r="BK74" s="59"/>
      <c r="BL74" s="59"/>
      <c r="BM74" s="59"/>
      <c r="BN74" s="59"/>
      <c r="BO74" s="59"/>
      <c r="BP74" s="59"/>
      <c r="BQ74" s="62"/>
      <c r="BR74" s="6"/>
      <c r="BS74" s="70"/>
      <c r="BT74" s="62" t="s">
        <v>2550</v>
      </c>
      <c r="BU74" s="84"/>
      <c r="BV74" s="84"/>
      <c r="BW74" s="84"/>
      <c r="BX74" s="84"/>
      <c r="BY74" s="84"/>
    </row>
    <row r="75" spans="1:77" ht="105" x14ac:dyDescent="0.25">
      <c r="A75" s="38" t="s">
        <v>2551</v>
      </c>
      <c r="B75" s="39">
        <v>70</v>
      </c>
      <c r="C75" s="38" t="s">
        <v>149</v>
      </c>
      <c r="D75" s="40" t="s">
        <v>1177</v>
      </c>
      <c r="E75" s="567" t="s">
        <v>163</v>
      </c>
      <c r="F75" s="39" t="s">
        <v>561</v>
      </c>
      <c r="G75" s="567" t="s">
        <v>163</v>
      </c>
      <c r="H75" s="567" t="s">
        <v>163</v>
      </c>
      <c r="I75" s="41" t="s">
        <v>1008</v>
      </c>
      <c r="J75" s="41"/>
      <c r="K75" s="41"/>
      <c r="L75" s="41"/>
      <c r="M75" s="42" t="str">
        <f t="shared" si="18"/>
        <v xml:space="preserve">Dhimex Ciudad de México, S.A. de C.V.  </v>
      </c>
      <c r="N75" s="991" t="s">
        <v>315</v>
      </c>
      <c r="O75" s="991" t="s">
        <v>315</v>
      </c>
      <c r="P75" s="991" t="s">
        <v>2552</v>
      </c>
      <c r="Q75" s="992">
        <v>1216298.97</v>
      </c>
      <c r="R75" s="44">
        <f t="shared" si="19"/>
        <v>194607.8352</v>
      </c>
      <c r="S75" s="45">
        <f t="shared" si="16"/>
        <v>1410906.8052000001</v>
      </c>
      <c r="T75" s="46">
        <v>0</v>
      </c>
      <c r="U75" s="47">
        <f t="shared" si="20"/>
        <v>0</v>
      </c>
      <c r="V75" s="44">
        <f t="shared" si="17"/>
        <v>1561587.1152000001</v>
      </c>
      <c r="W75" s="993" t="s">
        <v>156</v>
      </c>
      <c r="X75" s="48">
        <v>43985</v>
      </c>
      <c r="Y75" s="39" t="s">
        <v>496</v>
      </c>
      <c r="Z75" s="48">
        <v>43985</v>
      </c>
      <c r="AA75" s="48">
        <v>44073</v>
      </c>
      <c r="AB75" s="38" t="s">
        <v>2033</v>
      </c>
      <c r="AC75" s="38"/>
      <c r="AD75" s="59">
        <v>43992</v>
      </c>
      <c r="AE75" s="59">
        <v>43992</v>
      </c>
      <c r="AF75" s="59" t="s">
        <v>161</v>
      </c>
      <c r="AG75" s="59" t="s">
        <v>161</v>
      </c>
      <c r="AH75" s="39" t="s">
        <v>183</v>
      </c>
      <c r="AI75" s="38" t="s">
        <v>2553</v>
      </c>
      <c r="AJ75" s="38" t="s">
        <v>2554</v>
      </c>
      <c r="AK75" s="50">
        <v>44046</v>
      </c>
      <c r="AL75" s="44">
        <v>150680.31</v>
      </c>
      <c r="AM75" s="39" t="str">
        <f t="shared" ca="1" si="21"/>
        <v>MUERTO</v>
      </c>
      <c r="AN75" s="39">
        <v>35701</v>
      </c>
      <c r="AO75" s="39" t="s">
        <v>156</v>
      </c>
      <c r="AP75" s="39" t="s">
        <v>496</v>
      </c>
      <c r="AQ75" s="39"/>
      <c r="AR75" s="39" t="s">
        <v>496</v>
      </c>
      <c r="AS75" s="39"/>
      <c r="AT75" s="39"/>
      <c r="AU75" s="51"/>
      <c r="AV75" s="50"/>
      <c r="AW75" s="38"/>
      <c r="AX75" s="52"/>
      <c r="AY75" s="173"/>
      <c r="AZ75" s="38"/>
      <c r="BA75" s="38" t="e">
        <f>VLOOKUP(I75,#REF!,2,0)</f>
        <v>#REF!</v>
      </c>
      <c r="BB75" s="71"/>
      <c r="BC75" s="59"/>
      <c r="BD75" s="39"/>
      <c r="BE75" s="39"/>
      <c r="BF75" s="39"/>
      <c r="BG75" s="39"/>
      <c r="BH75" s="59"/>
      <c r="BI75" s="59"/>
      <c r="BJ75" s="59"/>
      <c r="BK75" s="59"/>
      <c r="BL75" s="59"/>
      <c r="BM75" s="59"/>
      <c r="BN75" s="59"/>
      <c r="BO75" s="59"/>
      <c r="BP75" s="59"/>
      <c r="BQ75" s="62"/>
      <c r="BR75" s="6"/>
      <c r="BS75" s="70"/>
      <c r="BT75" s="62" t="s">
        <v>2550</v>
      </c>
      <c r="BU75" s="84"/>
      <c r="BV75" s="84"/>
      <c r="BW75" s="84"/>
      <c r="BX75" s="84"/>
      <c r="BY75" s="84"/>
    </row>
    <row r="76" spans="1:77" ht="195" x14ac:dyDescent="0.25">
      <c r="A76" s="38" t="s">
        <v>2555</v>
      </c>
      <c r="B76" s="39">
        <v>71</v>
      </c>
      <c r="C76" s="38" t="s">
        <v>149</v>
      </c>
      <c r="D76" s="40" t="s">
        <v>1177</v>
      </c>
      <c r="E76" s="567" t="s">
        <v>163</v>
      </c>
      <c r="F76" s="39" t="s">
        <v>561</v>
      </c>
      <c r="G76" s="567" t="s">
        <v>163</v>
      </c>
      <c r="H76" s="567" t="s">
        <v>163</v>
      </c>
      <c r="I76" s="41" t="s">
        <v>1619</v>
      </c>
      <c r="J76" s="41"/>
      <c r="K76" s="41"/>
      <c r="L76" s="41"/>
      <c r="M76" s="42" t="str">
        <f t="shared" si="18"/>
        <v xml:space="preserve">Sr &amp; Friends, S.A. de C.V.  </v>
      </c>
      <c r="N76" s="991" t="s">
        <v>179</v>
      </c>
      <c r="O76" s="991" t="s">
        <v>179</v>
      </c>
      <c r="P76" s="991" t="s">
        <v>2556</v>
      </c>
      <c r="Q76" s="992">
        <v>681382.66</v>
      </c>
      <c r="R76" s="44">
        <f t="shared" si="19"/>
        <v>109021.22560000001</v>
      </c>
      <c r="S76" s="45">
        <f t="shared" si="16"/>
        <v>790403.88560000004</v>
      </c>
      <c r="T76" s="46">
        <v>0</v>
      </c>
      <c r="U76" s="47">
        <f t="shared" si="20"/>
        <v>0</v>
      </c>
      <c r="V76" s="44">
        <f t="shared" si="17"/>
        <v>988004.85120000003</v>
      </c>
      <c r="W76" s="993" t="s">
        <v>156</v>
      </c>
      <c r="X76" s="48">
        <v>43997</v>
      </c>
      <c r="Y76" s="39" t="s">
        <v>696</v>
      </c>
      <c r="Z76" s="48">
        <v>44013</v>
      </c>
      <c r="AA76" s="48" t="s">
        <v>2557</v>
      </c>
      <c r="AB76" s="38" t="s">
        <v>182</v>
      </c>
      <c r="AC76" s="38" t="s">
        <v>2370</v>
      </c>
      <c r="AD76" s="59" t="s">
        <v>2558</v>
      </c>
      <c r="AE76" s="59" t="s">
        <v>161</v>
      </c>
      <c r="AF76" s="59" t="s">
        <v>161</v>
      </c>
      <c r="AG76" s="59" t="s">
        <v>161</v>
      </c>
      <c r="AH76" s="39" t="s">
        <v>183</v>
      </c>
      <c r="AI76" s="100" t="s">
        <v>2559</v>
      </c>
      <c r="AJ76" s="100" t="s">
        <v>2560</v>
      </c>
      <c r="AK76" s="101">
        <v>44196</v>
      </c>
      <c r="AL76" s="102">
        <f>170345.66*1.16</f>
        <v>197600.9656</v>
      </c>
      <c r="AM76" s="39" t="str">
        <f t="shared" ca="1" si="21"/>
        <v>VIGENTE</v>
      </c>
      <c r="AN76" s="39"/>
      <c r="AO76" s="39" t="s">
        <v>183</v>
      </c>
      <c r="AP76" s="39" t="s">
        <v>696</v>
      </c>
      <c r="AQ76" s="39"/>
      <c r="AR76" s="39" t="s">
        <v>696</v>
      </c>
      <c r="AS76" s="39"/>
      <c r="AT76" s="39"/>
      <c r="AU76" s="51"/>
      <c r="AV76" s="50"/>
      <c r="AW76" s="38"/>
      <c r="AX76" s="52"/>
      <c r="AY76" s="173"/>
      <c r="AZ76" s="38"/>
      <c r="BA76" s="38" t="e">
        <f>VLOOKUP(I76,#REF!,2,0)</f>
        <v>#REF!</v>
      </c>
      <c r="BB76" s="71"/>
      <c r="BC76" s="59"/>
      <c r="BD76" s="39"/>
      <c r="BE76" s="39"/>
      <c r="BF76" s="39"/>
      <c r="BG76" s="39"/>
      <c r="BH76" s="59"/>
      <c r="BI76" s="59"/>
      <c r="BJ76" s="59"/>
      <c r="BK76" s="59"/>
      <c r="BL76" s="59"/>
      <c r="BM76" s="59"/>
      <c r="BN76" s="59"/>
      <c r="BO76" s="59"/>
      <c r="BP76" s="59"/>
      <c r="BQ76" s="62"/>
      <c r="BR76" s="6"/>
      <c r="BS76" s="70"/>
      <c r="BT76" s="59" t="s">
        <v>2561</v>
      </c>
      <c r="BU76" s="84"/>
      <c r="BV76" s="84"/>
      <c r="BW76" s="84"/>
      <c r="BX76" s="84"/>
      <c r="BY76" s="84"/>
    </row>
    <row r="77" spans="1:77" ht="60" x14ac:dyDescent="0.25">
      <c r="A77" s="38" t="s">
        <v>2562</v>
      </c>
      <c r="B77" s="39">
        <v>72</v>
      </c>
      <c r="C77" s="38" t="s">
        <v>149</v>
      </c>
      <c r="D77" s="40" t="s">
        <v>1177</v>
      </c>
      <c r="E77" s="567" t="s">
        <v>163</v>
      </c>
      <c r="F77" s="39" t="s">
        <v>553</v>
      </c>
      <c r="G77" s="567" t="s">
        <v>163</v>
      </c>
      <c r="H77" s="567" t="s">
        <v>163</v>
      </c>
      <c r="I77" s="41" t="s">
        <v>400</v>
      </c>
      <c r="J77" s="41"/>
      <c r="K77" s="41"/>
      <c r="L77" s="41"/>
      <c r="M77" s="42" t="str">
        <f t="shared" si="18"/>
        <v xml:space="preserve">ATML, S.A. de C.V.  </v>
      </c>
      <c r="N77" s="991" t="s">
        <v>656</v>
      </c>
      <c r="O77" s="991" t="s">
        <v>209</v>
      </c>
      <c r="P77" s="991" t="s">
        <v>2563</v>
      </c>
      <c r="Q77" s="992">
        <v>4947414.43</v>
      </c>
      <c r="R77" s="44">
        <f t="shared" si="19"/>
        <v>791586.3088</v>
      </c>
      <c r="S77" s="45">
        <f t="shared" si="16"/>
        <v>5739000.7387999995</v>
      </c>
      <c r="T77" s="46">
        <v>0</v>
      </c>
      <c r="U77" s="47">
        <f t="shared" si="20"/>
        <v>0</v>
      </c>
      <c r="V77" s="44">
        <f t="shared" si="17"/>
        <v>5739000.7387999995</v>
      </c>
      <c r="W77" s="993" t="s">
        <v>156</v>
      </c>
      <c r="X77" s="48">
        <v>43992</v>
      </c>
      <c r="Y77" s="39" t="s">
        <v>496</v>
      </c>
      <c r="Z77" s="48">
        <v>44006</v>
      </c>
      <c r="AA77" s="48">
        <v>44370</v>
      </c>
      <c r="AB77" s="38" t="s">
        <v>182</v>
      </c>
      <c r="AC77" s="38"/>
      <c r="AD77" s="59">
        <v>44004</v>
      </c>
      <c r="AE77" s="59" t="s">
        <v>161</v>
      </c>
      <c r="AF77" s="59" t="s">
        <v>161</v>
      </c>
      <c r="AG77" s="59" t="s">
        <v>161</v>
      </c>
      <c r="AH77" s="39" t="s">
        <v>183</v>
      </c>
      <c r="AI77" s="38"/>
      <c r="AJ77" s="38"/>
      <c r="AK77" s="50"/>
      <c r="AL77" s="44"/>
      <c r="AM77" s="39" t="str">
        <f t="shared" ca="1" si="21"/>
        <v>MUERTO</v>
      </c>
      <c r="AN77" s="39">
        <v>33604</v>
      </c>
      <c r="AO77" s="39" t="s">
        <v>183</v>
      </c>
      <c r="AP77" s="39" t="s">
        <v>496</v>
      </c>
      <c r="AQ77" s="39"/>
      <c r="AR77" s="39" t="s">
        <v>496</v>
      </c>
      <c r="AS77" s="39"/>
      <c r="AT77" s="39"/>
      <c r="AU77" s="51"/>
      <c r="AV77" s="50"/>
      <c r="AW77" s="38"/>
      <c r="AX77" s="52"/>
      <c r="AY77" s="173"/>
      <c r="AZ77" s="38"/>
      <c r="BA77" s="38" t="e">
        <f>VLOOKUP(I77,#REF!,2,0)</f>
        <v>#REF!</v>
      </c>
      <c r="BB77" s="71"/>
      <c r="BC77" s="59"/>
      <c r="BD77" s="39"/>
      <c r="BE77" s="39"/>
      <c r="BF77" s="39"/>
      <c r="BG77" s="39"/>
      <c r="BH77" s="59"/>
      <c r="BI77" s="59"/>
      <c r="BJ77" s="59"/>
      <c r="BK77" s="59"/>
      <c r="BL77" s="59"/>
      <c r="BM77" s="59"/>
      <c r="BN77" s="59"/>
      <c r="BO77" s="59"/>
      <c r="BP77" s="59"/>
      <c r="BQ77" s="62"/>
      <c r="BR77" s="6"/>
      <c r="BS77" s="70"/>
      <c r="BT77" s="62" t="s">
        <v>2550</v>
      </c>
      <c r="BU77" s="84"/>
      <c r="BV77" s="84"/>
      <c r="BW77" s="84"/>
      <c r="BX77" s="84"/>
      <c r="BY77" s="84"/>
    </row>
    <row r="78" spans="1:77" ht="63.75" x14ac:dyDescent="0.25">
      <c r="A78" s="38" t="s">
        <v>2564</v>
      </c>
      <c r="B78" s="39">
        <v>73</v>
      </c>
      <c r="C78" s="38" t="s">
        <v>225</v>
      </c>
      <c r="D78" s="40" t="s">
        <v>2565</v>
      </c>
      <c r="E78" s="567" t="s">
        <v>163</v>
      </c>
      <c r="F78" s="39" t="s">
        <v>188</v>
      </c>
      <c r="G78" s="567" t="s">
        <v>427</v>
      </c>
      <c r="H78" s="567" t="s">
        <v>163</v>
      </c>
      <c r="I78" s="41" t="s">
        <v>2442</v>
      </c>
      <c r="J78" s="41"/>
      <c r="K78" s="41"/>
      <c r="L78" s="41"/>
      <c r="M78" s="42" t="str">
        <f t="shared" si="18"/>
        <v xml:space="preserve">Mipra, S.A. de C.V.  </v>
      </c>
      <c r="N78" s="991" t="s">
        <v>198</v>
      </c>
      <c r="O78" s="991" t="s">
        <v>198</v>
      </c>
      <c r="P78" s="991" t="s">
        <v>2566</v>
      </c>
      <c r="Q78" s="992">
        <v>2922500</v>
      </c>
      <c r="R78" s="44">
        <f t="shared" si="19"/>
        <v>467600</v>
      </c>
      <c r="S78" s="45">
        <f>Q78+R78</f>
        <v>3390100</v>
      </c>
      <c r="T78" s="46">
        <v>0</v>
      </c>
      <c r="U78" s="47">
        <f t="shared" si="20"/>
        <v>0</v>
      </c>
      <c r="V78" s="44">
        <f t="shared" si="17"/>
        <v>3390100</v>
      </c>
      <c r="W78" s="993" t="s">
        <v>156</v>
      </c>
      <c r="X78" s="48">
        <v>43994</v>
      </c>
      <c r="Y78" s="39" t="s">
        <v>496</v>
      </c>
      <c r="Z78" s="48">
        <v>43997</v>
      </c>
      <c r="AA78" s="48">
        <v>44007</v>
      </c>
      <c r="AB78" s="38" t="s">
        <v>2050</v>
      </c>
      <c r="AC78" s="38"/>
      <c r="AD78" s="59" t="s">
        <v>161</v>
      </c>
      <c r="AE78" s="59" t="s">
        <v>161</v>
      </c>
      <c r="AF78" s="59" t="s">
        <v>161</v>
      </c>
      <c r="AG78" s="59" t="s">
        <v>161</v>
      </c>
      <c r="AH78" s="39" t="s">
        <v>183</v>
      </c>
      <c r="AI78" s="38"/>
      <c r="AJ78" s="38"/>
      <c r="AK78" s="50"/>
      <c r="AL78" s="44"/>
      <c r="AM78" s="39" t="str">
        <f t="shared" ca="1" si="21"/>
        <v>MUERTO</v>
      </c>
      <c r="AN78" s="39">
        <v>25401</v>
      </c>
      <c r="AO78" s="39" t="s">
        <v>156</v>
      </c>
      <c r="AP78" s="39" t="s">
        <v>496</v>
      </c>
      <c r="AQ78" s="39"/>
      <c r="AR78" s="39" t="s">
        <v>496</v>
      </c>
      <c r="AS78" s="39"/>
      <c r="AT78" s="39"/>
      <c r="AU78" s="51"/>
      <c r="AV78" s="50"/>
      <c r="AW78" s="38"/>
      <c r="AX78" s="52"/>
      <c r="AY78" s="173"/>
      <c r="AZ78" s="38"/>
      <c r="BA78" s="38" t="e">
        <f>VLOOKUP(I78,#REF!,2,0)</f>
        <v>#REF!</v>
      </c>
      <c r="BB78" s="71"/>
      <c r="BC78" s="59"/>
      <c r="BD78" s="39"/>
      <c r="BE78" s="39"/>
      <c r="BF78" s="39"/>
      <c r="BG78" s="39"/>
      <c r="BH78" s="59"/>
      <c r="BI78" s="59"/>
      <c r="BJ78" s="59"/>
      <c r="BK78" s="59"/>
      <c r="BL78" s="59"/>
      <c r="BM78" s="59"/>
      <c r="BN78" s="59"/>
      <c r="BO78" s="59"/>
      <c r="BP78" s="59"/>
      <c r="BQ78" s="62"/>
      <c r="BR78" s="6"/>
      <c r="BS78" s="70"/>
      <c r="BT78" s="62" t="s">
        <v>2550</v>
      </c>
      <c r="BU78" s="84"/>
      <c r="BV78" s="84"/>
      <c r="BW78" s="84"/>
      <c r="BX78" s="84"/>
      <c r="BY78" s="84"/>
    </row>
    <row r="79" spans="1:77" ht="90" x14ac:dyDescent="0.25">
      <c r="A79" s="38" t="s">
        <v>2567</v>
      </c>
      <c r="B79" s="39">
        <v>74</v>
      </c>
      <c r="C79" s="38" t="s">
        <v>225</v>
      </c>
      <c r="D79" s="40" t="s">
        <v>1177</v>
      </c>
      <c r="E79" s="567" t="s">
        <v>163</v>
      </c>
      <c r="F79" s="39" t="s">
        <v>561</v>
      </c>
      <c r="G79" s="567" t="s">
        <v>163</v>
      </c>
      <c r="H79" s="567" t="s">
        <v>163</v>
      </c>
      <c r="I79" s="41" t="s">
        <v>2568</v>
      </c>
      <c r="J79" s="41"/>
      <c r="K79" s="41"/>
      <c r="L79" s="41"/>
      <c r="M79" s="42" t="str">
        <f t="shared" si="18"/>
        <v xml:space="preserve">Impulsora de Artículos y Servicios Mexicanos, S.A. de C.V.  </v>
      </c>
      <c r="N79" s="991" t="s">
        <v>198</v>
      </c>
      <c r="O79" s="991" t="s">
        <v>198</v>
      </c>
      <c r="P79" s="991" t="s">
        <v>2569</v>
      </c>
      <c r="Q79" s="992">
        <v>2140100</v>
      </c>
      <c r="R79" s="44">
        <f t="shared" si="19"/>
        <v>342416</v>
      </c>
      <c r="S79" s="45">
        <f>Q79+R79</f>
        <v>2482516</v>
      </c>
      <c r="T79" s="46">
        <v>0</v>
      </c>
      <c r="U79" s="47">
        <f t="shared" si="20"/>
        <v>0</v>
      </c>
      <c r="V79" s="44">
        <f t="shared" si="17"/>
        <v>2482516</v>
      </c>
      <c r="W79" s="993"/>
      <c r="X79" s="48">
        <v>44005</v>
      </c>
      <c r="Y79" s="39" t="s">
        <v>496</v>
      </c>
      <c r="Z79" s="48">
        <v>44005</v>
      </c>
      <c r="AA79" s="48">
        <v>44014</v>
      </c>
      <c r="AB79" s="38" t="s">
        <v>2570</v>
      </c>
      <c r="AC79" s="38"/>
      <c r="AD79" s="59" t="s">
        <v>161</v>
      </c>
      <c r="AE79" s="59">
        <v>44018</v>
      </c>
      <c r="AF79" s="59" t="s">
        <v>161</v>
      </c>
      <c r="AG79" s="59" t="s">
        <v>161</v>
      </c>
      <c r="AH79" s="39" t="s">
        <v>183</v>
      </c>
      <c r="AI79" s="38"/>
      <c r="AJ79" s="38"/>
      <c r="AK79" s="50"/>
      <c r="AL79" s="44"/>
      <c r="AM79" s="39" t="str">
        <f t="shared" ca="1" si="21"/>
        <v>MUERTO</v>
      </c>
      <c r="AN79" s="39">
        <v>29301</v>
      </c>
      <c r="AO79" s="39" t="s">
        <v>156</v>
      </c>
      <c r="AP79" s="39" t="s">
        <v>496</v>
      </c>
      <c r="AQ79" s="39"/>
      <c r="AR79" s="39" t="s">
        <v>496</v>
      </c>
      <c r="AS79" s="39"/>
      <c r="AT79" s="39"/>
      <c r="AU79" s="51"/>
      <c r="AV79" s="50"/>
      <c r="AW79" s="38"/>
      <c r="AX79" s="52"/>
      <c r="AY79" s="173"/>
      <c r="AZ79" s="38"/>
      <c r="BA79" s="38" t="e">
        <f>VLOOKUP(I79,#REF!,2,0)</f>
        <v>#REF!</v>
      </c>
      <c r="BB79" s="71"/>
      <c r="BC79" s="59"/>
      <c r="BD79" s="39"/>
      <c r="BE79" s="39"/>
      <c r="BF79" s="39"/>
      <c r="BG79" s="39"/>
      <c r="BH79" s="59"/>
      <c r="BI79" s="59"/>
      <c r="BJ79" s="59"/>
      <c r="BK79" s="59"/>
      <c r="BL79" s="59"/>
      <c r="BM79" s="59"/>
      <c r="BN79" s="59"/>
      <c r="BO79" s="59"/>
      <c r="BP79" s="59"/>
      <c r="BQ79" s="62"/>
      <c r="BR79" s="6"/>
      <c r="BS79" s="70"/>
      <c r="BT79" s="62" t="s">
        <v>2571</v>
      </c>
      <c r="BU79" s="84"/>
      <c r="BV79" s="84"/>
      <c r="BW79" s="84"/>
      <c r="BX79" s="84"/>
      <c r="BY79" s="84"/>
    </row>
    <row r="80" spans="1:77" ht="75" x14ac:dyDescent="0.25">
      <c r="A80" s="38" t="s">
        <v>2572</v>
      </c>
      <c r="B80" s="39">
        <v>75</v>
      </c>
      <c r="C80" s="38" t="s">
        <v>149</v>
      </c>
      <c r="D80" s="40" t="s">
        <v>1177</v>
      </c>
      <c r="E80" s="567" t="s">
        <v>163</v>
      </c>
      <c r="F80" s="39" t="s">
        <v>561</v>
      </c>
      <c r="G80" s="567" t="s">
        <v>163</v>
      </c>
      <c r="H80" s="567" t="s">
        <v>163</v>
      </c>
      <c r="I80" s="41" t="s">
        <v>1008</v>
      </c>
      <c r="J80" s="41"/>
      <c r="K80" s="41"/>
      <c r="L80" s="41"/>
      <c r="M80" s="42" t="str">
        <f t="shared" si="18"/>
        <v xml:space="preserve">Dhimex Ciudad de México, S.A. de C.V.  </v>
      </c>
      <c r="N80" s="991" t="s">
        <v>315</v>
      </c>
      <c r="O80" s="991" t="s">
        <v>315</v>
      </c>
      <c r="P80" s="991" t="s">
        <v>2521</v>
      </c>
      <c r="Q80" s="992">
        <v>1434773.22</v>
      </c>
      <c r="R80" s="44">
        <f t="shared" si="19"/>
        <v>229563.71520000001</v>
      </c>
      <c r="S80" s="45">
        <f>Q80+R80</f>
        <v>1664336.9351999999</v>
      </c>
      <c r="T80" s="46">
        <v>0</v>
      </c>
      <c r="U80" s="47">
        <f t="shared" si="20"/>
        <v>0</v>
      </c>
      <c r="V80" s="44">
        <f t="shared" si="17"/>
        <v>2080467.5748000001</v>
      </c>
      <c r="W80" s="993" t="s">
        <v>156</v>
      </c>
      <c r="X80" s="48">
        <v>44011</v>
      </c>
      <c r="Y80" s="39" t="s">
        <v>696</v>
      </c>
      <c r="Z80" s="48">
        <v>44013</v>
      </c>
      <c r="AA80" s="48" t="s">
        <v>2573</v>
      </c>
      <c r="AB80" s="38" t="s">
        <v>2033</v>
      </c>
      <c r="AC80" s="38"/>
      <c r="AD80" s="59">
        <v>44018</v>
      </c>
      <c r="AE80" s="59">
        <v>44021</v>
      </c>
      <c r="AF80" s="59" t="s">
        <v>161</v>
      </c>
      <c r="AG80" s="59" t="s">
        <v>161</v>
      </c>
      <c r="AH80" s="39" t="s">
        <v>183</v>
      </c>
      <c r="AI80" s="100" t="s">
        <v>2574</v>
      </c>
      <c r="AJ80" s="100" t="s">
        <v>2575</v>
      </c>
      <c r="AK80" s="101">
        <v>44182</v>
      </c>
      <c r="AL80" s="102">
        <v>416130.63960000005</v>
      </c>
      <c r="AM80" s="39" t="str">
        <f t="shared" ca="1" si="21"/>
        <v>VIGENTE</v>
      </c>
      <c r="AN80" s="39"/>
      <c r="AO80" s="39" t="s">
        <v>183</v>
      </c>
      <c r="AP80" s="39" t="s">
        <v>696</v>
      </c>
      <c r="AQ80" s="39"/>
      <c r="AR80" s="39" t="s">
        <v>696</v>
      </c>
      <c r="AS80" s="39"/>
      <c r="AT80" s="39"/>
      <c r="AU80" s="51"/>
      <c r="AV80" s="50"/>
      <c r="AW80" s="38"/>
      <c r="AX80" s="52"/>
      <c r="AY80" s="173"/>
      <c r="AZ80" s="38"/>
      <c r="BA80" s="38" t="e">
        <f>VLOOKUP(I80,#REF!,2,0)</f>
        <v>#REF!</v>
      </c>
      <c r="BB80" s="71"/>
      <c r="BC80" s="59"/>
      <c r="BD80" s="39"/>
      <c r="BE80" s="39"/>
      <c r="BF80" s="39"/>
      <c r="BG80" s="39"/>
      <c r="BH80" s="59"/>
      <c r="BI80" s="59"/>
      <c r="BJ80" s="59"/>
      <c r="BK80" s="59"/>
      <c r="BL80" s="59"/>
      <c r="BM80" s="59"/>
      <c r="BN80" s="59"/>
      <c r="BO80" s="59"/>
      <c r="BP80" s="59"/>
      <c r="BQ80" s="62"/>
      <c r="BR80" s="6"/>
      <c r="BS80" s="70"/>
      <c r="BT80" s="62" t="s">
        <v>2576</v>
      </c>
      <c r="BU80" s="84"/>
      <c r="BV80" s="84"/>
      <c r="BW80" s="84"/>
      <c r="BX80" s="84"/>
      <c r="BY80" s="84"/>
    </row>
    <row r="81" spans="1:77" ht="75" x14ac:dyDescent="0.25">
      <c r="A81" s="38" t="s">
        <v>2577</v>
      </c>
      <c r="B81" s="39">
        <v>76</v>
      </c>
      <c r="C81" s="38" t="s">
        <v>149</v>
      </c>
      <c r="D81" s="40" t="s">
        <v>2578</v>
      </c>
      <c r="E81" s="567" t="s">
        <v>163</v>
      </c>
      <c r="F81" s="39" t="s">
        <v>561</v>
      </c>
      <c r="G81" s="39" t="s">
        <v>427</v>
      </c>
      <c r="H81" s="567" t="s">
        <v>163</v>
      </c>
      <c r="I81" s="41" t="s">
        <v>2046</v>
      </c>
      <c r="J81" s="41"/>
      <c r="K81" s="41"/>
      <c r="L81" s="41"/>
      <c r="M81" s="42" t="str">
        <f t="shared" ref="M81:M108" si="22">I81&amp;J81&amp;" "&amp;K81&amp;" "&amp;L81</f>
        <v xml:space="preserve">Miguel Ángel Porrúa, S.A. de C.V.  </v>
      </c>
      <c r="N81" s="991" t="s">
        <v>2579</v>
      </c>
      <c r="O81" s="991" t="s">
        <v>2580</v>
      </c>
      <c r="P81" s="991" t="s">
        <v>2581</v>
      </c>
      <c r="Q81" s="992">
        <v>800390</v>
      </c>
      <c r="R81" s="44">
        <f t="shared" ref="R81:R106" si="23">Q81*0.16</f>
        <v>128062.40000000001</v>
      </c>
      <c r="S81" s="45">
        <f t="shared" ref="S81:S108" si="24">Q81+R81</f>
        <v>928452.4</v>
      </c>
      <c r="T81" s="46">
        <v>0</v>
      </c>
      <c r="U81" s="47">
        <f t="shared" ref="U81:U106" si="25">(T81*0.16)+(T81)</f>
        <v>0</v>
      </c>
      <c r="V81" s="44">
        <f t="shared" ref="V81:V108" si="26">S81+AL81</f>
        <v>928452.4</v>
      </c>
      <c r="W81" s="993" t="s">
        <v>156</v>
      </c>
      <c r="X81" s="48">
        <v>44042</v>
      </c>
      <c r="Y81" s="39" t="s">
        <v>2582</v>
      </c>
      <c r="Z81" s="48">
        <v>44046</v>
      </c>
      <c r="AA81" s="48">
        <v>44073</v>
      </c>
      <c r="AB81" s="38" t="s">
        <v>2050</v>
      </c>
      <c r="AC81" s="38"/>
      <c r="AD81" s="59" t="s">
        <v>161</v>
      </c>
      <c r="AE81" s="59" t="s">
        <v>161</v>
      </c>
      <c r="AF81" s="59" t="s">
        <v>161</v>
      </c>
      <c r="AG81" s="59" t="s">
        <v>161</v>
      </c>
      <c r="AH81" s="39" t="s">
        <v>183</v>
      </c>
      <c r="AI81" s="38" t="s">
        <v>2583</v>
      </c>
      <c r="AJ81" s="38" t="s">
        <v>2584</v>
      </c>
      <c r="AK81" s="50">
        <v>44050</v>
      </c>
      <c r="AL81" s="44">
        <v>0</v>
      </c>
      <c r="AM81" s="39" t="str">
        <f t="shared" ref="AM81:AM108" ca="1" si="27">IF(ISBLANK(AA81),"",IF(AA81&gt;=TODAY(),"VIGENTE","MUERTO"))</f>
        <v>MUERTO</v>
      </c>
      <c r="AN81" s="39"/>
      <c r="AO81" s="39"/>
      <c r="AP81" s="39"/>
      <c r="AQ81" s="39"/>
      <c r="AR81" s="39" t="s">
        <v>815</v>
      </c>
      <c r="AS81" s="39"/>
      <c r="AT81" s="39"/>
      <c r="AU81" s="51"/>
      <c r="AV81" s="50"/>
      <c r="AW81" s="38"/>
      <c r="AX81" s="52"/>
      <c r="AY81" s="173"/>
      <c r="AZ81" s="38"/>
      <c r="BA81" s="38" t="e">
        <f>VLOOKUP(I81,#REF!,2,0)</f>
        <v>#REF!</v>
      </c>
      <c r="BB81" s="71"/>
      <c r="BC81" s="59"/>
      <c r="BD81" s="39"/>
      <c r="BE81" s="39"/>
      <c r="BF81" s="39"/>
      <c r="BG81" s="39"/>
      <c r="BH81" s="59"/>
      <c r="BI81" s="59"/>
      <c r="BJ81" s="59"/>
      <c r="BK81" s="59"/>
      <c r="BL81" s="59"/>
      <c r="BM81" s="59"/>
      <c r="BN81" s="59"/>
      <c r="BO81" s="59"/>
      <c r="BP81" s="59"/>
      <c r="BQ81" s="62"/>
      <c r="BR81" s="6"/>
      <c r="BS81" s="70"/>
      <c r="BT81" s="62" t="s">
        <v>2318</v>
      </c>
      <c r="BU81" s="84"/>
      <c r="BV81" s="84"/>
      <c r="BW81" s="84"/>
      <c r="BX81" s="84"/>
      <c r="BY81" s="84"/>
    </row>
    <row r="82" spans="1:77" ht="150" x14ac:dyDescent="0.25">
      <c r="A82" s="38" t="s">
        <v>2585</v>
      </c>
      <c r="B82" s="39">
        <v>77</v>
      </c>
      <c r="C82" s="38" t="s">
        <v>149</v>
      </c>
      <c r="D82" s="40" t="s">
        <v>1177</v>
      </c>
      <c r="E82" s="567" t="s">
        <v>163</v>
      </c>
      <c r="F82" s="39" t="s">
        <v>561</v>
      </c>
      <c r="G82" s="567" t="s">
        <v>163</v>
      </c>
      <c r="H82" s="567" t="s">
        <v>163</v>
      </c>
      <c r="I82" s="41" t="s">
        <v>1046</v>
      </c>
      <c r="J82" s="41"/>
      <c r="K82" s="41"/>
      <c r="L82" s="41"/>
      <c r="M82" s="42" t="str">
        <f t="shared" si="22"/>
        <v xml:space="preserve">Blue &amp; Green Servicios y Soluciones al Medio Ambiente, S.A. de C.V.  </v>
      </c>
      <c r="N82" s="991" t="s">
        <v>198</v>
      </c>
      <c r="O82" s="991" t="s">
        <v>198</v>
      </c>
      <c r="P82" s="991" t="s">
        <v>2488</v>
      </c>
      <c r="Q82" s="992">
        <v>1919408.26</v>
      </c>
      <c r="R82" s="44">
        <f t="shared" si="23"/>
        <v>307105.32160000002</v>
      </c>
      <c r="S82" s="45">
        <f t="shared" si="24"/>
        <v>2226513.5816000002</v>
      </c>
      <c r="T82" s="46">
        <v>1535526.59</v>
      </c>
      <c r="U82" s="47">
        <f t="shared" si="25"/>
        <v>1781210.8444000001</v>
      </c>
      <c r="V82" s="44">
        <f t="shared" si="26"/>
        <v>2783141.9828000003</v>
      </c>
      <c r="W82" s="993" t="s">
        <v>156</v>
      </c>
      <c r="X82" s="48">
        <v>44049</v>
      </c>
      <c r="Y82" s="39" t="s">
        <v>2582</v>
      </c>
      <c r="Z82" s="48">
        <v>44049</v>
      </c>
      <c r="AA82" s="48" t="s">
        <v>2419</v>
      </c>
      <c r="AB82" s="38" t="s">
        <v>2033</v>
      </c>
      <c r="AC82" s="38"/>
      <c r="AD82" s="59" t="s">
        <v>2586</v>
      </c>
      <c r="AE82" s="59">
        <v>44067</v>
      </c>
      <c r="AF82" s="59" t="s">
        <v>161</v>
      </c>
      <c r="AG82" s="59" t="s">
        <v>161</v>
      </c>
      <c r="AH82" s="39" t="s">
        <v>183</v>
      </c>
      <c r="AI82" s="100" t="s">
        <v>2587</v>
      </c>
      <c r="AJ82" s="100" t="s">
        <v>2588</v>
      </c>
      <c r="AK82" s="101">
        <v>44195</v>
      </c>
      <c r="AL82" s="102">
        <v>556628.40120000008</v>
      </c>
      <c r="AM82" s="39" t="str">
        <f t="shared" ca="1" si="27"/>
        <v>VIGENTE</v>
      </c>
      <c r="AN82" s="39"/>
      <c r="AO82" s="39"/>
      <c r="AP82" s="39"/>
      <c r="AQ82" s="39"/>
      <c r="AR82" s="39" t="s">
        <v>815</v>
      </c>
      <c r="AS82" s="39"/>
      <c r="AT82" s="39"/>
      <c r="AU82" s="51"/>
      <c r="AV82" s="50"/>
      <c r="AW82" s="38"/>
      <c r="AX82" s="52"/>
      <c r="AY82" s="173"/>
      <c r="AZ82" s="38"/>
      <c r="BA82" s="38" t="e">
        <f>VLOOKUP(I82,#REF!,2,0)</f>
        <v>#REF!</v>
      </c>
      <c r="BB82" s="71"/>
      <c r="BC82" s="59"/>
      <c r="BD82" s="39"/>
      <c r="BE82" s="39"/>
      <c r="BF82" s="39"/>
      <c r="BG82" s="39"/>
      <c r="BH82" s="59"/>
      <c r="BI82" s="59"/>
      <c r="BJ82" s="59"/>
      <c r="BK82" s="59"/>
      <c r="BL82" s="59"/>
      <c r="BM82" s="59"/>
      <c r="BN82" s="59"/>
      <c r="BO82" s="59"/>
      <c r="BP82" s="59"/>
      <c r="BQ82" s="62"/>
      <c r="BR82" s="6"/>
      <c r="BS82" s="70"/>
      <c r="BT82" s="62" t="s">
        <v>2589</v>
      </c>
      <c r="BU82" s="84"/>
      <c r="BV82" s="84"/>
      <c r="BW82" s="84"/>
      <c r="BX82" s="84"/>
      <c r="BY82" s="84"/>
    </row>
    <row r="83" spans="1:77" ht="105" x14ac:dyDescent="0.25">
      <c r="A83" s="38" t="s">
        <v>2590</v>
      </c>
      <c r="B83" s="39">
        <v>78</v>
      </c>
      <c r="C83" s="38" t="s">
        <v>149</v>
      </c>
      <c r="D83" s="40" t="s">
        <v>1177</v>
      </c>
      <c r="E83" s="567" t="s">
        <v>163</v>
      </c>
      <c r="F83" s="39" t="s">
        <v>561</v>
      </c>
      <c r="G83" s="567" t="s">
        <v>163</v>
      </c>
      <c r="H83" s="567" t="s">
        <v>163</v>
      </c>
      <c r="I83" s="41" t="s">
        <v>1162</v>
      </c>
      <c r="J83" s="41"/>
      <c r="K83" s="41"/>
      <c r="L83" s="41"/>
      <c r="M83" s="42" t="str">
        <f t="shared" si="22"/>
        <v xml:space="preserve">Lemonroy Business Solutions, S.A. de C.V.  </v>
      </c>
      <c r="N83" s="991" t="s">
        <v>198</v>
      </c>
      <c r="O83" s="991" t="s">
        <v>198</v>
      </c>
      <c r="P83" s="991" t="s">
        <v>2591</v>
      </c>
      <c r="Q83" s="992">
        <v>1333876.19</v>
      </c>
      <c r="R83" s="44">
        <f t="shared" si="23"/>
        <v>213420.19039999999</v>
      </c>
      <c r="S83" s="45">
        <f t="shared" si="24"/>
        <v>1547296.3803999999</v>
      </c>
      <c r="T83" s="46">
        <v>812765.73</v>
      </c>
      <c r="U83" s="47">
        <f t="shared" si="25"/>
        <v>942808.24679999996</v>
      </c>
      <c r="V83" s="44">
        <f t="shared" si="26"/>
        <v>1547296.3803999999</v>
      </c>
      <c r="W83" s="993" t="s">
        <v>156</v>
      </c>
      <c r="X83" s="48">
        <v>44049</v>
      </c>
      <c r="Y83" s="39" t="s">
        <v>2582</v>
      </c>
      <c r="Z83" s="48">
        <v>44049</v>
      </c>
      <c r="AA83" s="48">
        <v>44196</v>
      </c>
      <c r="AB83" s="38" t="s">
        <v>2033</v>
      </c>
      <c r="AC83" s="38"/>
      <c r="AD83" s="59">
        <v>44060</v>
      </c>
      <c r="AE83" s="59">
        <v>44062</v>
      </c>
      <c r="AF83" s="59" t="s">
        <v>161</v>
      </c>
      <c r="AG83" s="59" t="s">
        <v>161</v>
      </c>
      <c r="AH83" s="39" t="s">
        <v>183</v>
      </c>
      <c r="AI83" s="38"/>
      <c r="AJ83" s="38"/>
      <c r="AK83" s="50"/>
      <c r="AL83" s="44"/>
      <c r="AM83" s="39" t="str">
        <f t="shared" ca="1" si="27"/>
        <v>MUERTO</v>
      </c>
      <c r="AN83" s="39"/>
      <c r="AO83" s="39"/>
      <c r="AP83" s="39"/>
      <c r="AQ83" s="39"/>
      <c r="AR83" s="39" t="s">
        <v>815</v>
      </c>
      <c r="AS83" s="39"/>
      <c r="AT83" s="39"/>
      <c r="AU83" s="51"/>
      <c r="AV83" s="50"/>
      <c r="AW83" s="38"/>
      <c r="AX83" s="52"/>
      <c r="AY83" s="173"/>
      <c r="AZ83" s="38"/>
      <c r="BA83" s="38" t="e">
        <f>VLOOKUP(I83,#REF!,2,0)</f>
        <v>#REF!</v>
      </c>
      <c r="BB83" s="71"/>
      <c r="BC83" s="59"/>
      <c r="BD83" s="39"/>
      <c r="BE83" s="39"/>
      <c r="BF83" s="39"/>
      <c r="BG83" s="39"/>
      <c r="BH83" s="59"/>
      <c r="BI83" s="59"/>
      <c r="BJ83" s="59"/>
      <c r="BK83" s="59"/>
      <c r="BL83" s="59"/>
      <c r="BM83" s="59"/>
      <c r="BN83" s="59"/>
      <c r="BO83" s="59"/>
      <c r="BP83" s="59"/>
      <c r="BQ83" s="62"/>
      <c r="BR83" s="6"/>
      <c r="BS83" s="70"/>
      <c r="BT83" s="62" t="s">
        <v>2592</v>
      </c>
      <c r="BU83" s="84"/>
      <c r="BV83" s="84"/>
      <c r="BW83" s="84"/>
      <c r="BX83" s="84"/>
      <c r="BY83" s="84"/>
    </row>
    <row r="84" spans="1:77" ht="180" x14ac:dyDescent="0.25">
      <c r="A84" s="38" t="s">
        <v>2593</v>
      </c>
      <c r="B84" s="39">
        <v>79</v>
      </c>
      <c r="C84" s="38" t="s">
        <v>149</v>
      </c>
      <c r="D84" s="40" t="s">
        <v>2594</v>
      </c>
      <c r="E84" s="567" t="s">
        <v>163</v>
      </c>
      <c r="F84" s="39" t="s">
        <v>312</v>
      </c>
      <c r="G84" s="567" t="s">
        <v>2237</v>
      </c>
      <c r="H84" s="685" t="s">
        <v>546</v>
      </c>
      <c r="I84" s="41" t="s">
        <v>1966</v>
      </c>
      <c r="J84" s="41"/>
      <c r="K84" s="41"/>
      <c r="L84" s="41"/>
      <c r="M84" s="42" t="str">
        <f t="shared" si="22"/>
        <v xml:space="preserve">Corporate Accon en Conocimientos e Ingeniería, S.A. de C.V.  </v>
      </c>
      <c r="N84" s="991" t="s">
        <v>315</v>
      </c>
      <c r="O84" s="991" t="s">
        <v>315</v>
      </c>
      <c r="P84" s="991" t="s">
        <v>2595</v>
      </c>
      <c r="Q84" s="992">
        <v>830000</v>
      </c>
      <c r="R84" s="44">
        <f t="shared" si="23"/>
        <v>132800</v>
      </c>
      <c r="S84" s="45">
        <f t="shared" si="24"/>
        <v>962800</v>
      </c>
      <c r="T84" s="46">
        <v>0</v>
      </c>
      <c r="U84" s="47">
        <f t="shared" si="25"/>
        <v>0</v>
      </c>
      <c r="V84" s="44">
        <f t="shared" si="26"/>
        <v>962800</v>
      </c>
      <c r="W84" s="993" t="s">
        <v>156</v>
      </c>
      <c r="X84" s="48">
        <v>44061</v>
      </c>
      <c r="Y84" s="39" t="s">
        <v>2582</v>
      </c>
      <c r="Z84" s="48">
        <v>44058</v>
      </c>
      <c r="AA84" s="48">
        <v>44196</v>
      </c>
      <c r="AB84" s="38" t="s">
        <v>2033</v>
      </c>
      <c r="AC84" s="38"/>
      <c r="AD84" s="59">
        <v>44067</v>
      </c>
      <c r="AE84" s="59">
        <v>44076</v>
      </c>
      <c r="AF84" s="59" t="s">
        <v>161</v>
      </c>
      <c r="AG84" s="59" t="s">
        <v>161</v>
      </c>
      <c r="AH84" s="39" t="s">
        <v>183</v>
      </c>
      <c r="AI84" s="38"/>
      <c r="AJ84" s="38"/>
      <c r="AK84" s="50"/>
      <c r="AL84" s="44"/>
      <c r="AM84" s="39" t="str">
        <f t="shared" ca="1" si="27"/>
        <v>MUERTO</v>
      </c>
      <c r="AN84" s="39"/>
      <c r="AO84" s="39"/>
      <c r="AP84" s="39"/>
      <c r="AQ84" s="39"/>
      <c r="AR84" s="39" t="s">
        <v>815</v>
      </c>
      <c r="AS84" s="39"/>
      <c r="AT84" s="39"/>
      <c r="AU84" s="51"/>
      <c r="AV84" s="50"/>
      <c r="AW84" s="38"/>
      <c r="AX84" s="52"/>
      <c r="AY84" s="173"/>
      <c r="AZ84" s="38"/>
      <c r="BA84" s="38" t="e">
        <f>VLOOKUP(I84,#REF!,2,0)</f>
        <v>#REF!</v>
      </c>
      <c r="BB84" s="71"/>
      <c r="BC84" s="59"/>
      <c r="BD84" s="39"/>
      <c r="BE84" s="39"/>
      <c r="BF84" s="39"/>
      <c r="BG84" s="39"/>
      <c r="BH84" s="59"/>
      <c r="BI84" s="59"/>
      <c r="BJ84" s="59"/>
      <c r="BK84" s="59"/>
      <c r="BL84" s="59"/>
      <c r="BM84" s="59"/>
      <c r="BN84" s="59"/>
      <c r="BO84" s="59"/>
      <c r="BP84" s="59"/>
      <c r="BQ84" s="62"/>
      <c r="BR84" s="6"/>
      <c r="BS84" s="70"/>
      <c r="BT84" s="62" t="s">
        <v>2596</v>
      </c>
      <c r="BU84" s="84"/>
      <c r="BV84" s="84"/>
      <c r="BW84" s="84"/>
      <c r="BX84" s="84"/>
      <c r="BY84" s="84"/>
    </row>
    <row r="85" spans="1:77" ht="60" x14ac:dyDescent="0.25">
      <c r="A85" s="38" t="s">
        <v>2597</v>
      </c>
      <c r="B85" s="39">
        <v>80</v>
      </c>
      <c r="C85" s="38" t="s">
        <v>225</v>
      </c>
      <c r="D85" s="40" t="s">
        <v>2594</v>
      </c>
      <c r="E85" s="567" t="s">
        <v>163</v>
      </c>
      <c r="F85" s="39" t="s">
        <v>568</v>
      </c>
      <c r="G85" s="567" t="s">
        <v>2237</v>
      </c>
      <c r="H85" s="685" t="s">
        <v>546</v>
      </c>
      <c r="I85" s="41" t="s">
        <v>2079</v>
      </c>
      <c r="J85" s="41"/>
      <c r="K85" s="41"/>
      <c r="L85" s="41"/>
      <c r="M85" s="42" t="str">
        <f t="shared" si="22"/>
        <v xml:space="preserve">Unified Networks, S.A. de C.V.  </v>
      </c>
      <c r="N85" s="991" t="s">
        <v>656</v>
      </c>
      <c r="O85" s="991" t="s">
        <v>209</v>
      </c>
      <c r="P85" s="991" t="s">
        <v>2598</v>
      </c>
      <c r="Q85" s="992">
        <v>4978602.58</v>
      </c>
      <c r="R85" s="44">
        <f t="shared" si="23"/>
        <v>796576.41280000005</v>
      </c>
      <c r="S85" s="45">
        <f t="shared" si="24"/>
        <v>5775178.9928000001</v>
      </c>
      <c r="T85" s="46">
        <v>0</v>
      </c>
      <c r="U85" s="47">
        <f t="shared" si="25"/>
        <v>0</v>
      </c>
      <c r="V85" s="44">
        <f t="shared" si="26"/>
        <v>5775178.9928000001</v>
      </c>
      <c r="W85" s="993" t="s">
        <v>156</v>
      </c>
      <c r="X85" s="48">
        <v>44061</v>
      </c>
      <c r="Y85" s="39" t="s">
        <v>2582</v>
      </c>
      <c r="Z85" s="48">
        <v>44058</v>
      </c>
      <c r="AA85" s="48">
        <v>44422</v>
      </c>
      <c r="AB85" s="38" t="s">
        <v>2599</v>
      </c>
      <c r="AC85" s="38"/>
      <c r="AD85" s="59">
        <v>44076</v>
      </c>
      <c r="AE85" s="59" t="s">
        <v>161</v>
      </c>
      <c r="AF85" s="59" t="s">
        <v>161</v>
      </c>
      <c r="AG85" s="59">
        <v>44159</v>
      </c>
      <c r="AH85" s="39" t="s">
        <v>183</v>
      </c>
      <c r="AI85" s="38"/>
      <c r="AJ85" s="38"/>
      <c r="AK85" s="50"/>
      <c r="AL85" s="44"/>
      <c r="AM85" s="39" t="str">
        <f t="shared" ca="1" si="27"/>
        <v>MUERTO</v>
      </c>
      <c r="AN85" s="39"/>
      <c r="AO85" s="39"/>
      <c r="AP85" s="39"/>
      <c r="AQ85" s="39"/>
      <c r="AR85" s="39" t="s">
        <v>815</v>
      </c>
      <c r="AS85" s="39"/>
      <c r="AT85" s="39"/>
      <c r="AU85" s="51"/>
      <c r="AV85" s="50"/>
      <c r="AW85" s="38"/>
      <c r="AX85" s="52"/>
      <c r="AY85" s="173"/>
      <c r="AZ85" s="38"/>
      <c r="BA85" s="38" t="e">
        <f>VLOOKUP(I85,#REF!,2,0)</f>
        <v>#REF!</v>
      </c>
      <c r="BB85" s="71"/>
      <c r="BC85" s="59"/>
      <c r="BD85" s="39"/>
      <c r="BE85" s="39"/>
      <c r="BF85" s="39"/>
      <c r="BG85" s="39"/>
      <c r="BH85" s="59"/>
      <c r="BI85" s="59"/>
      <c r="BJ85" s="59"/>
      <c r="BK85" s="59"/>
      <c r="BL85" s="59"/>
      <c r="BM85" s="59"/>
      <c r="BN85" s="59"/>
      <c r="BO85" s="59"/>
      <c r="BP85" s="59"/>
      <c r="BQ85" s="62"/>
      <c r="BR85" s="6"/>
      <c r="BS85" s="70"/>
      <c r="BT85" s="62" t="s">
        <v>2600</v>
      </c>
      <c r="BU85" s="84"/>
      <c r="BV85" s="84"/>
      <c r="BW85" s="84"/>
      <c r="BX85" s="84"/>
      <c r="BY85" s="84"/>
    </row>
    <row r="86" spans="1:77" ht="60" x14ac:dyDescent="0.25">
      <c r="A86" s="38" t="s">
        <v>2601</v>
      </c>
      <c r="B86" s="39">
        <v>81</v>
      </c>
      <c r="C86" s="38" t="s">
        <v>149</v>
      </c>
      <c r="D86" s="40" t="s">
        <v>2594</v>
      </c>
      <c r="E86" s="567" t="s">
        <v>163</v>
      </c>
      <c r="F86" s="39" t="s">
        <v>312</v>
      </c>
      <c r="G86" s="567" t="s">
        <v>2237</v>
      </c>
      <c r="H86" s="685" t="s">
        <v>546</v>
      </c>
      <c r="I86" s="41" t="s">
        <v>2602</v>
      </c>
      <c r="J86" s="41"/>
      <c r="K86" s="41"/>
      <c r="L86" s="41"/>
      <c r="M86" s="42" t="str">
        <f t="shared" si="22"/>
        <v xml:space="preserve">Rayuela Digital, S.A. de C.V.  </v>
      </c>
      <c r="N86" s="991" t="s">
        <v>2603</v>
      </c>
      <c r="O86" s="991" t="s">
        <v>2603</v>
      </c>
      <c r="P86" s="991" t="s">
        <v>2604</v>
      </c>
      <c r="Q86" s="992">
        <v>1300000</v>
      </c>
      <c r="R86" s="44">
        <f t="shared" si="23"/>
        <v>208000</v>
      </c>
      <c r="S86" s="45">
        <f t="shared" si="24"/>
        <v>1508000</v>
      </c>
      <c r="T86" s="46">
        <v>0</v>
      </c>
      <c r="U86" s="47">
        <f t="shared" si="25"/>
        <v>0</v>
      </c>
      <c r="V86" s="44">
        <f t="shared" si="26"/>
        <v>1508000</v>
      </c>
      <c r="W86" s="993" t="s">
        <v>156</v>
      </c>
      <c r="X86" s="48">
        <v>44062</v>
      </c>
      <c r="Y86" s="39" t="s">
        <v>2582</v>
      </c>
      <c r="Z86" s="48">
        <v>44060</v>
      </c>
      <c r="AA86" s="48">
        <v>44196</v>
      </c>
      <c r="AB86" s="38" t="s">
        <v>182</v>
      </c>
      <c r="AC86" s="38"/>
      <c r="AD86" s="59">
        <v>44083</v>
      </c>
      <c r="AE86" s="59" t="s">
        <v>161</v>
      </c>
      <c r="AF86" s="59" t="s">
        <v>161</v>
      </c>
      <c r="AG86" s="59" t="s">
        <v>161</v>
      </c>
      <c r="AH86" s="39" t="s">
        <v>183</v>
      </c>
      <c r="AI86" s="38"/>
      <c r="AJ86" s="38"/>
      <c r="AK86" s="50"/>
      <c r="AL86" s="44"/>
      <c r="AM86" s="39" t="str">
        <f t="shared" ca="1" si="27"/>
        <v>MUERTO</v>
      </c>
      <c r="AN86" s="39"/>
      <c r="AO86" s="39"/>
      <c r="AP86" s="39"/>
      <c r="AQ86" s="39"/>
      <c r="AR86" s="39" t="s">
        <v>815</v>
      </c>
      <c r="AS86" s="39"/>
      <c r="AT86" s="39"/>
      <c r="AU86" s="51"/>
      <c r="AV86" s="50"/>
      <c r="AW86" s="38"/>
      <c r="AX86" s="52"/>
      <c r="AY86" s="173"/>
      <c r="AZ86" s="38"/>
      <c r="BA86" s="38" t="e">
        <f>VLOOKUP(I86,#REF!,2,0)</f>
        <v>#REF!</v>
      </c>
      <c r="BB86" s="71"/>
      <c r="BC86" s="59"/>
      <c r="BD86" s="39"/>
      <c r="BE86" s="39"/>
      <c r="BF86" s="39"/>
      <c r="BG86" s="39"/>
      <c r="BH86" s="59"/>
      <c r="BI86" s="59"/>
      <c r="BJ86" s="59"/>
      <c r="BK86" s="59"/>
      <c r="BL86" s="59"/>
      <c r="BM86" s="59"/>
      <c r="BN86" s="59"/>
      <c r="BO86" s="59"/>
      <c r="BP86" s="59"/>
      <c r="BQ86" s="62"/>
      <c r="BR86" s="6"/>
      <c r="BS86" s="70"/>
      <c r="BT86" s="62" t="s">
        <v>2605</v>
      </c>
      <c r="BU86" s="84"/>
      <c r="BV86" s="84"/>
      <c r="BW86" s="84"/>
      <c r="BX86" s="84"/>
      <c r="BY86" s="84"/>
    </row>
    <row r="87" spans="1:77" ht="210" x14ac:dyDescent="0.25">
      <c r="A87" s="38" t="s">
        <v>2606</v>
      </c>
      <c r="B87" s="39">
        <v>82</v>
      </c>
      <c r="C87" s="38" t="s">
        <v>2410</v>
      </c>
      <c r="D87" s="40" t="s">
        <v>2594</v>
      </c>
      <c r="E87" s="567" t="s">
        <v>163</v>
      </c>
      <c r="F87" s="39" t="s">
        <v>312</v>
      </c>
      <c r="G87" s="567" t="s">
        <v>2237</v>
      </c>
      <c r="H87" s="685" t="s">
        <v>546</v>
      </c>
      <c r="I87" s="41"/>
      <c r="J87" s="41" t="s">
        <v>1992</v>
      </c>
      <c r="K87" s="41" t="s">
        <v>2412</v>
      </c>
      <c r="L87" s="41" t="s">
        <v>1994</v>
      </c>
      <c r="M87" s="42" t="str">
        <f t="shared" si="22"/>
        <v>César Marco Parra  Olmedo</v>
      </c>
      <c r="N87" s="991" t="s">
        <v>2603</v>
      </c>
      <c r="O87" s="991" t="s">
        <v>2603</v>
      </c>
      <c r="P87" s="991" t="s">
        <v>2607</v>
      </c>
      <c r="Q87" s="992">
        <v>1500000</v>
      </c>
      <c r="R87" s="44">
        <f t="shared" si="23"/>
        <v>240000</v>
      </c>
      <c r="S87" s="45">
        <f t="shared" si="24"/>
        <v>1740000</v>
      </c>
      <c r="T87" s="46">
        <v>0</v>
      </c>
      <c r="U87" s="47">
        <f t="shared" si="25"/>
        <v>0</v>
      </c>
      <c r="V87" s="44">
        <f t="shared" si="26"/>
        <v>1740000</v>
      </c>
      <c r="W87" s="993" t="s">
        <v>156</v>
      </c>
      <c r="X87" s="48">
        <v>44060</v>
      </c>
      <c r="Y87" s="39" t="s">
        <v>2582</v>
      </c>
      <c r="Z87" s="48">
        <v>44060</v>
      </c>
      <c r="AA87" s="48">
        <v>44088</v>
      </c>
      <c r="AB87" s="38" t="s">
        <v>2608</v>
      </c>
      <c r="AC87" s="38"/>
      <c r="AD87" s="59" t="s">
        <v>161</v>
      </c>
      <c r="AE87" s="59" t="s">
        <v>161</v>
      </c>
      <c r="AF87" s="59" t="s">
        <v>161</v>
      </c>
      <c r="AG87" s="59" t="s">
        <v>161</v>
      </c>
      <c r="AH87" s="39" t="s">
        <v>183</v>
      </c>
      <c r="AI87" s="38"/>
      <c r="AJ87" s="38"/>
      <c r="AK87" s="50"/>
      <c r="AL87" s="44"/>
      <c r="AM87" s="39" t="str">
        <f t="shared" ca="1" si="27"/>
        <v>MUERTO</v>
      </c>
      <c r="AN87" s="39"/>
      <c r="AO87" s="39"/>
      <c r="AP87" s="39"/>
      <c r="AQ87" s="39"/>
      <c r="AR87" s="39" t="s">
        <v>815</v>
      </c>
      <c r="AS87" s="39"/>
      <c r="AT87" s="39"/>
      <c r="AU87" s="51"/>
      <c r="AV87" s="50"/>
      <c r="AW87" s="38"/>
      <c r="AX87" s="52"/>
      <c r="AY87" s="173"/>
      <c r="AZ87" s="38"/>
      <c r="BA87" s="38" t="e">
        <f>VLOOKUP(I87,#REF!,2,0)</f>
        <v>#REF!</v>
      </c>
      <c r="BB87" s="71"/>
      <c r="BC87" s="59"/>
      <c r="BD87" s="39"/>
      <c r="BE87" s="39"/>
      <c r="BF87" s="39"/>
      <c r="BG87" s="39"/>
      <c r="BH87" s="59"/>
      <c r="BI87" s="59"/>
      <c r="BJ87" s="59"/>
      <c r="BK87" s="59"/>
      <c r="BL87" s="59"/>
      <c r="BM87" s="59"/>
      <c r="BN87" s="59"/>
      <c r="BO87" s="59"/>
      <c r="BP87" s="59"/>
      <c r="BQ87" s="62"/>
      <c r="BR87" s="6"/>
      <c r="BS87" s="70"/>
      <c r="BT87" s="62" t="s">
        <v>2318</v>
      </c>
      <c r="BU87" s="84"/>
      <c r="BV87" s="84"/>
      <c r="BW87" s="84"/>
      <c r="BX87" s="84"/>
      <c r="BY87" s="84"/>
    </row>
    <row r="88" spans="1:77" ht="75" x14ac:dyDescent="0.25">
      <c r="A88" s="38" t="s">
        <v>2609</v>
      </c>
      <c r="B88" s="39">
        <v>83</v>
      </c>
      <c r="C88" s="38" t="s">
        <v>149</v>
      </c>
      <c r="D88" s="40" t="s">
        <v>2594</v>
      </c>
      <c r="E88" s="567" t="s">
        <v>163</v>
      </c>
      <c r="F88" s="39" t="s">
        <v>312</v>
      </c>
      <c r="G88" s="567" t="s">
        <v>2237</v>
      </c>
      <c r="H88" s="685" t="s">
        <v>546</v>
      </c>
      <c r="I88" s="41" t="s">
        <v>1065</v>
      </c>
      <c r="J88" s="41"/>
      <c r="K88" s="41"/>
      <c r="L88" s="41"/>
      <c r="M88" s="42" t="str">
        <f t="shared" si="22"/>
        <v xml:space="preserve">Elevadores Schindler, S.A. de C.V.  </v>
      </c>
      <c r="N88" s="991" t="s">
        <v>198</v>
      </c>
      <c r="O88" s="991" t="s">
        <v>198</v>
      </c>
      <c r="P88" s="991" t="s">
        <v>2610</v>
      </c>
      <c r="Q88" s="992">
        <v>1960287.02</v>
      </c>
      <c r="R88" s="44">
        <f t="shared" si="23"/>
        <v>313645.92320000002</v>
      </c>
      <c r="S88" s="45">
        <f t="shared" si="24"/>
        <v>2273932.9432000001</v>
      </c>
      <c r="T88" s="46">
        <v>0</v>
      </c>
      <c r="U88" s="47">
        <f t="shared" si="25"/>
        <v>0</v>
      </c>
      <c r="V88" s="44">
        <f t="shared" si="26"/>
        <v>2649094.3084000004</v>
      </c>
      <c r="W88" s="993" t="s">
        <v>156</v>
      </c>
      <c r="X88" s="48">
        <v>44062</v>
      </c>
      <c r="Y88" s="39" t="s">
        <v>2582</v>
      </c>
      <c r="Z88" s="48">
        <v>44063</v>
      </c>
      <c r="AA88" s="48" t="s">
        <v>2419</v>
      </c>
      <c r="AB88" s="38" t="s">
        <v>2033</v>
      </c>
      <c r="AC88" s="38"/>
      <c r="AD88" s="59" t="s">
        <v>2611</v>
      </c>
      <c r="AE88" s="59">
        <v>44083</v>
      </c>
      <c r="AF88" s="59" t="s">
        <v>161</v>
      </c>
      <c r="AG88" s="59" t="s">
        <v>161</v>
      </c>
      <c r="AH88" s="39" t="s">
        <v>183</v>
      </c>
      <c r="AI88" s="100" t="s">
        <v>2612</v>
      </c>
      <c r="AJ88" s="100" t="s">
        <v>2613</v>
      </c>
      <c r="AK88" s="101">
        <v>44195</v>
      </c>
      <c r="AL88" s="102">
        <v>375161.36520000023</v>
      </c>
      <c r="AM88" s="39" t="str">
        <f t="shared" ca="1" si="27"/>
        <v>VIGENTE</v>
      </c>
      <c r="AN88" s="39"/>
      <c r="AO88" s="39"/>
      <c r="AP88" s="39"/>
      <c r="AQ88" s="39"/>
      <c r="AR88" s="39" t="s">
        <v>815</v>
      </c>
      <c r="AS88" s="39"/>
      <c r="AT88" s="39"/>
      <c r="AU88" s="51"/>
      <c r="AV88" s="50"/>
      <c r="AW88" s="38"/>
      <c r="AX88" s="52"/>
      <c r="AY88" s="173"/>
      <c r="AZ88" s="38"/>
      <c r="BA88" s="38" t="e">
        <f>VLOOKUP(I88,#REF!,2,0)</f>
        <v>#REF!</v>
      </c>
      <c r="BB88" s="71"/>
      <c r="BC88" s="59"/>
      <c r="BD88" s="39"/>
      <c r="BE88" s="39"/>
      <c r="BF88" s="39"/>
      <c r="BG88" s="39"/>
      <c r="BH88" s="59"/>
      <c r="BI88" s="59"/>
      <c r="BJ88" s="59"/>
      <c r="BK88" s="59"/>
      <c r="BL88" s="59"/>
      <c r="BM88" s="59">
        <v>44257</v>
      </c>
      <c r="BN88" s="59"/>
      <c r="BO88" s="59"/>
      <c r="BP88" s="59"/>
      <c r="BQ88" s="62"/>
      <c r="BR88" s="6"/>
      <c r="BS88" s="70"/>
      <c r="BT88" s="62" t="s">
        <v>2614</v>
      </c>
      <c r="BU88" s="84"/>
      <c r="BV88" s="84"/>
      <c r="BW88" s="84"/>
      <c r="BX88" s="84"/>
      <c r="BY88" s="84"/>
    </row>
    <row r="89" spans="1:77" ht="90" x14ac:dyDescent="0.25">
      <c r="A89" s="38" t="s">
        <v>2615</v>
      </c>
      <c r="B89" s="39">
        <v>84</v>
      </c>
      <c r="C89" s="38" t="s">
        <v>225</v>
      </c>
      <c r="D89" s="40" t="s">
        <v>1177</v>
      </c>
      <c r="E89" s="567" t="s">
        <v>163</v>
      </c>
      <c r="F89" s="39" t="s">
        <v>561</v>
      </c>
      <c r="G89" s="567" t="s">
        <v>163</v>
      </c>
      <c r="H89" s="567" t="s">
        <v>163</v>
      </c>
      <c r="I89" s="41" t="s">
        <v>2568</v>
      </c>
      <c r="J89" s="41"/>
      <c r="K89" s="41"/>
      <c r="L89" s="41"/>
      <c r="M89" s="42" t="str">
        <f t="shared" si="22"/>
        <v xml:space="preserve">Impulsora de Artículos y Servicios Mexicanos, S.A. de C.V.  </v>
      </c>
      <c r="N89" s="991" t="s">
        <v>198</v>
      </c>
      <c r="O89" s="991" t="s">
        <v>198</v>
      </c>
      <c r="P89" s="991" t="s">
        <v>2616</v>
      </c>
      <c r="Q89" s="992">
        <v>2275920</v>
      </c>
      <c r="R89" s="44">
        <f t="shared" si="23"/>
        <v>364147.20000000001</v>
      </c>
      <c r="S89" s="45">
        <f t="shared" si="24"/>
        <v>2640067.2000000002</v>
      </c>
      <c r="T89" s="46">
        <v>1075135</v>
      </c>
      <c r="U89" s="47">
        <f t="shared" si="25"/>
        <v>1247156.6000000001</v>
      </c>
      <c r="V89" s="44">
        <f t="shared" si="26"/>
        <v>2640067.2000000002</v>
      </c>
      <c r="W89" s="993" t="s">
        <v>156</v>
      </c>
      <c r="X89" s="48">
        <v>44062</v>
      </c>
      <c r="Y89" s="39" t="s">
        <v>2582</v>
      </c>
      <c r="Z89" s="48">
        <v>44061</v>
      </c>
      <c r="AA89" s="48">
        <v>44196</v>
      </c>
      <c r="AB89" s="38" t="s">
        <v>2033</v>
      </c>
      <c r="AC89" s="38"/>
      <c r="AD89" s="59">
        <v>44075</v>
      </c>
      <c r="AE89" s="59">
        <v>44083</v>
      </c>
      <c r="AF89" s="59" t="s">
        <v>161</v>
      </c>
      <c r="AG89" s="59" t="s">
        <v>161</v>
      </c>
      <c r="AH89" s="39" t="s">
        <v>183</v>
      </c>
      <c r="AI89" s="38"/>
      <c r="AJ89" s="38"/>
      <c r="AK89" s="50"/>
      <c r="AL89" s="44"/>
      <c r="AM89" s="39" t="str">
        <f t="shared" ca="1" si="27"/>
        <v>MUERTO</v>
      </c>
      <c r="AN89" s="39"/>
      <c r="AO89" s="39"/>
      <c r="AP89" s="39"/>
      <c r="AQ89" s="39"/>
      <c r="AR89" s="39" t="s">
        <v>815</v>
      </c>
      <c r="AS89" s="39"/>
      <c r="AT89" s="39"/>
      <c r="AU89" s="51"/>
      <c r="AV89" s="50"/>
      <c r="AW89" s="38"/>
      <c r="AX89" s="52"/>
      <c r="AY89" s="173"/>
      <c r="AZ89" s="38"/>
      <c r="BA89" s="38" t="e">
        <f>VLOOKUP(I89,#REF!,2,0)</f>
        <v>#REF!</v>
      </c>
      <c r="BB89" s="71"/>
      <c r="BC89" s="59"/>
      <c r="BD89" s="39"/>
      <c r="BE89" s="39"/>
      <c r="BF89" s="39"/>
      <c r="BG89" s="39"/>
      <c r="BH89" s="59"/>
      <c r="BI89" s="59"/>
      <c r="BJ89" s="59"/>
      <c r="BK89" s="59"/>
      <c r="BL89" s="59"/>
      <c r="BM89" s="59"/>
      <c r="BN89" s="59"/>
      <c r="BO89" s="59"/>
      <c r="BP89" s="59"/>
      <c r="BQ89" s="62"/>
      <c r="BR89" s="6"/>
      <c r="BS89" s="70"/>
      <c r="BT89" s="62" t="s">
        <v>2605</v>
      </c>
      <c r="BU89" s="84"/>
      <c r="BV89" s="84"/>
      <c r="BW89" s="84"/>
      <c r="BX89" s="84"/>
      <c r="BY89" s="84"/>
    </row>
    <row r="90" spans="1:77" ht="45" x14ac:dyDescent="0.25">
      <c r="A90" s="38" t="s">
        <v>2617</v>
      </c>
      <c r="B90" s="39">
        <v>85</v>
      </c>
      <c r="C90" s="38" t="s">
        <v>225</v>
      </c>
      <c r="D90" s="40" t="s">
        <v>2618</v>
      </c>
      <c r="E90" s="567" t="s">
        <v>163</v>
      </c>
      <c r="F90" s="39" t="s">
        <v>188</v>
      </c>
      <c r="G90" s="39" t="s">
        <v>427</v>
      </c>
      <c r="H90" s="567" t="s">
        <v>163</v>
      </c>
      <c r="I90" s="41" t="s">
        <v>2619</v>
      </c>
      <c r="J90" s="41"/>
      <c r="K90" s="41"/>
      <c r="L90" s="41"/>
      <c r="M90" s="42" t="str">
        <f t="shared" si="22"/>
        <v xml:space="preserve">Farmacéuticos Tenorio, S.A. de C.V.  </v>
      </c>
      <c r="N90" s="991" t="s">
        <v>763</v>
      </c>
      <c r="O90" s="991" t="s">
        <v>763</v>
      </c>
      <c r="P90" s="991" t="s">
        <v>2620</v>
      </c>
      <c r="Q90" s="992">
        <v>2340971.5</v>
      </c>
      <c r="R90" s="44">
        <f t="shared" si="23"/>
        <v>374555.44</v>
      </c>
      <c r="S90" s="45">
        <f t="shared" si="24"/>
        <v>2715526.94</v>
      </c>
      <c r="T90" s="46">
        <v>0</v>
      </c>
      <c r="U90" s="47">
        <f t="shared" si="25"/>
        <v>0</v>
      </c>
      <c r="V90" s="44">
        <f t="shared" si="26"/>
        <v>2715526.94</v>
      </c>
      <c r="W90" s="993" t="s">
        <v>156</v>
      </c>
      <c r="X90" s="48">
        <v>44063</v>
      </c>
      <c r="Y90" s="39" t="s">
        <v>2582</v>
      </c>
      <c r="Z90" s="48">
        <v>44063</v>
      </c>
      <c r="AA90" s="48">
        <v>44073</v>
      </c>
      <c r="AB90" s="38" t="s">
        <v>2050</v>
      </c>
      <c r="AC90" s="38"/>
      <c r="AD90" s="59" t="s">
        <v>161</v>
      </c>
      <c r="AE90" s="59" t="s">
        <v>161</v>
      </c>
      <c r="AF90" s="59" t="s">
        <v>161</v>
      </c>
      <c r="AG90" s="59" t="s">
        <v>161</v>
      </c>
      <c r="AH90" s="39" t="s">
        <v>183</v>
      </c>
      <c r="AI90" s="38"/>
      <c r="AJ90" s="38"/>
      <c r="AK90" s="50"/>
      <c r="AL90" s="44"/>
      <c r="AM90" s="39" t="str">
        <f t="shared" ca="1" si="27"/>
        <v>MUERTO</v>
      </c>
      <c r="AN90" s="39"/>
      <c r="AO90" s="39"/>
      <c r="AP90" s="39"/>
      <c r="AQ90" s="39"/>
      <c r="AR90" s="39" t="s">
        <v>815</v>
      </c>
      <c r="AS90" s="39"/>
      <c r="AT90" s="39"/>
      <c r="AU90" s="51"/>
      <c r="AV90" s="50"/>
      <c r="AW90" s="38"/>
      <c r="AX90" s="52"/>
      <c r="AY90" s="173"/>
      <c r="AZ90" s="38"/>
      <c r="BA90" s="38" t="e">
        <f>VLOOKUP(I90,#REF!,2,0)</f>
        <v>#REF!</v>
      </c>
      <c r="BB90" s="71"/>
      <c r="BC90" s="59"/>
      <c r="BD90" s="39"/>
      <c r="BE90" s="39"/>
      <c r="BF90" s="39"/>
      <c r="BG90" s="39"/>
      <c r="BH90" s="59"/>
      <c r="BI90" s="59"/>
      <c r="BJ90" s="59"/>
      <c r="BK90" s="59"/>
      <c r="BL90" s="59"/>
      <c r="BM90" s="59"/>
      <c r="BN90" s="59"/>
      <c r="BO90" s="59"/>
      <c r="BP90" s="59"/>
      <c r="BQ90" s="62"/>
      <c r="BR90" s="6"/>
      <c r="BS90" s="70"/>
      <c r="BT90" s="62" t="s">
        <v>2318</v>
      </c>
      <c r="BU90" s="84"/>
      <c r="BV90" s="84"/>
      <c r="BW90" s="84"/>
      <c r="BX90" s="84"/>
      <c r="BY90" s="84"/>
    </row>
    <row r="91" spans="1:77" ht="60" x14ac:dyDescent="0.25">
      <c r="A91" s="38" t="s">
        <v>2621</v>
      </c>
      <c r="B91" s="39">
        <v>86</v>
      </c>
      <c r="C91" s="38" t="s">
        <v>149</v>
      </c>
      <c r="D91" s="40" t="s">
        <v>2594</v>
      </c>
      <c r="E91" s="567" t="s">
        <v>163</v>
      </c>
      <c r="F91" s="39" t="s">
        <v>312</v>
      </c>
      <c r="G91" s="567" t="s">
        <v>2237</v>
      </c>
      <c r="H91" s="685" t="s">
        <v>546</v>
      </c>
      <c r="I91" s="41" t="s">
        <v>2622</v>
      </c>
      <c r="J91" s="41"/>
      <c r="K91" s="41"/>
      <c r="L91" s="41"/>
      <c r="M91" s="42" t="str">
        <f t="shared" si="22"/>
        <v xml:space="preserve">Programma Comunicación, S.A. de C.V.  </v>
      </c>
      <c r="N91" s="991" t="s">
        <v>2603</v>
      </c>
      <c r="O91" s="991" t="s">
        <v>2603</v>
      </c>
      <c r="P91" s="991" t="s">
        <v>2623</v>
      </c>
      <c r="Q91" s="992">
        <v>4560000</v>
      </c>
      <c r="R91" s="44">
        <f t="shared" si="23"/>
        <v>729600</v>
      </c>
      <c r="S91" s="45">
        <f t="shared" si="24"/>
        <v>5289600</v>
      </c>
      <c r="T91" s="46">
        <v>0</v>
      </c>
      <c r="U91" s="47">
        <f t="shared" si="25"/>
        <v>0</v>
      </c>
      <c r="V91" s="44">
        <f t="shared" si="26"/>
        <v>5289600</v>
      </c>
      <c r="W91" s="993" t="s">
        <v>156</v>
      </c>
      <c r="X91" s="48">
        <v>44075</v>
      </c>
      <c r="Y91" s="39" t="s">
        <v>2582</v>
      </c>
      <c r="Z91" s="48">
        <v>44060</v>
      </c>
      <c r="AA91" s="48">
        <v>44196</v>
      </c>
      <c r="AB91" s="38" t="s">
        <v>182</v>
      </c>
      <c r="AC91" s="38"/>
      <c r="AD91" s="59">
        <v>44083</v>
      </c>
      <c r="AE91" s="59" t="s">
        <v>161</v>
      </c>
      <c r="AF91" s="59" t="s">
        <v>161</v>
      </c>
      <c r="AG91" s="59" t="s">
        <v>161</v>
      </c>
      <c r="AH91" s="39" t="s">
        <v>183</v>
      </c>
      <c r="AI91" s="38"/>
      <c r="AJ91" s="38"/>
      <c r="AK91" s="50"/>
      <c r="AL91" s="44"/>
      <c r="AM91" s="39" t="str">
        <f t="shared" ca="1" si="27"/>
        <v>MUERTO</v>
      </c>
      <c r="AN91" s="39"/>
      <c r="AO91" s="39"/>
      <c r="AP91" s="39"/>
      <c r="AQ91" s="39"/>
      <c r="AR91" s="39" t="s">
        <v>815</v>
      </c>
      <c r="AS91" s="39"/>
      <c r="AT91" s="39"/>
      <c r="AU91" s="51"/>
      <c r="AV91" s="50"/>
      <c r="AW91" s="38"/>
      <c r="AX91" s="52"/>
      <c r="AY91" s="173"/>
      <c r="AZ91" s="38"/>
      <c r="BA91" s="38" t="e">
        <f>VLOOKUP(I91,#REF!,2,0)</f>
        <v>#REF!</v>
      </c>
      <c r="BB91" s="71"/>
      <c r="BC91" s="59"/>
      <c r="BD91" s="39"/>
      <c r="BE91" s="39"/>
      <c r="BF91" s="39"/>
      <c r="BG91" s="39"/>
      <c r="BH91" s="59"/>
      <c r="BI91" s="59"/>
      <c r="BJ91" s="59"/>
      <c r="BK91" s="59"/>
      <c r="BL91" s="59"/>
      <c r="BM91" s="59"/>
      <c r="BN91" s="59"/>
      <c r="BO91" s="59"/>
      <c r="BP91" s="59"/>
      <c r="BQ91" s="62"/>
      <c r="BR91" s="6"/>
      <c r="BS91" s="70"/>
      <c r="BT91" s="62" t="s">
        <v>2624</v>
      </c>
      <c r="BU91" s="84"/>
      <c r="BV91" s="84"/>
      <c r="BW91" s="84"/>
      <c r="BX91" s="84"/>
      <c r="BY91" s="84"/>
    </row>
    <row r="92" spans="1:77" ht="75" x14ac:dyDescent="0.25">
      <c r="A92" s="38" t="s">
        <v>2625</v>
      </c>
      <c r="B92" s="39">
        <v>87</v>
      </c>
      <c r="C92" s="38" t="s">
        <v>149</v>
      </c>
      <c r="D92" s="40" t="s">
        <v>2594</v>
      </c>
      <c r="E92" s="567" t="s">
        <v>163</v>
      </c>
      <c r="F92" s="39" t="s">
        <v>312</v>
      </c>
      <c r="G92" s="567" t="s">
        <v>2237</v>
      </c>
      <c r="H92" s="685" t="s">
        <v>546</v>
      </c>
      <c r="I92" s="41"/>
      <c r="J92" s="41" t="s">
        <v>2626</v>
      </c>
      <c r="K92" s="41" t="s">
        <v>2627</v>
      </c>
      <c r="L92" s="41" t="s">
        <v>2628</v>
      </c>
      <c r="M92" s="42" t="str">
        <f t="shared" si="22"/>
        <v>Elsa Iveth Valenzuela  Rojas</v>
      </c>
      <c r="N92" s="991" t="s">
        <v>2603</v>
      </c>
      <c r="O92" s="991" t="s">
        <v>2603</v>
      </c>
      <c r="P92" s="991" t="s">
        <v>2629</v>
      </c>
      <c r="Q92" s="992">
        <v>1202925</v>
      </c>
      <c r="R92" s="44">
        <f t="shared" si="23"/>
        <v>192468</v>
      </c>
      <c r="S92" s="45">
        <f t="shared" si="24"/>
        <v>1395393</v>
      </c>
      <c r="T92" s="46">
        <v>0</v>
      </c>
      <c r="U92" s="47">
        <f t="shared" si="25"/>
        <v>0</v>
      </c>
      <c r="V92" s="44">
        <f t="shared" si="26"/>
        <v>1395393</v>
      </c>
      <c r="W92" s="993" t="s">
        <v>156</v>
      </c>
      <c r="X92" s="48">
        <v>44069</v>
      </c>
      <c r="Y92" s="39" t="s">
        <v>2582</v>
      </c>
      <c r="Z92" s="48">
        <v>44060</v>
      </c>
      <c r="AA92" s="48">
        <v>44180</v>
      </c>
      <c r="AB92" s="38" t="s">
        <v>2630</v>
      </c>
      <c r="AC92" s="38"/>
      <c r="AD92" s="59">
        <v>44083</v>
      </c>
      <c r="AE92" s="59">
        <v>44083</v>
      </c>
      <c r="AF92" s="59" t="s">
        <v>161</v>
      </c>
      <c r="AG92" s="59" t="s">
        <v>161</v>
      </c>
      <c r="AH92" s="39" t="s">
        <v>183</v>
      </c>
      <c r="AI92" s="100" t="s">
        <v>2631</v>
      </c>
      <c r="AJ92" s="100" t="s">
        <v>2632</v>
      </c>
      <c r="AK92" s="101">
        <v>44180</v>
      </c>
      <c r="AL92" s="102">
        <v>0</v>
      </c>
      <c r="AM92" s="39" t="str">
        <f t="shared" ca="1" si="27"/>
        <v>MUERTO</v>
      </c>
      <c r="AN92" s="39"/>
      <c r="AO92" s="39"/>
      <c r="AP92" s="39"/>
      <c r="AQ92" s="39"/>
      <c r="AR92" s="39" t="s">
        <v>815</v>
      </c>
      <c r="AS92" s="39"/>
      <c r="AT92" s="39"/>
      <c r="AU92" s="51"/>
      <c r="AV92" s="50"/>
      <c r="AW92" s="38"/>
      <c r="AX92" s="52"/>
      <c r="AY92" s="173"/>
      <c r="AZ92" s="38"/>
      <c r="BA92" s="38" t="e">
        <f>VLOOKUP(I92,#REF!,2,0)</f>
        <v>#REF!</v>
      </c>
      <c r="BB92" s="71"/>
      <c r="BC92" s="59"/>
      <c r="BD92" s="39"/>
      <c r="BE92" s="39"/>
      <c r="BF92" s="39"/>
      <c r="BG92" s="39"/>
      <c r="BH92" s="59"/>
      <c r="BI92" s="59"/>
      <c r="BJ92" s="59"/>
      <c r="BK92" s="59"/>
      <c r="BL92" s="59"/>
      <c r="BM92" s="59"/>
      <c r="BN92" s="59"/>
      <c r="BO92" s="59"/>
      <c r="BP92" s="59"/>
      <c r="BQ92" s="62"/>
      <c r="BR92" s="6"/>
      <c r="BS92" s="70"/>
      <c r="BT92" s="62" t="s">
        <v>2633</v>
      </c>
      <c r="BU92" s="84"/>
      <c r="BV92" s="84"/>
      <c r="BW92" s="84"/>
      <c r="BX92" s="84"/>
      <c r="BY92" s="84"/>
    </row>
    <row r="93" spans="1:77" ht="75" x14ac:dyDescent="0.25">
      <c r="A93" s="38" t="s">
        <v>2634</v>
      </c>
      <c r="B93" s="39">
        <v>88</v>
      </c>
      <c r="C93" s="38" t="s">
        <v>149</v>
      </c>
      <c r="D93" s="40" t="s">
        <v>2618</v>
      </c>
      <c r="E93" s="567" t="s">
        <v>163</v>
      </c>
      <c r="F93" s="39" t="s">
        <v>188</v>
      </c>
      <c r="G93" s="39" t="s">
        <v>427</v>
      </c>
      <c r="H93" s="567" t="s">
        <v>163</v>
      </c>
      <c r="I93" s="41" t="s">
        <v>2635</v>
      </c>
      <c r="J93" s="41"/>
      <c r="K93" s="41"/>
      <c r="L93" s="41"/>
      <c r="M93" s="42" t="str">
        <f t="shared" si="22"/>
        <v xml:space="preserve">Segivan, S.A. de C.V.  </v>
      </c>
      <c r="N93" s="991" t="s">
        <v>198</v>
      </c>
      <c r="O93" s="991" t="s">
        <v>198</v>
      </c>
      <c r="P93" s="991" t="s">
        <v>2636</v>
      </c>
      <c r="Q93" s="992">
        <v>953734.4</v>
      </c>
      <c r="R93" s="44">
        <f t="shared" si="23"/>
        <v>152597.50400000002</v>
      </c>
      <c r="S93" s="45">
        <f t="shared" si="24"/>
        <v>1106331.9040000001</v>
      </c>
      <c r="T93" s="46">
        <v>0</v>
      </c>
      <c r="U93" s="47">
        <f t="shared" si="25"/>
        <v>0</v>
      </c>
      <c r="V93" s="44">
        <f t="shared" si="26"/>
        <v>1106331.9040000001</v>
      </c>
      <c r="W93" s="993" t="s">
        <v>156</v>
      </c>
      <c r="X93" s="48">
        <v>44075</v>
      </c>
      <c r="Y93" s="39" t="s">
        <v>863</v>
      </c>
      <c r="Z93" s="48">
        <v>44075</v>
      </c>
      <c r="AA93" s="48">
        <v>44130</v>
      </c>
      <c r="AB93" s="38" t="s">
        <v>2637</v>
      </c>
      <c r="AC93" s="38"/>
      <c r="AD93" s="59">
        <v>44083</v>
      </c>
      <c r="AE93" s="59">
        <v>44098</v>
      </c>
      <c r="AF93" s="59" t="s">
        <v>161</v>
      </c>
      <c r="AG93" s="59" t="s">
        <v>161</v>
      </c>
      <c r="AH93" s="39" t="s">
        <v>183</v>
      </c>
      <c r="AI93" s="38"/>
      <c r="AJ93" s="38"/>
      <c r="AK93" s="50"/>
      <c r="AL93" s="44"/>
      <c r="AM93" s="39" t="str">
        <f t="shared" ca="1" si="27"/>
        <v>MUERTO</v>
      </c>
      <c r="AN93" s="39"/>
      <c r="AO93" s="39"/>
      <c r="AP93" s="39"/>
      <c r="AQ93" s="39"/>
      <c r="AR93" s="39" t="s">
        <v>863</v>
      </c>
      <c r="AS93" s="39"/>
      <c r="AT93" s="39"/>
      <c r="AU93" s="51"/>
      <c r="AV93" s="50"/>
      <c r="AW93" s="38"/>
      <c r="AX93" s="52"/>
      <c r="AY93" s="173"/>
      <c r="AZ93" s="38"/>
      <c r="BA93" s="38" t="e">
        <f>VLOOKUP(I93,#REF!,2,0)</f>
        <v>#REF!</v>
      </c>
      <c r="BB93" s="71"/>
      <c r="BC93" s="59"/>
      <c r="BD93" s="39"/>
      <c r="BE93" s="39"/>
      <c r="BF93" s="39"/>
      <c r="BG93" s="39"/>
      <c r="BH93" s="59"/>
      <c r="BI93" s="59"/>
      <c r="BJ93" s="59"/>
      <c r="BK93" s="59"/>
      <c r="BL93" s="59"/>
      <c r="BM93" s="59"/>
      <c r="BN93" s="59"/>
      <c r="BO93" s="59"/>
      <c r="BP93" s="59"/>
      <c r="BQ93" s="62"/>
      <c r="BR93" s="6"/>
      <c r="BS93" s="70"/>
      <c r="BT93" s="62" t="s">
        <v>2638</v>
      </c>
      <c r="BU93" s="84"/>
      <c r="BV93" s="84"/>
      <c r="BW93" s="84"/>
      <c r="BX93" s="84"/>
      <c r="BY93" s="84"/>
    </row>
    <row r="94" spans="1:77" ht="75" x14ac:dyDescent="0.25">
      <c r="A94" s="38" t="s">
        <v>2639</v>
      </c>
      <c r="B94" s="39">
        <v>89</v>
      </c>
      <c r="C94" s="38" t="s">
        <v>149</v>
      </c>
      <c r="D94" s="40" t="s">
        <v>2618</v>
      </c>
      <c r="E94" s="567" t="s">
        <v>163</v>
      </c>
      <c r="F94" s="39" t="s">
        <v>188</v>
      </c>
      <c r="G94" s="39" t="s">
        <v>427</v>
      </c>
      <c r="H94" s="567" t="s">
        <v>163</v>
      </c>
      <c r="I94" s="41" t="s">
        <v>2544</v>
      </c>
      <c r="J94" s="41"/>
      <c r="K94" s="41"/>
      <c r="L94" s="41"/>
      <c r="M94" s="42" t="str">
        <f t="shared" si="22"/>
        <v xml:space="preserve">Howfa, S.A. de C.V.  </v>
      </c>
      <c r="N94" s="991" t="s">
        <v>198</v>
      </c>
      <c r="O94" s="991" t="s">
        <v>198</v>
      </c>
      <c r="P94" s="991" t="s">
        <v>2640</v>
      </c>
      <c r="Q94" s="992">
        <v>3875875</v>
      </c>
      <c r="R94" s="44">
        <f t="shared" si="23"/>
        <v>620140</v>
      </c>
      <c r="S94" s="45">
        <f t="shared" si="24"/>
        <v>4496015</v>
      </c>
      <c r="T94" s="46">
        <v>0</v>
      </c>
      <c r="U94" s="47">
        <f t="shared" si="25"/>
        <v>0</v>
      </c>
      <c r="V94" s="44">
        <f t="shared" si="26"/>
        <v>4496015</v>
      </c>
      <c r="W94" s="993" t="s">
        <v>156</v>
      </c>
      <c r="X94" s="48">
        <v>44074</v>
      </c>
      <c r="Y94" s="39" t="s">
        <v>863</v>
      </c>
      <c r="Z94" s="48">
        <v>44075</v>
      </c>
      <c r="AA94" s="48">
        <v>44196</v>
      </c>
      <c r="AB94" s="38" t="s">
        <v>2637</v>
      </c>
      <c r="AC94" s="38"/>
      <c r="AD94" s="59">
        <v>44095</v>
      </c>
      <c r="AE94" s="59">
        <v>44103</v>
      </c>
      <c r="AF94" s="59" t="s">
        <v>161</v>
      </c>
      <c r="AG94" s="59">
        <v>44207</v>
      </c>
      <c r="AH94" s="39" t="s">
        <v>183</v>
      </c>
      <c r="AI94" s="38"/>
      <c r="AJ94" s="38"/>
      <c r="AK94" s="50"/>
      <c r="AL94" s="44"/>
      <c r="AM94" s="39" t="str">
        <f t="shared" ca="1" si="27"/>
        <v>MUERTO</v>
      </c>
      <c r="AN94" s="39"/>
      <c r="AO94" s="39"/>
      <c r="AP94" s="39"/>
      <c r="AQ94" s="39"/>
      <c r="AR94" s="39" t="s">
        <v>863</v>
      </c>
      <c r="AS94" s="39"/>
      <c r="AT94" s="39"/>
      <c r="AU94" s="51"/>
      <c r="AV94" s="50"/>
      <c r="AW94" s="38"/>
      <c r="AX94" s="52"/>
      <c r="AY94" s="173"/>
      <c r="AZ94" s="38"/>
      <c r="BA94" s="38" t="e">
        <f>VLOOKUP(I94,#REF!,2,0)</f>
        <v>#REF!</v>
      </c>
      <c r="BB94" s="71"/>
      <c r="BC94" s="59"/>
      <c r="BD94" s="39"/>
      <c r="BE94" s="39"/>
      <c r="BF94" s="39"/>
      <c r="BG94" s="39"/>
      <c r="BH94" s="59"/>
      <c r="BI94" s="59"/>
      <c r="BJ94" s="59"/>
      <c r="BK94" s="59"/>
      <c r="BL94" s="59"/>
      <c r="BM94" s="59"/>
      <c r="BN94" s="59"/>
      <c r="BO94" s="59"/>
      <c r="BP94" s="59"/>
      <c r="BQ94" s="62"/>
      <c r="BR94" s="6"/>
      <c r="BS94" s="70"/>
      <c r="BT94" s="62" t="s">
        <v>2641</v>
      </c>
      <c r="BU94" s="84"/>
      <c r="BV94" s="84"/>
      <c r="BW94" s="84"/>
      <c r="BX94" s="84"/>
      <c r="BY94" s="84"/>
    </row>
    <row r="95" spans="1:77" ht="60" x14ac:dyDescent="0.25">
      <c r="A95" s="38" t="s">
        <v>2642</v>
      </c>
      <c r="B95" s="39">
        <v>90</v>
      </c>
      <c r="C95" s="38" t="s">
        <v>149</v>
      </c>
      <c r="D95" s="40" t="s">
        <v>2643</v>
      </c>
      <c r="E95" s="39" t="s">
        <v>151</v>
      </c>
      <c r="F95" s="39" t="s">
        <v>152</v>
      </c>
      <c r="G95" s="39" t="s">
        <v>151</v>
      </c>
      <c r="H95" s="41"/>
      <c r="I95" s="41" t="s">
        <v>569</v>
      </c>
      <c r="J95" s="41"/>
      <c r="K95" s="41"/>
      <c r="L95" s="41"/>
      <c r="M95" s="42" t="str">
        <f t="shared" si="22"/>
        <v xml:space="preserve">Audio Video &amp; Control, S.A. de C.V.  </v>
      </c>
      <c r="N95" s="991" t="s">
        <v>190</v>
      </c>
      <c r="O95" s="991" t="s">
        <v>190</v>
      </c>
      <c r="P95" s="991" t="s">
        <v>2644</v>
      </c>
      <c r="Q95" s="992">
        <v>500000</v>
      </c>
      <c r="R95" s="44">
        <f t="shared" si="23"/>
        <v>80000</v>
      </c>
      <c r="S95" s="45">
        <f t="shared" si="24"/>
        <v>580000</v>
      </c>
      <c r="T95" s="46">
        <v>200000</v>
      </c>
      <c r="U95" s="47">
        <f t="shared" si="25"/>
        <v>232000</v>
      </c>
      <c r="V95" s="44">
        <f t="shared" si="26"/>
        <v>580000</v>
      </c>
      <c r="W95" s="993" t="s">
        <v>156</v>
      </c>
      <c r="X95" s="48">
        <v>44081</v>
      </c>
      <c r="Y95" s="39" t="s">
        <v>863</v>
      </c>
      <c r="Z95" s="48">
        <v>44081</v>
      </c>
      <c r="AA95" s="48">
        <v>44196</v>
      </c>
      <c r="AB95" s="38" t="s">
        <v>2071</v>
      </c>
      <c r="AC95" s="38"/>
      <c r="AD95" s="59">
        <v>44095</v>
      </c>
      <c r="AE95" s="59">
        <v>44098</v>
      </c>
      <c r="AF95" s="59" t="s">
        <v>161</v>
      </c>
      <c r="AG95" s="59" t="s">
        <v>161</v>
      </c>
      <c r="AH95" s="39" t="s">
        <v>183</v>
      </c>
      <c r="AI95" s="38"/>
      <c r="AJ95" s="38"/>
      <c r="AK95" s="50"/>
      <c r="AL95" s="44"/>
      <c r="AM95" s="39" t="str">
        <f t="shared" ca="1" si="27"/>
        <v>MUERTO</v>
      </c>
      <c r="AN95" s="39"/>
      <c r="AO95" s="39"/>
      <c r="AP95" s="39"/>
      <c r="AQ95" s="39"/>
      <c r="AR95" s="39" t="s">
        <v>863</v>
      </c>
      <c r="AS95" s="39"/>
      <c r="AT95" s="39"/>
      <c r="AU95" s="51"/>
      <c r="AV95" s="50"/>
      <c r="AW95" s="38"/>
      <c r="AX95" s="52"/>
      <c r="AY95" s="173"/>
      <c r="AZ95" s="38"/>
      <c r="BA95" s="38" t="e">
        <f>VLOOKUP(I95,#REF!,2,0)</f>
        <v>#REF!</v>
      </c>
      <c r="BB95" s="71"/>
      <c r="BC95" s="59"/>
      <c r="BD95" s="39"/>
      <c r="BE95" s="39"/>
      <c r="BF95" s="39"/>
      <c r="BG95" s="39"/>
      <c r="BH95" s="59"/>
      <c r="BI95" s="59"/>
      <c r="BJ95" s="59"/>
      <c r="BK95" s="59"/>
      <c r="BL95" s="59"/>
      <c r="BM95" s="59"/>
      <c r="BN95" s="59"/>
      <c r="BO95" s="59"/>
      <c r="BP95" s="59"/>
      <c r="BQ95" s="62"/>
      <c r="BR95" s="6"/>
      <c r="BS95" s="70"/>
      <c r="BT95" s="62" t="s">
        <v>2645</v>
      </c>
      <c r="BU95" s="84"/>
      <c r="BV95" s="84"/>
      <c r="BW95" s="84"/>
      <c r="BX95" s="84"/>
      <c r="BY95" s="84"/>
    </row>
    <row r="96" spans="1:77" ht="60" x14ac:dyDescent="0.25">
      <c r="A96" s="38" t="s">
        <v>2646</v>
      </c>
      <c r="B96" s="39">
        <v>91</v>
      </c>
      <c r="C96" s="38" t="s">
        <v>149</v>
      </c>
      <c r="D96" s="40" t="s">
        <v>2647</v>
      </c>
      <c r="E96" s="39" t="s">
        <v>151</v>
      </c>
      <c r="F96" s="39" t="s">
        <v>152</v>
      </c>
      <c r="G96" s="39" t="s">
        <v>151</v>
      </c>
      <c r="H96" s="41"/>
      <c r="I96" s="41" t="s">
        <v>569</v>
      </c>
      <c r="J96" s="41"/>
      <c r="K96" s="41"/>
      <c r="L96" s="41"/>
      <c r="M96" s="42" t="str">
        <f t="shared" si="22"/>
        <v xml:space="preserve">Audio Video &amp; Control, S.A. de C.V.  </v>
      </c>
      <c r="N96" s="991" t="s">
        <v>190</v>
      </c>
      <c r="O96" s="991" t="s">
        <v>190</v>
      </c>
      <c r="P96" s="991" t="s">
        <v>2648</v>
      </c>
      <c r="Q96" s="992">
        <v>1450000</v>
      </c>
      <c r="R96" s="44">
        <f t="shared" si="23"/>
        <v>232000</v>
      </c>
      <c r="S96" s="45">
        <f t="shared" si="24"/>
        <v>1682000</v>
      </c>
      <c r="T96" s="46">
        <v>600000</v>
      </c>
      <c r="U96" s="47">
        <f t="shared" si="25"/>
        <v>696000</v>
      </c>
      <c r="V96" s="44">
        <f t="shared" si="26"/>
        <v>1682000</v>
      </c>
      <c r="W96" s="993" t="s">
        <v>156</v>
      </c>
      <c r="X96" s="48">
        <v>44081</v>
      </c>
      <c r="Y96" s="39" t="s">
        <v>863</v>
      </c>
      <c r="Z96" s="48">
        <v>44081</v>
      </c>
      <c r="AA96" s="48">
        <v>44196</v>
      </c>
      <c r="AB96" s="38" t="s">
        <v>2071</v>
      </c>
      <c r="AC96" s="38"/>
      <c r="AD96" s="59">
        <v>44095</v>
      </c>
      <c r="AE96" s="59">
        <v>44098</v>
      </c>
      <c r="AF96" s="59" t="s">
        <v>161</v>
      </c>
      <c r="AG96" s="59" t="s">
        <v>161</v>
      </c>
      <c r="AH96" s="39" t="s">
        <v>183</v>
      </c>
      <c r="AI96" s="38"/>
      <c r="AJ96" s="38"/>
      <c r="AK96" s="50"/>
      <c r="AL96" s="44"/>
      <c r="AM96" s="39" t="str">
        <f t="shared" ca="1" si="27"/>
        <v>MUERTO</v>
      </c>
      <c r="AN96" s="39"/>
      <c r="AO96" s="39"/>
      <c r="AP96" s="39"/>
      <c r="AQ96" s="39"/>
      <c r="AR96" s="39" t="s">
        <v>863</v>
      </c>
      <c r="AS96" s="39"/>
      <c r="AT96" s="39"/>
      <c r="AU96" s="51"/>
      <c r="AV96" s="50"/>
      <c r="AW96" s="38"/>
      <c r="AX96" s="52"/>
      <c r="AY96" s="173"/>
      <c r="AZ96" s="38"/>
      <c r="BA96" s="38" t="e">
        <f>VLOOKUP(I96,#REF!,2,0)</f>
        <v>#REF!</v>
      </c>
      <c r="BB96" s="71"/>
      <c r="BC96" s="59"/>
      <c r="BD96" s="39"/>
      <c r="BE96" s="39"/>
      <c r="BF96" s="39"/>
      <c r="BG96" s="39"/>
      <c r="BH96" s="59"/>
      <c r="BI96" s="59"/>
      <c r="BJ96" s="59"/>
      <c r="BK96" s="59"/>
      <c r="BL96" s="59"/>
      <c r="BM96" s="59"/>
      <c r="BN96" s="59"/>
      <c r="BO96" s="59"/>
      <c r="BP96" s="59"/>
      <c r="BQ96" s="62"/>
      <c r="BR96" s="6"/>
      <c r="BS96" s="70"/>
      <c r="BT96" s="62" t="s">
        <v>2645</v>
      </c>
      <c r="BU96" s="84"/>
      <c r="BV96" s="84"/>
      <c r="BW96" s="84"/>
      <c r="BX96" s="84"/>
      <c r="BY96" s="84"/>
    </row>
    <row r="97" spans="1:77" ht="75" x14ac:dyDescent="0.25">
      <c r="A97" s="38" t="s">
        <v>2649</v>
      </c>
      <c r="B97" s="39">
        <v>92</v>
      </c>
      <c r="C97" s="38" t="s">
        <v>149</v>
      </c>
      <c r="D97" s="40" t="s">
        <v>2650</v>
      </c>
      <c r="E97" s="39" t="s">
        <v>151</v>
      </c>
      <c r="F97" s="39" t="s">
        <v>152</v>
      </c>
      <c r="G97" s="39" t="s">
        <v>151</v>
      </c>
      <c r="H97" s="41"/>
      <c r="I97" s="41" t="s">
        <v>2651</v>
      </c>
      <c r="J97" s="41"/>
      <c r="K97" s="41"/>
      <c r="L97" s="41"/>
      <c r="M97" s="42" t="str">
        <f t="shared" si="22"/>
        <v xml:space="preserve">Advanced Engineering Solutions and Control, S.A. de C.V.  </v>
      </c>
      <c r="N97" s="991" t="s">
        <v>315</v>
      </c>
      <c r="O97" s="991" t="s">
        <v>315</v>
      </c>
      <c r="P97" s="991" t="s">
        <v>2652</v>
      </c>
      <c r="Q97" s="992">
        <v>682600</v>
      </c>
      <c r="R97" s="44">
        <f t="shared" si="23"/>
        <v>109216</v>
      </c>
      <c r="S97" s="45">
        <f t="shared" si="24"/>
        <v>791816</v>
      </c>
      <c r="T97" s="46">
        <v>0</v>
      </c>
      <c r="U97" s="47">
        <f t="shared" si="25"/>
        <v>0</v>
      </c>
      <c r="V97" s="44">
        <f t="shared" si="26"/>
        <v>791816</v>
      </c>
      <c r="W97" s="993" t="s">
        <v>156</v>
      </c>
      <c r="X97" s="48">
        <v>44088</v>
      </c>
      <c r="Y97" s="39" t="s">
        <v>863</v>
      </c>
      <c r="Z97" s="48">
        <v>44085</v>
      </c>
      <c r="AA97" s="48">
        <v>44196</v>
      </c>
      <c r="AB97" s="38" t="s">
        <v>2017</v>
      </c>
      <c r="AC97" s="38"/>
      <c r="AD97" s="59">
        <v>44105</v>
      </c>
      <c r="AE97" s="59">
        <v>44130</v>
      </c>
      <c r="AF97" s="59" t="s">
        <v>161</v>
      </c>
      <c r="AG97" s="59" t="s">
        <v>2653</v>
      </c>
      <c r="AH97" s="39" t="s">
        <v>156</v>
      </c>
      <c r="AI97" s="38"/>
      <c r="AJ97" s="38"/>
      <c r="AK97" s="50"/>
      <c r="AL97" s="44"/>
      <c r="AM97" s="39" t="str">
        <f t="shared" ca="1" si="27"/>
        <v>MUERTO</v>
      </c>
      <c r="AN97" s="39"/>
      <c r="AO97" s="39"/>
      <c r="AP97" s="39"/>
      <c r="AQ97" s="39"/>
      <c r="AR97" s="39" t="s">
        <v>863</v>
      </c>
      <c r="AS97" s="39"/>
      <c r="AT97" s="39"/>
      <c r="AU97" s="51"/>
      <c r="AV97" s="50"/>
      <c r="AW97" s="38"/>
      <c r="AX97" s="52"/>
      <c r="AY97" s="173"/>
      <c r="AZ97" s="38"/>
      <c r="BA97" s="38" t="e">
        <f>VLOOKUP(I97,#REF!,2,0)</f>
        <v>#REF!</v>
      </c>
      <c r="BB97" s="71"/>
      <c r="BC97" s="59"/>
      <c r="BD97" s="39"/>
      <c r="BE97" s="39"/>
      <c r="BF97" s="39"/>
      <c r="BG97" s="39"/>
      <c r="BH97" s="59"/>
      <c r="BI97" s="59"/>
      <c r="BJ97" s="59"/>
      <c r="BK97" s="59"/>
      <c r="BL97" s="59"/>
      <c r="BM97" s="59"/>
      <c r="BN97" s="59"/>
      <c r="BO97" s="59"/>
      <c r="BP97" s="59"/>
      <c r="BQ97" s="62"/>
      <c r="BR97" s="6"/>
      <c r="BS97" s="70"/>
      <c r="BT97" s="62" t="s">
        <v>2645</v>
      </c>
      <c r="BU97" s="84"/>
      <c r="BV97" s="84"/>
      <c r="BW97" s="84"/>
      <c r="BX97" s="84"/>
      <c r="BY97" s="84"/>
    </row>
    <row r="98" spans="1:77" ht="105" x14ac:dyDescent="0.25">
      <c r="A98" s="38" t="s">
        <v>2654</v>
      </c>
      <c r="B98" s="39">
        <v>93</v>
      </c>
      <c r="C98" s="38" t="s">
        <v>149</v>
      </c>
      <c r="D98" s="40" t="s">
        <v>2655</v>
      </c>
      <c r="E98" s="39" t="s">
        <v>151</v>
      </c>
      <c r="F98" s="39" t="s">
        <v>152</v>
      </c>
      <c r="G98" s="39" t="s">
        <v>151</v>
      </c>
      <c r="H98" s="41"/>
      <c r="I98" s="41" t="s">
        <v>2115</v>
      </c>
      <c r="J98" s="41"/>
      <c r="K98" s="41"/>
      <c r="L98" s="41"/>
      <c r="M98" s="42" t="str">
        <f t="shared" si="22"/>
        <v xml:space="preserve">Ingeniería Operativa, S.A. de C.V.  </v>
      </c>
      <c r="N98" s="991" t="s">
        <v>166</v>
      </c>
      <c r="O98" s="991" t="s">
        <v>2656</v>
      </c>
      <c r="P98" s="991" t="s">
        <v>2657</v>
      </c>
      <c r="Q98" s="992">
        <v>671280</v>
      </c>
      <c r="R98" s="44">
        <f t="shared" si="23"/>
        <v>107404.8</v>
      </c>
      <c r="S98" s="45">
        <f t="shared" si="24"/>
        <v>778684.8</v>
      </c>
      <c r="T98" s="46">
        <v>0</v>
      </c>
      <c r="U98" s="47">
        <f t="shared" si="25"/>
        <v>0</v>
      </c>
      <c r="V98" s="44">
        <f t="shared" si="26"/>
        <v>778684.8</v>
      </c>
      <c r="W98" s="993" t="s">
        <v>156</v>
      </c>
      <c r="X98" s="48">
        <v>44097</v>
      </c>
      <c r="Y98" s="39" t="s">
        <v>863</v>
      </c>
      <c r="Z98" s="48">
        <v>44097</v>
      </c>
      <c r="AA98" s="48">
        <v>44196</v>
      </c>
      <c r="AB98" s="38" t="s">
        <v>2033</v>
      </c>
      <c r="AC98" s="38"/>
      <c r="AD98" s="59">
        <v>44112</v>
      </c>
      <c r="AE98" s="59">
        <v>44110</v>
      </c>
      <c r="AF98" s="59" t="s">
        <v>161</v>
      </c>
      <c r="AG98" s="59" t="s">
        <v>161</v>
      </c>
      <c r="AH98" s="39" t="s">
        <v>183</v>
      </c>
      <c r="AI98" s="38"/>
      <c r="AJ98" s="38"/>
      <c r="AK98" s="50"/>
      <c r="AL98" s="44"/>
      <c r="AM98" s="39" t="str">
        <f t="shared" ca="1" si="27"/>
        <v>MUERTO</v>
      </c>
      <c r="AN98" s="39"/>
      <c r="AO98" s="39"/>
      <c r="AP98" s="39"/>
      <c r="AQ98" s="39"/>
      <c r="AR98" s="39" t="s">
        <v>863</v>
      </c>
      <c r="AS98" s="39"/>
      <c r="AT98" s="39"/>
      <c r="AU98" s="51"/>
      <c r="AV98" s="50"/>
      <c r="AW98" s="38"/>
      <c r="AX98" s="52"/>
      <c r="AY98" s="173"/>
      <c r="AZ98" s="38"/>
      <c r="BA98" s="38" t="e">
        <f>VLOOKUP(I98,#REF!,2,0)</f>
        <v>#REF!</v>
      </c>
      <c r="BB98" s="71"/>
      <c r="BC98" s="59"/>
      <c r="BD98" s="39"/>
      <c r="BE98" s="39"/>
      <c r="BF98" s="39"/>
      <c r="BG98" s="39"/>
      <c r="BH98" s="59"/>
      <c r="BI98" s="59"/>
      <c r="BJ98" s="59"/>
      <c r="BK98" s="59"/>
      <c r="BL98" s="59"/>
      <c r="BM98" s="59"/>
      <c r="BN98" s="59"/>
      <c r="BO98" s="59"/>
      <c r="BP98" s="59"/>
      <c r="BQ98" s="62"/>
      <c r="BR98" s="6"/>
      <c r="BS98" s="70"/>
      <c r="BT98" s="62" t="s">
        <v>2658</v>
      </c>
      <c r="BU98" s="84"/>
      <c r="BV98" s="84"/>
      <c r="BW98" s="84"/>
      <c r="BX98" s="84"/>
      <c r="BY98" s="84"/>
    </row>
    <row r="99" spans="1:77" ht="45" x14ac:dyDescent="0.25">
      <c r="A99" s="38" t="s">
        <v>2659</v>
      </c>
      <c r="B99" s="39">
        <v>94</v>
      </c>
      <c r="C99" s="38" t="s">
        <v>225</v>
      </c>
      <c r="D99" s="40" t="s">
        <v>2660</v>
      </c>
      <c r="E99" s="39" t="s">
        <v>173</v>
      </c>
      <c r="F99" s="39" t="s">
        <v>326</v>
      </c>
      <c r="G99" s="39" t="s">
        <v>173</v>
      </c>
      <c r="H99" s="41"/>
      <c r="I99" s="41" t="s">
        <v>2661</v>
      </c>
      <c r="J99" s="41"/>
      <c r="K99" s="41"/>
      <c r="L99" s="41"/>
      <c r="M99" s="42" t="str">
        <f t="shared" si="22"/>
        <v xml:space="preserve">Corporativo Coneltec, S.A. de C.V.  </v>
      </c>
      <c r="N99" s="991" t="s">
        <v>270</v>
      </c>
      <c r="O99" s="991" t="s">
        <v>270</v>
      </c>
      <c r="P99" s="991" t="s">
        <v>2662</v>
      </c>
      <c r="Q99" s="992">
        <v>2900000</v>
      </c>
      <c r="R99" s="44">
        <f t="shared" si="23"/>
        <v>464000</v>
      </c>
      <c r="S99" s="45">
        <f t="shared" si="24"/>
        <v>3364000</v>
      </c>
      <c r="T99" s="46">
        <v>116000</v>
      </c>
      <c r="U99" s="47">
        <f t="shared" si="25"/>
        <v>134560</v>
      </c>
      <c r="V99" s="44">
        <f t="shared" si="26"/>
        <v>3364000</v>
      </c>
      <c r="W99" s="993" t="s">
        <v>156</v>
      </c>
      <c r="X99" s="48">
        <v>37522</v>
      </c>
      <c r="Y99" s="39" t="s">
        <v>863</v>
      </c>
      <c r="Z99" s="48">
        <v>44096</v>
      </c>
      <c r="AA99" s="48">
        <v>44196</v>
      </c>
      <c r="AB99" s="38" t="s">
        <v>182</v>
      </c>
      <c r="AC99" s="38"/>
      <c r="AD99" s="59">
        <v>44103</v>
      </c>
      <c r="AE99" s="59" t="s">
        <v>161</v>
      </c>
      <c r="AF99" s="59" t="s">
        <v>161</v>
      </c>
      <c r="AG99" s="59" t="s">
        <v>161</v>
      </c>
      <c r="AH99" s="59" t="s">
        <v>183</v>
      </c>
      <c r="AI99" s="38"/>
      <c r="AJ99" s="38"/>
      <c r="AK99" s="50"/>
      <c r="AL99" s="44"/>
      <c r="AM99" s="39" t="str">
        <f t="shared" ca="1" si="27"/>
        <v>MUERTO</v>
      </c>
      <c r="AN99" s="39"/>
      <c r="AO99" s="39"/>
      <c r="AP99" s="39"/>
      <c r="AQ99" s="39"/>
      <c r="AR99" s="39" t="s">
        <v>863</v>
      </c>
      <c r="AS99" s="39"/>
      <c r="AT99" s="39"/>
      <c r="AU99" s="51"/>
      <c r="AV99" s="50"/>
      <c r="AW99" s="38"/>
      <c r="AX99" s="52"/>
      <c r="AY99" s="173"/>
      <c r="AZ99" s="38"/>
      <c r="BA99" s="38" t="e">
        <f>VLOOKUP(I99,#REF!,2,0)</f>
        <v>#REF!</v>
      </c>
      <c r="BB99" s="71"/>
      <c r="BC99" s="59"/>
      <c r="BD99" s="39"/>
      <c r="BE99" s="39"/>
      <c r="BF99" s="39"/>
      <c r="BG99" s="39"/>
      <c r="BH99" s="59"/>
      <c r="BI99" s="59"/>
      <c r="BJ99" s="59"/>
      <c r="BK99" s="59"/>
      <c r="BL99" s="59"/>
      <c r="BM99" s="59"/>
      <c r="BN99" s="59"/>
      <c r="BO99" s="59"/>
      <c r="BP99" s="59"/>
      <c r="BQ99" s="62"/>
      <c r="BR99" s="6"/>
      <c r="BS99" s="70"/>
      <c r="BT99" s="62" t="s">
        <v>2641</v>
      </c>
      <c r="BU99" s="84"/>
      <c r="BV99" s="84"/>
      <c r="BW99" s="84"/>
      <c r="BX99" s="84"/>
      <c r="BY99" s="84"/>
    </row>
    <row r="100" spans="1:77" ht="45" x14ac:dyDescent="0.25">
      <c r="A100" s="38" t="s">
        <v>2663</v>
      </c>
      <c r="B100" s="39">
        <v>95</v>
      </c>
      <c r="C100" s="38" t="s">
        <v>225</v>
      </c>
      <c r="D100" s="40" t="s">
        <v>2660</v>
      </c>
      <c r="E100" s="39" t="s">
        <v>173</v>
      </c>
      <c r="F100" s="39" t="s">
        <v>326</v>
      </c>
      <c r="G100" s="39" t="s">
        <v>173</v>
      </c>
      <c r="H100" s="41"/>
      <c r="I100" s="41" t="s">
        <v>2664</v>
      </c>
      <c r="J100" s="41"/>
      <c r="K100" s="41"/>
      <c r="L100" s="41"/>
      <c r="M100" s="42" t="str">
        <f t="shared" si="22"/>
        <v xml:space="preserve">Abastecedora Aragonesa, S.A. de C.V.  </v>
      </c>
      <c r="N100" s="991" t="s">
        <v>270</v>
      </c>
      <c r="O100" s="991" t="s">
        <v>270</v>
      </c>
      <c r="P100" s="991" t="s">
        <v>2665</v>
      </c>
      <c r="Q100" s="992">
        <v>50549.75</v>
      </c>
      <c r="R100" s="44">
        <f t="shared" si="23"/>
        <v>8087.96</v>
      </c>
      <c r="S100" s="45">
        <f t="shared" si="24"/>
        <v>58637.71</v>
      </c>
      <c r="T100" s="46">
        <v>20219.900000000001</v>
      </c>
      <c r="U100" s="47">
        <f t="shared" si="25"/>
        <v>23455.084000000003</v>
      </c>
      <c r="V100" s="44">
        <f t="shared" si="26"/>
        <v>58637.71</v>
      </c>
      <c r="W100" s="993" t="s">
        <v>156</v>
      </c>
      <c r="X100" s="48">
        <v>44097</v>
      </c>
      <c r="Y100" s="39" t="s">
        <v>863</v>
      </c>
      <c r="Z100" s="48">
        <v>44096</v>
      </c>
      <c r="AA100" s="48">
        <v>44196</v>
      </c>
      <c r="AB100" s="38" t="s">
        <v>182</v>
      </c>
      <c r="AC100" s="38"/>
      <c r="AD100" s="59">
        <v>44110</v>
      </c>
      <c r="AE100" s="59" t="s">
        <v>161</v>
      </c>
      <c r="AF100" s="59" t="s">
        <v>161</v>
      </c>
      <c r="AG100" s="59" t="s">
        <v>161</v>
      </c>
      <c r="AH100" s="59" t="s">
        <v>183</v>
      </c>
      <c r="AI100" s="38"/>
      <c r="AJ100" s="38"/>
      <c r="AK100" s="50"/>
      <c r="AL100" s="44"/>
      <c r="AM100" s="39" t="str">
        <f t="shared" ca="1" si="27"/>
        <v>MUERTO</v>
      </c>
      <c r="AN100" s="39"/>
      <c r="AO100" s="39"/>
      <c r="AP100" s="39"/>
      <c r="AQ100" s="39"/>
      <c r="AR100" s="39" t="s">
        <v>863</v>
      </c>
      <c r="AS100" s="39"/>
      <c r="AT100" s="39"/>
      <c r="AU100" s="51"/>
      <c r="AV100" s="50"/>
      <c r="AW100" s="38"/>
      <c r="AX100" s="52"/>
      <c r="AY100" s="173"/>
      <c r="AZ100" s="38"/>
      <c r="BA100" s="38" t="e">
        <f>VLOOKUP(I100,#REF!,2,0)</f>
        <v>#REF!</v>
      </c>
      <c r="BB100" s="71"/>
      <c r="BC100" s="59"/>
      <c r="BD100" s="39"/>
      <c r="BE100" s="39"/>
      <c r="BF100" s="39"/>
      <c r="BG100" s="39"/>
      <c r="BH100" s="59"/>
      <c r="BI100" s="59"/>
      <c r="BJ100" s="59"/>
      <c r="BK100" s="59"/>
      <c r="BL100" s="59"/>
      <c r="BM100" s="59"/>
      <c r="BN100" s="59"/>
      <c r="BO100" s="59"/>
      <c r="BP100" s="59"/>
      <c r="BQ100" s="62"/>
      <c r="BR100" s="6"/>
      <c r="BS100" s="70"/>
      <c r="BT100" s="62" t="s">
        <v>2658</v>
      </c>
      <c r="BU100" s="84"/>
      <c r="BV100" s="84"/>
      <c r="BW100" s="84"/>
      <c r="BX100" s="84"/>
      <c r="BY100" s="84"/>
    </row>
    <row r="101" spans="1:77" ht="195" x14ac:dyDescent="0.25">
      <c r="A101" s="38" t="s">
        <v>2666</v>
      </c>
      <c r="B101" s="39">
        <v>96</v>
      </c>
      <c r="C101" s="38" t="s">
        <v>149</v>
      </c>
      <c r="D101" s="40" t="s">
        <v>2667</v>
      </c>
      <c r="E101" s="39" t="s">
        <v>151</v>
      </c>
      <c r="F101" s="39" t="s">
        <v>152</v>
      </c>
      <c r="G101" s="39" t="s">
        <v>151</v>
      </c>
      <c r="H101" s="41"/>
      <c r="I101" s="41" t="s">
        <v>2668</v>
      </c>
      <c r="J101" s="41"/>
      <c r="K101" s="41"/>
      <c r="L101" s="41"/>
      <c r="M101" s="42" t="str">
        <f t="shared" si="22"/>
        <v xml:space="preserve">Roka Instalaciones y Equipos, S.A. de C.V.  </v>
      </c>
      <c r="N101" s="991" t="s">
        <v>198</v>
      </c>
      <c r="O101" s="991" t="s">
        <v>198</v>
      </c>
      <c r="P101" s="991" t="s">
        <v>1460</v>
      </c>
      <c r="Q101" s="992">
        <v>1034482.76</v>
      </c>
      <c r="R101" s="44">
        <f t="shared" si="23"/>
        <v>165517.24160000001</v>
      </c>
      <c r="S101" s="45">
        <f t="shared" si="24"/>
        <v>1200000.0016000001</v>
      </c>
      <c r="T101" s="46">
        <v>583620.68999999994</v>
      </c>
      <c r="U101" s="47">
        <f t="shared" si="25"/>
        <v>677000.0003999999</v>
      </c>
      <c r="V101" s="44">
        <f t="shared" si="26"/>
        <v>1500000.0020000001</v>
      </c>
      <c r="W101" s="993" t="s">
        <v>156</v>
      </c>
      <c r="X101" s="48">
        <v>44102</v>
      </c>
      <c r="Y101" s="39" t="s">
        <v>863</v>
      </c>
      <c r="Z101" s="48">
        <v>44097</v>
      </c>
      <c r="AA101" s="48" t="s">
        <v>2669</v>
      </c>
      <c r="AB101" s="38" t="s">
        <v>2076</v>
      </c>
      <c r="AC101" s="38" t="s">
        <v>2370</v>
      </c>
      <c r="AD101" s="59">
        <v>44118</v>
      </c>
      <c r="AE101" s="59">
        <v>44112</v>
      </c>
      <c r="AF101" s="59" t="s">
        <v>161</v>
      </c>
      <c r="AG101" s="59" t="s">
        <v>161</v>
      </c>
      <c r="AH101" s="59" t="s">
        <v>183</v>
      </c>
      <c r="AI101" s="100" t="s">
        <v>2670</v>
      </c>
      <c r="AJ101" s="100" t="s">
        <v>2671</v>
      </c>
      <c r="AK101" s="101">
        <v>44195</v>
      </c>
      <c r="AL101" s="102">
        <f>258620.69*1.16</f>
        <v>300000.00039999996</v>
      </c>
      <c r="AM101" s="39" t="str">
        <f t="shared" ca="1" si="27"/>
        <v>VIGENTE</v>
      </c>
      <c r="AN101" s="39"/>
      <c r="AO101" s="39"/>
      <c r="AP101" s="39"/>
      <c r="AQ101" s="39"/>
      <c r="AR101" s="39" t="s">
        <v>863</v>
      </c>
      <c r="AS101" s="39"/>
      <c r="AT101" s="39"/>
      <c r="AU101" s="51"/>
      <c r="AV101" s="50"/>
      <c r="AW101" s="38"/>
      <c r="AX101" s="52"/>
      <c r="AY101" s="173"/>
      <c r="AZ101" s="38"/>
      <c r="BA101" s="38" t="e">
        <f>VLOOKUP(I101,#REF!,2,0)</f>
        <v>#REF!</v>
      </c>
      <c r="BB101" s="71"/>
      <c r="BC101" s="59"/>
      <c r="BD101" s="39"/>
      <c r="BE101" s="39"/>
      <c r="BF101" s="39"/>
      <c r="BG101" s="39"/>
      <c r="BH101" s="59"/>
      <c r="BI101" s="59"/>
      <c r="BJ101" s="59"/>
      <c r="BK101" s="59"/>
      <c r="BL101" s="59"/>
      <c r="BM101" s="59" t="s">
        <v>2455</v>
      </c>
      <c r="BN101" s="59"/>
      <c r="BO101" s="59"/>
      <c r="BP101" s="59"/>
      <c r="BQ101" s="62"/>
      <c r="BR101" s="6"/>
      <c r="BS101" s="70"/>
      <c r="BT101" s="62" t="s">
        <v>2672</v>
      </c>
      <c r="BU101" s="84"/>
      <c r="BV101" s="84"/>
      <c r="BW101" s="84"/>
      <c r="BX101" s="84"/>
      <c r="BY101" s="84"/>
    </row>
    <row r="102" spans="1:77" ht="60" x14ac:dyDescent="0.25">
      <c r="A102" s="38" t="s">
        <v>2673</v>
      </c>
      <c r="B102" s="39">
        <v>97</v>
      </c>
      <c r="C102" s="38" t="s">
        <v>225</v>
      </c>
      <c r="D102" s="40" t="s">
        <v>2660</v>
      </c>
      <c r="E102" s="39" t="s">
        <v>173</v>
      </c>
      <c r="F102" s="39" t="s">
        <v>326</v>
      </c>
      <c r="G102" s="39" t="s">
        <v>173</v>
      </c>
      <c r="H102" s="41"/>
      <c r="I102" s="41" t="s">
        <v>511</v>
      </c>
      <c r="J102" s="41"/>
      <c r="K102" s="41"/>
      <c r="L102" s="41"/>
      <c r="M102" s="42" t="str">
        <f t="shared" si="22"/>
        <v xml:space="preserve">Cicovisa, S.A. de C.V.  </v>
      </c>
      <c r="N102" s="991" t="s">
        <v>270</v>
      </c>
      <c r="O102" s="991" t="s">
        <v>270</v>
      </c>
      <c r="P102" s="991" t="s">
        <v>2674</v>
      </c>
      <c r="Q102" s="992">
        <v>6537273.5086206896</v>
      </c>
      <c r="R102" s="44">
        <f t="shared" si="23"/>
        <v>1045963.7613793104</v>
      </c>
      <c r="S102" s="45">
        <f t="shared" si="24"/>
        <v>7583237.2699999996</v>
      </c>
      <c r="T102" s="46">
        <v>2614909.4137931038</v>
      </c>
      <c r="U102" s="47">
        <f t="shared" si="25"/>
        <v>3033294.9200000004</v>
      </c>
      <c r="V102" s="44">
        <f t="shared" si="26"/>
        <v>7583237.2699999996</v>
      </c>
      <c r="W102" s="993" t="s">
        <v>156</v>
      </c>
      <c r="X102" s="48">
        <v>44102</v>
      </c>
      <c r="Y102" s="39" t="s">
        <v>863</v>
      </c>
      <c r="Z102" s="48">
        <v>44096</v>
      </c>
      <c r="AA102" s="48">
        <v>44196</v>
      </c>
      <c r="AB102" s="38" t="s">
        <v>182</v>
      </c>
      <c r="AC102" s="38"/>
      <c r="AD102" s="59">
        <v>44112</v>
      </c>
      <c r="AE102" s="59" t="s">
        <v>161</v>
      </c>
      <c r="AF102" s="59" t="s">
        <v>161</v>
      </c>
      <c r="AG102" s="59" t="s">
        <v>161</v>
      </c>
      <c r="AH102" s="59" t="s">
        <v>183</v>
      </c>
      <c r="AI102" s="38"/>
      <c r="AJ102" s="38"/>
      <c r="AK102" s="50"/>
      <c r="AL102" s="44"/>
      <c r="AM102" s="39" t="str">
        <f t="shared" ca="1" si="27"/>
        <v>MUERTO</v>
      </c>
      <c r="AN102" s="39"/>
      <c r="AO102" s="39"/>
      <c r="AP102" s="39"/>
      <c r="AQ102" s="39"/>
      <c r="AR102" s="39" t="s">
        <v>863</v>
      </c>
      <c r="AS102" s="39"/>
      <c r="AT102" s="39"/>
      <c r="AU102" s="51"/>
      <c r="AV102" s="50"/>
      <c r="AW102" s="38"/>
      <c r="AX102" s="52"/>
      <c r="AY102" s="173"/>
      <c r="AZ102" s="38"/>
      <c r="BA102" s="38" t="e">
        <f>VLOOKUP(I102,#REF!,2,0)</f>
        <v>#REF!</v>
      </c>
      <c r="BB102" s="71"/>
      <c r="BC102" s="59"/>
      <c r="BD102" s="39"/>
      <c r="BE102" s="39"/>
      <c r="BF102" s="39"/>
      <c r="BG102" s="39"/>
      <c r="BH102" s="59"/>
      <c r="BI102" s="59"/>
      <c r="BJ102" s="59"/>
      <c r="BK102" s="59"/>
      <c r="BL102" s="59"/>
      <c r="BM102" s="59"/>
      <c r="BN102" s="59"/>
      <c r="BO102" s="59"/>
      <c r="BP102" s="59"/>
      <c r="BQ102" s="62"/>
      <c r="BR102" s="6"/>
      <c r="BS102" s="70"/>
      <c r="BT102" s="62" t="s">
        <v>2658</v>
      </c>
      <c r="BU102" s="84"/>
      <c r="BV102" s="84"/>
      <c r="BW102" s="84"/>
      <c r="BX102" s="84"/>
      <c r="BY102" s="84"/>
    </row>
    <row r="103" spans="1:77" ht="45" x14ac:dyDescent="0.25">
      <c r="A103" s="38" t="s">
        <v>2675</v>
      </c>
      <c r="B103" s="39">
        <v>98</v>
      </c>
      <c r="C103" s="38" t="s">
        <v>225</v>
      </c>
      <c r="D103" s="40" t="s">
        <v>2660</v>
      </c>
      <c r="E103" s="39" t="s">
        <v>173</v>
      </c>
      <c r="F103" s="39" t="s">
        <v>326</v>
      </c>
      <c r="G103" s="39" t="s">
        <v>173</v>
      </c>
      <c r="H103" s="41"/>
      <c r="I103" s="41" t="s">
        <v>519</v>
      </c>
      <c r="J103" s="41"/>
      <c r="K103" s="41"/>
      <c r="L103" s="41"/>
      <c r="M103" s="42" t="str">
        <f t="shared" si="22"/>
        <v xml:space="preserve">Cosmopapel, S.A. de C.V.  </v>
      </c>
      <c r="N103" s="991" t="s">
        <v>270</v>
      </c>
      <c r="O103" s="991" t="s">
        <v>270</v>
      </c>
      <c r="P103" s="991" t="s">
        <v>2676</v>
      </c>
      <c r="Q103" s="992">
        <v>1727374</v>
      </c>
      <c r="R103" s="44">
        <f t="shared" si="23"/>
        <v>276379.84000000003</v>
      </c>
      <c r="S103" s="45">
        <f t="shared" si="24"/>
        <v>2003753.84</v>
      </c>
      <c r="T103" s="46">
        <v>690949.6</v>
      </c>
      <c r="U103" s="47">
        <f t="shared" si="25"/>
        <v>801501.53599999996</v>
      </c>
      <c r="V103" s="44">
        <f t="shared" si="26"/>
        <v>2003753.84</v>
      </c>
      <c r="W103" s="993" t="s">
        <v>156</v>
      </c>
      <c r="X103" s="48">
        <v>44102</v>
      </c>
      <c r="Y103" s="39" t="s">
        <v>863</v>
      </c>
      <c r="Z103" s="48">
        <v>44096</v>
      </c>
      <c r="AA103" s="48">
        <v>44196</v>
      </c>
      <c r="AB103" s="38" t="s">
        <v>182</v>
      </c>
      <c r="AC103" s="38"/>
      <c r="AD103" s="59">
        <v>44110</v>
      </c>
      <c r="AE103" s="59" t="s">
        <v>161</v>
      </c>
      <c r="AF103" s="59" t="s">
        <v>161</v>
      </c>
      <c r="AG103" s="59" t="s">
        <v>161</v>
      </c>
      <c r="AH103" s="59" t="s">
        <v>183</v>
      </c>
      <c r="AI103" s="38"/>
      <c r="AJ103" s="38"/>
      <c r="AK103" s="50"/>
      <c r="AL103" s="44"/>
      <c r="AM103" s="39" t="str">
        <f t="shared" ca="1" si="27"/>
        <v>MUERTO</v>
      </c>
      <c r="AN103" s="39"/>
      <c r="AO103" s="39"/>
      <c r="AP103" s="39"/>
      <c r="AQ103" s="39"/>
      <c r="AR103" s="39" t="s">
        <v>863</v>
      </c>
      <c r="AS103" s="39"/>
      <c r="AT103" s="39"/>
      <c r="AU103" s="51"/>
      <c r="AV103" s="50"/>
      <c r="AW103" s="38"/>
      <c r="AX103" s="52"/>
      <c r="AY103" s="173"/>
      <c r="AZ103" s="38"/>
      <c r="BA103" s="38" t="e">
        <f>VLOOKUP(I103,#REF!,2,0)</f>
        <v>#REF!</v>
      </c>
      <c r="BB103" s="71"/>
      <c r="BC103" s="59"/>
      <c r="BD103" s="39"/>
      <c r="BE103" s="39"/>
      <c r="BF103" s="39"/>
      <c r="BG103" s="39"/>
      <c r="BH103" s="59"/>
      <c r="BI103" s="59"/>
      <c r="BJ103" s="59"/>
      <c r="BK103" s="59"/>
      <c r="BL103" s="59"/>
      <c r="BM103" s="59"/>
      <c r="BN103" s="59"/>
      <c r="BO103" s="59"/>
      <c r="BP103" s="59"/>
      <c r="BQ103" s="62"/>
      <c r="BR103" s="6"/>
      <c r="BS103" s="70"/>
      <c r="BT103" s="62" t="s">
        <v>2677</v>
      </c>
      <c r="BU103" s="84"/>
      <c r="BV103" s="84"/>
      <c r="BW103" s="84"/>
      <c r="BX103" s="84"/>
      <c r="BY103" s="84"/>
    </row>
    <row r="104" spans="1:77" ht="51" x14ac:dyDescent="0.25">
      <c r="A104" s="38" t="s">
        <v>2678</v>
      </c>
      <c r="B104" s="39">
        <v>99</v>
      </c>
      <c r="C104" s="38" t="s">
        <v>225</v>
      </c>
      <c r="D104" s="40" t="s">
        <v>2679</v>
      </c>
      <c r="E104" s="39" t="s">
        <v>151</v>
      </c>
      <c r="F104" s="39" t="s">
        <v>152</v>
      </c>
      <c r="G104" s="39" t="s">
        <v>151</v>
      </c>
      <c r="H104" s="41"/>
      <c r="I104" s="41" t="s">
        <v>631</v>
      </c>
      <c r="J104" s="41"/>
      <c r="K104" s="41"/>
      <c r="L104" s="41"/>
      <c r="M104" s="42" t="str">
        <f t="shared" si="22"/>
        <v xml:space="preserve">Grupo Besh, S.A. de C.V.  </v>
      </c>
      <c r="N104" s="991" t="s">
        <v>860</v>
      </c>
      <c r="O104" s="991" t="s">
        <v>220</v>
      </c>
      <c r="P104" s="991" t="s">
        <v>2680</v>
      </c>
      <c r="Q104" s="992">
        <v>728686</v>
      </c>
      <c r="R104" s="44">
        <f t="shared" si="23"/>
        <v>116589.76000000001</v>
      </c>
      <c r="S104" s="45">
        <f t="shared" si="24"/>
        <v>845275.76</v>
      </c>
      <c r="T104" s="46">
        <v>0</v>
      </c>
      <c r="U104" s="47">
        <f t="shared" si="25"/>
        <v>0</v>
      </c>
      <c r="V104" s="44">
        <f t="shared" si="26"/>
        <v>845275.76</v>
      </c>
      <c r="W104" s="993" t="s">
        <v>156</v>
      </c>
      <c r="X104" s="48">
        <v>44104</v>
      </c>
      <c r="Y104" s="39" t="s">
        <v>863</v>
      </c>
      <c r="Z104" s="48">
        <v>44104</v>
      </c>
      <c r="AA104" s="48">
        <v>44150</v>
      </c>
      <c r="AB104" s="38" t="s">
        <v>182</v>
      </c>
      <c r="AC104" s="38"/>
      <c r="AD104" s="59">
        <v>44126</v>
      </c>
      <c r="AE104" s="59" t="s">
        <v>161</v>
      </c>
      <c r="AF104" s="59" t="s">
        <v>161</v>
      </c>
      <c r="AG104" s="59" t="s">
        <v>161</v>
      </c>
      <c r="AH104" s="59" t="s">
        <v>183</v>
      </c>
      <c r="AI104" s="38"/>
      <c r="AJ104" s="38"/>
      <c r="AK104" s="50"/>
      <c r="AL104" s="44"/>
      <c r="AM104" s="39" t="str">
        <f t="shared" ca="1" si="27"/>
        <v>MUERTO</v>
      </c>
      <c r="AN104" s="39"/>
      <c r="AO104" s="39"/>
      <c r="AP104" s="39"/>
      <c r="AQ104" s="39"/>
      <c r="AR104" s="39" t="s">
        <v>863</v>
      </c>
      <c r="AS104" s="39"/>
      <c r="AT104" s="39"/>
      <c r="AU104" s="51"/>
      <c r="AV104" s="50"/>
      <c r="AW104" s="38"/>
      <c r="AX104" s="52"/>
      <c r="AY104" s="173"/>
      <c r="AZ104" s="38"/>
      <c r="BA104" s="38" t="e">
        <f>VLOOKUP(I104,#REF!,2,0)</f>
        <v>#REF!</v>
      </c>
      <c r="BB104" s="71"/>
      <c r="BC104" s="59"/>
      <c r="BD104" s="39"/>
      <c r="BE104" s="39"/>
      <c r="BF104" s="39"/>
      <c r="BG104" s="39"/>
      <c r="BH104" s="59"/>
      <c r="BI104" s="59"/>
      <c r="BJ104" s="59"/>
      <c r="BK104" s="59"/>
      <c r="BL104" s="59"/>
      <c r="BM104" s="59"/>
      <c r="BN104" s="59"/>
      <c r="BO104" s="59"/>
      <c r="BP104" s="59"/>
      <c r="BQ104" s="62"/>
      <c r="BR104" s="6"/>
      <c r="BS104" s="70"/>
      <c r="BT104" s="62" t="s">
        <v>2681</v>
      </c>
      <c r="BU104" s="84"/>
      <c r="BV104" s="84"/>
      <c r="BW104" s="84"/>
      <c r="BX104" s="84"/>
      <c r="BY104" s="84"/>
    </row>
    <row r="105" spans="1:77" ht="60" x14ac:dyDescent="0.25">
      <c r="A105" s="38" t="s">
        <v>2682</v>
      </c>
      <c r="B105" s="39">
        <v>100</v>
      </c>
      <c r="C105" s="38" t="s">
        <v>225</v>
      </c>
      <c r="D105" s="40" t="s">
        <v>2683</v>
      </c>
      <c r="E105" s="39" t="s">
        <v>151</v>
      </c>
      <c r="F105" s="39" t="s">
        <v>152</v>
      </c>
      <c r="G105" s="39" t="s">
        <v>151</v>
      </c>
      <c r="H105" s="41"/>
      <c r="I105" s="41" t="s">
        <v>446</v>
      </c>
      <c r="J105" s="41"/>
      <c r="K105" s="41"/>
      <c r="L105" s="41"/>
      <c r="M105" s="42" t="str">
        <f t="shared" si="22"/>
        <v xml:space="preserve">Internacional Proveedora de Industrias, S.A. de C.V.  </v>
      </c>
      <c r="N105" s="991" t="s">
        <v>270</v>
      </c>
      <c r="O105" s="991" t="s">
        <v>270</v>
      </c>
      <c r="P105" s="991" t="s">
        <v>2684</v>
      </c>
      <c r="Q105" s="992">
        <f>73153.5+39196.5+14259+25830</f>
        <v>152439</v>
      </c>
      <c r="R105" s="44">
        <f t="shared" si="23"/>
        <v>24390.240000000002</v>
      </c>
      <c r="S105" s="45">
        <f t="shared" si="24"/>
        <v>176829.24</v>
      </c>
      <c r="T105" s="46">
        <f>29261.4+15678.6+5703.6+10332</f>
        <v>60975.6</v>
      </c>
      <c r="U105" s="47">
        <f t="shared" si="25"/>
        <v>70731.695999999996</v>
      </c>
      <c r="V105" s="44">
        <f t="shared" si="26"/>
        <v>176829.24</v>
      </c>
      <c r="W105" s="993" t="s">
        <v>156</v>
      </c>
      <c r="X105" s="48">
        <v>44111</v>
      </c>
      <c r="Y105" s="39" t="s">
        <v>863</v>
      </c>
      <c r="Z105" s="48">
        <v>44104</v>
      </c>
      <c r="AA105" s="48">
        <v>44196</v>
      </c>
      <c r="AB105" s="38" t="s">
        <v>182</v>
      </c>
      <c r="AC105" s="38"/>
      <c r="AD105" s="59">
        <v>44132</v>
      </c>
      <c r="AE105" s="59" t="s">
        <v>161</v>
      </c>
      <c r="AF105" s="59" t="s">
        <v>161</v>
      </c>
      <c r="AG105" s="59" t="s">
        <v>161</v>
      </c>
      <c r="AH105" s="59" t="s">
        <v>183</v>
      </c>
      <c r="AI105" s="38"/>
      <c r="AJ105" s="38"/>
      <c r="AK105" s="50"/>
      <c r="AL105" s="44"/>
      <c r="AM105" s="39" t="str">
        <f t="shared" ca="1" si="27"/>
        <v>MUERTO</v>
      </c>
      <c r="AN105" s="39"/>
      <c r="AO105" s="39"/>
      <c r="AP105" s="39"/>
      <c r="AQ105" s="39"/>
      <c r="AR105" s="39" t="s">
        <v>881</v>
      </c>
      <c r="AS105" s="39"/>
      <c r="AT105" s="39"/>
      <c r="AU105" s="51"/>
      <c r="AV105" s="50"/>
      <c r="AW105" s="38"/>
      <c r="AX105" s="52"/>
      <c r="AY105" s="173"/>
      <c r="AZ105" s="38"/>
      <c r="BA105" s="38" t="e">
        <f>VLOOKUP(I105,#REF!,2,0)</f>
        <v>#REF!</v>
      </c>
      <c r="BB105" s="71"/>
      <c r="BC105" s="59"/>
      <c r="BD105" s="39"/>
      <c r="BE105" s="39"/>
      <c r="BF105" s="39"/>
      <c r="BG105" s="39"/>
      <c r="BH105" s="59"/>
      <c r="BI105" s="59"/>
      <c r="BJ105" s="59"/>
      <c r="BK105" s="59"/>
      <c r="BL105" s="59"/>
      <c r="BM105" s="59"/>
      <c r="BN105" s="59"/>
      <c r="BO105" s="59"/>
      <c r="BP105" s="59"/>
      <c r="BQ105" s="62"/>
      <c r="BR105" s="6"/>
      <c r="BS105" s="70"/>
      <c r="BT105" s="62" t="s">
        <v>2685</v>
      </c>
      <c r="BU105" s="84"/>
      <c r="BV105" s="84"/>
      <c r="BW105" s="84"/>
      <c r="BX105" s="84"/>
      <c r="BY105" s="84"/>
    </row>
    <row r="106" spans="1:77" ht="150" x14ac:dyDescent="0.25">
      <c r="A106" s="38" t="s">
        <v>2686</v>
      </c>
      <c r="B106" s="39">
        <v>101</v>
      </c>
      <c r="C106" s="38" t="s">
        <v>225</v>
      </c>
      <c r="D106" s="40" t="s">
        <v>2618</v>
      </c>
      <c r="E106" s="567" t="s">
        <v>163</v>
      </c>
      <c r="F106" s="39" t="s">
        <v>188</v>
      </c>
      <c r="G106" s="39" t="s">
        <v>427</v>
      </c>
      <c r="H106" s="567" t="s">
        <v>163</v>
      </c>
      <c r="I106" s="41" t="s">
        <v>2687</v>
      </c>
      <c r="J106" s="41"/>
      <c r="K106" s="41"/>
      <c r="L106" s="41"/>
      <c r="M106" s="42" t="str">
        <f t="shared" si="22"/>
        <v xml:space="preserve">Consultores en Iluminación Arquitectónica y Automatización, S.A. de C.V.  </v>
      </c>
      <c r="N106" s="991" t="s">
        <v>198</v>
      </c>
      <c r="O106" s="991" t="s">
        <v>198</v>
      </c>
      <c r="P106" s="991" t="s">
        <v>2688</v>
      </c>
      <c r="Q106" s="992">
        <v>19406348.399999999</v>
      </c>
      <c r="R106" s="44">
        <f t="shared" si="23"/>
        <v>3105015.7439999999</v>
      </c>
      <c r="S106" s="45">
        <f t="shared" si="24"/>
        <v>22511364.143999998</v>
      </c>
      <c r="T106" s="46">
        <v>0</v>
      </c>
      <c r="U106" s="47">
        <f t="shared" si="25"/>
        <v>0</v>
      </c>
      <c r="V106" s="44">
        <f t="shared" si="26"/>
        <v>22511364.143999998</v>
      </c>
      <c r="W106" s="993" t="s">
        <v>156</v>
      </c>
      <c r="X106" s="48">
        <v>44111</v>
      </c>
      <c r="Y106" s="39" t="s">
        <v>881</v>
      </c>
      <c r="Z106" s="48">
        <v>44109</v>
      </c>
      <c r="AA106" s="48">
        <v>44196</v>
      </c>
      <c r="AB106" s="38" t="s">
        <v>2689</v>
      </c>
      <c r="AC106" s="38"/>
      <c r="AD106" s="59">
        <v>44138</v>
      </c>
      <c r="AE106" s="59">
        <v>44188</v>
      </c>
      <c r="AF106" s="59">
        <v>44138</v>
      </c>
      <c r="AG106" s="59" t="s">
        <v>2690</v>
      </c>
      <c r="AH106" s="59" t="s">
        <v>183</v>
      </c>
      <c r="AI106" s="38"/>
      <c r="AJ106" s="38"/>
      <c r="AK106" s="50"/>
      <c r="AL106" s="44"/>
      <c r="AM106" s="39" t="str">
        <f t="shared" ca="1" si="27"/>
        <v>MUERTO</v>
      </c>
      <c r="AN106" s="39"/>
      <c r="AO106" s="39"/>
      <c r="AP106" s="39"/>
      <c r="AQ106" s="39"/>
      <c r="AR106" s="39" t="s">
        <v>881</v>
      </c>
      <c r="AS106" s="39"/>
      <c r="AT106" s="39"/>
      <c r="AU106" s="51"/>
      <c r="AV106" s="50"/>
      <c r="AW106" s="38"/>
      <c r="AX106" s="52"/>
      <c r="AY106" s="173"/>
      <c r="AZ106" s="38"/>
      <c r="BA106" s="38" t="e">
        <f>VLOOKUP(I106,#REF!,2,0)</f>
        <v>#REF!</v>
      </c>
      <c r="BB106" s="71"/>
      <c r="BC106" s="59"/>
      <c r="BD106" s="39"/>
      <c r="BE106" s="39"/>
      <c r="BF106" s="39"/>
      <c r="BG106" s="39"/>
      <c r="BH106" s="59"/>
      <c r="BI106" s="59"/>
      <c r="BJ106" s="59"/>
      <c r="BK106" s="59"/>
      <c r="BL106" s="59"/>
      <c r="BM106" s="59">
        <v>44246</v>
      </c>
      <c r="BN106" s="59"/>
      <c r="BO106" s="59"/>
      <c r="BP106" s="59"/>
      <c r="BQ106" s="62"/>
      <c r="BR106" s="6"/>
      <c r="BS106" s="70"/>
      <c r="BT106" s="62" t="s">
        <v>2318</v>
      </c>
      <c r="BU106" s="84"/>
      <c r="BV106" s="84"/>
      <c r="BW106" s="84"/>
      <c r="BX106" s="84"/>
      <c r="BY106" s="84"/>
    </row>
    <row r="107" spans="1:77" ht="90" x14ac:dyDescent="0.25">
      <c r="A107" s="38" t="s">
        <v>2691</v>
      </c>
      <c r="B107" s="39">
        <v>102</v>
      </c>
      <c r="C107" s="38" t="s">
        <v>149</v>
      </c>
      <c r="D107" s="40" t="s">
        <v>2692</v>
      </c>
      <c r="E107" s="567" t="s">
        <v>163</v>
      </c>
      <c r="F107" s="39" t="s">
        <v>568</v>
      </c>
      <c r="G107" s="567" t="s">
        <v>2237</v>
      </c>
      <c r="H107" s="685" t="s">
        <v>546</v>
      </c>
      <c r="I107" s="41" t="s">
        <v>2693</v>
      </c>
      <c r="J107" s="41"/>
      <c r="K107" s="41"/>
      <c r="L107" s="41"/>
      <c r="M107" s="42" t="str">
        <f t="shared" si="22"/>
        <v xml:space="preserve">Universidad del Desarrollo Profesional, S.C.  </v>
      </c>
      <c r="N107" s="991" t="s">
        <v>2528</v>
      </c>
      <c r="O107" s="991" t="s">
        <v>2528</v>
      </c>
      <c r="P107" s="991" t="s">
        <v>2694</v>
      </c>
      <c r="Q107" s="992">
        <f>6799400+3399700+3399700</f>
        <v>13598800</v>
      </c>
      <c r="R107" s="44">
        <v>0</v>
      </c>
      <c r="S107" s="45">
        <f t="shared" si="24"/>
        <v>13598800</v>
      </c>
      <c r="T107" s="46">
        <f>3139500+1569750+1569750</f>
        <v>6279000</v>
      </c>
      <c r="U107" s="47">
        <v>0</v>
      </c>
      <c r="V107" s="44">
        <f t="shared" si="26"/>
        <v>13598800</v>
      </c>
      <c r="W107" s="993" t="s">
        <v>183</v>
      </c>
      <c r="X107" s="48">
        <v>44112</v>
      </c>
      <c r="Y107" s="39" t="s">
        <v>881</v>
      </c>
      <c r="Z107" s="48">
        <v>44109</v>
      </c>
      <c r="AA107" s="48">
        <v>45291</v>
      </c>
      <c r="AB107" s="38" t="s">
        <v>182</v>
      </c>
      <c r="AC107" s="38"/>
      <c r="AD107" s="59">
        <v>44125</v>
      </c>
      <c r="AE107" s="59" t="s">
        <v>161</v>
      </c>
      <c r="AF107" s="59" t="s">
        <v>161</v>
      </c>
      <c r="AG107" s="59" t="s">
        <v>161</v>
      </c>
      <c r="AH107" s="59" t="s">
        <v>183</v>
      </c>
      <c r="AI107" s="38" t="s">
        <v>2695</v>
      </c>
      <c r="AJ107" s="38" t="s">
        <v>2696</v>
      </c>
      <c r="AK107" s="50">
        <v>44176</v>
      </c>
      <c r="AL107" s="44"/>
      <c r="AM107" s="39" t="str">
        <f t="shared" ca="1" si="27"/>
        <v>MUERTO</v>
      </c>
      <c r="AN107" s="39"/>
      <c r="AO107" s="39"/>
      <c r="AP107" s="39"/>
      <c r="AQ107" s="39"/>
      <c r="AR107" s="39" t="s">
        <v>881</v>
      </c>
      <c r="AS107" s="39"/>
      <c r="AT107" s="39"/>
      <c r="AU107" s="51"/>
      <c r="AV107" s="50"/>
      <c r="AW107" s="38"/>
      <c r="AX107" s="52"/>
      <c r="AY107" s="173"/>
      <c r="AZ107" s="38"/>
      <c r="BA107" s="38" t="e">
        <f>VLOOKUP(I107,#REF!,2,0)</f>
        <v>#REF!</v>
      </c>
      <c r="BB107" s="71"/>
      <c r="BC107" s="59"/>
      <c r="BD107" s="39"/>
      <c r="BE107" s="39"/>
      <c r="BF107" s="39"/>
      <c r="BG107" s="39"/>
      <c r="BH107" s="59"/>
      <c r="BI107" s="59"/>
      <c r="BJ107" s="59"/>
      <c r="BK107" s="59"/>
      <c r="BL107" s="59"/>
      <c r="BM107" s="59"/>
      <c r="BN107" s="59"/>
      <c r="BO107" s="59"/>
      <c r="BP107" s="59"/>
      <c r="BQ107" s="62"/>
      <c r="BR107" s="6"/>
      <c r="BS107" s="70"/>
      <c r="BT107" s="62" t="s">
        <v>2697</v>
      </c>
      <c r="BU107" s="84">
        <v>6799400</v>
      </c>
      <c r="BV107" s="84">
        <v>3399700</v>
      </c>
      <c r="BW107" s="84">
        <v>3399700</v>
      </c>
      <c r="BX107" s="85" t="s">
        <v>2698</v>
      </c>
      <c r="BY107" s="84"/>
    </row>
    <row r="108" spans="1:77" ht="75" x14ac:dyDescent="0.25">
      <c r="A108" s="38" t="s">
        <v>2699</v>
      </c>
      <c r="B108" s="39">
        <v>103</v>
      </c>
      <c r="C108" s="38" t="s">
        <v>149</v>
      </c>
      <c r="D108" s="40" t="s">
        <v>2700</v>
      </c>
      <c r="E108" s="39" t="s">
        <v>151</v>
      </c>
      <c r="F108" s="39" t="s">
        <v>152</v>
      </c>
      <c r="G108" s="39" t="s">
        <v>151</v>
      </c>
      <c r="H108" s="41"/>
      <c r="I108" s="41" t="s">
        <v>2701</v>
      </c>
      <c r="J108" s="41"/>
      <c r="K108" s="41"/>
      <c r="L108" s="41"/>
      <c r="M108" s="42" t="str">
        <f t="shared" si="22"/>
        <v xml:space="preserve">Punto en Tecnologías de la Información, S.A. de C.V.  </v>
      </c>
      <c r="N108" s="991" t="s">
        <v>860</v>
      </c>
      <c r="O108" s="991" t="s">
        <v>1946</v>
      </c>
      <c r="P108" s="991" t="s">
        <v>2702</v>
      </c>
      <c r="Q108" s="992">
        <v>959527.71</v>
      </c>
      <c r="R108" s="44">
        <f t="shared" ref="R108:R137" si="28">Q108*0.16</f>
        <v>153524.43359999999</v>
      </c>
      <c r="S108" s="45">
        <f t="shared" si="24"/>
        <v>1113052.1436000001</v>
      </c>
      <c r="T108" s="46">
        <v>0</v>
      </c>
      <c r="U108" s="47">
        <f t="shared" ref="U108:U137" si="29">(T108*0.16)+(T108)</f>
        <v>0</v>
      </c>
      <c r="V108" s="44">
        <f t="shared" si="26"/>
        <v>1113052.1436000001</v>
      </c>
      <c r="W108" s="993" t="s">
        <v>156</v>
      </c>
      <c r="X108" s="48">
        <v>44112</v>
      </c>
      <c r="Y108" s="39" t="s">
        <v>881</v>
      </c>
      <c r="Z108" s="48">
        <v>44106</v>
      </c>
      <c r="AA108" s="48">
        <v>44165</v>
      </c>
      <c r="AB108" s="38" t="s">
        <v>2033</v>
      </c>
      <c r="AC108" s="38"/>
      <c r="AD108" s="59">
        <v>44123</v>
      </c>
      <c r="AE108" s="59">
        <v>44130</v>
      </c>
      <c r="AF108" s="59" t="s">
        <v>161</v>
      </c>
      <c r="AG108" s="59" t="s">
        <v>161</v>
      </c>
      <c r="AH108" s="59" t="s">
        <v>183</v>
      </c>
      <c r="AI108" s="38"/>
      <c r="AJ108" s="38"/>
      <c r="AK108" s="50"/>
      <c r="AL108" s="44"/>
      <c r="AM108" s="39" t="str">
        <f t="shared" ca="1" si="27"/>
        <v>MUERTO</v>
      </c>
      <c r="AN108" s="39"/>
      <c r="AO108" s="39"/>
      <c r="AP108" s="39"/>
      <c r="AQ108" s="39"/>
      <c r="AR108" s="39" t="s">
        <v>881</v>
      </c>
      <c r="AS108" s="39"/>
      <c r="AT108" s="39"/>
      <c r="AU108" s="51"/>
      <c r="AV108" s="50"/>
      <c r="AW108" s="38"/>
      <c r="AX108" s="52"/>
      <c r="AY108" s="173"/>
      <c r="AZ108" s="38"/>
      <c r="BA108" s="38" t="e">
        <f>VLOOKUP(I108,#REF!,2,0)</f>
        <v>#REF!</v>
      </c>
      <c r="BB108" s="71"/>
      <c r="BC108" s="59"/>
      <c r="BD108" s="39"/>
      <c r="BE108" s="39"/>
      <c r="BF108" s="39"/>
      <c r="BG108" s="39"/>
      <c r="BH108" s="59"/>
      <c r="BI108" s="59"/>
      <c r="BJ108" s="59"/>
      <c r="BK108" s="59"/>
      <c r="BL108" s="59"/>
      <c r="BM108" s="59"/>
      <c r="BN108" s="59"/>
      <c r="BO108" s="59"/>
      <c r="BP108" s="59"/>
      <c r="BQ108" s="62"/>
      <c r="BR108" s="6"/>
      <c r="BS108" s="70"/>
      <c r="BT108" s="62" t="s">
        <v>2703</v>
      </c>
      <c r="BU108" s="84"/>
      <c r="BV108" s="84"/>
      <c r="BW108" s="84"/>
      <c r="BX108" s="84"/>
      <c r="BY108" s="84"/>
    </row>
    <row r="109" spans="1:77" ht="180" x14ac:dyDescent="0.25">
      <c r="A109" s="38" t="s">
        <v>2704</v>
      </c>
      <c r="B109" s="39">
        <v>104</v>
      </c>
      <c r="C109" s="38" t="s">
        <v>149</v>
      </c>
      <c r="D109" s="40" t="s">
        <v>2705</v>
      </c>
      <c r="E109" s="39" t="s">
        <v>173</v>
      </c>
      <c r="F109" s="39" t="s">
        <v>326</v>
      </c>
      <c r="G109" s="39" t="s">
        <v>173</v>
      </c>
      <c r="H109" s="41"/>
      <c r="I109" s="41" t="s">
        <v>2706</v>
      </c>
      <c r="J109" s="41"/>
      <c r="K109" s="41"/>
      <c r="L109" s="41"/>
      <c r="M109" s="42" t="str">
        <f t="shared" ref="M109:M138" si="30">I109&amp;J109&amp;" "&amp;K109&amp;" "&amp;L109</f>
        <v xml:space="preserve">CF + GAB Construcción, S.A. de C.V.   </v>
      </c>
      <c r="N109" s="991" t="s">
        <v>198</v>
      </c>
      <c r="O109" s="991" t="s">
        <v>198</v>
      </c>
      <c r="P109" s="991" t="s">
        <v>2707</v>
      </c>
      <c r="Q109" s="992">
        <v>10563284.039999999</v>
      </c>
      <c r="R109" s="44">
        <f t="shared" si="28"/>
        <v>1690125.4463999998</v>
      </c>
      <c r="S109" s="45">
        <f t="shared" ref="S109:S138" si="31">Q109+R109</f>
        <v>12253409.486399999</v>
      </c>
      <c r="T109" s="46">
        <v>0</v>
      </c>
      <c r="U109" s="47">
        <f t="shared" si="29"/>
        <v>0</v>
      </c>
      <c r="V109" s="44">
        <f t="shared" ref="V109:V138" si="32">S109+AL109</f>
        <v>12253409.486399999</v>
      </c>
      <c r="W109" s="993" t="s">
        <v>156</v>
      </c>
      <c r="X109" s="48">
        <v>44111</v>
      </c>
      <c r="Y109" s="39" t="s">
        <v>881</v>
      </c>
      <c r="Z109" s="48">
        <v>44111</v>
      </c>
      <c r="AA109" s="48">
        <v>44196</v>
      </c>
      <c r="AB109" s="38" t="s">
        <v>2033</v>
      </c>
      <c r="AC109" s="38"/>
      <c r="AD109" s="59">
        <v>44126</v>
      </c>
      <c r="AE109" s="59">
        <v>44126</v>
      </c>
      <c r="AF109" s="59" t="s">
        <v>161</v>
      </c>
      <c r="AG109" s="59" t="s">
        <v>161</v>
      </c>
      <c r="AH109" s="59" t="s">
        <v>183</v>
      </c>
      <c r="AI109" s="38"/>
      <c r="AJ109" s="38"/>
      <c r="AK109" s="50"/>
      <c r="AL109" s="44"/>
      <c r="AM109" s="39" t="str">
        <f t="shared" ref="AM109:AM138" ca="1" si="33">IF(ISBLANK(AA109),"",IF(AA109&gt;=TODAY(),"VIGENTE","MUERTO"))</f>
        <v>MUERTO</v>
      </c>
      <c r="AN109" s="39"/>
      <c r="AO109" s="39"/>
      <c r="AP109" s="39"/>
      <c r="AQ109" s="39"/>
      <c r="AR109" s="39" t="s">
        <v>881</v>
      </c>
      <c r="AS109" s="39"/>
      <c r="AT109" s="39"/>
      <c r="AU109" s="51"/>
      <c r="AV109" s="50"/>
      <c r="AW109" s="38"/>
      <c r="AX109" s="52"/>
      <c r="AY109" s="173"/>
      <c r="AZ109" s="38"/>
      <c r="BA109" s="38" t="e">
        <f>VLOOKUP(I109,#REF!,2,0)</f>
        <v>#REF!</v>
      </c>
      <c r="BB109" s="71"/>
      <c r="BC109" s="59"/>
      <c r="BD109" s="39"/>
      <c r="BE109" s="39"/>
      <c r="BF109" s="39"/>
      <c r="BG109" s="39"/>
      <c r="BH109" s="59"/>
      <c r="BI109" s="59"/>
      <c r="BJ109" s="59"/>
      <c r="BK109" s="59"/>
      <c r="BL109" s="59"/>
      <c r="BM109" s="59"/>
      <c r="BN109" s="59"/>
      <c r="BO109" s="59"/>
      <c r="BP109" s="59"/>
      <c r="BQ109" s="62"/>
      <c r="BR109" s="6"/>
      <c r="BS109" s="70"/>
      <c r="BT109" s="62" t="s">
        <v>2681</v>
      </c>
      <c r="BU109" s="84"/>
      <c r="BV109" s="84"/>
      <c r="BW109" s="84"/>
      <c r="BX109" s="84"/>
      <c r="BY109" s="84"/>
    </row>
    <row r="110" spans="1:77" ht="51" x14ac:dyDescent="0.25">
      <c r="A110" s="38" t="s">
        <v>2708</v>
      </c>
      <c r="B110" s="39">
        <v>105</v>
      </c>
      <c r="C110" s="38" t="s">
        <v>225</v>
      </c>
      <c r="D110" s="40" t="s">
        <v>2709</v>
      </c>
      <c r="E110" s="567" t="s">
        <v>163</v>
      </c>
      <c r="F110" s="39" t="s">
        <v>1246</v>
      </c>
      <c r="G110" s="567" t="s">
        <v>2237</v>
      </c>
      <c r="H110" s="685" t="s">
        <v>546</v>
      </c>
      <c r="I110" s="41" t="s">
        <v>361</v>
      </c>
      <c r="J110" s="41"/>
      <c r="K110" s="41"/>
      <c r="L110" s="41"/>
      <c r="M110" s="42" t="str">
        <f t="shared" si="30"/>
        <v xml:space="preserve">Millenium Technologies, S.A. de C.V.  </v>
      </c>
      <c r="N110" s="991" t="s">
        <v>656</v>
      </c>
      <c r="O110" s="991" t="s">
        <v>209</v>
      </c>
      <c r="P110" s="991" t="s">
        <v>1949</v>
      </c>
      <c r="Q110" s="992">
        <v>1459999.2</v>
      </c>
      <c r="R110" s="44">
        <f t="shared" si="28"/>
        <v>233599.872</v>
      </c>
      <c r="S110" s="45">
        <f t="shared" si="31"/>
        <v>1693599.0719999999</v>
      </c>
      <c r="T110" s="46">
        <v>0</v>
      </c>
      <c r="U110" s="47">
        <f t="shared" si="29"/>
        <v>0</v>
      </c>
      <c r="V110" s="44">
        <f t="shared" si="32"/>
        <v>1693599.0719999999</v>
      </c>
      <c r="W110" s="993" t="s">
        <v>156</v>
      </c>
      <c r="X110" s="48">
        <v>44112</v>
      </c>
      <c r="Y110" s="39" t="s">
        <v>881</v>
      </c>
      <c r="Z110" s="48">
        <v>44110</v>
      </c>
      <c r="AA110" s="48">
        <v>44474</v>
      </c>
      <c r="AB110" s="38" t="s">
        <v>1950</v>
      </c>
      <c r="AC110" s="38"/>
      <c r="AD110" s="59">
        <v>44126</v>
      </c>
      <c r="AE110" s="59" t="s">
        <v>161</v>
      </c>
      <c r="AF110" s="59" t="s">
        <v>161</v>
      </c>
      <c r="AG110" s="59">
        <v>44127</v>
      </c>
      <c r="AH110" s="39" t="s">
        <v>183</v>
      </c>
      <c r="AI110" s="38"/>
      <c r="AJ110" s="38"/>
      <c r="AK110" s="50"/>
      <c r="AL110" s="44"/>
      <c r="AM110" s="39" t="str">
        <f t="shared" ca="1" si="33"/>
        <v>MUERTO</v>
      </c>
      <c r="AN110" s="39"/>
      <c r="AO110" s="39"/>
      <c r="AP110" s="39"/>
      <c r="AQ110" s="39"/>
      <c r="AR110" s="39" t="s">
        <v>881</v>
      </c>
      <c r="AS110" s="39"/>
      <c r="AT110" s="39"/>
      <c r="AU110" s="51"/>
      <c r="AV110" s="50"/>
      <c r="AW110" s="38"/>
      <c r="AX110" s="52"/>
      <c r="AY110" s="173"/>
      <c r="AZ110" s="38"/>
      <c r="BA110" s="38" t="e">
        <f>VLOOKUP(I110,#REF!,2,0)</f>
        <v>#REF!</v>
      </c>
      <c r="BB110" s="71"/>
      <c r="BC110" s="59"/>
      <c r="BD110" s="39"/>
      <c r="BE110" s="39"/>
      <c r="BF110" s="39"/>
      <c r="BG110" s="39"/>
      <c r="BH110" s="59"/>
      <c r="BI110" s="59"/>
      <c r="BJ110" s="59"/>
      <c r="BK110" s="59"/>
      <c r="BL110" s="59"/>
      <c r="BM110" s="59"/>
      <c r="BN110" s="59"/>
      <c r="BO110" s="59"/>
      <c r="BP110" s="59"/>
      <c r="BQ110" s="62"/>
      <c r="BR110" s="6"/>
      <c r="BS110" s="70"/>
      <c r="BT110" s="62" t="s">
        <v>2703</v>
      </c>
      <c r="BU110" s="84"/>
      <c r="BV110" s="84"/>
      <c r="BW110" s="84"/>
      <c r="BX110" s="84"/>
      <c r="BY110" s="84"/>
    </row>
    <row r="111" spans="1:77" ht="285" x14ac:dyDescent="0.25">
      <c r="A111" s="38" t="s">
        <v>2710</v>
      </c>
      <c r="B111" s="39">
        <v>106</v>
      </c>
      <c r="C111" s="38" t="s">
        <v>149</v>
      </c>
      <c r="D111" s="40" t="s">
        <v>2711</v>
      </c>
      <c r="E111" s="39" t="s">
        <v>173</v>
      </c>
      <c r="F111" s="39" t="s">
        <v>326</v>
      </c>
      <c r="G111" s="39" t="s">
        <v>173</v>
      </c>
      <c r="H111" s="41"/>
      <c r="I111" s="41" t="s">
        <v>2712</v>
      </c>
      <c r="J111" s="41"/>
      <c r="K111" s="41"/>
      <c r="L111" s="41"/>
      <c r="M111" s="42" t="str">
        <f t="shared" si="30"/>
        <v xml:space="preserve">Diseño e Innovación Tecnológica Sustentable, S. de R.L. de C.V.  </v>
      </c>
      <c r="N111" s="991" t="s">
        <v>198</v>
      </c>
      <c r="O111" s="991" t="s">
        <v>198</v>
      </c>
      <c r="P111" s="991" t="s">
        <v>2713</v>
      </c>
      <c r="Q111" s="992">
        <v>12838439.939999999</v>
      </c>
      <c r="R111" s="44">
        <f t="shared" si="28"/>
        <v>2054150.3903999999</v>
      </c>
      <c r="S111" s="45">
        <f t="shared" si="31"/>
        <v>14892590.330399999</v>
      </c>
      <c r="T111" s="46">
        <v>0</v>
      </c>
      <c r="U111" s="47">
        <f t="shared" si="29"/>
        <v>0</v>
      </c>
      <c r="V111" s="44">
        <f t="shared" si="32"/>
        <v>14892590.330399999</v>
      </c>
      <c r="W111" s="993" t="s">
        <v>156</v>
      </c>
      <c r="X111" s="48">
        <v>44113</v>
      </c>
      <c r="Y111" s="39" t="s">
        <v>881</v>
      </c>
      <c r="Z111" s="48">
        <v>44111</v>
      </c>
      <c r="AA111" s="48">
        <v>44196</v>
      </c>
      <c r="AB111" s="38" t="s">
        <v>2033</v>
      </c>
      <c r="AC111" s="38"/>
      <c r="AD111" s="59">
        <v>44127</v>
      </c>
      <c r="AE111" s="59">
        <v>44127</v>
      </c>
      <c r="AF111" s="59" t="s">
        <v>161</v>
      </c>
      <c r="AG111" s="59" t="s">
        <v>161</v>
      </c>
      <c r="AH111" s="39" t="s">
        <v>183</v>
      </c>
      <c r="AI111" s="38"/>
      <c r="AJ111" s="38"/>
      <c r="AK111" s="50"/>
      <c r="AL111" s="44"/>
      <c r="AM111" s="39" t="str">
        <f t="shared" ca="1" si="33"/>
        <v>MUERTO</v>
      </c>
      <c r="AN111" s="39"/>
      <c r="AO111" s="39"/>
      <c r="AP111" s="39"/>
      <c r="AQ111" s="39"/>
      <c r="AR111" s="39" t="s">
        <v>881</v>
      </c>
      <c r="AS111" s="39"/>
      <c r="AT111" s="39"/>
      <c r="AU111" s="51"/>
      <c r="AV111" s="50"/>
      <c r="AW111" s="38"/>
      <c r="AX111" s="52"/>
      <c r="AY111" s="173"/>
      <c r="AZ111" s="38"/>
      <c r="BA111" s="38" t="e">
        <f>VLOOKUP(I111,#REF!,2,0)</f>
        <v>#REF!</v>
      </c>
      <c r="BB111" s="71"/>
      <c r="BC111" s="59"/>
      <c r="BD111" s="39"/>
      <c r="BE111" s="39"/>
      <c r="BF111" s="39"/>
      <c r="BG111" s="39"/>
      <c r="BH111" s="59"/>
      <c r="BI111" s="59"/>
      <c r="BJ111" s="59"/>
      <c r="BK111" s="59"/>
      <c r="BL111" s="59"/>
      <c r="BM111" s="59"/>
      <c r="BN111" s="59"/>
      <c r="BO111" s="59"/>
      <c r="BP111" s="59"/>
      <c r="BQ111" s="62"/>
      <c r="BR111" s="6"/>
      <c r="BS111" s="70"/>
      <c r="BT111" s="62" t="s">
        <v>2703</v>
      </c>
      <c r="BU111" s="84"/>
      <c r="BV111" s="84"/>
      <c r="BW111" s="84"/>
      <c r="BX111" s="84"/>
      <c r="BY111" s="84"/>
    </row>
    <row r="112" spans="1:77" ht="60" x14ac:dyDescent="0.25">
      <c r="A112" s="38" t="s">
        <v>2714</v>
      </c>
      <c r="B112" s="39">
        <v>107</v>
      </c>
      <c r="C112" s="38" t="s">
        <v>149</v>
      </c>
      <c r="D112" s="40" t="s">
        <v>2692</v>
      </c>
      <c r="E112" s="567" t="s">
        <v>163</v>
      </c>
      <c r="F112" s="39" t="s">
        <v>2715</v>
      </c>
      <c r="G112" s="567" t="s">
        <v>2237</v>
      </c>
      <c r="H112" s="685" t="s">
        <v>546</v>
      </c>
      <c r="I112" s="41" t="s">
        <v>2716</v>
      </c>
      <c r="J112" s="41"/>
      <c r="K112" s="41"/>
      <c r="L112" s="41"/>
      <c r="M112" s="42" t="str">
        <f t="shared" si="30"/>
        <v xml:space="preserve">Gobist, S.A. de C.V.  </v>
      </c>
      <c r="N112" s="991" t="s">
        <v>656</v>
      </c>
      <c r="O112" s="991" t="s">
        <v>209</v>
      </c>
      <c r="P112" s="991" t="s">
        <v>2717</v>
      </c>
      <c r="Q112" s="992">
        <v>60000000</v>
      </c>
      <c r="R112" s="44">
        <f t="shared" si="28"/>
        <v>9600000</v>
      </c>
      <c r="S112" s="45">
        <f t="shared" si="31"/>
        <v>69600000</v>
      </c>
      <c r="T112" s="46">
        <v>0</v>
      </c>
      <c r="U112" s="47">
        <f t="shared" si="29"/>
        <v>0</v>
      </c>
      <c r="V112" s="44">
        <f t="shared" si="32"/>
        <v>69600000</v>
      </c>
      <c r="W112" s="993" t="s">
        <v>183</v>
      </c>
      <c r="X112" s="48">
        <v>44113</v>
      </c>
      <c r="Y112" s="39" t="s">
        <v>881</v>
      </c>
      <c r="Z112" s="48">
        <v>44113</v>
      </c>
      <c r="AA112" s="48">
        <v>44561</v>
      </c>
      <c r="AB112" s="38" t="s">
        <v>2033</v>
      </c>
      <c r="AC112" s="38"/>
      <c r="AD112" s="59">
        <v>44139</v>
      </c>
      <c r="AE112" s="59">
        <v>44139</v>
      </c>
      <c r="AF112" s="59" t="s">
        <v>161</v>
      </c>
      <c r="AG112" s="59" t="s">
        <v>161</v>
      </c>
      <c r="AH112" s="39" t="s">
        <v>183</v>
      </c>
      <c r="AI112" s="38"/>
      <c r="AJ112" s="38"/>
      <c r="AK112" s="50"/>
      <c r="AL112" s="44"/>
      <c r="AM112" s="39" t="str">
        <f t="shared" ca="1" si="33"/>
        <v>MUERTO</v>
      </c>
      <c r="AN112" s="39"/>
      <c r="AO112" s="39"/>
      <c r="AP112" s="39"/>
      <c r="AQ112" s="39"/>
      <c r="AR112" s="39" t="s">
        <v>881</v>
      </c>
      <c r="AS112" s="39"/>
      <c r="AT112" s="39"/>
      <c r="AU112" s="51"/>
      <c r="AV112" s="50"/>
      <c r="AW112" s="38"/>
      <c r="AX112" s="52"/>
      <c r="AY112" s="173"/>
      <c r="AZ112" s="38"/>
      <c r="BA112" s="38" t="e">
        <f>VLOOKUP(I112,#REF!,2,0)</f>
        <v>#REF!</v>
      </c>
      <c r="BB112" s="71"/>
      <c r="BC112" s="59"/>
      <c r="BD112" s="39"/>
      <c r="BE112" s="39"/>
      <c r="BF112" s="39"/>
      <c r="BG112" s="39"/>
      <c r="BH112" s="59"/>
      <c r="BI112" s="59"/>
      <c r="BJ112" s="59"/>
      <c r="BK112" s="59"/>
      <c r="BL112" s="59"/>
      <c r="BM112" s="59"/>
      <c r="BN112" s="59"/>
      <c r="BO112" s="59"/>
      <c r="BP112" s="59"/>
      <c r="BQ112" s="62"/>
      <c r="BR112" s="6"/>
      <c r="BS112" s="70"/>
      <c r="BT112" s="62" t="s">
        <v>2718</v>
      </c>
      <c r="BU112" s="84">
        <v>12000000</v>
      </c>
      <c r="BV112" s="84">
        <v>48000000</v>
      </c>
      <c r="BW112" s="84"/>
      <c r="BX112" s="84"/>
      <c r="BY112" s="84"/>
    </row>
    <row r="113" spans="1:77" ht="75" x14ac:dyDescent="0.25">
      <c r="A113" s="38" t="s">
        <v>2719</v>
      </c>
      <c r="B113" s="39">
        <v>108</v>
      </c>
      <c r="C113" s="38" t="s">
        <v>149</v>
      </c>
      <c r="D113" s="40" t="s">
        <v>2692</v>
      </c>
      <c r="E113" s="567" t="s">
        <v>163</v>
      </c>
      <c r="F113" s="39" t="s">
        <v>568</v>
      </c>
      <c r="G113" s="567" t="s">
        <v>2237</v>
      </c>
      <c r="H113" s="685" t="s">
        <v>546</v>
      </c>
      <c r="I113" s="41" t="s">
        <v>692</v>
      </c>
      <c r="J113" s="41"/>
      <c r="K113" s="41"/>
      <c r="L113" s="41"/>
      <c r="M113" s="42" t="str">
        <f t="shared" si="30"/>
        <v xml:space="preserve">Información Segura, S.A. de C.V.  </v>
      </c>
      <c r="N113" s="991" t="s">
        <v>656</v>
      </c>
      <c r="O113" s="991" t="s">
        <v>209</v>
      </c>
      <c r="P113" s="991" t="s">
        <v>1721</v>
      </c>
      <c r="Q113" s="992">
        <v>1094662.3600000001</v>
      </c>
      <c r="R113" s="44">
        <f t="shared" si="28"/>
        <v>175145.97760000001</v>
      </c>
      <c r="S113" s="45">
        <f t="shared" si="31"/>
        <v>1269808.3376000002</v>
      </c>
      <c r="T113" s="46">
        <v>0</v>
      </c>
      <c r="U113" s="47">
        <f t="shared" si="29"/>
        <v>0</v>
      </c>
      <c r="V113" s="44">
        <f t="shared" si="32"/>
        <v>1269808.3376000002</v>
      </c>
      <c r="W113" s="993" t="s">
        <v>183</v>
      </c>
      <c r="X113" s="48">
        <v>44118</v>
      </c>
      <c r="Y113" s="39" t="s">
        <v>881</v>
      </c>
      <c r="Z113" s="48">
        <v>44113</v>
      </c>
      <c r="AA113" s="48">
        <v>44439</v>
      </c>
      <c r="AB113" s="38" t="s">
        <v>182</v>
      </c>
      <c r="AC113" s="38"/>
      <c r="AD113" s="59">
        <v>44133</v>
      </c>
      <c r="AE113" s="59" t="s">
        <v>161</v>
      </c>
      <c r="AF113" s="59" t="s">
        <v>161</v>
      </c>
      <c r="AG113" s="59" t="s">
        <v>161</v>
      </c>
      <c r="AH113" s="39" t="s">
        <v>183</v>
      </c>
      <c r="AI113" s="38"/>
      <c r="AJ113" s="38"/>
      <c r="AK113" s="50"/>
      <c r="AL113" s="44"/>
      <c r="AM113" s="39" t="str">
        <f t="shared" ca="1" si="33"/>
        <v>MUERTO</v>
      </c>
      <c r="AN113" s="39"/>
      <c r="AO113" s="39"/>
      <c r="AP113" s="39"/>
      <c r="AQ113" s="39"/>
      <c r="AR113" s="39" t="s">
        <v>881</v>
      </c>
      <c r="AS113" s="39"/>
      <c r="AT113" s="39"/>
      <c r="AU113" s="51"/>
      <c r="AV113" s="50"/>
      <c r="AW113" s="38"/>
      <c r="AX113" s="52"/>
      <c r="AY113" s="173"/>
      <c r="AZ113" s="38"/>
      <c r="BA113" s="38" t="e">
        <f>VLOOKUP(I113,#REF!,2,0)</f>
        <v>#REF!</v>
      </c>
      <c r="BB113" s="71"/>
      <c r="BC113" s="59"/>
      <c r="BD113" s="39"/>
      <c r="BE113" s="39"/>
      <c r="BF113" s="39"/>
      <c r="BG113" s="39"/>
      <c r="BH113" s="59"/>
      <c r="BI113" s="59"/>
      <c r="BJ113" s="59"/>
      <c r="BK113" s="59"/>
      <c r="BL113" s="59"/>
      <c r="BM113" s="59"/>
      <c r="BN113" s="59"/>
      <c r="BO113" s="59"/>
      <c r="BP113" s="59"/>
      <c r="BQ113" s="62"/>
      <c r="BR113" s="6"/>
      <c r="BS113" s="70"/>
      <c r="BT113" s="62" t="s">
        <v>2720</v>
      </c>
      <c r="BU113" s="84">
        <v>1021954.12</v>
      </c>
      <c r="BV113" s="84">
        <v>72708.240000000005</v>
      </c>
      <c r="BW113" s="84"/>
      <c r="BX113" s="84"/>
      <c r="BY113" s="84"/>
    </row>
    <row r="114" spans="1:77" ht="60" x14ac:dyDescent="0.25">
      <c r="A114" s="38" t="s">
        <v>2721</v>
      </c>
      <c r="B114" s="39">
        <v>109</v>
      </c>
      <c r="C114" s="38" t="s">
        <v>149</v>
      </c>
      <c r="D114" s="40" t="s">
        <v>2722</v>
      </c>
      <c r="E114" s="39" t="s">
        <v>151</v>
      </c>
      <c r="F114" s="39" t="s">
        <v>152</v>
      </c>
      <c r="G114" s="39" t="s">
        <v>151</v>
      </c>
      <c r="H114" s="41"/>
      <c r="I114" s="41" t="s">
        <v>1692</v>
      </c>
      <c r="J114" s="41"/>
      <c r="K114" s="41"/>
      <c r="L114" s="41"/>
      <c r="M114" s="42" t="str">
        <f t="shared" si="30"/>
        <v xml:space="preserve">Enforcer Units Fire Service Pluse México, S.A. de C.V.  </v>
      </c>
      <c r="N114" s="991" t="s">
        <v>166</v>
      </c>
      <c r="O114" s="991" t="s">
        <v>315</v>
      </c>
      <c r="P114" s="991" t="s">
        <v>2723</v>
      </c>
      <c r="Q114" s="992">
        <v>645005</v>
      </c>
      <c r="R114" s="44">
        <f t="shared" si="28"/>
        <v>103200.8</v>
      </c>
      <c r="S114" s="45">
        <f t="shared" si="31"/>
        <v>748205.8</v>
      </c>
      <c r="T114" s="46">
        <v>0</v>
      </c>
      <c r="U114" s="47">
        <f t="shared" si="29"/>
        <v>0</v>
      </c>
      <c r="V114" s="44">
        <f t="shared" si="32"/>
        <v>748205.8</v>
      </c>
      <c r="W114" s="993" t="s">
        <v>156</v>
      </c>
      <c r="X114" s="48">
        <v>44119</v>
      </c>
      <c r="Y114" s="39" t="s">
        <v>881</v>
      </c>
      <c r="Z114" s="48">
        <v>44113</v>
      </c>
      <c r="AA114" s="48">
        <v>44196</v>
      </c>
      <c r="AB114" s="38" t="s">
        <v>2033</v>
      </c>
      <c r="AC114" s="38"/>
      <c r="AD114" s="59">
        <v>44130</v>
      </c>
      <c r="AE114" s="59">
        <v>44130</v>
      </c>
      <c r="AF114" s="59" t="s">
        <v>161</v>
      </c>
      <c r="AG114" s="59" t="s">
        <v>161</v>
      </c>
      <c r="AH114" s="39" t="s">
        <v>183</v>
      </c>
      <c r="AI114" s="38"/>
      <c r="AJ114" s="38"/>
      <c r="AK114" s="50"/>
      <c r="AL114" s="44"/>
      <c r="AM114" s="39" t="str">
        <f t="shared" ca="1" si="33"/>
        <v>MUERTO</v>
      </c>
      <c r="AN114" s="39"/>
      <c r="AO114" s="39"/>
      <c r="AP114" s="39"/>
      <c r="AQ114" s="39"/>
      <c r="AR114" s="39" t="s">
        <v>881</v>
      </c>
      <c r="AS114" s="39"/>
      <c r="AT114" s="39"/>
      <c r="AU114" s="51"/>
      <c r="AV114" s="50"/>
      <c r="AW114" s="38"/>
      <c r="AX114" s="52"/>
      <c r="AY114" s="173"/>
      <c r="AZ114" s="38"/>
      <c r="BA114" s="38" t="e">
        <f>VLOOKUP(I114,#REF!,2,0)</f>
        <v>#REF!</v>
      </c>
      <c r="BB114" s="71"/>
      <c r="BC114" s="59"/>
      <c r="BD114" s="39"/>
      <c r="BE114" s="39"/>
      <c r="BF114" s="39"/>
      <c r="BG114" s="39"/>
      <c r="BH114" s="59"/>
      <c r="BI114" s="59"/>
      <c r="BJ114" s="59"/>
      <c r="BK114" s="59"/>
      <c r="BL114" s="59"/>
      <c r="BM114" s="59"/>
      <c r="BN114" s="59"/>
      <c r="BO114" s="59"/>
      <c r="BP114" s="59"/>
      <c r="BQ114" s="62"/>
      <c r="BR114" s="6"/>
      <c r="BS114" s="70"/>
      <c r="BT114" s="62" t="s">
        <v>2703</v>
      </c>
      <c r="BU114" s="84"/>
      <c r="BV114" s="84"/>
      <c r="BW114" s="84"/>
      <c r="BX114" s="84"/>
      <c r="BY114" s="84"/>
    </row>
    <row r="115" spans="1:77" ht="51" x14ac:dyDescent="0.25">
      <c r="A115" s="38" t="s">
        <v>2724</v>
      </c>
      <c r="B115" s="39">
        <v>110</v>
      </c>
      <c r="C115" s="38" t="s">
        <v>149</v>
      </c>
      <c r="D115" s="40" t="s">
        <v>2725</v>
      </c>
      <c r="E115" s="567" t="s">
        <v>163</v>
      </c>
      <c r="F115" s="39" t="s">
        <v>188</v>
      </c>
      <c r="G115" s="567" t="s">
        <v>427</v>
      </c>
      <c r="H115" s="567" t="s">
        <v>163</v>
      </c>
      <c r="I115" s="41" t="s">
        <v>2726</v>
      </c>
      <c r="J115" s="41"/>
      <c r="K115" s="41"/>
      <c r="L115" s="41"/>
      <c r="M115" s="42" t="str">
        <f t="shared" si="30"/>
        <v xml:space="preserve">Laboratorios Diagnomol, S.A. de C.V.  </v>
      </c>
      <c r="N115" s="991" t="s">
        <v>763</v>
      </c>
      <c r="O115" s="991" t="s">
        <v>763</v>
      </c>
      <c r="P115" s="991" t="s">
        <v>2727</v>
      </c>
      <c r="Q115" s="992">
        <v>1234800</v>
      </c>
      <c r="R115" s="44">
        <f t="shared" si="28"/>
        <v>197568</v>
      </c>
      <c r="S115" s="45">
        <f t="shared" si="31"/>
        <v>1432368</v>
      </c>
      <c r="T115" s="46">
        <v>0</v>
      </c>
      <c r="U115" s="47">
        <f t="shared" si="29"/>
        <v>0</v>
      </c>
      <c r="V115" s="44">
        <f t="shared" si="32"/>
        <v>1432368</v>
      </c>
      <c r="W115" s="993" t="s">
        <v>156</v>
      </c>
      <c r="X115" s="48">
        <v>44134</v>
      </c>
      <c r="Y115" s="39" t="s">
        <v>881</v>
      </c>
      <c r="Z115" s="48">
        <v>44134</v>
      </c>
      <c r="AA115" s="48">
        <v>44140</v>
      </c>
      <c r="AB115" s="38" t="s">
        <v>2050</v>
      </c>
      <c r="AC115" s="38"/>
      <c r="AD115" s="59" t="s">
        <v>161</v>
      </c>
      <c r="AE115" s="59" t="s">
        <v>161</v>
      </c>
      <c r="AF115" s="59" t="s">
        <v>161</v>
      </c>
      <c r="AG115" s="59" t="s">
        <v>161</v>
      </c>
      <c r="AH115" s="39" t="s">
        <v>183</v>
      </c>
      <c r="AI115" s="38"/>
      <c r="AJ115" s="38"/>
      <c r="AK115" s="50"/>
      <c r="AL115" s="44"/>
      <c r="AM115" s="39" t="str">
        <f t="shared" ca="1" si="33"/>
        <v>MUERTO</v>
      </c>
      <c r="AN115" s="39"/>
      <c r="AO115" s="39"/>
      <c r="AP115" s="39"/>
      <c r="AQ115" s="39"/>
      <c r="AR115" s="39" t="s">
        <v>2728</v>
      </c>
      <c r="AS115" s="39"/>
      <c r="AT115" s="39"/>
      <c r="AU115" s="51"/>
      <c r="AV115" s="50"/>
      <c r="AW115" s="38"/>
      <c r="AX115" s="52"/>
      <c r="AY115" s="173"/>
      <c r="AZ115" s="38"/>
      <c r="BA115" s="38" t="e">
        <f>VLOOKUP(I115,#REF!,2,0)</f>
        <v>#REF!</v>
      </c>
      <c r="BB115" s="71"/>
      <c r="BC115" s="59"/>
      <c r="BD115" s="39"/>
      <c r="BE115" s="39"/>
      <c r="BF115" s="39"/>
      <c r="BG115" s="39"/>
      <c r="BH115" s="59"/>
      <c r="BI115" s="59"/>
      <c r="BJ115" s="59"/>
      <c r="BK115" s="59"/>
      <c r="BL115" s="59"/>
      <c r="BM115" s="59"/>
      <c r="BN115" s="59"/>
      <c r="BO115" s="59"/>
      <c r="BP115" s="59"/>
      <c r="BQ115" s="62"/>
      <c r="BR115" s="6"/>
      <c r="BS115" s="70"/>
      <c r="BT115" s="62" t="s">
        <v>2729</v>
      </c>
      <c r="BU115" s="84"/>
      <c r="BV115" s="84"/>
      <c r="BW115" s="84"/>
      <c r="BX115" s="84"/>
      <c r="BY115" s="84"/>
    </row>
    <row r="116" spans="1:77" ht="75" x14ac:dyDescent="0.25">
      <c r="A116" s="38" t="s">
        <v>2730</v>
      </c>
      <c r="B116" s="39">
        <v>111</v>
      </c>
      <c r="C116" s="38" t="s">
        <v>149</v>
      </c>
      <c r="D116" s="40" t="s">
        <v>2731</v>
      </c>
      <c r="E116" s="567" t="s">
        <v>163</v>
      </c>
      <c r="F116" s="39" t="s">
        <v>312</v>
      </c>
      <c r="G116" s="567" t="s">
        <v>2237</v>
      </c>
      <c r="H116" s="685" t="s">
        <v>546</v>
      </c>
      <c r="I116" s="41"/>
      <c r="J116" s="41" t="s">
        <v>2732</v>
      </c>
      <c r="K116" s="41" t="s">
        <v>467</v>
      </c>
      <c r="L116" s="41" t="s">
        <v>1837</v>
      </c>
      <c r="M116" s="42" t="str">
        <f t="shared" si="30"/>
        <v>Victor Entrique Gutiérrez Hernández</v>
      </c>
      <c r="N116" s="991" t="s">
        <v>860</v>
      </c>
      <c r="O116" s="991" t="s">
        <v>220</v>
      </c>
      <c r="P116" s="991" t="s">
        <v>2733</v>
      </c>
      <c r="Q116" s="992">
        <v>1020000</v>
      </c>
      <c r="R116" s="44">
        <f t="shared" si="28"/>
        <v>163200</v>
      </c>
      <c r="S116" s="45">
        <f t="shared" si="31"/>
        <v>1183200</v>
      </c>
      <c r="T116" s="46">
        <v>0</v>
      </c>
      <c r="U116" s="47">
        <f t="shared" si="29"/>
        <v>0</v>
      </c>
      <c r="V116" s="44">
        <f t="shared" si="32"/>
        <v>1183200</v>
      </c>
      <c r="W116" s="993" t="s">
        <v>156</v>
      </c>
      <c r="X116" s="48">
        <v>44140</v>
      </c>
      <c r="Y116" s="39" t="s">
        <v>892</v>
      </c>
      <c r="Z116" s="48">
        <v>44141</v>
      </c>
      <c r="AA116" s="48">
        <v>44196</v>
      </c>
      <c r="AB116" s="38" t="s">
        <v>182</v>
      </c>
      <c r="AC116" s="38"/>
      <c r="AD116" s="59">
        <v>44159</v>
      </c>
      <c r="AE116" s="59" t="s">
        <v>161</v>
      </c>
      <c r="AF116" s="59" t="s">
        <v>161</v>
      </c>
      <c r="AG116" s="59" t="s">
        <v>161</v>
      </c>
      <c r="AH116" s="39" t="s">
        <v>183</v>
      </c>
      <c r="AI116" s="38"/>
      <c r="AJ116" s="38"/>
      <c r="AK116" s="50"/>
      <c r="AL116" s="44"/>
      <c r="AM116" s="39" t="str">
        <f t="shared" ca="1" si="33"/>
        <v>MUERTO</v>
      </c>
      <c r="AN116" s="39"/>
      <c r="AO116" s="39"/>
      <c r="AP116" s="39"/>
      <c r="AQ116" s="39"/>
      <c r="AR116" s="39" t="s">
        <v>2728</v>
      </c>
      <c r="AS116" s="39"/>
      <c r="AT116" s="39"/>
      <c r="AU116" s="51"/>
      <c r="AV116" s="50"/>
      <c r="AW116" s="38"/>
      <c r="AX116" s="52"/>
      <c r="AY116" s="173"/>
      <c r="AZ116" s="38"/>
      <c r="BA116" s="38" t="e">
        <f>VLOOKUP(I116,#REF!,2,0)</f>
        <v>#REF!</v>
      </c>
      <c r="BB116" s="71"/>
      <c r="BC116" s="59"/>
      <c r="BD116" s="39"/>
      <c r="BE116" s="39"/>
      <c r="BF116" s="39"/>
      <c r="BG116" s="39"/>
      <c r="BH116" s="59"/>
      <c r="BI116" s="59"/>
      <c r="BJ116" s="59"/>
      <c r="BK116" s="59"/>
      <c r="BL116" s="59"/>
      <c r="BM116" s="59"/>
      <c r="BN116" s="59"/>
      <c r="BO116" s="59"/>
      <c r="BP116" s="59"/>
      <c r="BQ116" s="62"/>
      <c r="BR116" s="6"/>
      <c r="BS116" s="70"/>
      <c r="BT116" s="62" t="s">
        <v>2600</v>
      </c>
      <c r="BU116" s="84"/>
      <c r="BV116" s="84"/>
      <c r="BW116" s="84"/>
      <c r="BX116" s="84"/>
      <c r="BY116" s="84"/>
    </row>
    <row r="117" spans="1:77" ht="75" x14ac:dyDescent="0.25">
      <c r="A117" s="38" t="s">
        <v>2734</v>
      </c>
      <c r="B117" s="39">
        <v>112</v>
      </c>
      <c r="C117" s="38" t="s">
        <v>149</v>
      </c>
      <c r="D117" s="40" t="s">
        <v>2735</v>
      </c>
      <c r="E117" s="39" t="s">
        <v>173</v>
      </c>
      <c r="F117" s="39" t="s">
        <v>326</v>
      </c>
      <c r="G117" s="39" t="s">
        <v>173</v>
      </c>
      <c r="H117" s="41"/>
      <c r="I117" s="41" t="s">
        <v>1692</v>
      </c>
      <c r="J117" s="41"/>
      <c r="K117" s="41"/>
      <c r="L117" s="41"/>
      <c r="M117" s="42" t="str">
        <f t="shared" si="30"/>
        <v xml:space="preserve">Enforcer Units Fire Service Pluse México, S.A. de C.V.  </v>
      </c>
      <c r="N117" s="991" t="s">
        <v>166</v>
      </c>
      <c r="O117" s="991" t="s">
        <v>315</v>
      </c>
      <c r="P117" s="991" t="s">
        <v>2736</v>
      </c>
      <c r="Q117" s="992">
        <v>11074190</v>
      </c>
      <c r="R117" s="44">
        <f t="shared" si="28"/>
        <v>1771870.4000000001</v>
      </c>
      <c r="S117" s="45">
        <f t="shared" si="31"/>
        <v>12846060.4</v>
      </c>
      <c r="T117" s="46">
        <v>0</v>
      </c>
      <c r="U117" s="47">
        <f t="shared" si="29"/>
        <v>0</v>
      </c>
      <c r="V117" s="44">
        <f t="shared" si="32"/>
        <v>16050184.560000001</v>
      </c>
      <c r="W117" s="993" t="s">
        <v>156</v>
      </c>
      <c r="X117" s="48">
        <v>44140</v>
      </c>
      <c r="Y117" s="39" t="s">
        <v>892</v>
      </c>
      <c r="Z117" s="48">
        <v>44139</v>
      </c>
      <c r="AA117" s="48">
        <v>44196</v>
      </c>
      <c r="AB117" s="38" t="s">
        <v>2008</v>
      </c>
      <c r="AC117" s="38"/>
      <c r="AD117" s="59" t="s">
        <v>2737</v>
      </c>
      <c r="AE117" s="59" t="s">
        <v>2738</v>
      </c>
      <c r="AF117" s="59" t="s">
        <v>161</v>
      </c>
      <c r="AG117" s="59" t="s">
        <v>161</v>
      </c>
      <c r="AH117" s="39" t="s">
        <v>183</v>
      </c>
      <c r="AI117" s="38" t="s">
        <v>2739</v>
      </c>
      <c r="AJ117" s="38" t="s">
        <v>2740</v>
      </c>
      <c r="AK117" s="50">
        <v>44195</v>
      </c>
      <c r="AL117" s="44">
        <f>2762176*1.16</f>
        <v>3204124.1599999997</v>
      </c>
      <c r="AM117" s="39" t="str">
        <f t="shared" ca="1" si="33"/>
        <v>MUERTO</v>
      </c>
      <c r="AN117" s="39"/>
      <c r="AO117" s="39"/>
      <c r="AP117" s="39"/>
      <c r="AQ117" s="39"/>
      <c r="AR117" s="39" t="s">
        <v>2728</v>
      </c>
      <c r="AS117" s="39"/>
      <c r="AT117" s="39"/>
      <c r="AU117" s="51"/>
      <c r="AV117" s="50"/>
      <c r="AW117" s="38"/>
      <c r="AX117" s="52"/>
      <c r="AY117" s="173"/>
      <c r="AZ117" s="38"/>
      <c r="BA117" s="38" t="e">
        <f>VLOOKUP(I117,#REF!,2,0)</f>
        <v>#REF!</v>
      </c>
      <c r="BB117" s="71"/>
      <c r="BC117" s="59"/>
      <c r="BD117" s="39"/>
      <c r="BE117" s="39"/>
      <c r="BF117" s="39"/>
      <c r="BG117" s="39"/>
      <c r="BH117" s="59"/>
      <c r="BI117" s="59"/>
      <c r="BJ117" s="59"/>
      <c r="BK117" s="59"/>
      <c r="BL117" s="59"/>
      <c r="BM117" s="59"/>
      <c r="BN117" s="59"/>
      <c r="BO117" s="59"/>
      <c r="BP117" s="59"/>
      <c r="BQ117" s="62"/>
      <c r="BR117" s="6"/>
      <c r="BS117" s="70"/>
      <c r="BT117" s="62" t="s">
        <v>2741</v>
      </c>
      <c r="BU117" s="84"/>
      <c r="BV117" s="84"/>
      <c r="BW117" s="84"/>
      <c r="BX117" s="84"/>
      <c r="BY117" s="84"/>
    </row>
    <row r="118" spans="1:77" ht="75" x14ac:dyDescent="0.25">
      <c r="A118" s="38" t="s">
        <v>2742</v>
      </c>
      <c r="B118" s="39">
        <v>113</v>
      </c>
      <c r="C118" s="38" t="s">
        <v>149</v>
      </c>
      <c r="D118" s="40" t="s">
        <v>2731</v>
      </c>
      <c r="E118" s="567" t="s">
        <v>163</v>
      </c>
      <c r="F118" s="39" t="s">
        <v>312</v>
      </c>
      <c r="G118" s="567" t="s">
        <v>2237</v>
      </c>
      <c r="H118" s="685" t="s">
        <v>546</v>
      </c>
      <c r="I118" s="41"/>
      <c r="J118" s="41" t="s">
        <v>2743</v>
      </c>
      <c r="K118" s="41" t="s">
        <v>2744</v>
      </c>
      <c r="L118" s="41" t="s">
        <v>2745</v>
      </c>
      <c r="M118" s="42" t="str">
        <f t="shared" si="30"/>
        <v>Jorce  Orcelli Carranco</v>
      </c>
      <c r="N118" s="991" t="s">
        <v>860</v>
      </c>
      <c r="O118" s="991" t="s">
        <v>220</v>
      </c>
      <c r="P118" s="991" t="s">
        <v>2746</v>
      </c>
      <c r="Q118" s="992">
        <v>1214850</v>
      </c>
      <c r="R118" s="44">
        <f t="shared" si="28"/>
        <v>194376</v>
      </c>
      <c r="S118" s="45">
        <f t="shared" si="31"/>
        <v>1409226</v>
      </c>
      <c r="T118" s="46">
        <v>0</v>
      </c>
      <c r="U118" s="47">
        <f t="shared" si="29"/>
        <v>0</v>
      </c>
      <c r="V118" s="44">
        <f t="shared" si="32"/>
        <v>1409226</v>
      </c>
      <c r="W118" s="993" t="s">
        <v>156</v>
      </c>
      <c r="X118" s="48">
        <v>44140</v>
      </c>
      <c r="Y118" s="39" t="s">
        <v>892</v>
      </c>
      <c r="Z118" s="48">
        <v>44141</v>
      </c>
      <c r="AA118" s="48">
        <v>44196</v>
      </c>
      <c r="AB118" s="38" t="s">
        <v>182</v>
      </c>
      <c r="AC118" s="38"/>
      <c r="AD118" s="59">
        <v>44155</v>
      </c>
      <c r="AE118" s="59" t="s">
        <v>161</v>
      </c>
      <c r="AF118" s="59" t="s">
        <v>161</v>
      </c>
      <c r="AG118" s="59" t="s">
        <v>161</v>
      </c>
      <c r="AH118" s="39" t="s">
        <v>183</v>
      </c>
      <c r="AI118" s="38"/>
      <c r="AJ118" s="38"/>
      <c r="AK118" s="50"/>
      <c r="AL118" s="44"/>
      <c r="AM118" s="39" t="str">
        <f t="shared" ca="1" si="33"/>
        <v>MUERTO</v>
      </c>
      <c r="AN118" s="39"/>
      <c r="AO118" s="39"/>
      <c r="AP118" s="39"/>
      <c r="AQ118" s="39"/>
      <c r="AR118" s="39" t="s">
        <v>2728</v>
      </c>
      <c r="AS118" s="39"/>
      <c r="AT118" s="39"/>
      <c r="AU118" s="51"/>
      <c r="AV118" s="50"/>
      <c r="AW118" s="38"/>
      <c r="AX118" s="52"/>
      <c r="AY118" s="173"/>
      <c r="AZ118" s="38"/>
      <c r="BA118" s="38" t="e">
        <f>VLOOKUP(I118,#REF!,2,0)</f>
        <v>#REF!</v>
      </c>
      <c r="BB118" s="71"/>
      <c r="BC118" s="59"/>
      <c r="BD118" s="39"/>
      <c r="BE118" s="39"/>
      <c r="BF118" s="39"/>
      <c r="BG118" s="39"/>
      <c r="BH118" s="59"/>
      <c r="BI118" s="59"/>
      <c r="BJ118" s="59"/>
      <c r="BK118" s="59"/>
      <c r="BL118" s="59"/>
      <c r="BM118" s="59"/>
      <c r="BN118" s="59"/>
      <c r="BO118" s="59"/>
      <c r="BP118" s="59"/>
      <c r="BQ118" s="62"/>
      <c r="BR118" s="6"/>
      <c r="BS118" s="70"/>
      <c r="BT118" s="62" t="s">
        <v>2747</v>
      </c>
      <c r="BU118" s="84"/>
      <c r="BV118" s="84"/>
      <c r="BW118" s="84"/>
      <c r="BX118" s="84"/>
      <c r="BY118" s="84"/>
    </row>
    <row r="119" spans="1:77" ht="75" x14ac:dyDescent="0.25">
      <c r="A119" s="38" t="s">
        <v>2748</v>
      </c>
      <c r="B119" s="39">
        <v>114</v>
      </c>
      <c r="C119" s="38" t="s">
        <v>149</v>
      </c>
      <c r="D119" s="40" t="s">
        <v>2731</v>
      </c>
      <c r="E119" s="567" t="s">
        <v>163</v>
      </c>
      <c r="F119" s="39" t="s">
        <v>312</v>
      </c>
      <c r="G119" s="567" t="s">
        <v>2237</v>
      </c>
      <c r="H119" s="685" t="s">
        <v>546</v>
      </c>
      <c r="I119" s="41" t="s">
        <v>2028</v>
      </c>
      <c r="J119" s="41"/>
      <c r="K119" s="41"/>
      <c r="L119" s="41"/>
      <c r="M119" s="42" t="str">
        <f t="shared" si="30"/>
        <v xml:space="preserve">Investigación Estratégica Kanji, S.A. de C.V.  </v>
      </c>
      <c r="N119" s="991" t="s">
        <v>860</v>
      </c>
      <c r="O119" s="991" t="s">
        <v>220</v>
      </c>
      <c r="P119" s="991" t="s">
        <v>2749</v>
      </c>
      <c r="Q119" s="992">
        <v>1090000</v>
      </c>
      <c r="R119" s="44">
        <f t="shared" si="28"/>
        <v>174400</v>
      </c>
      <c r="S119" s="45">
        <f t="shared" si="31"/>
        <v>1264400</v>
      </c>
      <c r="T119" s="46">
        <v>0</v>
      </c>
      <c r="U119" s="47">
        <f t="shared" si="29"/>
        <v>0</v>
      </c>
      <c r="V119" s="44">
        <f t="shared" si="32"/>
        <v>1264400</v>
      </c>
      <c r="W119" s="993" t="s">
        <v>156</v>
      </c>
      <c r="X119" s="48">
        <v>44140</v>
      </c>
      <c r="Y119" s="39" t="s">
        <v>892</v>
      </c>
      <c r="Z119" s="48">
        <v>44141</v>
      </c>
      <c r="AA119" s="48">
        <v>44196</v>
      </c>
      <c r="AB119" s="38" t="s">
        <v>182</v>
      </c>
      <c r="AC119" s="38"/>
      <c r="AD119" s="59">
        <v>44159</v>
      </c>
      <c r="AE119" s="59" t="s">
        <v>161</v>
      </c>
      <c r="AF119" s="59" t="s">
        <v>161</v>
      </c>
      <c r="AG119" s="59" t="s">
        <v>161</v>
      </c>
      <c r="AH119" s="39" t="s">
        <v>183</v>
      </c>
      <c r="AI119" s="38"/>
      <c r="AJ119" s="38"/>
      <c r="AK119" s="50"/>
      <c r="AL119" s="44"/>
      <c r="AM119" s="39" t="str">
        <f t="shared" ca="1" si="33"/>
        <v>MUERTO</v>
      </c>
      <c r="AN119" s="39"/>
      <c r="AO119" s="39"/>
      <c r="AP119" s="39"/>
      <c r="AQ119" s="39"/>
      <c r="AR119" s="39" t="s">
        <v>2728</v>
      </c>
      <c r="AS119" s="39"/>
      <c r="AT119" s="39"/>
      <c r="AU119" s="51"/>
      <c r="AV119" s="50"/>
      <c r="AW119" s="38"/>
      <c r="AX119" s="52"/>
      <c r="AY119" s="173"/>
      <c r="AZ119" s="38"/>
      <c r="BA119" s="38" t="e">
        <f>VLOOKUP(I119,#REF!,2,0)</f>
        <v>#REF!</v>
      </c>
      <c r="BB119" s="71"/>
      <c r="BC119" s="59"/>
      <c r="BD119" s="39"/>
      <c r="BE119" s="39"/>
      <c r="BF119" s="39"/>
      <c r="BG119" s="39"/>
      <c r="BH119" s="59"/>
      <c r="BI119" s="59"/>
      <c r="BJ119" s="59"/>
      <c r="BK119" s="59"/>
      <c r="BL119" s="59"/>
      <c r="BM119" s="59"/>
      <c r="BN119" s="59"/>
      <c r="BO119" s="59"/>
      <c r="BP119" s="59"/>
      <c r="BQ119" s="62"/>
      <c r="BR119" s="6"/>
      <c r="BS119" s="70"/>
      <c r="BT119" s="62" t="s">
        <v>2750</v>
      </c>
      <c r="BU119" s="84"/>
      <c r="BV119" s="84"/>
      <c r="BW119" s="84"/>
      <c r="BX119" s="84"/>
      <c r="BY119" s="84"/>
    </row>
    <row r="120" spans="1:77" ht="105" x14ac:dyDescent="0.25">
      <c r="A120" s="38" t="s">
        <v>2751</v>
      </c>
      <c r="B120" s="39">
        <v>115</v>
      </c>
      <c r="C120" s="38" t="s">
        <v>149</v>
      </c>
      <c r="D120" s="40" t="s">
        <v>1177</v>
      </c>
      <c r="E120" s="567" t="s">
        <v>163</v>
      </c>
      <c r="F120" s="39" t="s">
        <v>561</v>
      </c>
      <c r="G120" s="567" t="s">
        <v>163</v>
      </c>
      <c r="H120" s="567" t="s">
        <v>163</v>
      </c>
      <c r="I120" s="41" t="s">
        <v>2668</v>
      </c>
      <c r="J120" s="41"/>
      <c r="K120" s="41"/>
      <c r="L120" s="41"/>
      <c r="M120" s="42" t="str">
        <f t="shared" si="30"/>
        <v xml:space="preserve">Roka Instalaciones y Equipos, S.A. de C.V.  </v>
      </c>
      <c r="N120" s="991" t="s">
        <v>198</v>
      </c>
      <c r="O120" s="991" t="s">
        <v>198</v>
      </c>
      <c r="P120" s="991" t="s">
        <v>2752</v>
      </c>
      <c r="Q120" s="992">
        <v>1800850</v>
      </c>
      <c r="R120" s="44">
        <f t="shared" si="28"/>
        <v>288136</v>
      </c>
      <c r="S120" s="45">
        <f t="shared" si="31"/>
        <v>2088986</v>
      </c>
      <c r="T120" s="46">
        <v>0</v>
      </c>
      <c r="U120" s="47">
        <f t="shared" si="29"/>
        <v>0</v>
      </c>
      <c r="V120" s="44">
        <f t="shared" si="32"/>
        <v>2088986</v>
      </c>
      <c r="W120" s="993" t="s">
        <v>156</v>
      </c>
      <c r="X120" s="48">
        <v>44140</v>
      </c>
      <c r="Y120" s="39" t="s">
        <v>892</v>
      </c>
      <c r="Z120" s="48">
        <v>44140</v>
      </c>
      <c r="AA120" s="48">
        <v>44180</v>
      </c>
      <c r="AB120" s="38" t="s">
        <v>2753</v>
      </c>
      <c r="AC120" s="38" t="s">
        <v>2754</v>
      </c>
      <c r="AD120" s="59"/>
      <c r="AE120" s="59"/>
      <c r="AF120" s="59"/>
      <c r="AG120" s="59"/>
      <c r="AH120" s="39"/>
      <c r="AI120" s="38"/>
      <c r="AJ120" s="38"/>
      <c r="AK120" s="50"/>
      <c r="AL120" s="44"/>
      <c r="AM120" s="39" t="str">
        <f t="shared" ca="1" si="33"/>
        <v>MUERTO</v>
      </c>
      <c r="AN120" s="39"/>
      <c r="AO120" s="39"/>
      <c r="AP120" s="39"/>
      <c r="AQ120" s="39"/>
      <c r="AR120" s="109">
        <v>44197</v>
      </c>
      <c r="AS120" s="39"/>
      <c r="AT120" s="39"/>
      <c r="AU120" s="51"/>
      <c r="AV120" s="50"/>
      <c r="AW120" s="38"/>
      <c r="AX120" s="52"/>
      <c r="AY120" s="173"/>
      <c r="AZ120" s="38"/>
      <c r="BA120" s="38" t="e">
        <f>VLOOKUP(I120,#REF!,2,0)</f>
        <v>#REF!</v>
      </c>
      <c r="BB120" s="71"/>
      <c r="BC120" s="59"/>
      <c r="BD120" s="39"/>
      <c r="BE120" s="39"/>
      <c r="BF120" s="39"/>
      <c r="BG120" s="39"/>
      <c r="BH120" s="59"/>
      <c r="BI120" s="59"/>
      <c r="BJ120" s="59"/>
      <c r="BK120" s="59"/>
      <c r="BL120" s="59"/>
      <c r="BM120" s="59"/>
      <c r="BN120" s="59"/>
      <c r="BO120" s="59"/>
      <c r="BP120" s="59"/>
      <c r="BQ120" s="62"/>
      <c r="BR120" s="6"/>
      <c r="BS120" s="70"/>
      <c r="BT120" s="62" t="s">
        <v>2755</v>
      </c>
      <c r="BU120" s="84"/>
      <c r="BV120" s="84"/>
      <c r="BW120" s="84"/>
      <c r="BX120" s="84"/>
      <c r="BY120" s="84"/>
    </row>
    <row r="121" spans="1:77" ht="60" x14ac:dyDescent="0.25">
      <c r="A121" s="38" t="s">
        <v>2756</v>
      </c>
      <c r="B121" s="39">
        <v>116</v>
      </c>
      <c r="C121" s="38" t="s">
        <v>225</v>
      </c>
      <c r="D121" s="40" t="s">
        <v>2757</v>
      </c>
      <c r="E121" s="39" t="s">
        <v>151</v>
      </c>
      <c r="F121" s="39" t="s">
        <v>152</v>
      </c>
      <c r="G121" s="39" t="s">
        <v>151</v>
      </c>
      <c r="H121" s="41"/>
      <c r="I121" s="41" t="s">
        <v>446</v>
      </c>
      <c r="J121" s="41"/>
      <c r="K121" s="41"/>
      <c r="L121" s="41"/>
      <c r="M121" s="42" t="str">
        <f t="shared" si="30"/>
        <v xml:space="preserve">Internacional Proveedora de Industrias, S.A. de C.V.  </v>
      </c>
      <c r="N121" s="991" t="s">
        <v>270</v>
      </c>
      <c r="O121" s="991" t="s">
        <v>270</v>
      </c>
      <c r="P121" s="991" t="s">
        <v>2758</v>
      </c>
      <c r="Q121" s="992">
        <v>462000</v>
      </c>
      <c r="R121" s="44">
        <f t="shared" si="28"/>
        <v>73920</v>
      </c>
      <c r="S121" s="45">
        <f t="shared" si="31"/>
        <v>535920</v>
      </c>
      <c r="T121" s="46">
        <v>184800</v>
      </c>
      <c r="U121" s="47">
        <f t="shared" si="29"/>
        <v>214368</v>
      </c>
      <c r="V121" s="44">
        <f t="shared" si="32"/>
        <v>535920</v>
      </c>
      <c r="W121" s="993" t="s">
        <v>156</v>
      </c>
      <c r="X121" s="48">
        <v>44141</v>
      </c>
      <c r="Y121" s="39" t="s">
        <v>892</v>
      </c>
      <c r="Z121" s="48">
        <v>44141</v>
      </c>
      <c r="AA121" s="48">
        <v>44196</v>
      </c>
      <c r="AB121" s="38" t="s">
        <v>182</v>
      </c>
      <c r="AC121" s="38"/>
      <c r="AD121" s="59">
        <v>44147</v>
      </c>
      <c r="AE121" s="59" t="s">
        <v>161</v>
      </c>
      <c r="AF121" s="59" t="s">
        <v>161</v>
      </c>
      <c r="AG121" s="59" t="s">
        <v>161</v>
      </c>
      <c r="AH121" s="39" t="s">
        <v>183</v>
      </c>
      <c r="AI121" s="38"/>
      <c r="AJ121" s="38"/>
      <c r="AK121" s="50"/>
      <c r="AL121" s="44"/>
      <c r="AM121" s="39" t="str">
        <f t="shared" ca="1" si="33"/>
        <v>MUERTO</v>
      </c>
      <c r="AN121" s="39"/>
      <c r="AO121" s="39"/>
      <c r="AP121" s="39"/>
      <c r="AQ121" s="39"/>
      <c r="AR121" s="39" t="s">
        <v>2728</v>
      </c>
      <c r="AS121" s="39"/>
      <c r="AT121" s="39"/>
      <c r="AU121" s="51"/>
      <c r="AV121" s="50"/>
      <c r="AW121" s="38"/>
      <c r="AX121" s="52"/>
      <c r="AY121" s="173"/>
      <c r="AZ121" s="38"/>
      <c r="BA121" s="38" t="e">
        <f>VLOOKUP(I121,#REF!,2,0)</f>
        <v>#REF!</v>
      </c>
      <c r="BB121" s="71"/>
      <c r="BC121" s="59"/>
      <c r="BD121" s="39"/>
      <c r="BE121" s="39"/>
      <c r="BF121" s="39"/>
      <c r="BG121" s="39"/>
      <c r="BH121" s="59"/>
      <c r="BI121" s="59"/>
      <c r="BJ121" s="59"/>
      <c r="BK121" s="59"/>
      <c r="BL121" s="59"/>
      <c r="BM121" s="59"/>
      <c r="BN121" s="59"/>
      <c r="BO121" s="59"/>
      <c r="BP121" s="59"/>
      <c r="BQ121" s="62"/>
      <c r="BR121" s="6"/>
      <c r="BS121" s="70"/>
      <c r="BT121" s="62" t="s">
        <v>2759</v>
      </c>
      <c r="BU121" s="84"/>
      <c r="BV121" s="84"/>
      <c r="BW121" s="84"/>
      <c r="BX121" s="84"/>
      <c r="BY121" s="84"/>
    </row>
    <row r="122" spans="1:77" ht="45" x14ac:dyDescent="0.25">
      <c r="A122" s="38" t="s">
        <v>2760</v>
      </c>
      <c r="B122" s="39">
        <v>117</v>
      </c>
      <c r="C122" s="38" t="s">
        <v>225</v>
      </c>
      <c r="D122" s="40" t="s">
        <v>1177</v>
      </c>
      <c r="E122" s="567" t="s">
        <v>163</v>
      </c>
      <c r="F122" s="39" t="s">
        <v>561</v>
      </c>
      <c r="G122" s="567" t="s">
        <v>163</v>
      </c>
      <c r="H122" s="567" t="s">
        <v>163</v>
      </c>
      <c r="I122" s="41" t="s">
        <v>2619</v>
      </c>
      <c r="J122" s="41"/>
      <c r="K122" s="41"/>
      <c r="L122" s="41"/>
      <c r="M122" s="42" t="str">
        <f t="shared" si="30"/>
        <v xml:space="preserve">Farmacéuticos Tenorio, S.A. de C.V.  </v>
      </c>
      <c r="N122" s="991" t="s">
        <v>763</v>
      </c>
      <c r="O122" s="991" t="s">
        <v>763</v>
      </c>
      <c r="P122" s="991" t="s">
        <v>2761</v>
      </c>
      <c r="Q122" s="992">
        <v>2342196.5</v>
      </c>
      <c r="R122" s="44">
        <f t="shared" si="28"/>
        <v>374751.44</v>
      </c>
      <c r="S122" s="45">
        <f t="shared" si="31"/>
        <v>2716947.94</v>
      </c>
      <c r="T122" s="46">
        <v>0</v>
      </c>
      <c r="U122" s="47">
        <f t="shared" si="29"/>
        <v>0</v>
      </c>
      <c r="V122" s="44">
        <f t="shared" si="32"/>
        <v>2716947.94</v>
      </c>
      <c r="W122" s="993" t="s">
        <v>156</v>
      </c>
      <c r="X122" s="48">
        <v>44146</v>
      </c>
      <c r="Y122" s="39" t="s">
        <v>892</v>
      </c>
      <c r="Z122" s="48">
        <v>44147</v>
      </c>
      <c r="AA122" s="48">
        <v>44157</v>
      </c>
      <c r="AB122" s="38" t="s">
        <v>2050</v>
      </c>
      <c r="AC122" s="38"/>
      <c r="AD122" s="59"/>
      <c r="AE122" s="59"/>
      <c r="AF122" s="59"/>
      <c r="AG122" s="59"/>
      <c r="AH122" s="39"/>
      <c r="AI122" s="38"/>
      <c r="AJ122" s="38"/>
      <c r="AK122" s="50"/>
      <c r="AL122" s="44"/>
      <c r="AM122" s="39" t="str">
        <f t="shared" ca="1" si="33"/>
        <v>MUERTO</v>
      </c>
      <c r="AN122" s="39"/>
      <c r="AO122" s="39"/>
      <c r="AP122" s="39"/>
      <c r="AQ122" s="39"/>
      <c r="AR122" s="39" t="s">
        <v>2728</v>
      </c>
      <c r="AS122" s="39"/>
      <c r="AT122" s="39"/>
      <c r="AU122" s="51"/>
      <c r="AV122" s="50"/>
      <c r="AW122" s="38"/>
      <c r="AX122" s="52"/>
      <c r="AY122" s="173"/>
      <c r="AZ122" s="38"/>
      <c r="BA122" s="38" t="e">
        <f>VLOOKUP(I122,#REF!,2,0)</f>
        <v>#REF!</v>
      </c>
      <c r="BB122" s="71"/>
      <c r="BC122" s="59"/>
      <c r="BD122" s="39"/>
      <c r="BE122" s="39"/>
      <c r="BF122" s="39"/>
      <c r="BG122" s="39"/>
      <c r="BH122" s="59"/>
      <c r="BI122" s="59"/>
      <c r="BJ122" s="59"/>
      <c r="BK122" s="59"/>
      <c r="BL122" s="59"/>
      <c r="BM122" s="59"/>
      <c r="BN122" s="59"/>
      <c r="BO122" s="59"/>
      <c r="BP122" s="59"/>
      <c r="BQ122" s="62"/>
      <c r="BR122" s="6"/>
      <c r="BS122" s="70"/>
      <c r="BT122" s="62" t="s">
        <v>2318</v>
      </c>
      <c r="BU122" s="84"/>
      <c r="BV122" s="84"/>
      <c r="BW122" s="84"/>
      <c r="BX122" s="84"/>
      <c r="BY122" s="84"/>
    </row>
    <row r="123" spans="1:77" ht="51" x14ac:dyDescent="0.25">
      <c r="A123" s="38" t="s">
        <v>2762</v>
      </c>
      <c r="B123" s="39">
        <v>118</v>
      </c>
      <c r="C123" s="38" t="s">
        <v>225</v>
      </c>
      <c r="D123" s="40" t="s">
        <v>2763</v>
      </c>
      <c r="E123" s="39" t="s">
        <v>151</v>
      </c>
      <c r="F123" s="39" t="s">
        <v>152</v>
      </c>
      <c r="G123" s="39" t="s">
        <v>151</v>
      </c>
      <c r="H123" s="41"/>
      <c r="I123" s="41" t="s">
        <v>631</v>
      </c>
      <c r="J123" s="41"/>
      <c r="K123" s="41"/>
      <c r="L123" s="41"/>
      <c r="M123" s="42" t="str">
        <f t="shared" si="30"/>
        <v xml:space="preserve">Grupo Besh, S.A. de C.V.  </v>
      </c>
      <c r="N123" s="991" t="s">
        <v>190</v>
      </c>
      <c r="O123" s="991" t="s">
        <v>190</v>
      </c>
      <c r="P123" s="991" t="s">
        <v>2764</v>
      </c>
      <c r="Q123" s="992">
        <v>617119.86</v>
      </c>
      <c r="R123" s="44">
        <f t="shared" si="28"/>
        <v>98739.177599999995</v>
      </c>
      <c r="S123" s="45">
        <f t="shared" si="31"/>
        <v>715859.03759999992</v>
      </c>
      <c r="T123" s="46">
        <v>0</v>
      </c>
      <c r="U123" s="47">
        <f t="shared" si="29"/>
        <v>0</v>
      </c>
      <c r="V123" s="44">
        <f t="shared" si="32"/>
        <v>715859.03759999992</v>
      </c>
      <c r="W123" s="993" t="s">
        <v>156</v>
      </c>
      <c r="X123" s="48">
        <v>44146</v>
      </c>
      <c r="Y123" s="39" t="s">
        <v>892</v>
      </c>
      <c r="Z123" s="48">
        <v>44147</v>
      </c>
      <c r="AA123" s="48">
        <v>44189</v>
      </c>
      <c r="AB123" s="38" t="s">
        <v>182</v>
      </c>
      <c r="AC123" s="38"/>
      <c r="AD123" s="59">
        <v>44159</v>
      </c>
      <c r="AE123" s="59" t="s">
        <v>161</v>
      </c>
      <c r="AF123" s="59" t="s">
        <v>161</v>
      </c>
      <c r="AG123" s="59" t="s">
        <v>161</v>
      </c>
      <c r="AH123" s="39" t="s">
        <v>183</v>
      </c>
      <c r="AI123" s="38" t="s">
        <v>2765</v>
      </c>
      <c r="AJ123" s="38" t="s">
        <v>2766</v>
      </c>
      <c r="AK123" s="50">
        <v>44180</v>
      </c>
      <c r="AL123" s="44">
        <v>0</v>
      </c>
      <c r="AM123" s="39" t="str">
        <f t="shared" ca="1" si="33"/>
        <v>MUERTO</v>
      </c>
      <c r="AN123" s="39"/>
      <c r="AO123" s="39"/>
      <c r="AP123" s="39"/>
      <c r="AQ123" s="39"/>
      <c r="AR123" s="39" t="s">
        <v>2728</v>
      </c>
      <c r="AS123" s="39"/>
      <c r="AT123" s="39"/>
      <c r="AU123" s="51"/>
      <c r="AV123" s="50"/>
      <c r="AW123" s="38"/>
      <c r="AX123" s="52"/>
      <c r="AY123" s="173"/>
      <c r="AZ123" s="38"/>
      <c r="BA123" s="38" t="e">
        <f>VLOOKUP(I123,#REF!,2,0)</f>
        <v>#REF!</v>
      </c>
      <c r="BB123" s="71"/>
      <c r="BC123" s="59"/>
      <c r="BD123" s="39"/>
      <c r="BE123" s="39"/>
      <c r="BF123" s="39"/>
      <c r="BG123" s="39"/>
      <c r="BH123" s="59"/>
      <c r="BI123" s="59"/>
      <c r="BJ123" s="59"/>
      <c r="BK123" s="59"/>
      <c r="BL123" s="59"/>
      <c r="BM123" s="59"/>
      <c r="BN123" s="59"/>
      <c r="BO123" s="59"/>
      <c r="BP123" s="59"/>
      <c r="BQ123" s="62"/>
      <c r="BR123" s="6"/>
      <c r="BS123" s="70"/>
      <c r="BT123" s="62" t="s">
        <v>2600</v>
      </c>
      <c r="BU123" s="84"/>
      <c r="BV123" s="84"/>
      <c r="BW123" s="84"/>
      <c r="BX123" s="84"/>
      <c r="BY123" s="84"/>
    </row>
    <row r="124" spans="1:77" ht="60" x14ac:dyDescent="0.25">
      <c r="A124" s="38" t="s">
        <v>2767</v>
      </c>
      <c r="B124" s="39">
        <v>119</v>
      </c>
      <c r="C124" s="38" t="s">
        <v>149</v>
      </c>
      <c r="D124" s="40" t="s">
        <v>2768</v>
      </c>
      <c r="E124" s="39" t="s">
        <v>173</v>
      </c>
      <c r="F124" s="39" t="s">
        <v>326</v>
      </c>
      <c r="G124" s="39" t="s">
        <v>173</v>
      </c>
      <c r="H124" s="41"/>
      <c r="I124" s="41" t="s">
        <v>2769</v>
      </c>
      <c r="J124" s="41"/>
      <c r="K124" s="41"/>
      <c r="L124" s="41"/>
      <c r="M124" s="42" t="str">
        <f t="shared" si="30"/>
        <v xml:space="preserve">Silent4Business, S.A. de C.V.  </v>
      </c>
      <c r="N124" s="991" t="s">
        <v>656</v>
      </c>
      <c r="O124" s="991" t="s">
        <v>656</v>
      </c>
      <c r="P124" s="991" t="s">
        <v>2770</v>
      </c>
      <c r="Q124" s="992">
        <v>8570000</v>
      </c>
      <c r="R124" s="44">
        <f t="shared" si="28"/>
        <v>1371200</v>
      </c>
      <c r="S124" s="45">
        <f t="shared" si="31"/>
        <v>9941200</v>
      </c>
      <c r="T124" s="46">
        <v>0</v>
      </c>
      <c r="U124" s="47">
        <f t="shared" si="29"/>
        <v>0</v>
      </c>
      <c r="V124" s="44">
        <f t="shared" si="32"/>
        <v>9941200</v>
      </c>
      <c r="W124" s="993" t="s">
        <v>183</v>
      </c>
      <c r="X124" s="48">
        <v>44146</v>
      </c>
      <c r="Y124" s="39" t="s">
        <v>892</v>
      </c>
      <c r="Z124" s="48">
        <v>44145</v>
      </c>
      <c r="AA124" s="48">
        <v>43951</v>
      </c>
      <c r="AB124" s="38" t="s">
        <v>2076</v>
      </c>
      <c r="AC124" s="38"/>
      <c r="AD124" s="59">
        <v>44161</v>
      </c>
      <c r="AE124" s="59">
        <v>44166</v>
      </c>
      <c r="AF124" s="59" t="s">
        <v>161</v>
      </c>
      <c r="AG124" s="59" t="s">
        <v>161</v>
      </c>
      <c r="AH124" s="39" t="s">
        <v>183</v>
      </c>
      <c r="AI124" s="38"/>
      <c r="AJ124" s="38"/>
      <c r="AK124" s="50"/>
      <c r="AL124" s="44"/>
      <c r="AM124" s="39" t="str">
        <f t="shared" ca="1" si="33"/>
        <v>MUERTO</v>
      </c>
      <c r="AN124" s="39"/>
      <c r="AO124" s="39"/>
      <c r="AP124" s="39"/>
      <c r="AQ124" s="39"/>
      <c r="AR124" s="39" t="s">
        <v>2728</v>
      </c>
      <c r="AS124" s="39"/>
      <c r="AT124" s="39"/>
      <c r="AU124" s="51"/>
      <c r="AV124" s="50"/>
      <c r="AW124" s="38"/>
      <c r="AX124" s="52"/>
      <c r="AY124" s="173"/>
      <c r="AZ124" s="38"/>
      <c r="BA124" s="38" t="e">
        <f>VLOOKUP(I124,#REF!,2,0)</f>
        <v>#REF!</v>
      </c>
      <c r="BB124" s="71"/>
      <c r="BC124" s="59"/>
      <c r="BD124" s="39"/>
      <c r="BE124" s="39"/>
      <c r="BF124" s="39"/>
      <c r="BG124" s="39"/>
      <c r="BH124" s="59"/>
      <c r="BI124" s="59"/>
      <c r="BJ124" s="59"/>
      <c r="BK124" s="59"/>
      <c r="BL124" s="59"/>
      <c r="BM124" s="59"/>
      <c r="BN124" s="59"/>
      <c r="BO124" s="59"/>
      <c r="BP124" s="59"/>
      <c r="BQ124" s="62"/>
      <c r="BR124" s="6"/>
      <c r="BS124" s="70"/>
      <c r="BT124" s="62" t="s">
        <v>2771</v>
      </c>
      <c r="BU124" s="84">
        <v>6020000</v>
      </c>
      <c r="BV124" s="84">
        <v>2550000</v>
      </c>
      <c r="BW124" s="84"/>
      <c r="BX124" s="84"/>
      <c r="BY124" s="84"/>
    </row>
    <row r="125" spans="1:77" ht="105" x14ac:dyDescent="0.25">
      <c r="A125" s="38" t="s">
        <v>2772</v>
      </c>
      <c r="B125" s="39">
        <v>120</v>
      </c>
      <c r="C125" s="38" t="s">
        <v>149</v>
      </c>
      <c r="D125" s="40" t="s">
        <v>2773</v>
      </c>
      <c r="E125" s="39" t="s">
        <v>173</v>
      </c>
      <c r="F125" s="39" t="s">
        <v>326</v>
      </c>
      <c r="G125" s="39" t="s">
        <v>173</v>
      </c>
      <c r="H125" s="41"/>
      <c r="I125" s="41" t="s">
        <v>587</v>
      </c>
      <c r="J125" s="41"/>
      <c r="K125" s="41"/>
      <c r="L125" s="41"/>
      <c r="M125" s="42" t="str">
        <f t="shared" si="30"/>
        <v xml:space="preserve">Estructuras Digitales de México Comercializadora, S.A. de C.V.  </v>
      </c>
      <c r="N125" s="991" t="s">
        <v>656</v>
      </c>
      <c r="O125" s="991" t="s">
        <v>209</v>
      </c>
      <c r="P125" s="991" t="s">
        <v>2774</v>
      </c>
      <c r="Q125" s="992">
        <v>8620689.6600000001</v>
      </c>
      <c r="R125" s="44">
        <f t="shared" si="28"/>
        <v>1379310.3456000001</v>
      </c>
      <c r="S125" s="45">
        <f t="shared" si="31"/>
        <v>10000000.0056</v>
      </c>
      <c r="T125" s="46">
        <v>640000</v>
      </c>
      <c r="U125" s="47">
        <f t="shared" si="29"/>
        <v>742400</v>
      </c>
      <c r="V125" s="44">
        <f t="shared" si="32"/>
        <v>10000000.0056</v>
      </c>
      <c r="W125" s="993" t="s">
        <v>183</v>
      </c>
      <c r="X125" s="48">
        <v>44152</v>
      </c>
      <c r="Y125" s="39" t="s">
        <v>892</v>
      </c>
      <c r="Z125" s="48">
        <v>44150</v>
      </c>
      <c r="AA125" s="48">
        <v>44286</v>
      </c>
      <c r="AB125" s="38" t="s">
        <v>2017</v>
      </c>
      <c r="AC125" s="38"/>
      <c r="AD125" s="59">
        <v>44175</v>
      </c>
      <c r="AE125" s="59">
        <v>44172</v>
      </c>
      <c r="AF125" s="59" t="s">
        <v>161</v>
      </c>
      <c r="AG125" s="59">
        <v>44355</v>
      </c>
      <c r="AH125" s="39" t="s">
        <v>183</v>
      </c>
      <c r="AI125" s="38"/>
      <c r="AJ125" s="38"/>
      <c r="AK125" s="50"/>
      <c r="AL125" s="44"/>
      <c r="AM125" s="39" t="str">
        <f t="shared" ca="1" si="33"/>
        <v>MUERTO</v>
      </c>
      <c r="AN125" s="39"/>
      <c r="AO125" s="39"/>
      <c r="AP125" s="39"/>
      <c r="AQ125" s="39"/>
      <c r="AR125" s="39" t="s">
        <v>2728</v>
      </c>
      <c r="AS125" s="39"/>
      <c r="AT125" s="39"/>
      <c r="AU125" s="51"/>
      <c r="AV125" s="50"/>
      <c r="AW125" s="38"/>
      <c r="AX125" s="52"/>
      <c r="AY125" s="173"/>
      <c r="AZ125" s="38"/>
      <c r="BA125" s="38" t="e">
        <f>VLOOKUP(I125,#REF!,2,0)</f>
        <v>#REF!</v>
      </c>
      <c r="BB125" s="71"/>
      <c r="BC125" s="59"/>
      <c r="BD125" s="39"/>
      <c r="BE125" s="39"/>
      <c r="BF125" s="39"/>
      <c r="BG125" s="39"/>
      <c r="BH125" s="59"/>
      <c r="BI125" s="59"/>
      <c r="BJ125" s="59"/>
      <c r="BK125" s="59"/>
      <c r="BL125" s="59"/>
      <c r="BM125" s="59"/>
      <c r="BN125" s="59"/>
      <c r="BO125" s="59"/>
      <c r="BP125" s="59"/>
      <c r="BQ125" s="62"/>
      <c r="BR125" s="6"/>
      <c r="BS125" s="70"/>
      <c r="BT125" s="62" t="s">
        <v>2775</v>
      </c>
      <c r="BU125" s="84">
        <v>6034482.7599999998</v>
      </c>
      <c r="BV125" s="84">
        <v>2586206.9</v>
      </c>
      <c r="BW125" s="84"/>
      <c r="BX125" s="84"/>
      <c r="BY125" s="84"/>
    </row>
    <row r="126" spans="1:77" ht="90" x14ac:dyDescent="0.25">
      <c r="A126" s="38" t="s">
        <v>2776</v>
      </c>
      <c r="B126" s="39">
        <v>121</v>
      </c>
      <c r="C126" s="38" t="s">
        <v>149</v>
      </c>
      <c r="D126" s="40" t="s">
        <v>2777</v>
      </c>
      <c r="E126" s="39" t="s">
        <v>151</v>
      </c>
      <c r="F126" s="39" t="s">
        <v>152</v>
      </c>
      <c r="G126" s="39" t="s">
        <v>151</v>
      </c>
      <c r="H126" s="41"/>
      <c r="I126" s="41" t="s">
        <v>2778</v>
      </c>
      <c r="J126" s="41"/>
      <c r="K126" s="41"/>
      <c r="L126" s="41"/>
      <c r="M126" s="42" t="str">
        <f t="shared" si="30"/>
        <v xml:space="preserve">ICKROM, S.A. de C.V.  </v>
      </c>
      <c r="N126" s="991" t="s">
        <v>190</v>
      </c>
      <c r="O126" s="991" t="s">
        <v>190</v>
      </c>
      <c r="P126" s="991" t="s">
        <v>2779</v>
      </c>
      <c r="Q126" s="992">
        <v>882731.21</v>
      </c>
      <c r="R126" s="44">
        <f t="shared" si="28"/>
        <v>141236.99359999999</v>
      </c>
      <c r="S126" s="45">
        <f t="shared" si="31"/>
        <v>1023968.2035999999</v>
      </c>
      <c r="T126" s="46">
        <v>0</v>
      </c>
      <c r="U126" s="47">
        <f t="shared" si="29"/>
        <v>0</v>
      </c>
      <c r="V126" s="44">
        <f t="shared" si="32"/>
        <v>1023968.2035999999</v>
      </c>
      <c r="W126" s="993" t="s">
        <v>156</v>
      </c>
      <c r="X126" s="48">
        <v>44152</v>
      </c>
      <c r="Y126" s="39" t="s">
        <v>892</v>
      </c>
      <c r="Z126" s="48">
        <v>44152</v>
      </c>
      <c r="AA126" s="48">
        <v>44196</v>
      </c>
      <c r="AB126" s="38" t="s">
        <v>2071</v>
      </c>
      <c r="AC126" s="38"/>
      <c r="AD126" s="59">
        <v>44161</v>
      </c>
      <c r="AE126" s="59">
        <v>44166</v>
      </c>
      <c r="AF126" s="59" t="s">
        <v>161</v>
      </c>
      <c r="AG126" s="59" t="s">
        <v>161</v>
      </c>
      <c r="AH126" s="39" t="s">
        <v>183</v>
      </c>
      <c r="AI126" s="38"/>
      <c r="AJ126" s="38"/>
      <c r="AK126" s="50"/>
      <c r="AL126" s="44"/>
      <c r="AM126" s="39" t="str">
        <f t="shared" ca="1" si="33"/>
        <v>MUERTO</v>
      </c>
      <c r="AN126" s="39"/>
      <c r="AO126" s="39"/>
      <c r="AP126" s="39"/>
      <c r="AQ126" s="39"/>
      <c r="AR126" s="39" t="s">
        <v>2728</v>
      </c>
      <c r="AS126" s="39"/>
      <c r="AT126" s="39"/>
      <c r="AU126" s="51"/>
      <c r="AV126" s="50"/>
      <c r="AW126" s="38"/>
      <c r="AX126" s="52"/>
      <c r="AY126" s="173"/>
      <c r="AZ126" s="38"/>
      <c r="BA126" s="38" t="e">
        <f>VLOOKUP(I126,#REF!,2,0)</f>
        <v>#REF!</v>
      </c>
      <c r="BB126" s="71"/>
      <c r="BC126" s="59"/>
      <c r="BD126" s="39"/>
      <c r="BE126" s="39"/>
      <c r="BF126" s="39"/>
      <c r="BG126" s="39"/>
      <c r="BH126" s="59"/>
      <c r="BI126" s="59"/>
      <c r="BJ126" s="59"/>
      <c r="BK126" s="59"/>
      <c r="BL126" s="59"/>
      <c r="BM126" s="59"/>
      <c r="BN126" s="59"/>
      <c r="BO126" s="59"/>
      <c r="BP126" s="59"/>
      <c r="BQ126" s="62"/>
      <c r="BR126" s="6"/>
      <c r="BS126" s="70"/>
      <c r="BT126" s="62" t="s">
        <v>2771</v>
      </c>
      <c r="BU126" s="84"/>
      <c r="BV126" s="84"/>
      <c r="BW126" s="84"/>
      <c r="BX126" s="84"/>
      <c r="BY126" s="84"/>
    </row>
    <row r="127" spans="1:77" ht="105" x14ac:dyDescent="0.25">
      <c r="A127" s="38" t="s">
        <v>2780</v>
      </c>
      <c r="B127" s="39">
        <v>122</v>
      </c>
      <c r="C127" s="38" t="s">
        <v>149</v>
      </c>
      <c r="D127" s="40" t="s">
        <v>2781</v>
      </c>
      <c r="E127" s="39" t="s">
        <v>173</v>
      </c>
      <c r="F127" s="39" t="s">
        <v>326</v>
      </c>
      <c r="G127" s="39" t="s">
        <v>173</v>
      </c>
      <c r="H127" s="41"/>
      <c r="I127" s="41" t="s">
        <v>2039</v>
      </c>
      <c r="J127" s="41"/>
      <c r="K127" s="41"/>
      <c r="L127" s="41"/>
      <c r="M127" s="42" t="str">
        <f t="shared" si="30"/>
        <v xml:space="preserve">Desarrollo de Proyectos Especializados, S.A. de C.V.  </v>
      </c>
      <c r="N127" s="991" t="s">
        <v>198</v>
      </c>
      <c r="O127" s="991" t="s">
        <v>198</v>
      </c>
      <c r="P127" s="991" t="s">
        <v>2782</v>
      </c>
      <c r="Q127" s="992">
        <v>9469717</v>
      </c>
      <c r="R127" s="44">
        <f t="shared" si="28"/>
        <v>1515154.72</v>
      </c>
      <c r="S127" s="45">
        <f t="shared" si="31"/>
        <v>10984871.720000001</v>
      </c>
      <c r="T127" s="46">
        <v>0</v>
      </c>
      <c r="U127" s="47">
        <f t="shared" si="29"/>
        <v>0</v>
      </c>
      <c r="V127" s="44">
        <f t="shared" si="32"/>
        <v>10984871.720000001</v>
      </c>
      <c r="W127" s="993" t="s">
        <v>156</v>
      </c>
      <c r="X127" s="48">
        <v>44155</v>
      </c>
      <c r="Y127" s="39" t="s">
        <v>892</v>
      </c>
      <c r="Z127" s="48">
        <v>44152</v>
      </c>
      <c r="AA127" s="48">
        <v>44196</v>
      </c>
      <c r="AB127" s="38" t="s">
        <v>2017</v>
      </c>
      <c r="AC127" s="38"/>
      <c r="AD127" s="59">
        <v>44166</v>
      </c>
      <c r="AE127" s="59">
        <v>44166</v>
      </c>
      <c r="AF127" s="59" t="s">
        <v>161</v>
      </c>
      <c r="AG127" s="59">
        <v>44259</v>
      </c>
      <c r="AH127" s="39" t="s">
        <v>156</v>
      </c>
      <c r="AI127" s="38"/>
      <c r="AJ127" s="38"/>
      <c r="AK127" s="50"/>
      <c r="AL127" s="44"/>
      <c r="AM127" s="39" t="str">
        <f t="shared" ca="1" si="33"/>
        <v>MUERTO</v>
      </c>
      <c r="AN127" s="39"/>
      <c r="AO127" s="39"/>
      <c r="AP127" s="39"/>
      <c r="AQ127" s="39"/>
      <c r="AR127" s="39" t="s">
        <v>2728</v>
      </c>
      <c r="AS127" s="39"/>
      <c r="AT127" s="39"/>
      <c r="AU127" s="51"/>
      <c r="AV127" s="50"/>
      <c r="AW127" s="38"/>
      <c r="AX127" s="52"/>
      <c r="AY127" s="173"/>
      <c r="AZ127" s="38"/>
      <c r="BA127" s="38" t="e">
        <f>VLOOKUP(I127,#REF!,2,0)</f>
        <v>#REF!</v>
      </c>
      <c r="BB127" s="71"/>
      <c r="BC127" s="59"/>
      <c r="BD127" s="39"/>
      <c r="BE127" s="39"/>
      <c r="BF127" s="39"/>
      <c r="BG127" s="39"/>
      <c r="BH127" s="59"/>
      <c r="BI127" s="59"/>
      <c r="BJ127" s="59"/>
      <c r="BK127" s="59"/>
      <c r="BL127" s="59"/>
      <c r="BM127" s="59"/>
      <c r="BN127" s="59"/>
      <c r="BO127" s="59"/>
      <c r="BP127" s="59"/>
      <c r="BQ127" s="62"/>
      <c r="BR127" s="6"/>
      <c r="BS127" s="70"/>
      <c r="BT127" s="62" t="s">
        <v>2775</v>
      </c>
      <c r="BU127" s="84"/>
      <c r="BV127" s="84"/>
      <c r="BW127" s="84"/>
      <c r="BX127" s="84"/>
      <c r="BY127" s="84"/>
    </row>
    <row r="128" spans="1:77" ht="60" x14ac:dyDescent="0.25">
      <c r="A128" s="38" t="s">
        <v>2783</v>
      </c>
      <c r="B128" s="39">
        <v>123</v>
      </c>
      <c r="C128" s="38" t="s">
        <v>149</v>
      </c>
      <c r="D128" s="40" t="s">
        <v>2784</v>
      </c>
      <c r="E128" s="39" t="s">
        <v>151</v>
      </c>
      <c r="F128" s="39" t="s">
        <v>152</v>
      </c>
      <c r="G128" s="39" t="s">
        <v>151</v>
      </c>
      <c r="H128" s="41"/>
      <c r="I128" s="41" t="s">
        <v>859</v>
      </c>
      <c r="J128" s="41"/>
      <c r="K128" s="41"/>
      <c r="L128" s="41"/>
      <c r="M128" s="42" t="str">
        <f t="shared" si="30"/>
        <v xml:space="preserve">Promexar, S.A. de C.V.  </v>
      </c>
      <c r="N128" s="991" t="s">
        <v>860</v>
      </c>
      <c r="O128" s="991" t="s">
        <v>861</v>
      </c>
      <c r="P128" s="991" t="s">
        <v>2785</v>
      </c>
      <c r="Q128" s="992">
        <v>610000</v>
      </c>
      <c r="R128" s="44">
        <f t="shared" si="28"/>
        <v>97600</v>
      </c>
      <c r="S128" s="45">
        <f t="shared" si="31"/>
        <v>707600</v>
      </c>
      <c r="T128" s="46">
        <v>0</v>
      </c>
      <c r="U128" s="47">
        <f t="shared" si="29"/>
        <v>0</v>
      </c>
      <c r="V128" s="44">
        <f t="shared" si="32"/>
        <v>707600</v>
      </c>
      <c r="W128" s="993" t="s">
        <v>156</v>
      </c>
      <c r="X128" s="48">
        <v>44155</v>
      </c>
      <c r="Y128" s="39" t="s">
        <v>892</v>
      </c>
      <c r="Z128" s="48">
        <v>44153</v>
      </c>
      <c r="AA128" s="48">
        <v>44180</v>
      </c>
      <c r="AB128" s="38" t="s">
        <v>2033</v>
      </c>
      <c r="AC128" s="38"/>
      <c r="AD128" s="59">
        <v>44166</v>
      </c>
      <c r="AE128" s="59">
        <v>44172</v>
      </c>
      <c r="AF128" s="59" t="s">
        <v>161</v>
      </c>
      <c r="AG128" s="59" t="s">
        <v>161</v>
      </c>
      <c r="AH128" s="39" t="s">
        <v>183</v>
      </c>
      <c r="AI128" s="38"/>
      <c r="AJ128" s="38"/>
      <c r="AK128" s="50"/>
      <c r="AL128" s="44"/>
      <c r="AM128" s="39" t="str">
        <f t="shared" ca="1" si="33"/>
        <v>MUERTO</v>
      </c>
      <c r="AN128" s="39"/>
      <c r="AO128" s="39"/>
      <c r="AP128" s="39"/>
      <c r="AQ128" s="39"/>
      <c r="AR128" s="39" t="s">
        <v>2728</v>
      </c>
      <c r="AS128" s="39"/>
      <c r="AT128" s="39"/>
      <c r="AU128" s="51"/>
      <c r="AV128" s="50"/>
      <c r="AW128" s="38"/>
      <c r="AX128" s="52"/>
      <c r="AY128" s="173"/>
      <c r="AZ128" s="38"/>
      <c r="BA128" s="38" t="e">
        <f>VLOOKUP(I128,#REF!,2,0)</f>
        <v>#REF!</v>
      </c>
      <c r="BB128" s="71"/>
      <c r="BC128" s="59"/>
      <c r="BD128" s="39"/>
      <c r="BE128" s="39"/>
      <c r="BF128" s="39"/>
      <c r="BG128" s="39"/>
      <c r="BH128" s="59"/>
      <c r="BI128" s="59"/>
      <c r="BJ128" s="59"/>
      <c r="BK128" s="59"/>
      <c r="BL128" s="59"/>
      <c r="BM128" s="59"/>
      <c r="BN128" s="59"/>
      <c r="BO128" s="59"/>
      <c r="BP128" s="59"/>
      <c r="BQ128" s="62"/>
      <c r="BR128" s="6"/>
      <c r="BS128" s="70"/>
      <c r="BT128" s="62" t="s">
        <v>2786</v>
      </c>
      <c r="BU128" s="84"/>
      <c r="BV128" s="84"/>
      <c r="BW128" s="84"/>
      <c r="BX128" s="84"/>
      <c r="BY128" s="84"/>
    </row>
    <row r="129" spans="1:77" ht="120" x14ac:dyDescent="0.25">
      <c r="A129" s="38" t="s">
        <v>2787</v>
      </c>
      <c r="B129" s="39">
        <v>124</v>
      </c>
      <c r="C129" s="38" t="s">
        <v>811</v>
      </c>
      <c r="D129" s="40" t="s">
        <v>2788</v>
      </c>
      <c r="E129" s="39" t="s">
        <v>173</v>
      </c>
      <c r="F129" s="39" t="s">
        <v>326</v>
      </c>
      <c r="G129" s="39" t="s">
        <v>173</v>
      </c>
      <c r="H129" s="41"/>
      <c r="I129" s="41" t="s">
        <v>1862</v>
      </c>
      <c r="J129" s="41"/>
      <c r="K129" s="41"/>
      <c r="L129" s="41"/>
      <c r="M129" s="42" t="str">
        <f t="shared" si="30"/>
        <v xml:space="preserve">Constructora Mozaco, S.A. de C.V.  </v>
      </c>
      <c r="N129" s="991" t="s">
        <v>198</v>
      </c>
      <c r="O129" s="991" t="s">
        <v>198</v>
      </c>
      <c r="P129" s="991" t="s">
        <v>2789</v>
      </c>
      <c r="Q129" s="992">
        <v>42536812.859999999</v>
      </c>
      <c r="R129" s="44">
        <f t="shared" si="28"/>
        <v>6805890.0575999999</v>
      </c>
      <c r="S129" s="45">
        <f t="shared" si="31"/>
        <v>49342702.917599998</v>
      </c>
      <c r="T129" s="46">
        <v>0</v>
      </c>
      <c r="U129" s="47">
        <f t="shared" si="29"/>
        <v>0</v>
      </c>
      <c r="V129" s="44">
        <f t="shared" si="32"/>
        <v>49342702.917599998</v>
      </c>
      <c r="W129" s="993" t="s">
        <v>183</v>
      </c>
      <c r="X129" s="48">
        <v>44155</v>
      </c>
      <c r="Y129" s="39" t="s">
        <v>892</v>
      </c>
      <c r="Z129" s="48">
        <v>44155</v>
      </c>
      <c r="AA129" s="48">
        <v>44304</v>
      </c>
      <c r="AB129" s="38" t="s">
        <v>2790</v>
      </c>
      <c r="AC129" s="38"/>
      <c r="AD129" s="59">
        <v>44161</v>
      </c>
      <c r="AE129" s="59">
        <v>44174</v>
      </c>
      <c r="AF129" s="59">
        <v>44161</v>
      </c>
      <c r="AG129" s="59">
        <v>44320</v>
      </c>
      <c r="AH129" s="39" t="s">
        <v>183</v>
      </c>
      <c r="AI129" s="38"/>
      <c r="AJ129" s="38"/>
      <c r="AK129" s="50"/>
      <c r="AL129" s="44"/>
      <c r="AM129" s="39" t="str">
        <f t="shared" ca="1" si="33"/>
        <v>MUERTO</v>
      </c>
      <c r="AN129" s="39"/>
      <c r="AO129" s="39"/>
      <c r="AP129" s="39"/>
      <c r="AQ129" s="39"/>
      <c r="AR129" s="39" t="s">
        <v>2728</v>
      </c>
      <c r="AS129" s="39"/>
      <c r="AT129" s="39"/>
      <c r="AU129" s="51"/>
      <c r="AV129" s="50"/>
      <c r="AW129" s="38"/>
      <c r="AX129" s="52"/>
      <c r="AY129" s="173"/>
      <c r="AZ129" s="38"/>
      <c r="BA129" s="38" t="e">
        <f>VLOOKUP(I129,#REF!,2,0)</f>
        <v>#REF!</v>
      </c>
      <c r="BB129" s="71"/>
      <c r="BC129" s="59"/>
      <c r="BD129" s="39"/>
      <c r="BE129" s="39"/>
      <c r="BF129" s="39"/>
      <c r="BG129" s="39"/>
      <c r="BH129" s="59"/>
      <c r="BI129" s="59"/>
      <c r="BJ129" s="59"/>
      <c r="BK129" s="59"/>
      <c r="BL129" s="59"/>
      <c r="BM129" s="59"/>
      <c r="BN129" s="59"/>
      <c r="BO129" s="59"/>
      <c r="BP129" s="59"/>
      <c r="BQ129" s="62"/>
      <c r="BR129" s="6"/>
      <c r="BS129" s="70"/>
      <c r="BT129" s="62" t="s">
        <v>2775</v>
      </c>
      <c r="BU129" s="84">
        <v>30037381.140000001</v>
      </c>
      <c r="BV129" s="84">
        <v>12499431.720000001</v>
      </c>
      <c r="BW129" s="84"/>
      <c r="BX129" s="84"/>
      <c r="BY129" s="84"/>
    </row>
    <row r="130" spans="1:77" ht="105" x14ac:dyDescent="0.25">
      <c r="A130" s="38" t="s">
        <v>2791</v>
      </c>
      <c r="B130" s="39">
        <v>125</v>
      </c>
      <c r="C130" s="38" t="s">
        <v>225</v>
      </c>
      <c r="D130" s="40" t="s">
        <v>2792</v>
      </c>
      <c r="E130" s="39" t="s">
        <v>151</v>
      </c>
      <c r="F130" s="39" t="s">
        <v>152</v>
      </c>
      <c r="G130" s="39" t="s">
        <v>151</v>
      </c>
      <c r="H130" s="41"/>
      <c r="I130" s="41" t="s">
        <v>2436</v>
      </c>
      <c r="J130" s="41"/>
      <c r="K130" s="41"/>
      <c r="L130" s="41"/>
      <c r="M130" s="42" t="str">
        <f t="shared" si="30"/>
        <v xml:space="preserve">Teletec de México, S.A.P.I. de C.V.  </v>
      </c>
      <c r="N130" s="991" t="s">
        <v>860</v>
      </c>
      <c r="O130" s="991" t="s">
        <v>861</v>
      </c>
      <c r="P130" s="991" t="s">
        <v>2793</v>
      </c>
      <c r="Q130" s="992">
        <v>686453</v>
      </c>
      <c r="R130" s="44">
        <f t="shared" si="28"/>
        <v>109832.48</v>
      </c>
      <c r="S130" s="45">
        <f t="shared" si="31"/>
        <v>796285.48</v>
      </c>
      <c r="T130" s="46">
        <v>0</v>
      </c>
      <c r="U130" s="47">
        <f t="shared" si="29"/>
        <v>0</v>
      </c>
      <c r="V130" s="44">
        <f t="shared" si="32"/>
        <v>796285.48</v>
      </c>
      <c r="W130" s="993" t="s">
        <v>156</v>
      </c>
      <c r="X130" s="48">
        <v>44155</v>
      </c>
      <c r="Y130" s="39" t="s">
        <v>892</v>
      </c>
      <c r="Z130" s="48">
        <v>44155</v>
      </c>
      <c r="AA130" s="48">
        <v>44196</v>
      </c>
      <c r="AB130" s="38" t="s">
        <v>2076</v>
      </c>
      <c r="AC130" s="38"/>
      <c r="AD130" s="59">
        <v>44182</v>
      </c>
      <c r="AE130" s="59">
        <v>44188</v>
      </c>
      <c r="AF130" s="59" t="s">
        <v>161</v>
      </c>
      <c r="AG130" s="59" t="s">
        <v>161</v>
      </c>
      <c r="AH130" s="39" t="s">
        <v>183</v>
      </c>
      <c r="AI130" s="38"/>
      <c r="AJ130" s="38" t="s">
        <v>2794</v>
      </c>
      <c r="AK130" s="50"/>
      <c r="AL130" s="44"/>
      <c r="AM130" s="39" t="str">
        <f t="shared" ca="1" si="33"/>
        <v>MUERTO</v>
      </c>
      <c r="AN130" s="39"/>
      <c r="AO130" s="39"/>
      <c r="AP130" s="39"/>
      <c r="AQ130" s="39"/>
      <c r="AR130" s="39" t="s">
        <v>2728</v>
      </c>
      <c r="AS130" s="39"/>
      <c r="AT130" s="39"/>
      <c r="AU130" s="51"/>
      <c r="AV130" s="50"/>
      <c r="AW130" s="38"/>
      <c r="AX130" s="52"/>
      <c r="AY130" s="173"/>
      <c r="AZ130" s="38"/>
      <c r="BA130" s="38" t="e">
        <f>VLOOKUP(I130,#REF!,2,0)</f>
        <v>#REF!</v>
      </c>
      <c r="BB130" s="71"/>
      <c r="BC130" s="59"/>
      <c r="BD130" s="39"/>
      <c r="BE130" s="39"/>
      <c r="BF130" s="39"/>
      <c r="BG130" s="39"/>
      <c r="BH130" s="59"/>
      <c r="BI130" s="59"/>
      <c r="BJ130" s="59"/>
      <c r="BK130" s="59"/>
      <c r="BL130" s="59"/>
      <c r="BM130" s="59"/>
      <c r="BN130" s="59"/>
      <c r="BO130" s="59"/>
      <c r="BP130" s="59"/>
      <c r="BQ130" s="62"/>
      <c r="BR130" s="6"/>
      <c r="BS130" s="70"/>
      <c r="BT130" s="62" t="s">
        <v>2729</v>
      </c>
      <c r="BU130" s="84"/>
      <c r="BV130" s="84"/>
      <c r="BW130" s="84"/>
      <c r="BX130" s="84"/>
      <c r="BY130" s="84"/>
    </row>
    <row r="131" spans="1:77" ht="76.5" x14ac:dyDescent="0.25">
      <c r="A131" s="38" t="s">
        <v>2795</v>
      </c>
      <c r="B131" s="39">
        <v>126</v>
      </c>
      <c r="C131" s="38" t="s">
        <v>149</v>
      </c>
      <c r="D131" s="40" t="s">
        <v>2796</v>
      </c>
      <c r="E131" s="567" t="s">
        <v>163</v>
      </c>
      <c r="F131" s="39" t="s">
        <v>188</v>
      </c>
      <c r="G131" s="567" t="s">
        <v>427</v>
      </c>
      <c r="H131" s="567" t="s">
        <v>163</v>
      </c>
      <c r="I131" s="41" t="s">
        <v>2797</v>
      </c>
      <c r="J131" s="41"/>
      <c r="K131" s="41"/>
      <c r="L131" s="41"/>
      <c r="M131" s="42" t="str">
        <f t="shared" si="30"/>
        <v xml:space="preserve">Distribución de Libros Miguel Ángel Porrúa, S.A. de C.V.  </v>
      </c>
      <c r="N131" s="991" t="s">
        <v>1645</v>
      </c>
      <c r="O131" s="991" t="s">
        <v>1645</v>
      </c>
      <c r="P131" s="991" t="s">
        <v>2798</v>
      </c>
      <c r="Q131" s="992">
        <v>2365800</v>
      </c>
      <c r="R131" s="44">
        <f t="shared" si="28"/>
        <v>378528</v>
      </c>
      <c r="S131" s="45">
        <f t="shared" si="31"/>
        <v>2744328</v>
      </c>
      <c r="T131" s="46">
        <v>0</v>
      </c>
      <c r="U131" s="47">
        <f t="shared" si="29"/>
        <v>0</v>
      </c>
      <c r="V131" s="44">
        <f t="shared" si="32"/>
        <v>2744328</v>
      </c>
      <c r="W131" s="993" t="s">
        <v>156</v>
      </c>
      <c r="X131" s="48">
        <v>44160</v>
      </c>
      <c r="Y131" s="39" t="s">
        <v>892</v>
      </c>
      <c r="Z131" s="48">
        <v>44160</v>
      </c>
      <c r="AA131" s="48">
        <v>44180</v>
      </c>
      <c r="AB131" s="38" t="s">
        <v>2050</v>
      </c>
      <c r="AC131" s="38"/>
      <c r="AD131" s="59"/>
      <c r="AE131" s="59"/>
      <c r="AF131" s="59"/>
      <c r="AG131" s="59"/>
      <c r="AH131" s="39"/>
      <c r="AI131" s="38"/>
      <c r="AJ131" s="38"/>
      <c r="AK131" s="50"/>
      <c r="AL131" s="44"/>
      <c r="AM131" s="39" t="str">
        <f t="shared" ca="1" si="33"/>
        <v>MUERTO</v>
      </c>
      <c r="AN131" s="39"/>
      <c r="AO131" s="39"/>
      <c r="AP131" s="39"/>
      <c r="AQ131" s="39"/>
      <c r="AR131" s="39" t="s">
        <v>2728</v>
      </c>
      <c r="AS131" s="39"/>
      <c r="AT131" s="39"/>
      <c r="AU131" s="51"/>
      <c r="AV131" s="50"/>
      <c r="AW131" s="38"/>
      <c r="AX131" s="52"/>
      <c r="AY131" s="173"/>
      <c r="AZ131" s="38"/>
      <c r="BA131" s="38" t="e">
        <f>VLOOKUP(I131,#REF!,2,0)</f>
        <v>#REF!</v>
      </c>
      <c r="BB131" s="71"/>
      <c r="BC131" s="59"/>
      <c r="BD131" s="39"/>
      <c r="BE131" s="39"/>
      <c r="BF131" s="39"/>
      <c r="BG131" s="39"/>
      <c r="BH131" s="59"/>
      <c r="BI131" s="59"/>
      <c r="BJ131" s="59"/>
      <c r="BK131" s="59"/>
      <c r="BL131" s="59"/>
      <c r="BM131" s="59"/>
      <c r="BN131" s="59"/>
      <c r="BO131" s="59"/>
      <c r="BP131" s="59"/>
      <c r="BQ131" s="62"/>
      <c r="BR131" s="6"/>
      <c r="BS131" s="70"/>
      <c r="BT131" s="62" t="s">
        <v>2318</v>
      </c>
      <c r="BU131" s="84"/>
      <c r="BV131" s="84"/>
      <c r="BW131" s="84"/>
      <c r="BX131" s="84"/>
      <c r="BY131" s="84"/>
    </row>
    <row r="132" spans="1:77" ht="225" x14ac:dyDescent="0.25">
      <c r="A132" s="38" t="s">
        <v>2799</v>
      </c>
      <c r="B132" s="39">
        <v>127</v>
      </c>
      <c r="C132" s="38" t="s">
        <v>149</v>
      </c>
      <c r="D132" s="40" t="s">
        <v>2800</v>
      </c>
      <c r="E132" s="567" t="s">
        <v>163</v>
      </c>
      <c r="F132" s="39" t="s">
        <v>188</v>
      </c>
      <c r="G132" s="39" t="s">
        <v>427</v>
      </c>
      <c r="H132" s="567" t="s">
        <v>163</v>
      </c>
      <c r="I132" s="41" t="s">
        <v>1927</v>
      </c>
      <c r="J132" s="41"/>
      <c r="K132" s="41"/>
      <c r="L132" s="41"/>
      <c r="M132" s="42" t="str">
        <f>I132&amp;J132&amp;" "&amp;K132&amp;" "&amp;L132</f>
        <v xml:space="preserve">J+C Mexicana de Comercio y Construcción, S.A. de C.V.  </v>
      </c>
      <c r="N132" s="991" t="s">
        <v>198</v>
      </c>
      <c r="O132" s="991" t="s">
        <v>198</v>
      </c>
      <c r="P132" s="991" t="s">
        <v>2801</v>
      </c>
      <c r="Q132" s="992">
        <v>14842075.91</v>
      </c>
      <c r="R132" s="44">
        <f t="shared" si="28"/>
        <v>2374732.1455999999</v>
      </c>
      <c r="S132" s="45">
        <f t="shared" si="31"/>
        <v>17216808.055599999</v>
      </c>
      <c r="T132" s="46">
        <v>0</v>
      </c>
      <c r="U132" s="47">
        <f t="shared" si="29"/>
        <v>0</v>
      </c>
      <c r="V132" s="44">
        <f t="shared" si="32"/>
        <v>20043682.395599999</v>
      </c>
      <c r="W132" s="993" t="s">
        <v>183</v>
      </c>
      <c r="X132" s="48">
        <v>44165</v>
      </c>
      <c r="Y132" s="39" t="s">
        <v>892</v>
      </c>
      <c r="Z132" s="48">
        <v>44165</v>
      </c>
      <c r="AA132" s="48" t="s">
        <v>2802</v>
      </c>
      <c r="AB132" s="38" t="s">
        <v>2803</v>
      </c>
      <c r="AC132" s="38"/>
      <c r="AD132" s="59">
        <v>44181</v>
      </c>
      <c r="AE132" s="59">
        <v>44186</v>
      </c>
      <c r="AF132" s="59">
        <v>44181</v>
      </c>
      <c r="AG132" s="59">
        <v>44460</v>
      </c>
      <c r="AH132" s="39" t="s">
        <v>183</v>
      </c>
      <c r="AI132" s="38" t="s">
        <v>2804</v>
      </c>
      <c r="AJ132" s="38" t="s">
        <v>2805</v>
      </c>
      <c r="AK132" s="50" t="s">
        <v>2806</v>
      </c>
      <c r="AL132" s="44">
        <v>2826874.34</v>
      </c>
      <c r="AM132" s="39" t="str">
        <f t="shared" ca="1" si="33"/>
        <v>VIGENTE</v>
      </c>
      <c r="AN132" s="39"/>
      <c r="AO132" s="39"/>
      <c r="AP132" s="39"/>
      <c r="AQ132" s="39"/>
      <c r="AR132" s="39" t="s">
        <v>2728</v>
      </c>
      <c r="AS132" s="39"/>
      <c r="AT132" s="39"/>
      <c r="AU132" s="51"/>
      <c r="AV132" s="50"/>
      <c r="AW132" s="38"/>
      <c r="AX132" s="52"/>
      <c r="AY132" s="173" t="s">
        <v>2807</v>
      </c>
      <c r="AZ132" s="38" t="s">
        <v>2808</v>
      </c>
      <c r="BA132" s="38" t="e">
        <f>VLOOKUP(I132,#REF!,2,0)</f>
        <v>#REF!</v>
      </c>
      <c r="BB132" s="71"/>
      <c r="BC132" s="59"/>
      <c r="BD132" s="39"/>
      <c r="BE132" s="39"/>
      <c r="BF132" s="39"/>
      <c r="BG132" s="39"/>
      <c r="BH132" s="59"/>
      <c r="BI132" s="59"/>
      <c r="BJ132" s="59"/>
      <c r="BK132" s="59"/>
      <c r="BL132" s="59"/>
      <c r="BM132" s="59"/>
      <c r="BN132" s="59"/>
      <c r="BO132" s="59">
        <v>44327</v>
      </c>
      <c r="BP132" s="59">
        <v>44327</v>
      </c>
      <c r="BQ132" s="62"/>
      <c r="BR132" s="6"/>
      <c r="BS132" s="70"/>
      <c r="BT132" s="62" t="s">
        <v>2775</v>
      </c>
      <c r="BU132" s="84">
        <v>10389453.140000001</v>
      </c>
      <c r="BV132" s="84">
        <v>6889583.4100000001</v>
      </c>
      <c r="BW132" s="84"/>
      <c r="BX132" s="84"/>
      <c r="BY132" s="84"/>
    </row>
    <row r="133" spans="1:77" ht="89.25" x14ac:dyDescent="0.25">
      <c r="A133" s="38" t="s">
        <v>2809</v>
      </c>
      <c r="B133" s="39">
        <v>128</v>
      </c>
      <c r="C133" s="38" t="s">
        <v>225</v>
      </c>
      <c r="D133" s="40" t="s">
        <v>2810</v>
      </c>
      <c r="E133" s="567" t="s">
        <v>163</v>
      </c>
      <c r="F133" s="39" t="s">
        <v>237</v>
      </c>
      <c r="G133" s="567" t="s">
        <v>238</v>
      </c>
      <c r="H133" s="567" t="s">
        <v>163</v>
      </c>
      <c r="I133" s="41" t="s">
        <v>2811</v>
      </c>
      <c r="J133" s="41"/>
      <c r="K133" s="41"/>
      <c r="L133" s="41"/>
      <c r="M133" s="42" t="str">
        <f t="shared" si="30"/>
        <v xml:space="preserve">Cadgráfics, S.A. de C.V.  </v>
      </c>
      <c r="N133" s="991" t="s">
        <v>667</v>
      </c>
      <c r="O133" s="991" t="s">
        <v>667</v>
      </c>
      <c r="P133" s="991" t="s">
        <v>2812</v>
      </c>
      <c r="Q133" s="992">
        <v>1500000</v>
      </c>
      <c r="R133" s="44">
        <f t="shared" si="28"/>
        <v>240000</v>
      </c>
      <c r="S133" s="45">
        <f t="shared" si="31"/>
        <v>1740000</v>
      </c>
      <c r="T133" s="46">
        <v>1000000</v>
      </c>
      <c r="U133" s="47">
        <f t="shared" si="29"/>
        <v>1160000</v>
      </c>
      <c r="V133" s="44">
        <f t="shared" si="32"/>
        <v>1740000</v>
      </c>
      <c r="W133" s="993" t="s">
        <v>156</v>
      </c>
      <c r="X133" s="48">
        <v>44166</v>
      </c>
      <c r="Y133" s="39" t="s">
        <v>924</v>
      </c>
      <c r="Z133" s="48">
        <v>44166</v>
      </c>
      <c r="AA133" s="48">
        <v>44196</v>
      </c>
      <c r="AB133" s="38" t="s">
        <v>182</v>
      </c>
      <c r="AC133" s="38"/>
      <c r="AD133" s="59">
        <v>44180</v>
      </c>
      <c r="AE133" s="59" t="s">
        <v>161</v>
      </c>
      <c r="AF133" s="59" t="s">
        <v>161</v>
      </c>
      <c r="AG133" s="59" t="s">
        <v>161</v>
      </c>
      <c r="AH133" s="39" t="s">
        <v>183</v>
      </c>
      <c r="AI133" s="38"/>
      <c r="AJ133" s="38"/>
      <c r="AK133" s="50"/>
      <c r="AL133" s="44"/>
      <c r="AM133" s="39" t="str">
        <f t="shared" ca="1" si="33"/>
        <v>MUERTO</v>
      </c>
      <c r="AN133" s="39"/>
      <c r="AO133" s="39"/>
      <c r="AP133" s="39"/>
      <c r="AQ133" s="39"/>
      <c r="AR133" s="39" t="s">
        <v>924</v>
      </c>
      <c r="AS133" s="39"/>
      <c r="AT133" s="39"/>
      <c r="AU133" s="51"/>
      <c r="AV133" s="50"/>
      <c r="AW133" s="38"/>
      <c r="AX133" s="52"/>
      <c r="AY133" s="173"/>
      <c r="AZ133" s="38"/>
      <c r="BA133" s="38" t="e">
        <f>VLOOKUP(I133,#REF!,2,0)</f>
        <v>#REF!</v>
      </c>
      <c r="BB133" s="71"/>
      <c r="BC133" s="59"/>
      <c r="BD133" s="39"/>
      <c r="BE133" s="39"/>
      <c r="BF133" s="39"/>
      <c r="BG133" s="39"/>
      <c r="BH133" s="59"/>
      <c r="BI133" s="59"/>
      <c r="BJ133" s="59"/>
      <c r="BK133" s="59"/>
      <c r="BL133" s="59"/>
      <c r="BM133" s="59"/>
      <c r="BN133" s="59"/>
      <c r="BO133" s="59"/>
      <c r="BP133" s="59"/>
      <c r="BQ133" s="62"/>
      <c r="BR133" s="6"/>
      <c r="BS133" s="70"/>
      <c r="BT133" s="62" t="s">
        <v>2813</v>
      </c>
      <c r="BU133" s="84"/>
      <c r="BV133" s="84"/>
      <c r="BW133" s="84"/>
      <c r="BX133" s="84"/>
      <c r="BY133" s="84"/>
    </row>
    <row r="134" spans="1:77" ht="89.25" x14ac:dyDescent="0.25">
      <c r="A134" s="38" t="s">
        <v>2814</v>
      </c>
      <c r="B134" s="39">
        <v>129</v>
      </c>
      <c r="C134" s="38" t="s">
        <v>149</v>
      </c>
      <c r="D134" s="40" t="s">
        <v>2815</v>
      </c>
      <c r="E134" s="567" t="s">
        <v>163</v>
      </c>
      <c r="F134" s="39" t="s">
        <v>607</v>
      </c>
      <c r="G134" s="567" t="s">
        <v>608</v>
      </c>
      <c r="H134" s="685" t="s">
        <v>546</v>
      </c>
      <c r="I134" s="41" t="s">
        <v>655</v>
      </c>
      <c r="J134" s="41"/>
      <c r="K134" s="41"/>
      <c r="L134" s="41"/>
      <c r="M134" s="42" t="str">
        <f t="shared" si="30"/>
        <v xml:space="preserve">Neixar Systems, S.A. de C.V.  </v>
      </c>
      <c r="N134" s="991" t="s">
        <v>667</v>
      </c>
      <c r="O134" s="991" t="s">
        <v>667</v>
      </c>
      <c r="P134" s="991" t="s">
        <v>2816</v>
      </c>
      <c r="Q134" s="992">
        <v>6700000</v>
      </c>
      <c r="R134" s="44">
        <f t="shared" si="28"/>
        <v>1072000</v>
      </c>
      <c r="S134" s="45">
        <f t="shared" si="31"/>
        <v>7772000</v>
      </c>
      <c r="T134" s="46">
        <v>4300000</v>
      </c>
      <c r="U134" s="47">
        <f t="shared" si="29"/>
        <v>4988000</v>
      </c>
      <c r="V134" s="44">
        <f t="shared" si="32"/>
        <v>7772000</v>
      </c>
      <c r="W134" s="993" t="s">
        <v>183</v>
      </c>
      <c r="X134" s="48">
        <v>44166</v>
      </c>
      <c r="Y134" s="39" t="s">
        <v>924</v>
      </c>
      <c r="Z134" s="48">
        <v>44166</v>
      </c>
      <c r="AA134" s="48">
        <v>44439</v>
      </c>
      <c r="AB134" s="38" t="s">
        <v>2033</v>
      </c>
      <c r="AC134" s="38"/>
      <c r="AD134" s="59">
        <v>44195</v>
      </c>
      <c r="AE134" s="59">
        <v>44187</v>
      </c>
      <c r="AF134" s="59" t="s">
        <v>161</v>
      </c>
      <c r="AG134" s="59" t="s">
        <v>161</v>
      </c>
      <c r="AH134" s="39" t="s">
        <v>183</v>
      </c>
      <c r="AI134" s="38"/>
      <c r="AJ134" s="38"/>
      <c r="AK134" s="50"/>
      <c r="AL134" s="44"/>
      <c r="AM134" s="39" t="str">
        <f t="shared" ca="1" si="33"/>
        <v>MUERTO</v>
      </c>
      <c r="AN134" s="39"/>
      <c r="AO134" s="39"/>
      <c r="AP134" s="39"/>
      <c r="AQ134" s="39"/>
      <c r="AR134" s="39" t="s">
        <v>924</v>
      </c>
      <c r="AS134" s="39"/>
      <c r="AT134" s="39"/>
      <c r="AU134" s="51"/>
      <c r="AV134" s="50"/>
      <c r="AW134" s="38"/>
      <c r="AX134" s="52"/>
      <c r="AY134" s="173"/>
      <c r="AZ134" s="38"/>
      <c r="BA134" s="38" t="e">
        <f>VLOOKUP(I134,#REF!,2,0)</f>
        <v>#REF!</v>
      </c>
      <c r="BB134" s="71"/>
      <c r="BC134" s="59"/>
      <c r="BD134" s="39"/>
      <c r="BE134" s="39"/>
      <c r="BF134" s="39"/>
      <c r="BG134" s="39"/>
      <c r="BH134" s="59"/>
      <c r="BI134" s="59"/>
      <c r="BJ134" s="59"/>
      <c r="BK134" s="59"/>
      <c r="BL134" s="59"/>
      <c r="BM134" s="59"/>
      <c r="BN134" s="59"/>
      <c r="BO134" s="59"/>
      <c r="BP134" s="59"/>
      <c r="BQ134" s="62"/>
      <c r="BR134" s="6"/>
      <c r="BS134" s="70"/>
      <c r="BT134" s="62" t="s">
        <v>2775</v>
      </c>
      <c r="BU134" s="84"/>
      <c r="BV134" s="84"/>
      <c r="BW134" s="84"/>
      <c r="BX134" s="84"/>
      <c r="BY134" s="84"/>
    </row>
    <row r="135" spans="1:77" ht="45" x14ac:dyDescent="0.25">
      <c r="A135" s="38" t="s">
        <v>2817</v>
      </c>
      <c r="B135" s="39">
        <v>130</v>
      </c>
      <c r="C135" s="38" t="s">
        <v>225</v>
      </c>
      <c r="D135" s="40" t="s">
        <v>2818</v>
      </c>
      <c r="E135" s="39" t="s">
        <v>173</v>
      </c>
      <c r="F135" s="39" t="s">
        <v>326</v>
      </c>
      <c r="G135" s="39" t="s">
        <v>173</v>
      </c>
      <c r="H135" s="41"/>
      <c r="I135" s="41" t="s">
        <v>859</v>
      </c>
      <c r="J135" s="41"/>
      <c r="K135" s="41"/>
      <c r="L135" s="41"/>
      <c r="M135" s="42" t="str">
        <f t="shared" si="30"/>
        <v xml:space="preserve">Promexar, S.A. de C.V.  </v>
      </c>
      <c r="N135" s="991" t="s">
        <v>861</v>
      </c>
      <c r="O135" s="991" t="s">
        <v>861</v>
      </c>
      <c r="P135" s="991" t="s">
        <v>2819</v>
      </c>
      <c r="Q135" s="992">
        <v>1008000</v>
      </c>
      <c r="R135" s="44">
        <f t="shared" si="28"/>
        <v>161280</v>
      </c>
      <c r="S135" s="45">
        <f t="shared" si="31"/>
        <v>1169280</v>
      </c>
      <c r="T135" s="46">
        <v>0</v>
      </c>
      <c r="U135" s="47">
        <f t="shared" si="29"/>
        <v>0</v>
      </c>
      <c r="V135" s="44">
        <f t="shared" si="32"/>
        <v>1169280</v>
      </c>
      <c r="W135" s="993" t="s">
        <v>156</v>
      </c>
      <c r="X135" s="48">
        <v>44167</v>
      </c>
      <c r="Y135" s="39" t="s">
        <v>924</v>
      </c>
      <c r="Z135" s="48">
        <v>44167</v>
      </c>
      <c r="AA135" s="48">
        <v>44196</v>
      </c>
      <c r="AB135" s="38" t="s">
        <v>182</v>
      </c>
      <c r="AC135" s="38"/>
      <c r="AD135" s="59">
        <v>44179</v>
      </c>
      <c r="AE135" s="59" t="s">
        <v>161</v>
      </c>
      <c r="AF135" s="59" t="s">
        <v>161</v>
      </c>
      <c r="AG135" s="59" t="s">
        <v>161</v>
      </c>
      <c r="AH135" s="39" t="s">
        <v>183</v>
      </c>
      <c r="AI135" s="38"/>
      <c r="AJ135" s="38"/>
      <c r="AK135" s="50"/>
      <c r="AL135" s="44"/>
      <c r="AM135" s="39" t="str">
        <f t="shared" ca="1" si="33"/>
        <v>MUERTO</v>
      </c>
      <c r="AN135" s="39"/>
      <c r="AO135" s="39"/>
      <c r="AP135" s="39"/>
      <c r="AQ135" s="39"/>
      <c r="AR135" s="39" t="s">
        <v>924</v>
      </c>
      <c r="AS135" s="39"/>
      <c r="AT135" s="39"/>
      <c r="AU135" s="51"/>
      <c r="AV135" s="50"/>
      <c r="AW135" s="38"/>
      <c r="AX135" s="52"/>
      <c r="AY135" s="173"/>
      <c r="AZ135" s="38"/>
      <c r="BA135" s="38" t="e">
        <f>VLOOKUP(I135,#REF!,2,0)</f>
        <v>#REF!</v>
      </c>
      <c r="BB135" s="71"/>
      <c r="BC135" s="59"/>
      <c r="BD135" s="39"/>
      <c r="BE135" s="39"/>
      <c r="BF135" s="39"/>
      <c r="BG135" s="39"/>
      <c r="BH135" s="59"/>
      <c r="BI135" s="59"/>
      <c r="BJ135" s="59"/>
      <c r="BK135" s="59"/>
      <c r="BL135" s="59"/>
      <c r="BM135" s="59"/>
      <c r="BN135" s="59"/>
      <c r="BO135" s="59"/>
      <c r="BP135" s="59"/>
      <c r="BQ135" s="62"/>
      <c r="BR135" s="6"/>
      <c r="BS135" s="70"/>
      <c r="BT135" s="62" t="s">
        <v>2820</v>
      </c>
      <c r="BU135" s="84"/>
      <c r="BV135" s="84"/>
      <c r="BW135" s="84"/>
      <c r="BX135" s="84"/>
      <c r="BY135" s="84"/>
    </row>
    <row r="136" spans="1:77" ht="75" x14ac:dyDescent="0.25">
      <c r="A136" s="38" t="s">
        <v>2821</v>
      </c>
      <c r="B136" s="39">
        <v>131</v>
      </c>
      <c r="C136" s="38" t="s">
        <v>149</v>
      </c>
      <c r="D136" s="40" t="s">
        <v>2822</v>
      </c>
      <c r="E136" s="567" t="s">
        <v>163</v>
      </c>
      <c r="F136" s="39" t="s">
        <v>312</v>
      </c>
      <c r="G136" s="567" t="s">
        <v>2237</v>
      </c>
      <c r="H136" s="685" t="s">
        <v>546</v>
      </c>
      <c r="I136" s="41"/>
      <c r="J136" s="41" t="s">
        <v>2823</v>
      </c>
      <c r="K136" s="41" t="s">
        <v>2824</v>
      </c>
      <c r="L136" s="41" t="s">
        <v>2825</v>
      </c>
      <c r="M136" s="42" t="str">
        <f t="shared" si="30"/>
        <v>Cristian Selene Briseño  Rodríguez</v>
      </c>
      <c r="N136" s="991" t="s">
        <v>2603</v>
      </c>
      <c r="O136" s="991" t="s">
        <v>2603</v>
      </c>
      <c r="P136" s="991" t="s">
        <v>2826</v>
      </c>
      <c r="Q136" s="992">
        <v>1222000</v>
      </c>
      <c r="R136" s="44">
        <f t="shared" si="28"/>
        <v>195520</v>
      </c>
      <c r="S136" s="45">
        <f t="shared" si="31"/>
        <v>1417520</v>
      </c>
      <c r="T136" s="46">
        <v>0</v>
      </c>
      <c r="U136" s="47">
        <f t="shared" si="29"/>
        <v>0</v>
      </c>
      <c r="V136" s="44">
        <f t="shared" si="32"/>
        <v>1417520</v>
      </c>
      <c r="W136" s="993" t="s">
        <v>156</v>
      </c>
      <c r="X136" s="48">
        <v>44166</v>
      </c>
      <c r="Y136" s="39" t="s">
        <v>924</v>
      </c>
      <c r="Z136" s="48">
        <v>44166</v>
      </c>
      <c r="AA136" s="48">
        <v>44193</v>
      </c>
      <c r="AB136" s="38" t="s">
        <v>182</v>
      </c>
      <c r="AC136" s="38"/>
      <c r="AD136" s="59">
        <v>44183</v>
      </c>
      <c r="AE136" s="59" t="s">
        <v>161</v>
      </c>
      <c r="AF136" s="59" t="s">
        <v>161</v>
      </c>
      <c r="AG136" s="59" t="s">
        <v>161</v>
      </c>
      <c r="AH136" s="39" t="s">
        <v>183</v>
      </c>
      <c r="AI136" s="38"/>
      <c r="AJ136" s="38"/>
      <c r="AK136" s="50"/>
      <c r="AL136" s="44"/>
      <c r="AM136" s="39" t="str">
        <f t="shared" ca="1" si="33"/>
        <v>MUERTO</v>
      </c>
      <c r="AN136" s="39"/>
      <c r="AO136" s="39"/>
      <c r="AP136" s="39"/>
      <c r="AQ136" s="39"/>
      <c r="AR136" s="39" t="s">
        <v>924</v>
      </c>
      <c r="AS136" s="39"/>
      <c r="AT136" s="39"/>
      <c r="AU136" s="51"/>
      <c r="AV136" s="50"/>
      <c r="AW136" s="38"/>
      <c r="AX136" s="52"/>
      <c r="AY136" s="173"/>
      <c r="AZ136" s="38"/>
      <c r="BA136" s="38" t="e">
        <f>VLOOKUP(I136,#REF!,2,0)</f>
        <v>#REF!</v>
      </c>
      <c r="BB136" s="71"/>
      <c r="BC136" s="59"/>
      <c r="BD136" s="39"/>
      <c r="BE136" s="39"/>
      <c r="BF136" s="39"/>
      <c r="BG136" s="39"/>
      <c r="BH136" s="59"/>
      <c r="BI136" s="59"/>
      <c r="BJ136" s="59"/>
      <c r="BK136" s="59"/>
      <c r="BL136" s="59"/>
      <c r="BM136" s="59"/>
      <c r="BN136" s="59"/>
      <c r="BO136" s="59"/>
      <c r="BP136" s="59"/>
      <c r="BQ136" s="62"/>
      <c r="BR136" s="6"/>
      <c r="BS136" s="70"/>
      <c r="BT136" s="62" t="s">
        <v>2827</v>
      </c>
      <c r="BU136" s="84"/>
      <c r="BV136" s="84"/>
      <c r="BW136" s="84"/>
      <c r="BX136" s="84"/>
      <c r="BY136" s="84"/>
    </row>
    <row r="137" spans="1:77" ht="89.25" x14ac:dyDescent="0.25">
      <c r="A137" s="38" t="s">
        <v>2828</v>
      </c>
      <c r="B137" s="39">
        <v>132</v>
      </c>
      <c r="C137" s="38" t="s">
        <v>225</v>
      </c>
      <c r="D137" s="40" t="s">
        <v>2829</v>
      </c>
      <c r="E137" s="567" t="s">
        <v>163</v>
      </c>
      <c r="F137" s="39" t="s">
        <v>237</v>
      </c>
      <c r="G137" s="567" t="s">
        <v>238</v>
      </c>
      <c r="H137" s="567" t="s">
        <v>163</v>
      </c>
      <c r="I137" s="41" t="s">
        <v>2830</v>
      </c>
      <c r="J137" s="41"/>
      <c r="K137" s="41"/>
      <c r="L137" s="41"/>
      <c r="M137" s="42" t="str">
        <f t="shared" si="30"/>
        <v xml:space="preserve">Men´s International Collection, S.A. de C.V.  </v>
      </c>
      <c r="N137" s="991" t="s">
        <v>370</v>
      </c>
      <c r="O137" s="991" t="s">
        <v>370</v>
      </c>
      <c r="P137" s="991" t="s">
        <v>2831</v>
      </c>
      <c r="Q137" s="992">
        <v>1293092.43</v>
      </c>
      <c r="R137" s="44">
        <f t="shared" si="28"/>
        <v>206894.78879999998</v>
      </c>
      <c r="S137" s="45">
        <f t="shared" si="31"/>
        <v>1499987.2187999999</v>
      </c>
      <c r="T137" s="46">
        <v>0</v>
      </c>
      <c r="U137" s="47">
        <f t="shared" si="29"/>
        <v>0</v>
      </c>
      <c r="V137" s="44">
        <f t="shared" si="32"/>
        <v>1499987.2187999999</v>
      </c>
      <c r="W137" s="993" t="s">
        <v>156</v>
      </c>
      <c r="X137" s="48">
        <v>44167</v>
      </c>
      <c r="Y137" s="39" t="s">
        <v>924</v>
      </c>
      <c r="Z137" s="48">
        <v>44167</v>
      </c>
      <c r="AA137" s="48">
        <v>44196</v>
      </c>
      <c r="AB137" s="38" t="s">
        <v>182</v>
      </c>
      <c r="AC137" s="38"/>
      <c r="AD137" s="59">
        <v>44188</v>
      </c>
      <c r="AE137" s="59" t="s">
        <v>161</v>
      </c>
      <c r="AF137" s="59" t="s">
        <v>161</v>
      </c>
      <c r="AG137" s="59" t="s">
        <v>161</v>
      </c>
      <c r="AH137" s="39" t="s">
        <v>183</v>
      </c>
      <c r="AI137" s="38"/>
      <c r="AJ137" s="38"/>
      <c r="AK137" s="50"/>
      <c r="AL137" s="44"/>
      <c r="AM137" s="39" t="str">
        <f t="shared" ca="1" si="33"/>
        <v>MUERTO</v>
      </c>
      <c r="AN137" s="39"/>
      <c r="AO137" s="39"/>
      <c r="AP137" s="39"/>
      <c r="AQ137" s="39"/>
      <c r="AR137" s="39" t="s">
        <v>924</v>
      </c>
      <c r="AS137" s="39"/>
      <c r="AT137" s="39"/>
      <c r="AU137" s="51"/>
      <c r="AV137" s="50"/>
      <c r="AW137" s="38"/>
      <c r="AX137" s="52"/>
      <c r="AY137" s="173"/>
      <c r="AZ137" s="38"/>
      <c r="BA137" s="38" t="e">
        <f>VLOOKUP(I137,#REF!,2,0)</f>
        <v>#REF!</v>
      </c>
      <c r="BB137" s="71"/>
      <c r="BC137" s="59"/>
      <c r="BD137" s="39"/>
      <c r="BE137" s="39"/>
      <c r="BF137" s="39"/>
      <c r="BG137" s="39"/>
      <c r="BH137" s="59"/>
      <c r="BI137" s="59"/>
      <c r="BJ137" s="59"/>
      <c r="BK137" s="59"/>
      <c r="BL137" s="59"/>
      <c r="BM137" s="59"/>
      <c r="BN137" s="59"/>
      <c r="BO137" s="59"/>
      <c r="BP137" s="59"/>
      <c r="BQ137" s="62"/>
      <c r="BR137" s="6"/>
      <c r="BS137" s="70"/>
      <c r="BT137" s="62" t="s">
        <v>2729</v>
      </c>
      <c r="BU137" s="84"/>
      <c r="BV137" s="84"/>
      <c r="BW137" s="84"/>
      <c r="BX137" s="84"/>
      <c r="BY137" s="84"/>
    </row>
    <row r="138" spans="1:77" ht="240" x14ac:dyDescent="0.25">
      <c r="A138" s="110" t="s">
        <v>2832</v>
      </c>
      <c r="B138" s="39">
        <v>133</v>
      </c>
      <c r="C138" s="38" t="s">
        <v>149</v>
      </c>
      <c r="D138" s="40" t="s">
        <v>2822</v>
      </c>
      <c r="E138" s="567" t="s">
        <v>163</v>
      </c>
      <c r="F138" s="39" t="s">
        <v>312</v>
      </c>
      <c r="G138" s="567" t="s">
        <v>2237</v>
      </c>
      <c r="H138" s="685" t="s">
        <v>546</v>
      </c>
      <c r="I138" s="41" t="s">
        <v>1038</v>
      </c>
      <c r="J138" s="41"/>
      <c r="K138" s="41"/>
      <c r="L138" s="41"/>
      <c r="M138" s="42" t="str">
        <f t="shared" si="30"/>
        <v xml:space="preserve">Sistemas Neumáticos de Envíos, S.A. de C.V.  </v>
      </c>
      <c r="N138" s="991" t="s">
        <v>198</v>
      </c>
      <c r="O138" s="991" t="s">
        <v>198</v>
      </c>
      <c r="P138" s="991" t="s">
        <v>2244</v>
      </c>
      <c r="Q138" s="992">
        <v>2923681.24</v>
      </c>
      <c r="R138" s="44">
        <f t="shared" ref="R138:R162" si="34">Q138*0.16</f>
        <v>467788.99840000004</v>
      </c>
      <c r="S138" s="45">
        <f t="shared" si="31"/>
        <v>3391470.2384000001</v>
      </c>
      <c r="T138" s="46">
        <v>0</v>
      </c>
      <c r="U138" s="47">
        <f t="shared" ref="U138:U163" si="35">(T138*0.16)+(T138)</f>
        <v>0</v>
      </c>
      <c r="V138" s="44">
        <f t="shared" si="32"/>
        <v>4239337.7983999997</v>
      </c>
      <c r="W138" s="993" t="s">
        <v>156</v>
      </c>
      <c r="X138" s="48">
        <v>44173</v>
      </c>
      <c r="Y138" s="109">
        <v>44197</v>
      </c>
      <c r="Z138" s="48">
        <v>44197</v>
      </c>
      <c r="AA138" s="213" t="s">
        <v>2833</v>
      </c>
      <c r="AB138" s="38" t="s">
        <v>2156</v>
      </c>
      <c r="AC138" s="38"/>
      <c r="AD138" s="59" t="s">
        <v>2834</v>
      </c>
      <c r="AE138" s="59" t="s">
        <v>2835</v>
      </c>
      <c r="AF138" s="59" t="s">
        <v>161</v>
      </c>
      <c r="AG138" s="59" t="s">
        <v>161</v>
      </c>
      <c r="AH138" s="39" t="s">
        <v>156</v>
      </c>
      <c r="AI138" s="211" t="s">
        <v>2836</v>
      </c>
      <c r="AJ138" s="211" t="s">
        <v>2837</v>
      </c>
      <c r="AK138" s="218">
        <v>44561</v>
      </c>
      <c r="AL138" s="215">
        <v>847867.56</v>
      </c>
      <c r="AM138" s="39" t="str">
        <f t="shared" ca="1" si="33"/>
        <v>VIGENTE</v>
      </c>
      <c r="AN138" s="39"/>
      <c r="AO138" s="39"/>
      <c r="AP138" s="39"/>
      <c r="AQ138" s="39"/>
      <c r="AR138" s="39" t="s">
        <v>924</v>
      </c>
      <c r="AS138" s="39"/>
      <c r="AT138" s="39"/>
      <c r="AU138" s="51"/>
      <c r="AV138" s="50"/>
      <c r="AW138" s="38"/>
      <c r="AX138" s="52"/>
      <c r="AY138" s="173" t="s">
        <v>2838</v>
      </c>
      <c r="AZ138" s="38" t="s">
        <v>2839</v>
      </c>
      <c r="BA138" s="38" t="e">
        <f>VLOOKUP(I138,#REF!,2,0)</f>
        <v>#REF!</v>
      </c>
      <c r="BB138" s="71"/>
      <c r="BC138" s="59"/>
      <c r="BD138" s="39"/>
      <c r="BE138" s="39"/>
      <c r="BF138" s="39"/>
      <c r="BG138" s="39"/>
      <c r="BH138" s="59"/>
      <c r="BI138" s="59"/>
      <c r="BJ138" s="59"/>
      <c r="BK138" s="59"/>
      <c r="BL138" s="59"/>
      <c r="BM138" s="59">
        <v>44246</v>
      </c>
      <c r="BN138" s="59"/>
      <c r="BO138" s="59"/>
      <c r="BP138" s="59"/>
      <c r="BQ138" s="62"/>
      <c r="BR138" s="6"/>
      <c r="BS138" s="70"/>
      <c r="BT138" s="62" t="s">
        <v>2840</v>
      </c>
      <c r="BU138" s="84"/>
      <c r="BV138" s="84"/>
      <c r="BW138" s="84"/>
      <c r="BX138" s="84"/>
      <c r="BY138" s="84"/>
    </row>
    <row r="139" spans="1:77" ht="255" x14ac:dyDescent="0.25">
      <c r="A139" s="38" t="s">
        <v>2841</v>
      </c>
      <c r="B139" s="39">
        <v>134</v>
      </c>
      <c r="C139" s="38" t="s">
        <v>225</v>
      </c>
      <c r="D139" s="40" t="s">
        <v>2842</v>
      </c>
      <c r="E139" s="567" t="s">
        <v>163</v>
      </c>
      <c r="F139" s="39" t="s">
        <v>237</v>
      </c>
      <c r="G139" s="567" t="s">
        <v>238</v>
      </c>
      <c r="H139" s="567" t="s">
        <v>163</v>
      </c>
      <c r="I139" s="41"/>
      <c r="J139" s="41" t="s">
        <v>2843</v>
      </c>
      <c r="K139" s="41" t="s">
        <v>393</v>
      </c>
      <c r="L139" s="41" t="s">
        <v>2844</v>
      </c>
      <c r="M139" s="42" t="str">
        <f>I139&amp;J139&amp;" "&amp;K139&amp;" "&amp;L139</f>
        <v>Hugo José Martínez Juárez</v>
      </c>
      <c r="N139" s="991" t="s">
        <v>198</v>
      </c>
      <c r="O139" s="991" t="s">
        <v>198</v>
      </c>
      <c r="P139" s="991" t="s">
        <v>2845</v>
      </c>
      <c r="Q139" s="992">
        <v>1251810.3400000001</v>
      </c>
      <c r="R139" s="44">
        <f t="shared" si="34"/>
        <v>200289.65440000003</v>
      </c>
      <c r="S139" s="45">
        <f t="shared" ref="S139:S164" si="36">Q139+R139</f>
        <v>1452099.9944000002</v>
      </c>
      <c r="T139" s="46">
        <v>653620.68999999994</v>
      </c>
      <c r="U139" s="47">
        <f t="shared" si="35"/>
        <v>758200.0003999999</v>
      </c>
      <c r="V139" s="44">
        <f t="shared" ref="V139:V164" si="37">S139+AL139</f>
        <v>1815124.9988000002</v>
      </c>
      <c r="W139" s="993" t="s">
        <v>156</v>
      </c>
      <c r="X139" s="48">
        <v>44166</v>
      </c>
      <c r="Y139" s="39" t="s">
        <v>924</v>
      </c>
      <c r="Z139" s="48">
        <v>44166</v>
      </c>
      <c r="AA139" s="48" t="s">
        <v>2846</v>
      </c>
      <c r="AB139" s="38" t="s">
        <v>182</v>
      </c>
      <c r="AC139" s="38" t="s">
        <v>2337</v>
      </c>
      <c r="AD139" s="59" t="s">
        <v>2847</v>
      </c>
      <c r="AE139" s="59" t="s">
        <v>161</v>
      </c>
      <c r="AF139" s="59" t="s">
        <v>161</v>
      </c>
      <c r="AG139" s="59" t="s">
        <v>161</v>
      </c>
      <c r="AH139" s="39" t="s">
        <v>183</v>
      </c>
      <c r="AI139" s="38" t="s">
        <v>2848</v>
      </c>
      <c r="AJ139" s="38" t="s">
        <v>2849</v>
      </c>
      <c r="AK139" s="50">
        <v>44196</v>
      </c>
      <c r="AL139" s="44">
        <f>312952.59*1.16</f>
        <v>363025.00439999998</v>
      </c>
      <c r="AM139" s="39" t="str">
        <f t="shared" ref="AM139:AM164" ca="1" si="38">IF(ISBLANK(AA139),"",IF(AA139&gt;=TODAY(),"VIGENTE","MUERTO"))</f>
        <v>VIGENTE</v>
      </c>
      <c r="AN139" s="39"/>
      <c r="AO139" s="39"/>
      <c r="AP139" s="39"/>
      <c r="AQ139" s="39"/>
      <c r="AR139" s="39" t="s">
        <v>924</v>
      </c>
      <c r="AS139" s="39"/>
      <c r="AT139" s="39"/>
      <c r="AU139" s="51"/>
      <c r="AV139" s="50"/>
      <c r="AW139" s="38"/>
      <c r="AX139" s="52"/>
      <c r="AY139" s="173"/>
      <c r="AZ139" s="38"/>
      <c r="BA139" s="38" t="e">
        <f>VLOOKUP(I139,#REF!,2,0)</f>
        <v>#REF!</v>
      </c>
      <c r="BB139" s="71"/>
      <c r="BC139" s="59"/>
      <c r="BD139" s="39"/>
      <c r="BE139" s="39"/>
      <c r="BF139" s="39"/>
      <c r="BG139" s="39"/>
      <c r="BH139" s="59"/>
      <c r="BI139" s="59"/>
      <c r="BJ139" s="59"/>
      <c r="BK139" s="59"/>
      <c r="BL139" s="59"/>
      <c r="BM139" s="59"/>
      <c r="BN139" s="59"/>
      <c r="BO139" s="59"/>
      <c r="BP139" s="59"/>
      <c r="BQ139" s="62"/>
      <c r="BR139" s="6"/>
      <c r="BS139" s="70"/>
      <c r="BT139" s="62" t="s">
        <v>2850</v>
      </c>
      <c r="BU139" s="84"/>
      <c r="BV139" s="84"/>
      <c r="BW139" s="84"/>
      <c r="BX139" s="84"/>
      <c r="BY139" s="84"/>
    </row>
    <row r="140" spans="1:77" ht="240" x14ac:dyDescent="0.25">
      <c r="A140" s="110" t="s">
        <v>2851</v>
      </c>
      <c r="B140" s="39">
        <v>135</v>
      </c>
      <c r="C140" s="38" t="s">
        <v>149</v>
      </c>
      <c r="D140" s="40" t="s">
        <v>2822</v>
      </c>
      <c r="E140" s="567" t="s">
        <v>163</v>
      </c>
      <c r="F140" s="39" t="s">
        <v>312</v>
      </c>
      <c r="G140" s="567" t="s">
        <v>2237</v>
      </c>
      <c r="H140" s="685" t="s">
        <v>546</v>
      </c>
      <c r="I140" s="41" t="s">
        <v>1038</v>
      </c>
      <c r="J140" s="41"/>
      <c r="K140" s="41"/>
      <c r="L140" s="41"/>
      <c r="M140" s="42" t="str">
        <f>I140&amp;J140&amp;" "&amp;K140&amp;" "&amp;L140</f>
        <v xml:space="preserve">Sistemas Neumáticos de Envíos, S.A. de C.V.  </v>
      </c>
      <c r="N140" s="991" t="s">
        <v>198</v>
      </c>
      <c r="O140" s="991" t="s">
        <v>198</v>
      </c>
      <c r="P140" s="991" t="s">
        <v>2852</v>
      </c>
      <c r="Q140" s="992">
        <v>649128.99</v>
      </c>
      <c r="R140" s="44">
        <f t="shared" si="34"/>
        <v>103860.6384</v>
      </c>
      <c r="S140" s="45">
        <f t="shared" si="36"/>
        <v>752989.62840000005</v>
      </c>
      <c r="T140" s="46">
        <v>0</v>
      </c>
      <c r="U140" s="47">
        <f t="shared" si="35"/>
        <v>0</v>
      </c>
      <c r="V140" s="220">
        <f t="shared" si="37"/>
        <v>941237.02840000007</v>
      </c>
      <c r="W140" s="993" t="s">
        <v>156</v>
      </c>
      <c r="X140" s="48">
        <v>44173</v>
      </c>
      <c r="Y140" s="109">
        <v>44197</v>
      </c>
      <c r="Z140" s="48">
        <v>44197</v>
      </c>
      <c r="AA140" s="221" t="s">
        <v>2853</v>
      </c>
      <c r="AB140" s="38" t="s">
        <v>2033</v>
      </c>
      <c r="AC140" s="38"/>
      <c r="AD140" s="59" t="s">
        <v>2854</v>
      </c>
      <c r="AE140" s="59" t="s">
        <v>2835</v>
      </c>
      <c r="AF140" s="59" t="s">
        <v>161</v>
      </c>
      <c r="AG140" s="59" t="s">
        <v>161</v>
      </c>
      <c r="AH140" s="39" t="s">
        <v>156</v>
      </c>
      <c r="AI140" s="38" t="s">
        <v>2855</v>
      </c>
      <c r="AJ140" s="222" t="s">
        <v>2856</v>
      </c>
      <c r="AK140" s="219">
        <v>44561</v>
      </c>
      <c r="AL140" s="44">
        <v>188247.4</v>
      </c>
      <c r="AM140" s="39" t="str">
        <f t="shared" ca="1" si="38"/>
        <v>VIGENTE</v>
      </c>
      <c r="AN140" s="39"/>
      <c r="AO140" s="39"/>
      <c r="AP140" s="39"/>
      <c r="AQ140" s="39"/>
      <c r="AR140" s="39" t="s">
        <v>924</v>
      </c>
      <c r="AS140" s="39"/>
      <c r="AT140" s="39"/>
      <c r="AU140" s="51"/>
      <c r="AV140" s="50"/>
      <c r="AW140" s="38"/>
      <c r="AX140" s="52"/>
      <c r="AY140" s="173" t="s">
        <v>2857</v>
      </c>
      <c r="AZ140" s="38" t="s">
        <v>2839</v>
      </c>
      <c r="BA140" s="38" t="e">
        <f>VLOOKUP(I140,#REF!,2,0)</f>
        <v>#REF!</v>
      </c>
      <c r="BB140" s="71"/>
      <c r="BC140" s="59"/>
      <c r="BD140" s="39"/>
      <c r="BE140" s="39"/>
      <c r="BF140" s="39"/>
      <c r="BG140" s="39"/>
      <c r="BH140" s="59"/>
      <c r="BI140" s="59"/>
      <c r="BJ140" s="59"/>
      <c r="BK140" s="59"/>
      <c r="BL140" s="59"/>
      <c r="BM140" s="59">
        <v>44246</v>
      </c>
      <c r="BN140" s="59"/>
      <c r="BO140" s="59"/>
      <c r="BP140" s="59"/>
      <c r="BQ140" s="62"/>
      <c r="BR140" s="6"/>
      <c r="BS140" s="70"/>
      <c r="BT140" s="62" t="s">
        <v>2840</v>
      </c>
      <c r="BU140" s="84"/>
      <c r="BV140" s="84"/>
      <c r="BW140" s="84"/>
      <c r="BX140" s="84"/>
      <c r="BY140" s="84"/>
    </row>
    <row r="141" spans="1:77" ht="63.75" x14ac:dyDescent="0.25">
      <c r="A141" s="38" t="s">
        <v>2858</v>
      </c>
      <c r="B141" s="39">
        <v>136</v>
      </c>
      <c r="C141" s="38" t="s">
        <v>225</v>
      </c>
      <c r="D141" s="40" t="s">
        <v>2822</v>
      </c>
      <c r="E141" s="567" t="s">
        <v>163</v>
      </c>
      <c r="F141" s="39" t="s">
        <v>2035</v>
      </c>
      <c r="G141" s="567" t="s">
        <v>2237</v>
      </c>
      <c r="H141" s="685" t="s">
        <v>546</v>
      </c>
      <c r="I141" s="41" t="s">
        <v>2859</v>
      </c>
      <c r="J141" s="41"/>
      <c r="K141" s="41"/>
      <c r="L141" s="41"/>
      <c r="M141" s="42" t="s">
        <v>2859</v>
      </c>
      <c r="N141" s="991" t="s">
        <v>198</v>
      </c>
      <c r="O141" s="991" t="s">
        <v>198</v>
      </c>
      <c r="P141" s="991" t="s">
        <v>2860</v>
      </c>
      <c r="Q141" s="992">
        <v>675020</v>
      </c>
      <c r="R141" s="44">
        <f t="shared" si="34"/>
        <v>108003.2</v>
      </c>
      <c r="S141" s="45">
        <f t="shared" si="36"/>
        <v>783023.2</v>
      </c>
      <c r="T141" s="46">
        <v>0</v>
      </c>
      <c r="U141" s="47">
        <f t="shared" si="35"/>
        <v>0</v>
      </c>
      <c r="V141" s="44">
        <f t="shared" si="37"/>
        <v>783023.2</v>
      </c>
      <c r="W141" s="993" t="s">
        <v>156</v>
      </c>
      <c r="X141" s="48">
        <v>44168</v>
      </c>
      <c r="Y141" s="39" t="s">
        <v>924</v>
      </c>
      <c r="Z141" s="48">
        <v>44168</v>
      </c>
      <c r="AA141" s="48">
        <v>44175</v>
      </c>
      <c r="AB141" s="38" t="s">
        <v>2050</v>
      </c>
      <c r="AC141" s="38"/>
      <c r="AD141" s="59"/>
      <c r="AE141" s="59"/>
      <c r="AF141" s="59"/>
      <c r="AG141" s="59"/>
      <c r="AH141" s="39"/>
      <c r="AI141" s="38"/>
      <c r="AJ141" s="38"/>
      <c r="AK141" s="50"/>
      <c r="AL141" s="44"/>
      <c r="AM141" s="39" t="str">
        <f t="shared" ca="1" si="38"/>
        <v>MUERTO</v>
      </c>
      <c r="AN141" s="39"/>
      <c r="AO141" s="39"/>
      <c r="AP141" s="39"/>
      <c r="AQ141" s="39"/>
      <c r="AR141" s="39" t="s">
        <v>924</v>
      </c>
      <c r="AS141" s="39"/>
      <c r="AT141" s="39"/>
      <c r="AU141" s="51"/>
      <c r="AV141" s="50"/>
      <c r="AW141" s="38"/>
      <c r="AX141" s="52"/>
      <c r="AY141" s="173"/>
      <c r="AZ141" s="38"/>
      <c r="BA141" s="38" t="e">
        <f>VLOOKUP(I141,#REF!,2,0)</f>
        <v>#REF!</v>
      </c>
      <c r="BB141" s="71"/>
      <c r="BC141" s="59"/>
      <c r="BD141" s="39"/>
      <c r="BE141" s="39"/>
      <c r="BF141" s="39"/>
      <c r="BG141" s="39"/>
      <c r="BH141" s="59"/>
      <c r="BI141" s="59"/>
      <c r="BJ141" s="59"/>
      <c r="BK141" s="59"/>
      <c r="BL141" s="59"/>
      <c r="BM141" s="59"/>
      <c r="BN141" s="59"/>
      <c r="BO141" s="59"/>
      <c r="BP141" s="59"/>
      <c r="BQ141" s="62"/>
      <c r="BR141" s="6"/>
      <c r="BS141" s="70"/>
      <c r="BT141" s="62" t="s">
        <v>2861</v>
      </c>
      <c r="BU141" s="84"/>
      <c r="BV141" s="84"/>
      <c r="BW141" s="84"/>
      <c r="BX141" s="84"/>
      <c r="BY141" s="84"/>
    </row>
    <row r="142" spans="1:77" ht="120" x14ac:dyDescent="0.25">
      <c r="A142" s="38" t="s">
        <v>2862</v>
      </c>
      <c r="B142" s="39">
        <v>137</v>
      </c>
      <c r="C142" s="38" t="s">
        <v>149</v>
      </c>
      <c r="D142" s="40" t="s">
        <v>2822</v>
      </c>
      <c r="E142" s="567" t="s">
        <v>163</v>
      </c>
      <c r="F142" s="39" t="s">
        <v>2035</v>
      </c>
      <c r="G142" s="567" t="s">
        <v>2237</v>
      </c>
      <c r="H142" s="685" t="s">
        <v>546</v>
      </c>
      <c r="I142" s="41" t="s">
        <v>2863</v>
      </c>
      <c r="J142" s="41"/>
      <c r="K142" s="41"/>
      <c r="L142" s="41"/>
      <c r="M142" s="42" t="s">
        <v>2863</v>
      </c>
      <c r="N142" s="991" t="s">
        <v>198</v>
      </c>
      <c r="O142" s="991" t="s">
        <v>198</v>
      </c>
      <c r="P142" s="991" t="s">
        <v>2864</v>
      </c>
      <c r="Q142" s="992">
        <v>8614326.4000000004</v>
      </c>
      <c r="R142" s="44">
        <f t="shared" si="34"/>
        <v>1378292.2240000002</v>
      </c>
      <c r="S142" s="45">
        <f t="shared" si="36"/>
        <v>9992618.6239999998</v>
      </c>
      <c r="T142" s="46">
        <v>0</v>
      </c>
      <c r="U142" s="47">
        <f t="shared" si="35"/>
        <v>0</v>
      </c>
      <c r="V142" s="44">
        <f t="shared" si="37"/>
        <v>9992618.6239999998</v>
      </c>
      <c r="W142" s="993" t="s">
        <v>156</v>
      </c>
      <c r="X142" s="48">
        <v>44168</v>
      </c>
      <c r="Y142" s="39" t="s">
        <v>924</v>
      </c>
      <c r="Z142" s="48">
        <v>44168</v>
      </c>
      <c r="AA142" s="48">
        <v>44196</v>
      </c>
      <c r="AB142" s="38" t="s">
        <v>2803</v>
      </c>
      <c r="AC142" s="38"/>
      <c r="AD142" s="59">
        <v>44181</v>
      </c>
      <c r="AE142" s="59">
        <v>44208</v>
      </c>
      <c r="AF142" s="59">
        <v>44180</v>
      </c>
      <c r="AG142" s="59">
        <v>44259</v>
      </c>
      <c r="AH142" s="39" t="s">
        <v>156</v>
      </c>
      <c r="AI142" s="38"/>
      <c r="AJ142" s="38"/>
      <c r="AK142" s="50"/>
      <c r="AL142" s="44"/>
      <c r="AM142" s="39" t="str">
        <f t="shared" ca="1" si="38"/>
        <v>MUERTO</v>
      </c>
      <c r="AN142" s="39"/>
      <c r="AO142" s="39"/>
      <c r="AP142" s="39"/>
      <c r="AQ142" s="39"/>
      <c r="AR142" s="39" t="s">
        <v>924</v>
      </c>
      <c r="AS142" s="39"/>
      <c r="AT142" s="39"/>
      <c r="AU142" s="51"/>
      <c r="AV142" s="50"/>
      <c r="AW142" s="38"/>
      <c r="AX142" s="52"/>
      <c r="AY142" s="173"/>
      <c r="AZ142" s="38"/>
      <c r="BA142" s="38" t="e">
        <f>VLOOKUP(I142,#REF!,2,0)</f>
        <v>#REF!</v>
      </c>
      <c r="BB142" s="71"/>
      <c r="BC142" s="59"/>
      <c r="BD142" s="39"/>
      <c r="BE142" s="39"/>
      <c r="BF142" s="39"/>
      <c r="BG142" s="39"/>
      <c r="BH142" s="59"/>
      <c r="BI142" s="59"/>
      <c r="BJ142" s="59"/>
      <c r="BK142" s="59"/>
      <c r="BL142" s="59"/>
      <c r="BM142" s="59"/>
      <c r="BN142" s="59"/>
      <c r="BO142" s="59"/>
      <c r="BP142" s="59"/>
      <c r="BQ142" s="62"/>
      <c r="BR142" s="6"/>
      <c r="BS142" s="70"/>
      <c r="BT142" s="62" t="s">
        <v>2865</v>
      </c>
      <c r="BU142" s="84"/>
      <c r="BV142" s="84"/>
      <c r="BW142" s="84"/>
      <c r="BX142" s="84"/>
      <c r="BY142" s="84"/>
    </row>
    <row r="143" spans="1:77" ht="210" x14ac:dyDescent="0.25">
      <c r="A143" s="38" t="s">
        <v>2866</v>
      </c>
      <c r="B143" s="39">
        <v>138</v>
      </c>
      <c r="C143" s="38" t="s">
        <v>149</v>
      </c>
      <c r="D143" s="40" t="s">
        <v>2822</v>
      </c>
      <c r="E143" s="567" t="s">
        <v>163</v>
      </c>
      <c r="F143" s="39" t="s">
        <v>568</v>
      </c>
      <c r="G143" s="567" t="s">
        <v>2237</v>
      </c>
      <c r="H143" s="685" t="s">
        <v>546</v>
      </c>
      <c r="I143" s="41" t="s">
        <v>1927</v>
      </c>
      <c r="J143" s="41"/>
      <c r="K143" s="41"/>
      <c r="L143" s="41"/>
      <c r="M143" s="42" t="str">
        <f t="shared" ref="M143:M169" si="39">I143&amp;J143&amp;" "&amp;K143&amp;" "&amp;L143</f>
        <v xml:space="preserve">J+C Mexicana de Comercio y Construcción, S.A. de C.V.  </v>
      </c>
      <c r="N143" s="991" t="s">
        <v>198</v>
      </c>
      <c r="O143" s="991" t="s">
        <v>198</v>
      </c>
      <c r="P143" s="991" t="s">
        <v>2867</v>
      </c>
      <c r="Q143" s="992">
        <v>1810829.69</v>
      </c>
      <c r="R143" s="44">
        <f t="shared" si="34"/>
        <v>289732.75040000002</v>
      </c>
      <c r="S143" s="45">
        <f t="shared" si="36"/>
        <v>2100562.4403999997</v>
      </c>
      <c r="T143" s="46">
        <v>0</v>
      </c>
      <c r="U143" s="47">
        <f t="shared" si="35"/>
        <v>0</v>
      </c>
      <c r="V143" s="44">
        <f t="shared" si="37"/>
        <v>2100562.4403999997</v>
      </c>
      <c r="W143" s="993" t="s">
        <v>156</v>
      </c>
      <c r="X143" s="48">
        <v>44168</v>
      </c>
      <c r="Y143" s="39" t="s">
        <v>924</v>
      </c>
      <c r="Z143" s="48">
        <v>44168</v>
      </c>
      <c r="AA143" s="48">
        <v>44184</v>
      </c>
      <c r="AB143" s="38" t="s">
        <v>2637</v>
      </c>
      <c r="AC143" s="38"/>
      <c r="AD143" s="59">
        <v>44183</v>
      </c>
      <c r="AE143" s="59">
        <v>44187</v>
      </c>
      <c r="AF143" s="59" t="s">
        <v>161</v>
      </c>
      <c r="AG143" s="59" t="s">
        <v>2690</v>
      </c>
      <c r="AH143" s="39" t="s">
        <v>156</v>
      </c>
      <c r="AI143" s="38"/>
      <c r="AJ143" s="38"/>
      <c r="AK143" s="50"/>
      <c r="AL143" s="44"/>
      <c r="AM143" s="39" t="str">
        <f t="shared" ca="1" si="38"/>
        <v>MUERTO</v>
      </c>
      <c r="AN143" s="39"/>
      <c r="AO143" s="39"/>
      <c r="AP143" s="39"/>
      <c r="AQ143" s="39"/>
      <c r="AR143" s="39" t="s">
        <v>924</v>
      </c>
      <c r="AS143" s="39"/>
      <c r="AT143" s="39"/>
      <c r="AU143" s="51"/>
      <c r="AV143" s="50"/>
      <c r="AW143" s="38"/>
      <c r="AX143" s="52"/>
      <c r="AY143" s="173"/>
      <c r="AZ143" s="38"/>
      <c r="BA143" s="38" t="e">
        <f>VLOOKUP(I143,#REF!,2,0)</f>
        <v>#REF!</v>
      </c>
      <c r="BB143" s="71"/>
      <c r="BC143" s="59"/>
      <c r="BD143" s="39"/>
      <c r="BE143" s="39"/>
      <c r="BF143" s="39"/>
      <c r="BG143" s="39"/>
      <c r="BH143" s="59"/>
      <c r="BI143" s="59"/>
      <c r="BJ143" s="59"/>
      <c r="BK143" s="59"/>
      <c r="BL143" s="59"/>
      <c r="BM143" s="59">
        <v>44246</v>
      </c>
      <c r="BN143" s="59"/>
      <c r="BO143" s="59"/>
      <c r="BP143" s="59"/>
      <c r="BQ143" s="62"/>
      <c r="BR143" s="6"/>
      <c r="BS143" s="70"/>
      <c r="BT143" s="62" t="s">
        <v>2868</v>
      </c>
      <c r="BU143" s="84"/>
      <c r="BV143" s="84"/>
      <c r="BW143" s="84"/>
      <c r="BX143" s="84"/>
      <c r="BY143" s="84"/>
    </row>
    <row r="144" spans="1:77" ht="75" x14ac:dyDescent="0.25">
      <c r="A144" s="38" t="s">
        <v>2869</v>
      </c>
      <c r="B144" s="39">
        <v>139</v>
      </c>
      <c r="C144" s="38" t="s">
        <v>149</v>
      </c>
      <c r="D144" s="40" t="s">
        <v>2822</v>
      </c>
      <c r="E144" s="567" t="s">
        <v>163</v>
      </c>
      <c r="F144" s="39" t="s">
        <v>568</v>
      </c>
      <c r="G144" s="567" t="s">
        <v>2237</v>
      </c>
      <c r="H144" s="685" t="s">
        <v>546</v>
      </c>
      <c r="I144" s="41" t="s">
        <v>2473</v>
      </c>
      <c r="J144" s="41"/>
      <c r="K144" s="41"/>
      <c r="L144" s="41"/>
      <c r="M144" s="42" t="str">
        <f t="shared" si="39"/>
        <v xml:space="preserve">Cubyservicios Industriales, S.A. de C.V.  </v>
      </c>
      <c r="N144" s="991" t="s">
        <v>198</v>
      </c>
      <c r="O144" s="991" t="s">
        <v>198</v>
      </c>
      <c r="P144" s="991" t="s">
        <v>2870</v>
      </c>
      <c r="Q144" s="992">
        <v>1218551.28</v>
      </c>
      <c r="R144" s="44">
        <f t="shared" si="34"/>
        <v>194968.20480000001</v>
      </c>
      <c r="S144" s="45">
        <f t="shared" si="36"/>
        <v>1413519.4848</v>
      </c>
      <c r="T144" s="46">
        <v>0</v>
      </c>
      <c r="U144" s="47">
        <f t="shared" si="35"/>
        <v>0</v>
      </c>
      <c r="V144" s="44">
        <f t="shared" si="37"/>
        <v>1413519.4848</v>
      </c>
      <c r="W144" s="993" t="s">
        <v>156</v>
      </c>
      <c r="X144" s="48">
        <v>44168</v>
      </c>
      <c r="Y144" s="39" t="s">
        <v>924</v>
      </c>
      <c r="Z144" s="48">
        <v>44168</v>
      </c>
      <c r="AA144" s="48">
        <v>44196</v>
      </c>
      <c r="AB144" s="38" t="s">
        <v>2637</v>
      </c>
      <c r="AC144" s="38"/>
      <c r="AD144" s="59">
        <v>44180</v>
      </c>
      <c r="AE144" s="59">
        <v>44188</v>
      </c>
      <c r="AF144" s="59" t="s">
        <v>161</v>
      </c>
      <c r="AG144" s="59">
        <v>43850</v>
      </c>
      <c r="AH144" s="39" t="s">
        <v>183</v>
      </c>
      <c r="AI144" s="38"/>
      <c r="AJ144" s="38"/>
      <c r="AK144" s="50"/>
      <c r="AL144" s="44"/>
      <c r="AM144" s="39" t="str">
        <f t="shared" ca="1" si="38"/>
        <v>MUERTO</v>
      </c>
      <c r="AN144" s="39"/>
      <c r="AO144" s="39"/>
      <c r="AP144" s="39"/>
      <c r="AQ144" s="39"/>
      <c r="AR144" s="39" t="s">
        <v>924</v>
      </c>
      <c r="AS144" s="39"/>
      <c r="AT144" s="39"/>
      <c r="AU144" s="51"/>
      <c r="AV144" s="50"/>
      <c r="AW144" s="38"/>
      <c r="AX144" s="52"/>
      <c r="AY144" s="173"/>
      <c r="AZ144" s="38"/>
      <c r="BA144" s="38" t="e">
        <f>VLOOKUP(I144,#REF!,2,0)</f>
        <v>#REF!</v>
      </c>
      <c r="BB144" s="71"/>
      <c r="BC144" s="59"/>
      <c r="BD144" s="39"/>
      <c r="BE144" s="39"/>
      <c r="BF144" s="39"/>
      <c r="BG144" s="39"/>
      <c r="BH144" s="59"/>
      <c r="BI144" s="59"/>
      <c r="BJ144" s="59"/>
      <c r="BK144" s="59"/>
      <c r="BL144" s="59"/>
      <c r="BM144" s="59"/>
      <c r="BN144" s="59"/>
      <c r="BO144" s="59"/>
      <c r="BP144" s="59"/>
      <c r="BQ144" s="62"/>
      <c r="BR144" s="6"/>
      <c r="BS144" s="70"/>
      <c r="BT144" s="59">
        <v>44221</v>
      </c>
      <c r="BU144" s="84"/>
      <c r="BV144" s="84"/>
      <c r="BW144" s="84"/>
      <c r="BX144" s="84"/>
      <c r="BY144" s="84"/>
    </row>
    <row r="145" spans="1:77" ht="89.25" x14ac:dyDescent="0.25">
      <c r="A145" s="38" t="s">
        <v>2871</v>
      </c>
      <c r="B145" s="39">
        <v>140</v>
      </c>
      <c r="C145" s="38" t="s">
        <v>225</v>
      </c>
      <c r="D145" s="40" t="s">
        <v>2872</v>
      </c>
      <c r="E145" s="567" t="s">
        <v>163</v>
      </c>
      <c r="F145" s="39" t="s">
        <v>237</v>
      </c>
      <c r="G145" s="567" t="s">
        <v>238</v>
      </c>
      <c r="H145" s="567" t="s">
        <v>163</v>
      </c>
      <c r="I145" s="41" t="s">
        <v>2873</v>
      </c>
      <c r="J145" s="41"/>
      <c r="K145" s="41"/>
      <c r="L145" s="41"/>
      <c r="M145" s="42" t="str">
        <f t="shared" si="39"/>
        <v xml:space="preserve">Productos y Equipos Kitflat, S.A. de C.V.  </v>
      </c>
      <c r="N145" s="991" t="s">
        <v>763</v>
      </c>
      <c r="O145" s="991" t="s">
        <v>763</v>
      </c>
      <c r="P145" s="991" t="s">
        <v>2874</v>
      </c>
      <c r="Q145" s="992">
        <v>707500</v>
      </c>
      <c r="R145" s="44">
        <f t="shared" si="34"/>
        <v>113200</v>
      </c>
      <c r="S145" s="45">
        <f t="shared" si="36"/>
        <v>820700</v>
      </c>
      <c r="T145" s="46">
        <v>178000</v>
      </c>
      <c r="U145" s="47">
        <f t="shared" si="35"/>
        <v>206480</v>
      </c>
      <c r="V145" s="44">
        <f t="shared" si="37"/>
        <v>820700</v>
      </c>
      <c r="W145" s="993" t="s">
        <v>156</v>
      </c>
      <c r="X145" s="48">
        <v>44168</v>
      </c>
      <c r="Y145" s="39" t="s">
        <v>924</v>
      </c>
      <c r="Z145" s="48">
        <v>44168</v>
      </c>
      <c r="AA145" s="48">
        <v>44196</v>
      </c>
      <c r="AB145" s="38" t="s">
        <v>182</v>
      </c>
      <c r="AC145" s="38"/>
      <c r="AD145" s="59"/>
      <c r="AE145" s="59"/>
      <c r="AF145" s="59"/>
      <c r="AG145" s="59"/>
      <c r="AH145" s="39"/>
      <c r="AI145" s="38"/>
      <c r="AJ145" s="38"/>
      <c r="AK145" s="50"/>
      <c r="AL145" s="44"/>
      <c r="AM145" s="39" t="str">
        <f t="shared" ca="1" si="38"/>
        <v>MUERTO</v>
      </c>
      <c r="AN145" s="39"/>
      <c r="AO145" s="39"/>
      <c r="AP145" s="39"/>
      <c r="AQ145" s="39"/>
      <c r="AR145" s="39" t="s">
        <v>924</v>
      </c>
      <c r="AS145" s="39"/>
      <c r="AT145" s="39"/>
      <c r="AU145" s="51"/>
      <c r="AV145" s="50"/>
      <c r="AW145" s="38"/>
      <c r="AX145" s="52"/>
      <c r="AY145" s="173"/>
      <c r="AZ145" s="38"/>
      <c r="BA145" s="38" t="e">
        <f>VLOOKUP(I145,#REF!,2,0)</f>
        <v>#REF!</v>
      </c>
      <c r="BB145" s="71"/>
      <c r="BC145" s="59"/>
      <c r="BD145" s="39"/>
      <c r="BE145" s="39"/>
      <c r="BF145" s="39"/>
      <c r="BG145" s="39"/>
      <c r="BH145" s="59"/>
      <c r="BI145" s="59"/>
      <c r="BJ145" s="59"/>
      <c r="BK145" s="59"/>
      <c r="BL145" s="59"/>
      <c r="BM145" s="59"/>
      <c r="BN145" s="59"/>
      <c r="BO145" s="59"/>
      <c r="BP145" s="59"/>
      <c r="BQ145" s="62"/>
      <c r="BR145" s="6"/>
      <c r="BS145" s="70"/>
      <c r="BT145" s="62" t="s">
        <v>2875</v>
      </c>
      <c r="BU145" s="84"/>
      <c r="BV145" s="84"/>
      <c r="BW145" s="84"/>
      <c r="BX145" s="84"/>
      <c r="BY145" s="84"/>
    </row>
    <row r="146" spans="1:77" ht="120" x14ac:dyDescent="0.25">
      <c r="A146" s="38" t="s">
        <v>2876</v>
      </c>
      <c r="B146" s="39">
        <v>141</v>
      </c>
      <c r="C146" s="38" t="s">
        <v>149</v>
      </c>
      <c r="D146" s="40" t="s">
        <v>2822</v>
      </c>
      <c r="E146" s="567" t="s">
        <v>163</v>
      </c>
      <c r="F146" s="39" t="s">
        <v>568</v>
      </c>
      <c r="G146" s="567" t="s">
        <v>2237</v>
      </c>
      <c r="H146" s="685" t="s">
        <v>546</v>
      </c>
      <c r="I146" s="41" t="s">
        <v>2877</v>
      </c>
      <c r="J146" s="41"/>
      <c r="K146" s="41"/>
      <c r="L146" s="41"/>
      <c r="M146" s="42" t="str">
        <f t="shared" si="39"/>
        <v xml:space="preserve">Megarquitectos, S.A. de C.V.  </v>
      </c>
      <c r="N146" s="991" t="s">
        <v>198</v>
      </c>
      <c r="O146" s="991" t="s">
        <v>198</v>
      </c>
      <c r="P146" s="991" t="s">
        <v>2878</v>
      </c>
      <c r="Q146" s="992">
        <v>919812.86</v>
      </c>
      <c r="R146" s="44">
        <f t="shared" si="34"/>
        <v>147170.0576</v>
      </c>
      <c r="S146" s="45">
        <f t="shared" si="36"/>
        <v>1066982.9176</v>
      </c>
      <c r="T146" s="46">
        <v>0</v>
      </c>
      <c r="U146" s="47">
        <f t="shared" si="35"/>
        <v>0</v>
      </c>
      <c r="V146" s="44">
        <f t="shared" si="37"/>
        <v>1066982.9176</v>
      </c>
      <c r="W146" s="993" t="s">
        <v>183</v>
      </c>
      <c r="X146" s="48">
        <v>44168</v>
      </c>
      <c r="Y146" s="39" t="s">
        <v>924</v>
      </c>
      <c r="Z146" s="48">
        <v>44168</v>
      </c>
      <c r="AA146" s="48">
        <v>44242</v>
      </c>
      <c r="AB146" s="38" t="s">
        <v>2803</v>
      </c>
      <c r="AC146" s="38"/>
      <c r="AD146" s="59">
        <v>44188</v>
      </c>
      <c r="AE146" s="59">
        <v>44194</v>
      </c>
      <c r="AF146" s="59">
        <v>44186</v>
      </c>
      <c r="AG146" s="59">
        <v>44313</v>
      </c>
      <c r="AH146" s="169" t="s">
        <v>2879</v>
      </c>
      <c r="AI146" s="38"/>
      <c r="AJ146" s="38"/>
      <c r="AK146" s="50"/>
      <c r="AL146" s="44"/>
      <c r="AM146" s="39" t="str">
        <f t="shared" ca="1" si="38"/>
        <v>MUERTO</v>
      </c>
      <c r="AN146" s="39"/>
      <c r="AO146" s="39"/>
      <c r="AP146" s="39"/>
      <c r="AQ146" s="39"/>
      <c r="AR146" s="39" t="s">
        <v>924</v>
      </c>
      <c r="AS146" s="39"/>
      <c r="AT146" s="39"/>
      <c r="AU146" s="51"/>
      <c r="AV146" s="50"/>
      <c r="AW146" s="38"/>
      <c r="AX146" s="52"/>
      <c r="AY146" s="173"/>
      <c r="AZ146" s="38"/>
      <c r="BA146" s="38" t="e">
        <f>VLOOKUP(I146,#REF!,2,0)</f>
        <v>#REF!</v>
      </c>
      <c r="BB146" s="71"/>
      <c r="BC146" s="59"/>
      <c r="BD146" s="39"/>
      <c r="BE146" s="39"/>
      <c r="BF146" s="39"/>
      <c r="BG146" s="39"/>
      <c r="BH146" s="59"/>
      <c r="BI146" s="59"/>
      <c r="BJ146" s="59"/>
      <c r="BK146" s="59"/>
      <c r="BL146" s="59"/>
      <c r="BM146" s="59"/>
      <c r="BN146" s="59"/>
      <c r="BO146" s="59"/>
      <c r="BP146" s="59"/>
      <c r="BQ146" s="62"/>
      <c r="BR146" s="6"/>
      <c r="BS146" s="70"/>
      <c r="BT146" s="62" t="s">
        <v>2865</v>
      </c>
      <c r="BU146" s="84">
        <v>517241.38</v>
      </c>
      <c r="BV146" s="84">
        <v>402571.48</v>
      </c>
      <c r="BW146" s="84"/>
      <c r="BX146" s="84"/>
      <c r="BY146" s="84"/>
    </row>
    <row r="147" spans="1:77" ht="120" x14ac:dyDescent="0.25">
      <c r="A147" s="38" t="s">
        <v>2880</v>
      </c>
      <c r="B147" s="39">
        <v>142</v>
      </c>
      <c r="C147" s="38" t="s">
        <v>149</v>
      </c>
      <c r="D147" s="40" t="s">
        <v>2822</v>
      </c>
      <c r="E147" s="567" t="s">
        <v>163</v>
      </c>
      <c r="F147" s="39" t="s">
        <v>568</v>
      </c>
      <c r="G147" s="567" t="s">
        <v>2237</v>
      </c>
      <c r="H147" s="685" t="s">
        <v>546</v>
      </c>
      <c r="I147" s="41" t="s">
        <v>2881</v>
      </c>
      <c r="J147" s="41"/>
      <c r="K147" s="41"/>
      <c r="L147" s="41"/>
      <c r="M147" s="42" t="str">
        <f t="shared" si="39"/>
        <v xml:space="preserve">Impermeabilizantes y Mantenimiento de Inmuebles, S.A. de C.V.  </v>
      </c>
      <c r="N147" s="991" t="s">
        <v>198</v>
      </c>
      <c r="O147" s="991" t="s">
        <v>198</v>
      </c>
      <c r="P147" s="991" t="s">
        <v>2882</v>
      </c>
      <c r="Q147" s="992">
        <v>4763542.1100000003</v>
      </c>
      <c r="R147" s="44">
        <f t="shared" si="34"/>
        <v>762166.73760000011</v>
      </c>
      <c r="S147" s="45">
        <f t="shared" si="36"/>
        <v>5525708.8476</v>
      </c>
      <c r="T147" s="46">
        <v>0</v>
      </c>
      <c r="U147" s="47">
        <f t="shared" si="35"/>
        <v>0</v>
      </c>
      <c r="V147" s="44">
        <f t="shared" si="37"/>
        <v>5525708.8476</v>
      </c>
      <c r="W147" s="993" t="s">
        <v>156</v>
      </c>
      <c r="X147" s="48">
        <v>44168</v>
      </c>
      <c r="Y147" s="39" t="s">
        <v>924</v>
      </c>
      <c r="Z147" s="48">
        <v>44168</v>
      </c>
      <c r="AA147" s="48">
        <v>44196</v>
      </c>
      <c r="AB147" s="38" t="s">
        <v>2883</v>
      </c>
      <c r="AC147" s="38"/>
      <c r="AD147" s="59">
        <v>44183</v>
      </c>
      <c r="AE147" s="59">
        <v>44183</v>
      </c>
      <c r="AF147" s="59">
        <v>44183</v>
      </c>
      <c r="AG147" s="59">
        <v>44209</v>
      </c>
      <c r="AH147" s="39" t="s">
        <v>183</v>
      </c>
      <c r="AI147" s="38"/>
      <c r="AJ147" s="38"/>
      <c r="AK147" s="50"/>
      <c r="AL147" s="44"/>
      <c r="AM147" s="39" t="str">
        <f t="shared" ca="1" si="38"/>
        <v>MUERTO</v>
      </c>
      <c r="AN147" s="39"/>
      <c r="AO147" s="39"/>
      <c r="AP147" s="39"/>
      <c r="AQ147" s="39"/>
      <c r="AR147" s="39" t="s">
        <v>924</v>
      </c>
      <c r="AS147" s="39"/>
      <c r="AT147" s="39"/>
      <c r="AU147" s="51"/>
      <c r="AV147" s="50"/>
      <c r="AW147" s="38"/>
      <c r="AX147" s="52"/>
      <c r="AY147" s="173"/>
      <c r="AZ147" s="38"/>
      <c r="BA147" s="38" t="e">
        <f>VLOOKUP(I147,#REF!,2,0)</f>
        <v>#REF!</v>
      </c>
      <c r="BB147" s="71"/>
      <c r="BC147" s="59"/>
      <c r="BD147" s="39"/>
      <c r="BE147" s="39"/>
      <c r="BF147" s="39"/>
      <c r="BG147" s="39"/>
      <c r="BH147" s="59"/>
      <c r="BI147" s="59"/>
      <c r="BJ147" s="59"/>
      <c r="BK147" s="59"/>
      <c r="BL147" s="59"/>
      <c r="BM147" s="59"/>
      <c r="BN147" s="59"/>
      <c r="BO147" s="59"/>
      <c r="BP147" s="59"/>
      <c r="BQ147" s="62"/>
      <c r="BR147" s="6"/>
      <c r="BS147" s="70"/>
      <c r="BT147" s="62" t="s">
        <v>2884</v>
      </c>
      <c r="BU147" s="84"/>
      <c r="BV147" s="84"/>
      <c r="BW147" s="84"/>
      <c r="BX147" s="84"/>
      <c r="BY147" s="84"/>
    </row>
    <row r="148" spans="1:77" ht="45" x14ac:dyDescent="0.25">
      <c r="A148" s="38" t="s">
        <v>2885</v>
      </c>
      <c r="B148" s="39">
        <v>143</v>
      </c>
      <c r="C148" s="38" t="s">
        <v>225</v>
      </c>
      <c r="D148" s="40" t="s">
        <v>2886</v>
      </c>
      <c r="E148" s="39" t="s">
        <v>173</v>
      </c>
      <c r="F148" s="39" t="s">
        <v>326</v>
      </c>
      <c r="G148" s="39" t="s">
        <v>173</v>
      </c>
      <c r="H148" s="41"/>
      <c r="I148" s="41" t="s">
        <v>511</v>
      </c>
      <c r="J148" s="41"/>
      <c r="K148" s="41"/>
      <c r="L148" s="41"/>
      <c r="M148" s="42" t="str">
        <f t="shared" si="39"/>
        <v xml:space="preserve">Cicovisa, S.A. de C.V.  </v>
      </c>
      <c r="N148" s="991" t="s">
        <v>637</v>
      </c>
      <c r="O148" s="991" t="s">
        <v>637</v>
      </c>
      <c r="P148" s="991" t="s">
        <v>2887</v>
      </c>
      <c r="Q148" s="992">
        <v>1201644</v>
      </c>
      <c r="R148" s="44">
        <f t="shared" si="34"/>
        <v>192263.04000000001</v>
      </c>
      <c r="S148" s="45">
        <f t="shared" si="36"/>
        <v>1393907.04</v>
      </c>
      <c r="T148" s="46">
        <v>0</v>
      </c>
      <c r="U148" s="47">
        <f t="shared" si="35"/>
        <v>0</v>
      </c>
      <c r="V148" s="44">
        <f t="shared" si="37"/>
        <v>1393907.04</v>
      </c>
      <c r="W148" s="993" t="s">
        <v>156</v>
      </c>
      <c r="X148" s="48">
        <v>44174</v>
      </c>
      <c r="Y148" s="39" t="s">
        <v>924</v>
      </c>
      <c r="Z148" s="48">
        <v>44174</v>
      </c>
      <c r="AA148" s="48">
        <v>44196</v>
      </c>
      <c r="AB148" s="38" t="s">
        <v>182</v>
      </c>
      <c r="AC148" s="38"/>
      <c r="AD148" s="59">
        <v>44181</v>
      </c>
      <c r="AE148" s="59" t="s">
        <v>161</v>
      </c>
      <c r="AF148" s="59" t="s">
        <v>161</v>
      </c>
      <c r="AG148" s="59" t="s">
        <v>161</v>
      </c>
      <c r="AH148" s="39" t="s">
        <v>183</v>
      </c>
      <c r="AI148" s="38"/>
      <c r="AJ148" s="38"/>
      <c r="AK148" s="50"/>
      <c r="AL148" s="44"/>
      <c r="AM148" s="39" t="str">
        <f t="shared" ca="1" si="38"/>
        <v>MUERTO</v>
      </c>
      <c r="AN148" s="39"/>
      <c r="AO148" s="39"/>
      <c r="AP148" s="39"/>
      <c r="AQ148" s="39"/>
      <c r="AR148" s="39" t="s">
        <v>924</v>
      </c>
      <c r="AS148" s="39"/>
      <c r="AT148" s="39"/>
      <c r="AU148" s="51"/>
      <c r="AV148" s="50"/>
      <c r="AW148" s="38"/>
      <c r="AX148" s="52"/>
      <c r="AY148" s="173"/>
      <c r="AZ148" s="38"/>
      <c r="BA148" s="38" t="e">
        <f>VLOOKUP(I148,#REF!,2,0)</f>
        <v>#REF!</v>
      </c>
      <c r="BB148" s="71"/>
      <c r="BC148" s="59"/>
      <c r="BD148" s="39"/>
      <c r="BE148" s="39"/>
      <c r="BF148" s="39"/>
      <c r="BG148" s="39"/>
      <c r="BH148" s="59"/>
      <c r="BI148" s="59"/>
      <c r="BJ148" s="59"/>
      <c r="BK148" s="59"/>
      <c r="BL148" s="59"/>
      <c r="BM148" s="59"/>
      <c r="BN148" s="59"/>
      <c r="BO148" s="59"/>
      <c r="BP148" s="59"/>
      <c r="BQ148" s="62"/>
      <c r="BR148" s="6"/>
      <c r="BS148" s="70"/>
      <c r="BT148" s="62" t="s">
        <v>2813</v>
      </c>
      <c r="BU148" s="84"/>
      <c r="BV148" s="84"/>
      <c r="BW148" s="84"/>
      <c r="BX148" s="84"/>
      <c r="BY148" s="84"/>
    </row>
    <row r="149" spans="1:77" ht="120" x14ac:dyDescent="0.25">
      <c r="A149" s="38" t="s">
        <v>2888</v>
      </c>
      <c r="B149" s="39">
        <v>144</v>
      </c>
      <c r="C149" s="38" t="s">
        <v>149</v>
      </c>
      <c r="D149" s="40" t="s">
        <v>2822</v>
      </c>
      <c r="E149" s="567" t="s">
        <v>163</v>
      </c>
      <c r="F149" s="39" t="s">
        <v>568</v>
      </c>
      <c r="G149" s="567" t="s">
        <v>2237</v>
      </c>
      <c r="H149" s="685" t="s">
        <v>546</v>
      </c>
      <c r="I149" s="41" t="s">
        <v>1900</v>
      </c>
      <c r="J149" s="41"/>
      <c r="K149" s="41"/>
      <c r="L149" s="41"/>
      <c r="M149" s="42" t="str">
        <f t="shared" si="39"/>
        <v xml:space="preserve">Especialistas en Acabados Profesionales, S.A. de C.V.  </v>
      </c>
      <c r="N149" s="991" t="s">
        <v>198</v>
      </c>
      <c r="O149" s="991" t="s">
        <v>198</v>
      </c>
      <c r="P149" s="991" t="s">
        <v>2889</v>
      </c>
      <c r="Q149" s="992">
        <v>1469641.58</v>
      </c>
      <c r="R149" s="44">
        <f t="shared" si="34"/>
        <v>235142.65280000001</v>
      </c>
      <c r="S149" s="45">
        <f t="shared" si="36"/>
        <v>1704784.2328000001</v>
      </c>
      <c r="T149" s="46">
        <v>0</v>
      </c>
      <c r="U149" s="47">
        <f t="shared" si="35"/>
        <v>0</v>
      </c>
      <c r="V149" s="44">
        <f t="shared" si="37"/>
        <v>1704784.2328000001</v>
      </c>
      <c r="W149" s="993" t="s">
        <v>156</v>
      </c>
      <c r="X149" s="48">
        <v>44168</v>
      </c>
      <c r="Y149" s="39" t="s">
        <v>924</v>
      </c>
      <c r="Z149" s="48">
        <v>44168</v>
      </c>
      <c r="AA149" s="48">
        <v>44196</v>
      </c>
      <c r="AB149" s="38" t="s">
        <v>2803</v>
      </c>
      <c r="AC149" s="38"/>
      <c r="AD149" s="59">
        <v>44187</v>
      </c>
      <c r="AE149" s="59">
        <v>43850</v>
      </c>
      <c r="AF149" s="59">
        <v>44187</v>
      </c>
      <c r="AG149" s="59">
        <v>44224</v>
      </c>
      <c r="AH149" s="39" t="s">
        <v>183</v>
      </c>
      <c r="AI149" s="38"/>
      <c r="AJ149" s="38"/>
      <c r="AK149" s="50"/>
      <c r="AL149" s="44"/>
      <c r="AM149" s="39" t="str">
        <f t="shared" ca="1" si="38"/>
        <v>MUERTO</v>
      </c>
      <c r="AN149" s="39"/>
      <c r="AO149" s="39"/>
      <c r="AP149" s="39"/>
      <c r="AQ149" s="39"/>
      <c r="AR149" s="39" t="s">
        <v>924</v>
      </c>
      <c r="AS149" s="39"/>
      <c r="AT149" s="39"/>
      <c r="AU149" s="51"/>
      <c r="AV149" s="50"/>
      <c r="AW149" s="38"/>
      <c r="AX149" s="52"/>
      <c r="AY149" s="173"/>
      <c r="AZ149" s="38"/>
      <c r="BA149" s="38" t="e">
        <f>VLOOKUP(I149,#REF!,2,0)</f>
        <v>#REF!</v>
      </c>
      <c r="BB149" s="71"/>
      <c r="BC149" s="59"/>
      <c r="BD149" s="39"/>
      <c r="BE149" s="39"/>
      <c r="BF149" s="39"/>
      <c r="BG149" s="39"/>
      <c r="BH149" s="59"/>
      <c r="BI149" s="59"/>
      <c r="BJ149" s="59"/>
      <c r="BK149" s="59"/>
      <c r="BL149" s="59"/>
      <c r="BM149" s="59"/>
      <c r="BN149" s="59"/>
      <c r="BO149" s="59"/>
      <c r="BP149" s="59"/>
      <c r="BQ149" s="62"/>
      <c r="BR149" s="6"/>
      <c r="BS149" s="70"/>
      <c r="BT149" s="62">
        <v>44221</v>
      </c>
      <c r="BU149" s="84"/>
      <c r="BV149" s="84"/>
      <c r="BW149" s="84"/>
      <c r="BX149" s="84"/>
      <c r="BY149" s="84"/>
    </row>
    <row r="150" spans="1:77" ht="120" x14ac:dyDescent="0.25">
      <c r="A150" s="38" t="s">
        <v>2890</v>
      </c>
      <c r="B150" s="39">
        <v>145</v>
      </c>
      <c r="C150" s="38" t="s">
        <v>149</v>
      </c>
      <c r="D150" s="40" t="s">
        <v>2891</v>
      </c>
      <c r="E150" s="567" t="s">
        <v>163</v>
      </c>
      <c r="F150" s="39" t="s">
        <v>426</v>
      </c>
      <c r="G150" s="567" t="s">
        <v>163</v>
      </c>
      <c r="H150" s="567" t="s">
        <v>163</v>
      </c>
      <c r="I150" s="41"/>
      <c r="J150" s="41" t="s">
        <v>2892</v>
      </c>
      <c r="K150" s="41" t="s">
        <v>467</v>
      </c>
      <c r="L150" s="41" t="s">
        <v>2825</v>
      </c>
      <c r="M150" s="42" t="str">
        <f t="shared" si="39"/>
        <v>Ricardo Javier Gutiérrez Rodríguez</v>
      </c>
      <c r="N150" s="991" t="s">
        <v>198</v>
      </c>
      <c r="O150" s="991" t="s">
        <v>198</v>
      </c>
      <c r="P150" s="991" t="s">
        <v>2893</v>
      </c>
      <c r="Q150" s="992">
        <v>1500000</v>
      </c>
      <c r="R150" s="44">
        <f t="shared" si="34"/>
        <v>240000</v>
      </c>
      <c r="S150" s="45">
        <f t="shared" si="36"/>
        <v>1740000</v>
      </c>
      <c r="T150" s="46">
        <v>0</v>
      </c>
      <c r="U150" s="47">
        <f t="shared" si="35"/>
        <v>0</v>
      </c>
      <c r="V150" s="44">
        <f t="shared" si="37"/>
        <v>1740000</v>
      </c>
      <c r="W150" s="993" t="s">
        <v>156</v>
      </c>
      <c r="X150" s="48">
        <v>44167</v>
      </c>
      <c r="Y150" s="39" t="s">
        <v>924</v>
      </c>
      <c r="Z150" s="48">
        <v>44167</v>
      </c>
      <c r="AA150" s="48">
        <v>44196</v>
      </c>
      <c r="AB150" s="38" t="s">
        <v>1950</v>
      </c>
      <c r="AC150" s="38"/>
      <c r="AD150" s="59">
        <v>44195</v>
      </c>
      <c r="AE150" s="59" t="s">
        <v>161</v>
      </c>
      <c r="AF150" s="59" t="s">
        <v>161</v>
      </c>
      <c r="AG150" s="59">
        <v>44195</v>
      </c>
      <c r="AH150" s="39" t="s">
        <v>183</v>
      </c>
      <c r="AI150" s="38"/>
      <c r="AJ150" s="38"/>
      <c r="AK150" s="50"/>
      <c r="AL150" s="44"/>
      <c r="AM150" s="39" t="str">
        <f t="shared" ca="1" si="38"/>
        <v>MUERTO</v>
      </c>
      <c r="AN150" s="39"/>
      <c r="AO150" s="39"/>
      <c r="AP150" s="39"/>
      <c r="AQ150" s="39"/>
      <c r="AR150" s="39" t="s">
        <v>924</v>
      </c>
      <c r="AS150" s="39"/>
      <c r="AT150" s="39"/>
      <c r="AU150" s="51"/>
      <c r="AV150" s="50"/>
      <c r="AW150" s="38"/>
      <c r="AX150" s="52"/>
      <c r="AY150" s="173"/>
      <c r="AZ150" s="38"/>
      <c r="BA150" s="38" t="e">
        <f>VLOOKUP(I150,#REF!,2,0)</f>
        <v>#REF!</v>
      </c>
      <c r="BB150" s="71"/>
      <c r="BC150" s="59"/>
      <c r="BD150" s="39"/>
      <c r="BE150" s="39"/>
      <c r="BF150" s="39"/>
      <c r="BG150" s="39"/>
      <c r="BH150" s="59"/>
      <c r="BI150" s="59"/>
      <c r="BJ150" s="59"/>
      <c r="BK150" s="59"/>
      <c r="BL150" s="59"/>
      <c r="BM150" s="59"/>
      <c r="BN150" s="59"/>
      <c r="BO150" s="59"/>
      <c r="BP150" s="59"/>
      <c r="BQ150" s="62"/>
      <c r="BR150" s="6"/>
      <c r="BS150" s="70"/>
      <c r="BT150" s="62" t="s">
        <v>2894</v>
      </c>
      <c r="BU150" s="84"/>
      <c r="BV150" s="84"/>
      <c r="BW150" s="84"/>
      <c r="BX150" s="84"/>
      <c r="BY150" s="84"/>
    </row>
    <row r="151" spans="1:77" ht="120" x14ac:dyDescent="0.25">
      <c r="A151" s="38" t="s">
        <v>2895</v>
      </c>
      <c r="B151" s="39">
        <v>146</v>
      </c>
      <c r="C151" s="38" t="s">
        <v>149</v>
      </c>
      <c r="D151" s="40" t="s">
        <v>2896</v>
      </c>
      <c r="E151" s="567" t="s">
        <v>163</v>
      </c>
      <c r="F151" s="39" t="s">
        <v>188</v>
      </c>
      <c r="G151" s="39" t="s">
        <v>427</v>
      </c>
      <c r="H151" s="567" t="s">
        <v>163</v>
      </c>
      <c r="I151" s="41" t="s">
        <v>2897</v>
      </c>
      <c r="J151" s="41"/>
      <c r="K151" s="41"/>
      <c r="L151" s="41"/>
      <c r="M151" s="42" t="str">
        <f t="shared" si="39"/>
        <v xml:space="preserve">Tetl Restauraciones, S.A. de C.V.  </v>
      </c>
      <c r="N151" s="991" t="s">
        <v>198</v>
      </c>
      <c r="O151" s="991" t="s">
        <v>198</v>
      </c>
      <c r="P151" s="991" t="s">
        <v>2898</v>
      </c>
      <c r="Q151" s="992">
        <v>2442000</v>
      </c>
      <c r="R151" s="44">
        <f t="shared" si="34"/>
        <v>390720</v>
      </c>
      <c r="S151" s="45">
        <f t="shared" si="36"/>
        <v>2832720</v>
      </c>
      <c r="T151" s="46">
        <v>0</v>
      </c>
      <c r="U151" s="47">
        <f t="shared" si="35"/>
        <v>0</v>
      </c>
      <c r="V151" s="44">
        <f t="shared" si="37"/>
        <v>2832720</v>
      </c>
      <c r="W151" s="993" t="s">
        <v>183</v>
      </c>
      <c r="X151" s="48">
        <v>44172</v>
      </c>
      <c r="Y151" s="39" t="s">
        <v>924</v>
      </c>
      <c r="Z151" s="48">
        <v>44172</v>
      </c>
      <c r="AA151" s="48">
        <v>44242</v>
      </c>
      <c r="AB151" s="38" t="s">
        <v>2803</v>
      </c>
      <c r="AC151" s="38"/>
      <c r="AD151" s="59">
        <v>44187</v>
      </c>
      <c r="AE151" s="59">
        <v>44188</v>
      </c>
      <c r="AF151" s="59">
        <v>44187</v>
      </c>
      <c r="AG151" s="59">
        <v>44259</v>
      </c>
      <c r="AH151" s="39" t="s">
        <v>156</v>
      </c>
      <c r="AI151" s="38"/>
      <c r="AJ151" s="38"/>
      <c r="AK151" s="50"/>
      <c r="AL151" s="44"/>
      <c r="AM151" s="39" t="str">
        <f t="shared" ca="1" si="38"/>
        <v>MUERTO</v>
      </c>
      <c r="AN151" s="39"/>
      <c r="AO151" s="39"/>
      <c r="AP151" s="39"/>
      <c r="AQ151" s="39"/>
      <c r="AR151" s="39" t="s">
        <v>924</v>
      </c>
      <c r="AS151" s="39"/>
      <c r="AT151" s="39"/>
      <c r="AU151" s="51"/>
      <c r="AV151" s="50"/>
      <c r="AW151" s="38"/>
      <c r="AX151" s="52"/>
      <c r="AY151" s="173"/>
      <c r="AZ151" s="38"/>
      <c r="BA151" s="38" t="e">
        <f>VLOOKUP(I151,#REF!,2,0)</f>
        <v>#REF!</v>
      </c>
      <c r="BB151" s="71"/>
      <c r="BC151" s="59"/>
      <c r="BD151" s="39"/>
      <c r="BE151" s="39"/>
      <c r="BF151" s="39"/>
      <c r="BG151" s="39"/>
      <c r="BH151" s="59"/>
      <c r="BI151" s="59"/>
      <c r="BJ151" s="59"/>
      <c r="BK151" s="59"/>
      <c r="BL151" s="59"/>
      <c r="BM151" s="59"/>
      <c r="BN151" s="59"/>
      <c r="BO151" s="59"/>
      <c r="BP151" s="59"/>
      <c r="BQ151" s="62"/>
      <c r="BR151" s="6"/>
      <c r="BS151" s="70"/>
      <c r="BT151" s="62" t="s">
        <v>2729</v>
      </c>
      <c r="BU151" s="84">
        <v>1293103.45</v>
      </c>
      <c r="BV151" s="84">
        <v>1148896.55</v>
      </c>
      <c r="BW151" s="84"/>
      <c r="BX151" s="84"/>
      <c r="BY151" s="84"/>
    </row>
    <row r="152" spans="1:77" ht="105" x14ac:dyDescent="0.25">
      <c r="A152" s="38" t="s">
        <v>2899</v>
      </c>
      <c r="B152" s="39">
        <v>147</v>
      </c>
      <c r="C152" s="38" t="s">
        <v>225</v>
      </c>
      <c r="D152" s="40" t="s">
        <v>2900</v>
      </c>
      <c r="E152" s="39" t="s">
        <v>173</v>
      </c>
      <c r="F152" s="39" t="s">
        <v>326</v>
      </c>
      <c r="G152" s="39" t="s">
        <v>173</v>
      </c>
      <c r="H152" s="41"/>
      <c r="I152" s="41" t="s">
        <v>859</v>
      </c>
      <c r="J152" s="41"/>
      <c r="K152" s="41"/>
      <c r="L152" s="41"/>
      <c r="M152" s="42" t="str">
        <f t="shared" si="39"/>
        <v xml:space="preserve">Promexar, S.A. de C.V.  </v>
      </c>
      <c r="N152" s="991" t="s">
        <v>861</v>
      </c>
      <c r="O152" s="991" t="s">
        <v>861</v>
      </c>
      <c r="P152" s="991" t="s">
        <v>2901</v>
      </c>
      <c r="Q152" s="992">
        <v>11535738</v>
      </c>
      <c r="R152" s="44">
        <f t="shared" si="34"/>
        <v>1845718.08</v>
      </c>
      <c r="S152" s="45">
        <f t="shared" si="36"/>
        <v>13381456.08</v>
      </c>
      <c r="T152" s="46">
        <v>0</v>
      </c>
      <c r="U152" s="47">
        <f t="shared" si="35"/>
        <v>0</v>
      </c>
      <c r="V152" s="44">
        <f t="shared" si="37"/>
        <v>13381456.08</v>
      </c>
      <c r="W152" s="993" t="s">
        <v>156</v>
      </c>
      <c r="X152" s="48">
        <v>44176</v>
      </c>
      <c r="Y152" s="39" t="s">
        <v>924</v>
      </c>
      <c r="Z152" s="48">
        <v>44176</v>
      </c>
      <c r="AA152" s="48">
        <v>44196</v>
      </c>
      <c r="AB152" s="38" t="s">
        <v>182</v>
      </c>
      <c r="AC152" s="38"/>
      <c r="AD152" s="59">
        <v>44188</v>
      </c>
      <c r="AE152" s="59" t="s">
        <v>161</v>
      </c>
      <c r="AF152" s="59" t="s">
        <v>161</v>
      </c>
      <c r="AG152" s="59" t="s">
        <v>161</v>
      </c>
      <c r="AH152" s="39" t="s">
        <v>183</v>
      </c>
      <c r="AI152" s="38"/>
      <c r="AJ152" s="38"/>
      <c r="AK152" s="50"/>
      <c r="AL152" s="44"/>
      <c r="AM152" s="39" t="str">
        <f t="shared" ca="1" si="38"/>
        <v>MUERTO</v>
      </c>
      <c r="AN152" s="39"/>
      <c r="AO152" s="39"/>
      <c r="AP152" s="39"/>
      <c r="AQ152" s="39"/>
      <c r="AR152" s="39" t="s">
        <v>924</v>
      </c>
      <c r="AS152" s="39"/>
      <c r="AT152" s="39"/>
      <c r="AU152" s="51"/>
      <c r="AV152" s="50"/>
      <c r="AW152" s="38"/>
      <c r="AX152" s="52"/>
      <c r="AY152" s="173"/>
      <c r="AZ152" s="38"/>
      <c r="BA152" s="38" t="e">
        <f>VLOOKUP(I152,#REF!,2,0)</f>
        <v>#REF!</v>
      </c>
      <c r="BB152" s="71"/>
      <c r="BC152" s="59"/>
      <c r="BD152" s="39"/>
      <c r="BE152" s="39"/>
      <c r="BF152" s="39"/>
      <c r="BG152" s="39"/>
      <c r="BH152" s="59"/>
      <c r="BI152" s="59"/>
      <c r="BJ152" s="59"/>
      <c r="BK152" s="59"/>
      <c r="BL152" s="59"/>
      <c r="BM152" s="59"/>
      <c r="BN152" s="59"/>
      <c r="BO152" s="59"/>
      <c r="BP152" s="59"/>
      <c r="BQ152" s="62"/>
      <c r="BR152" s="6"/>
      <c r="BS152" s="70"/>
      <c r="BT152" s="62" t="s">
        <v>2729</v>
      </c>
      <c r="BU152" s="84"/>
      <c r="BV152" s="84"/>
      <c r="BW152" s="84"/>
      <c r="BX152" s="84"/>
      <c r="BY152" s="84"/>
    </row>
    <row r="153" spans="1:77" ht="38.25" x14ac:dyDescent="0.25">
      <c r="A153" s="38" t="s">
        <v>2902</v>
      </c>
      <c r="B153" s="39">
        <v>148</v>
      </c>
      <c r="C153" s="38" t="s">
        <v>225</v>
      </c>
      <c r="D153" s="40" t="s">
        <v>2903</v>
      </c>
      <c r="E153" s="39" t="s">
        <v>173</v>
      </c>
      <c r="F153" s="39" t="s">
        <v>326</v>
      </c>
      <c r="G153" s="39" t="s">
        <v>173</v>
      </c>
      <c r="H153" s="41"/>
      <c r="I153" s="41" t="s">
        <v>1352</v>
      </c>
      <c r="J153" s="41"/>
      <c r="K153" s="41"/>
      <c r="L153" s="41"/>
      <c r="M153" s="42" t="str">
        <f t="shared" si="39"/>
        <v xml:space="preserve">Aba-Mexa, S.A. de C.V.  </v>
      </c>
      <c r="N153" s="991" t="s">
        <v>190</v>
      </c>
      <c r="O153" s="991" t="s">
        <v>190</v>
      </c>
      <c r="P153" s="991" t="s">
        <v>2904</v>
      </c>
      <c r="Q153" s="992">
        <v>1240000</v>
      </c>
      <c r="R153" s="44">
        <f t="shared" si="34"/>
        <v>198400</v>
      </c>
      <c r="S153" s="45">
        <f t="shared" si="36"/>
        <v>1438400</v>
      </c>
      <c r="T153" s="46">
        <v>100000</v>
      </c>
      <c r="U153" s="47">
        <f t="shared" si="35"/>
        <v>116000</v>
      </c>
      <c r="V153" s="44">
        <f t="shared" si="37"/>
        <v>1438400</v>
      </c>
      <c r="W153" s="993" t="s">
        <v>156</v>
      </c>
      <c r="X153" s="48">
        <v>44180</v>
      </c>
      <c r="Y153" s="109">
        <v>44197</v>
      </c>
      <c r="Z153" s="48">
        <v>44197</v>
      </c>
      <c r="AA153" s="48">
        <v>44561</v>
      </c>
      <c r="AB153" s="38" t="s">
        <v>182</v>
      </c>
      <c r="AC153" s="38"/>
      <c r="AD153" s="59">
        <v>44196</v>
      </c>
      <c r="AE153" s="59" t="s">
        <v>161</v>
      </c>
      <c r="AF153" s="59" t="s">
        <v>161</v>
      </c>
      <c r="AG153" s="59" t="s">
        <v>161</v>
      </c>
      <c r="AH153" s="39" t="s">
        <v>183</v>
      </c>
      <c r="AI153" s="38"/>
      <c r="AJ153" s="38"/>
      <c r="AK153" s="50"/>
      <c r="AL153" s="44"/>
      <c r="AM153" s="39" t="str">
        <f t="shared" ca="1" si="38"/>
        <v>MUERTO</v>
      </c>
      <c r="AN153" s="39"/>
      <c r="AO153" s="39"/>
      <c r="AP153" s="39"/>
      <c r="AQ153" s="39"/>
      <c r="AR153" s="39" t="s">
        <v>924</v>
      </c>
      <c r="AS153" s="39"/>
      <c r="AT153" s="39"/>
      <c r="AU153" s="51"/>
      <c r="AV153" s="50"/>
      <c r="AW153" s="38"/>
      <c r="AX153" s="52"/>
      <c r="AY153" s="173"/>
      <c r="AZ153" s="38"/>
      <c r="BA153" s="38" t="e">
        <f>VLOOKUP(I153,#REF!,2,0)</f>
        <v>#REF!</v>
      </c>
      <c r="BB153" s="71"/>
      <c r="BC153" s="59"/>
      <c r="BD153" s="39"/>
      <c r="BE153" s="39"/>
      <c r="BF153" s="39"/>
      <c r="BG153" s="39"/>
      <c r="BH153" s="59"/>
      <c r="BI153" s="59"/>
      <c r="BJ153" s="59"/>
      <c r="BK153" s="59"/>
      <c r="BL153" s="59"/>
      <c r="BM153" s="59"/>
      <c r="BN153" s="59"/>
      <c r="BO153" s="59"/>
      <c r="BP153" s="59"/>
      <c r="BQ153" s="62"/>
      <c r="BR153" s="6"/>
      <c r="BS153" s="70"/>
      <c r="BT153" s="62" t="s">
        <v>2905</v>
      </c>
      <c r="BU153" s="84"/>
      <c r="BV153" s="84"/>
      <c r="BW153" s="84"/>
      <c r="BX153" s="84"/>
      <c r="BY153" s="84"/>
    </row>
    <row r="154" spans="1:77" ht="210" x14ac:dyDescent="0.25">
      <c r="A154" s="38" t="s">
        <v>2906</v>
      </c>
      <c r="B154" s="39">
        <v>149</v>
      </c>
      <c r="C154" s="38" t="s">
        <v>149</v>
      </c>
      <c r="D154" s="40" t="s">
        <v>2907</v>
      </c>
      <c r="E154" s="39" t="s">
        <v>173</v>
      </c>
      <c r="F154" s="39" t="s">
        <v>326</v>
      </c>
      <c r="G154" s="39" t="s">
        <v>173</v>
      </c>
      <c r="H154" s="41"/>
      <c r="I154" s="41" t="s">
        <v>636</v>
      </c>
      <c r="J154" s="41"/>
      <c r="K154" s="41"/>
      <c r="L154" s="41"/>
      <c r="M154" s="42" t="str">
        <f t="shared" si="39"/>
        <v xml:space="preserve">Full Service de México, S.A. de C.V.  </v>
      </c>
      <c r="N154" s="991" t="s">
        <v>637</v>
      </c>
      <c r="O154" s="991" t="s">
        <v>637</v>
      </c>
      <c r="P154" s="991" t="s">
        <v>2908</v>
      </c>
      <c r="Q154" s="992">
        <v>2439360</v>
      </c>
      <c r="R154" s="44">
        <f t="shared" si="34"/>
        <v>390297.60000000003</v>
      </c>
      <c r="S154" s="45">
        <f t="shared" si="36"/>
        <v>2829657.6</v>
      </c>
      <c r="T154" s="46">
        <v>0</v>
      </c>
      <c r="U154" s="47">
        <f t="shared" si="35"/>
        <v>0</v>
      </c>
      <c r="V154" s="44">
        <f t="shared" si="37"/>
        <v>2829657.6</v>
      </c>
      <c r="W154" s="993" t="s">
        <v>156</v>
      </c>
      <c r="X154" s="48">
        <v>44180</v>
      </c>
      <c r="Y154" s="109">
        <v>44197</v>
      </c>
      <c r="Z154" s="48">
        <v>44197</v>
      </c>
      <c r="AA154" s="48">
        <v>44561</v>
      </c>
      <c r="AB154" s="38" t="s">
        <v>2033</v>
      </c>
      <c r="AC154" s="38" t="s">
        <v>2909</v>
      </c>
      <c r="AD154" s="59">
        <v>44194</v>
      </c>
      <c r="AE154" s="59">
        <v>44202</v>
      </c>
      <c r="AF154" s="59" t="s">
        <v>161</v>
      </c>
      <c r="AG154" s="59" t="s">
        <v>161</v>
      </c>
      <c r="AH154" s="39" t="s">
        <v>183</v>
      </c>
      <c r="AI154" s="38"/>
      <c r="AJ154" s="38"/>
      <c r="AK154" s="50"/>
      <c r="AL154" s="44"/>
      <c r="AM154" s="39" t="str">
        <f t="shared" ca="1" si="38"/>
        <v>MUERTO</v>
      </c>
      <c r="AN154" s="39"/>
      <c r="AO154" s="39"/>
      <c r="AP154" s="39"/>
      <c r="AQ154" s="39"/>
      <c r="AR154" s="39" t="s">
        <v>924</v>
      </c>
      <c r="AS154" s="39"/>
      <c r="AT154" s="39"/>
      <c r="AU154" s="51"/>
      <c r="AV154" s="50"/>
      <c r="AW154" s="38"/>
      <c r="AX154" s="52"/>
      <c r="AY154" s="173">
        <v>44216</v>
      </c>
      <c r="AZ154" s="38"/>
      <c r="BA154" s="38" t="e">
        <f>VLOOKUP(I154,#REF!,2,0)</f>
        <v>#REF!</v>
      </c>
      <c r="BB154" s="71"/>
      <c r="BC154" s="59"/>
      <c r="BD154" s="39"/>
      <c r="BE154" s="39"/>
      <c r="BF154" s="39"/>
      <c r="BG154" s="39"/>
      <c r="BH154" s="59"/>
      <c r="BI154" s="59"/>
      <c r="BJ154" s="59"/>
      <c r="BK154" s="59"/>
      <c r="BL154" s="59"/>
      <c r="BM154" s="59"/>
      <c r="BN154" s="59"/>
      <c r="BO154" s="59"/>
      <c r="BP154" s="59"/>
      <c r="BQ154" s="62"/>
      <c r="BR154" s="6"/>
      <c r="BS154" s="70"/>
      <c r="BT154" s="62" t="s">
        <v>2910</v>
      </c>
      <c r="BU154" s="84"/>
      <c r="BV154" s="84"/>
      <c r="BW154" s="84"/>
      <c r="BX154" s="84"/>
      <c r="BY154" s="84"/>
    </row>
    <row r="155" spans="1:77" ht="75" x14ac:dyDescent="0.25">
      <c r="A155" s="38" t="s">
        <v>2911</v>
      </c>
      <c r="B155" s="39">
        <v>150</v>
      </c>
      <c r="C155" s="38" t="s">
        <v>149</v>
      </c>
      <c r="D155" s="40" t="s">
        <v>2912</v>
      </c>
      <c r="E155" s="39" t="s">
        <v>151</v>
      </c>
      <c r="F155" s="39" t="s">
        <v>152</v>
      </c>
      <c r="G155" s="39" t="s">
        <v>151</v>
      </c>
      <c r="H155" s="41"/>
      <c r="I155" s="41" t="s">
        <v>2913</v>
      </c>
      <c r="J155" s="41"/>
      <c r="K155" s="41"/>
      <c r="L155" s="41"/>
      <c r="M155" s="42" t="str">
        <f t="shared" si="39"/>
        <v xml:space="preserve">Acertar, Consultoría y Servicios Profesional, S.C.  </v>
      </c>
      <c r="N155" s="991" t="s">
        <v>2124</v>
      </c>
      <c r="O155" s="991" t="s">
        <v>2124</v>
      </c>
      <c r="P155" s="991" t="s">
        <v>2914</v>
      </c>
      <c r="Q155" s="992">
        <v>1470000</v>
      </c>
      <c r="R155" s="44">
        <f t="shared" si="34"/>
        <v>235200</v>
      </c>
      <c r="S155" s="45">
        <f t="shared" si="36"/>
        <v>1705200</v>
      </c>
      <c r="T155" s="46">
        <v>0</v>
      </c>
      <c r="U155" s="47">
        <f t="shared" si="35"/>
        <v>0</v>
      </c>
      <c r="V155" s="44">
        <f t="shared" si="37"/>
        <v>1705200</v>
      </c>
      <c r="W155" s="993" t="s">
        <v>183</v>
      </c>
      <c r="X155" s="48">
        <v>44179</v>
      </c>
      <c r="Y155" s="39" t="s">
        <v>924</v>
      </c>
      <c r="Z155" s="48">
        <v>44179</v>
      </c>
      <c r="AA155" s="48">
        <v>44255</v>
      </c>
      <c r="AB155" s="38" t="s">
        <v>2033</v>
      </c>
      <c r="AC155" s="38"/>
      <c r="AD155" s="59">
        <v>44194</v>
      </c>
      <c r="AE155" s="59">
        <v>44202</v>
      </c>
      <c r="AF155" s="59" t="s">
        <v>161</v>
      </c>
      <c r="AG155" s="59" t="s">
        <v>161</v>
      </c>
      <c r="AH155" s="39" t="s">
        <v>183</v>
      </c>
      <c r="AI155" s="38"/>
      <c r="AJ155" s="38"/>
      <c r="AK155" s="50"/>
      <c r="AL155" s="44"/>
      <c r="AM155" s="39" t="str">
        <f t="shared" ca="1" si="38"/>
        <v>MUERTO</v>
      </c>
      <c r="AN155" s="39"/>
      <c r="AO155" s="39"/>
      <c r="AP155" s="39"/>
      <c r="AQ155" s="39"/>
      <c r="AR155" s="39" t="s">
        <v>924</v>
      </c>
      <c r="AS155" s="39"/>
      <c r="AT155" s="39"/>
      <c r="AU155" s="51"/>
      <c r="AV155" s="50"/>
      <c r="AW155" s="38"/>
      <c r="AX155" s="52"/>
      <c r="AY155" s="173"/>
      <c r="AZ155" s="38"/>
      <c r="BA155" s="38" t="e">
        <f>VLOOKUP(I155,#REF!,2,0)</f>
        <v>#REF!</v>
      </c>
      <c r="BB155" s="71"/>
      <c r="BC155" s="59"/>
      <c r="BD155" s="39"/>
      <c r="BE155" s="39"/>
      <c r="BF155" s="39"/>
      <c r="BG155" s="39"/>
      <c r="BH155" s="59"/>
      <c r="BI155" s="59"/>
      <c r="BJ155" s="59"/>
      <c r="BK155" s="59"/>
      <c r="BL155" s="59"/>
      <c r="BM155" s="59"/>
      <c r="BN155" s="59"/>
      <c r="BO155" s="59"/>
      <c r="BP155" s="59"/>
      <c r="BQ155" s="62"/>
      <c r="BR155" s="6"/>
      <c r="BS155" s="70"/>
      <c r="BT155" s="62" t="s">
        <v>2875</v>
      </c>
      <c r="BU155" s="84">
        <v>294000</v>
      </c>
      <c r="BV155" s="84">
        <v>1176000</v>
      </c>
      <c r="BW155" s="84"/>
      <c r="BX155" s="84"/>
      <c r="BY155" s="84"/>
    </row>
    <row r="156" spans="1:77" ht="120" x14ac:dyDescent="0.25">
      <c r="A156" s="38" t="s">
        <v>2915</v>
      </c>
      <c r="B156" s="39">
        <v>151</v>
      </c>
      <c r="C156" s="38" t="s">
        <v>149</v>
      </c>
      <c r="D156" s="40" t="s">
        <v>2916</v>
      </c>
      <c r="E156" s="567" t="s">
        <v>163</v>
      </c>
      <c r="F156" s="39" t="s">
        <v>237</v>
      </c>
      <c r="G156" s="567" t="s">
        <v>427</v>
      </c>
      <c r="H156" s="567" t="s">
        <v>163</v>
      </c>
      <c r="I156" s="41" t="s">
        <v>2917</v>
      </c>
      <c r="J156" s="41"/>
      <c r="K156" s="41"/>
      <c r="L156" s="41"/>
      <c r="M156" s="42" t="str">
        <f t="shared" si="39"/>
        <v xml:space="preserve">Ap Automatización y Control Eléctrico, S.A. de C.V.  </v>
      </c>
      <c r="N156" s="991" t="s">
        <v>198</v>
      </c>
      <c r="O156" s="991" t="s">
        <v>198</v>
      </c>
      <c r="P156" s="991" t="s">
        <v>2918</v>
      </c>
      <c r="Q156" s="992">
        <v>1200000</v>
      </c>
      <c r="R156" s="44">
        <f t="shared" si="34"/>
        <v>192000</v>
      </c>
      <c r="S156" s="45">
        <f t="shared" si="36"/>
        <v>1392000</v>
      </c>
      <c r="T156" s="46">
        <v>900000</v>
      </c>
      <c r="U156" s="47">
        <f t="shared" si="35"/>
        <v>1044000</v>
      </c>
      <c r="V156" s="44">
        <f t="shared" si="37"/>
        <v>1392000</v>
      </c>
      <c r="W156" s="993" t="s">
        <v>156</v>
      </c>
      <c r="X156" s="48">
        <v>44175</v>
      </c>
      <c r="Y156" s="39" t="s">
        <v>924</v>
      </c>
      <c r="Z156" s="48">
        <v>44175</v>
      </c>
      <c r="AA156" s="48">
        <v>44196</v>
      </c>
      <c r="AB156" s="38" t="s">
        <v>2008</v>
      </c>
      <c r="AC156" s="38"/>
      <c r="AD156" s="59">
        <v>44194</v>
      </c>
      <c r="AE156" s="59">
        <v>44194</v>
      </c>
      <c r="AF156" s="59" t="s">
        <v>161</v>
      </c>
      <c r="AG156" s="59" t="s">
        <v>161</v>
      </c>
      <c r="AH156" s="39" t="s">
        <v>183</v>
      </c>
      <c r="AI156" s="38"/>
      <c r="AJ156" s="38"/>
      <c r="AK156" s="50"/>
      <c r="AL156" s="44"/>
      <c r="AM156" s="39" t="str">
        <f t="shared" ca="1" si="38"/>
        <v>MUERTO</v>
      </c>
      <c r="AN156" s="39"/>
      <c r="AO156" s="39"/>
      <c r="AP156" s="39"/>
      <c r="AQ156" s="39"/>
      <c r="AR156" s="39" t="s">
        <v>924</v>
      </c>
      <c r="AS156" s="39"/>
      <c r="AT156" s="39"/>
      <c r="AU156" s="51"/>
      <c r="AV156" s="50"/>
      <c r="AW156" s="38"/>
      <c r="AX156" s="52"/>
      <c r="AY156" s="173"/>
      <c r="AZ156" s="38"/>
      <c r="BA156" s="38" t="e">
        <f>VLOOKUP(I156,#REF!,2,0)</f>
        <v>#REF!</v>
      </c>
      <c r="BB156" s="71"/>
      <c r="BC156" s="59"/>
      <c r="BD156" s="39"/>
      <c r="BE156" s="39"/>
      <c r="BF156" s="39"/>
      <c r="BG156" s="39"/>
      <c r="BH156" s="59"/>
      <c r="BI156" s="59"/>
      <c r="BJ156" s="59"/>
      <c r="BK156" s="59"/>
      <c r="BL156" s="59"/>
      <c r="BM156" s="59"/>
      <c r="BN156" s="59"/>
      <c r="BO156" s="59"/>
      <c r="BP156" s="59"/>
      <c r="BQ156" s="62"/>
      <c r="BR156" s="6"/>
      <c r="BS156" s="70"/>
      <c r="BT156" s="62" t="s">
        <v>2919</v>
      </c>
      <c r="BU156" s="84"/>
      <c r="BV156" s="84"/>
      <c r="BW156" s="84"/>
      <c r="BX156" s="84"/>
      <c r="BY156" s="84"/>
    </row>
    <row r="157" spans="1:77" ht="409.5" x14ac:dyDescent="0.25">
      <c r="A157" s="199" t="s">
        <v>2920</v>
      </c>
      <c r="B157" s="39">
        <v>152</v>
      </c>
      <c r="C157" s="38" t="s">
        <v>149</v>
      </c>
      <c r="D157" s="40" t="s">
        <v>2921</v>
      </c>
      <c r="E157" s="39" t="s">
        <v>173</v>
      </c>
      <c r="F157" s="39" t="s">
        <v>326</v>
      </c>
      <c r="G157" s="39" t="s">
        <v>173</v>
      </c>
      <c r="H157" s="41"/>
      <c r="I157" s="41" t="s">
        <v>2517</v>
      </c>
      <c r="J157" s="41"/>
      <c r="K157" s="41"/>
      <c r="L157" s="41"/>
      <c r="M157" s="42" t="str">
        <f t="shared" si="39"/>
        <v xml:space="preserve">Tecnologías Digitales Alternas de México, S.A. de C.V.  </v>
      </c>
      <c r="N157" s="991" t="s">
        <v>656</v>
      </c>
      <c r="O157" s="991" t="s">
        <v>209</v>
      </c>
      <c r="P157" s="991" t="s">
        <v>2518</v>
      </c>
      <c r="Q157" s="992">
        <v>17796000</v>
      </c>
      <c r="R157" s="44">
        <f t="shared" si="34"/>
        <v>2847360</v>
      </c>
      <c r="S157" s="45">
        <f t="shared" si="36"/>
        <v>20643360</v>
      </c>
      <c r="T157" s="46">
        <v>0</v>
      </c>
      <c r="U157" s="47">
        <f t="shared" si="35"/>
        <v>0</v>
      </c>
      <c r="V157" s="44">
        <f t="shared" si="37"/>
        <v>6881120</v>
      </c>
      <c r="W157" s="993" t="s">
        <v>156</v>
      </c>
      <c r="X157" s="48">
        <v>44180</v>
      </c>
      <c r="Y157" s="109">
        <v>44197</v>
      </c>
      <c r="Z157" s="48">
        <v>44197</v>
      </c>
      <c r="AA157" s="48">
        <v>44561</v>
      </c>
      <c r="AB157" s="38" t="s">
        <v>2008</v>
      </c>
      <c r="AC157" s="38"/>
      <c r="AD157" s="59">
        <v>44209</v>
      </c>
      <c r="AE157" s="59">
        <v>44207</v>
      </c>
      <c r="AF157" s="59" t="s">
        <v>161</v>
      </c>
      <c r="AG157" s="59" t="s">
        <v>161</v>
      </c>
      <c r="AH157" s="39" t="s">
        <v>183</v>
      </c>
      <c r="AI157" s="38" t="s">
        <v>2922</v>
      </c>
      <c r="AJ157" s="38" t="s">
        <v>2923</v>
      </c>
      <c r="AK157" s="50" t="s">
        <v>2924</v>
      </c>
      <c r="AL157" s="44">
        <v>-13762240</v>
      </c>
      <c r="AM157" s="39" t="s">
        <v>2925</v>
      </c>
      <c r="AN157" s="39"/>
      <c r="AO157" s="39"/>
      <c r="AP157" s="39"/>
      <c r="AQ157" s="39"/>
      <c r="AR157" s="39" t="s">
        <v>924</v>
      </c>
      <c r="AS157" s="39"/>
      <c r="AT157" s="39"/>
      <c r="AU157" s="51"/>
      <c r="AV157" s="50"/>
      <c r="AW157" s="38"/>
      <c r="AX157" s="52"/>
      <c r="AY157" s="173" t="s">
        <v>2926</v>
      </c>
      <c r="AZ157" s="38" t="s">
        <v>2927</v>
      </c>
      <c r="BA157" s="38" t="e">
        <f>VLOOKUP(I157,#REF!,2,0)</f>
        <v>#REF!</v>
      </c>
      <c r="BB157" s="71"/>
      <c r="BC157" s="59"/>
      <c r="BD157" s="39"/>
      <c r="BE157" s="39"/>
      <c r="BF157" s="39"/>
      <c r="BG157" s="39"/>
      <c r="BH157" s="59"/>
      <c r="BI157" s="59"/>
      <c r="BJ157" s="59"/>
      <c r="BK157" s="59"/>
      <c r="BL157" s="59"/>
      <c r="BM157" s="59"/>
      <c r="BN157" s="59"/>
      <c r="BO157" s="59"/>
      <c r="BP157" s="59"/>
      <c r="BQ157" s="62"/>
      <c r="BR157" s="6"/>
      <c r="BS157" s="70"/>
      <c r="BT157" s="182" t="s">
        <v>2928</v>
      </c>
      <c r="BU157" s="84"/>
      <c r="BV157" s="84"/>
      <c r="BW157" s="84"/>
      <c r="BX157" s="84"/>
      <c r="BY157" s="84"/>
    </row>
    <row r="158" spans="1:77" ht="75" x14ac:dyDescent="0.25">
      <c r="A158" s="38" t="s">
        <v>2929</v>
      </c>
      <c r="B158" s="39">
        <v>153</v>
      </c>
      <c r="C158" s="38" t="s">
        <v>225</v>
      </c>
      <c r="D158" s="40" t="s">
        <v>1177</v>
      </c>
      <c r="E158" s="567" t="s">
        <v>163</v>
      </c>
      <c r="F158" s="39" t="s">
        <v>561</v>
      </c>
      <c r="G158" s="567" t="s">
        <v>163</v>
      </c>
      <c r="H158" s="567" t="s">
        <v>163</v>
      </c>
      <c r="I158" s="41" t="s">
        <v>2930</v>
      </c>
      <c r="J158" s="41"/>
      <c r="K158" s="41"/>
      <c r="L158" s="41"/>
      <c r="M158" s="42" t="str">
        <f t="shared" si="39"/>
        <v xml:space="preserve">Natural Aesthetics, S.A. de C.V.  </v>
      </c>
      <c r="N158" s="991" t="s">
        <v>198</v>
      </c>
      <c r="O158" s="991" t="s">
        <v>198</v>
      </c>
      <c r="P158" s="991" t="s">
        <v>2931</v>
      </c>
      <c r="Q158" s="992">
        <v>1750000</v>
      </c>
      <c r="R158" s="44">
        <f t="shared" si="34"/>
        <v>280000</v>
      </c>
      <c r="S158" s="45">
        <f t="shared" si="36"/>
        <v>2030000</v>
      </c>
      <c r="T158" s="46">
        <v>0</v>
      </c>
      <c r="U158" s="47">
        <f t="shared" si="35"/>
        <v>0</v>
      </c>
      <c r="V158" s="44">
        <f t="shared" si="37"/>
        <v>2030000</v>
      </c>
      <c r="W158" s="993" t="s">
        <v>156</v>
      </c>
      <c r="X158" s="48">
        <v>44180</v>
      </c>
      <c r="Y158" s="39" t="s">
        <v>924</v>
      </c>
      <c r="Z158" s="48">
        <v>44180</v>
      </c>
      <c r="AA158" s="48">
        <v>44183</v>
      </c>
      <c r="AB158" s="38" t="s">
        <v>2050</v>
      </c>
      <c r="AC158" s="38"/>
      <c r="AD158" s="59"/>
      <c r="AE158" s="59"/>
      <c r="AF158" s="59"/>
      <c r="AG158" s="59"/>
      <c r="AH158" s="39"/>
      <c r="AI158" s="38"/>
      <c r="AJ158" s="38"/>
      <c r="AK158" s="50"/>
      <c r="AL158" s="44"/>
      <c r="AM158" s="39" t="str">
        <f t="shared" ca="1" si="38"/>
        <v>MUERTO</v>
      </c>
      <c r="AN158" s="39"/>
      <c r="AO158" s="39"/>
      <c r="AP158" s="39"/>
      <c r="AQ158" s="39"/>
      <c r="AR158" s="39" t="s">
        <v>924</v>
      </c>
      <c r="AS158" s="39"/>
      <c r="AT158" s="39"/>
      <c r="AU158" s="51"/>
      <c r="AV158" s="50"/>
      <c r="AW158" s="38"/>
      <c r="AX158" s="52"/>
      <c r="AY158" s="173"/>
      <c r="AZ158" s="38"/>
      <c r="BA158" s="38" t="e">
        <f>VLOOKUP(I158,#REF!,2,0)</f>
        <v>#REF!</v>
      </c>
      <c r="BB158" s="71"/>
      <c r="BC158" s="59"/>
      <c r="BD158" s="39"/>
      <c r="BE158" s="39"/>
      <c r="BF158" s="39"/>
      <c r="BG158" s="39"/>
      <c r="BH158" s="59"/>
      <c r="BI158" s="59"/>
      <c r="BJ158" s="59"/>
      <c r="BK158" s="59"/>
      <c r="BL158" s="59"/>
      <c r="BM158" s="59"/>
      <c r="BN158" s="59"/>
      <c r="BO158" s="59"/>
      <c r="BP158" s="59"/>
      <c r="BQ158" s="62"/>
      <c r="BR158" s="6"/>
      <c r="BS158" s="70"/>
      <c r="BT158" s="62" t="s">
        <v>2318</v>
      </c>
      <c r="BU158" s="84"/>
      <c r="BV158" s="84"/>
      <c r="BW158" s="84"/>
      <c r="BX158" s="84"/>
      <c r="BY158" s="84"/>
    </row>
    <row r="159" spans="1:77" ht="114.75" x14ac:dyDescent="0.25">
      <c r="A159" s="38" t="s">
        <v>2932</v>
      </c>
      <c r="B159" s="39">
        <v>154</v>
      </c>
      <c r="C159" s="38" t="s">
        <v>149</v>
      </c>
      <c r="D159" s="40" t="s">
        <v>2933</v>
      </c>
      <c r="E159" s="567" t="s">
        <v>163</v>
      </c>
      <c r="F159" s="39" t="s">
        <v>312</v>
      </c>
      <c r="G159" s="567" t="s">
        <v>2237</v>
      </c>
      <c r="H159" s="685" t="s">
        <v>546</v>
      </c>
      <c r="I159" s="41" t="s">
        <v>361</v>
      </c>
      <c r="J159" s="41"/>
      <c r="K159" s="41"/>
      <c r="L159" s="41"/>
      <c r="M159" s="42" t="str">
        <f t="shared" si="39"/>
        <v xml:space="preserve">Millenium Technologies, S.A. de C.V.  </v>
      </c>
      <c r="N159" s="991" t="s">
        <v>656</v>
      </c>
      <c r="O159" s="991" t="s">
        <v>209</v>
      </c>
      <c r="P159" s="991" t="s">
        <v>2934</v>
      </c>
      <c r="Q159" s="992">
        <v>17240130</v>
      </c>
      <c r="R159" s="44">
        <f t="shared" si="34"/>
        <v>2758420.8000000003</v>
      </c>
      <c r="S159" s="45">
        <f t="shared" si="36"/>
        <v>19998550.800000001</v>
      </c>
      <c r="T159" s="46">
        <v>0</v>
      </c>
      <c r="U159" s="47">
        <f t="shared" si="35"/>
        <v>0</v>
      </c>
      <c r="V159" s="44">
        <f t="shared" si="37"/>
        <v>19998550.800000001</v>
      </c>
      <c r="W159" s="993" t="s">
        <v>156</v>
      </c>
      <c r="X159" s="48">
        <v>44180</v>
      </c>
      <c r="Y159" s="39" t="s">
        <v>924</v>
      </c>
      <c r="Z159" s="48">
        <v>44180</v>
      </c>
      <c r="AA159" s="48">
        <v>44561</v>
      </c>
      <c r="AB159" s="38" t="s">
        <v>2033</v>
      </c>
      <c r="AC159" s="38"/>
      <c r="AD159" s="59">
        <v>44202</v>
      </c>
      <c r="AE159" s="59">
        <v>44209</v>
      </c>
      <c r="AF159" s="59" t="s">
        <v>161</v>
      </c>
      <c r="AG159" s="59" t="s">
        <v>161</v>
      </c>
      <c r="AH159" s="39" t="s">
        <v>183</v>
      </c>
      <c r="AI159" s="38"/>
      <c r="AJ159" s="38"/>
      <c r="AK159" s="50"/>
      <c r="AL159" s="44"/>
      <c r="AM159" s="39" t="str">
        <f t="shared" ca="1" si="38"/>
        <v>MUERTO</v>
      </c>
      <c r="AN159" s="39"/>
      <c r="AO159" s="39"/>
      <c r="AP159" s="39"/>
      <c r="AQ159" s="39"/>
      <c r="AR159" s="39" t="s">
        <v>924</v>
      </c>
      <c r="AS159" s="39"/>
      <c r="AT159" s="39"/>
      <c r="AU159" s="51"/>
      <c r="AV159" s="50"/>
      <c r="AW159" s="38"/>
      <c r="AX159" s="52"/>
      <c r="AY159" s="173"/>
      <c r="AZ159" s="38"/>
      <c r="BA159" s="38" t="e">
        <f>VLOOKUP(I159,#REF!,2,0)</f>
        <v>#REF!</v>
      </c>
      <c r="BB159" s="71"/>
      <c r="BC159" s="59"/>
      <c r="BD159" s="39"/>
      <c r="BE159" s="39"/>
      <c r="BF159" s="39"/>
      <c r="BG159" s="39"/>
      <c r="BH159" s="59"/>
      <c r="BI159" s="59"/>
      <c r="BJ159" s="59"/>
      <c r="BK159" s="59"/>
      <c r="BL159" s="59"/>
      <c r="BM159" s="59"/>
      <c r="BN159" s="59"/>
      <c r="BO159" s="59"/>
      <c r="BP159" s="59"/>
      <c r="BQ159" s="62"/>
      <c r="BR159" s="6"/>
      <c r="BS159" s="70"/>
      <c r="BT159" s="62" t="s">
        <v>2318</v>
      </c>
      <c r="BU159" s="84"/>
      <c r="BV159" s="84"/>
      <c r="BW159" s="84"/>
      <c r="BX159" s="84"/>
      <c r="BY159" s="84"/>
    </row>
    <row r="160" spans="1:77" ht="114.75" x14ac:dyDescent="0.25">
      <c r="A160" s="38" t="s">
        <v>2935</v>
      </c>
      <c r="B160" s="39">
        <v>155</v>
      </c>
      <c r="C160" s="38" t="s">
        <v>225</v>
      </c>
      <c r="D160" s="40" t="s">
        <v>2933</v>
      </c>
      <c r="E160" s="567" t="s">
        <v>163</v>
      </c>
      <c r="F160" s="39" t="s">
        <v>2936</v>
      </c>
      <c r="G160" s="567" t="s">
        <v>2237</v>
      </c>
      <c r="H160" s="685" t="s">
        <v>546</v>
      </c>
      <c r="I160" s="41" t="s">
        <v>2937</v>
      </c>
      <c r="J160" s="41"/>
      <c r="K160" s="41"/>
      <c r="L160" s="41"/>
      <c r="M160" s="42" t="str">
        <f t="shared" si="39"/>
        <v xml:space="preserve">Scontinuidad Latam, S.A. de C.V.  </v>
      </c>
      <c r="N160" s="991" t="s">
        <v>656</v>
      </c>
      <c r="O160" s="991" t="s">
        <v>209</v>
      </c>
      <c r="P160" s="991" t="s">
        <v>2938</v>
      </c>
      <c r="Q160" s="992">
        <v>25644762.690000001</v>
      </c>
      <c r="R160" s="44">
        <f t="shared" si="34"/>
        <v>4103162.0304000005</v>
      </c>
      <c r="S160" s="45">
        <f t="shared" si="36"/>
        <v>29747924.720400002</v>
      </c>
      <c r="T160" s="46">
        <v>0</v>
      </c>
      <c r="U160" s="47">
        <f t="shared" si="35"/>
        <v>0</v>
      </c>
      <c r="V160" s="44">
        <f t="shared" si="37"/>
        <v>29747924.720400002</v>
      </c>
      <c r="W160" s="993" t="s">
        <v>156</v>
      </c>
      <c r="X160" s="48">
        <v>44180</v>
      </c>
      <c r="Y160" s="39" t="s">
        <v>924</v>
      </c>
      <c r="Z160" s="48">
        <v>44180</v>
      </c>
      <c r="AA160" s="48">
        <v>44196</v>
      </c>
      <c r="AB160" s="38" t="s">
        <v>2033</v>
      </c>
      <c r="AC160" s="38"/>
      <c r="AD160" s="59">
        <v>44194</v>
      </c>
      <c r="AE160" s="59">
        <v>44195</v>
      </c>
      <c r="AF160" s="59" t="s">
        <v>161</v>
      </c>
      <c r="AG160" s="59" t="s">
        <v>161</v>
      </c>
      <c r="AH160" s="39" t="s">
        <v>183</v>
      </c>
      <c r="AI160" s="38"/>
      <c r="AJ160" s="38"/>
      <c r="AK160" s="50"/>
      <c r="AL160" s="44"/>
      <c r="AM160" s="39" t="str">
        <f t="shared" ca="1" si="38"/>
        <v>MUERTO</v>
      </c>
      <c r="AN160" s="39"/>
      <c r="AO160" s="39"/>
      <c r="AP160" s="39"/>
      <c r="AQ160" s="39"/>
      <c r="AR160" s="39" t="s">
        <v>924</v>
      </c>
      <c r="AS160" s="39"/>
      <c r="AT160" s="39"/>
      <c r="AU160" s="51"/>
      <c r="AV160" s="50"/>
      <c r="AW160" s="38"/>
      <c r="AX160" s="52"/>
      <c r="AY160" s="173"/>
      <c r="AZ160" s="38"/>
      <c r="BA160" s="38" t="e">
        <f>VLOOKUP(I160,#REF!,2,0)</f>
        <v>#REF!</v>
      </c>
      <c r="BB160" s="71"/>
      <c r="BC160" s="59"/>
      <c r="BD160" s="39"/>
      <c r="BE160" s="39"/>
      <c r="BF160" s="39"/>
      <c r="BG160" s="39"/>
      <c r="BH160" s="59"/>
      <c r="BI160" s="59"/>
      <c r="BJ160" s="59"/>
      <c r="BK160" s="59"/>
      <c r="BL160" s="59"/>
      <c r="BM160" s="59"/>
      <c r="BN160" s="59"/>
      <c r="BO160" s="59"/>
      <c r="BP160" s="59"/>
      <c r="BQ160" s="62"/>
      <c r="BR160" s="6"/>
      <c r="BS160" s="70"/>
      <c r="BT160" s="62" t="s">
        <v>2919</v>
      </c>
      <c r="BU160" s="84"/>
      <c r="BV160" s="84"/>
      <c r="BW160" s="84"/>
      <c r="BX160" s="84"/>
      <c r="BY160" s="84"/>
    </row>
    <row r="161" spans="1:77" ht="281.25" x14ac:dyDescent="0.25">
      <c r="A161" s="110" t="s">
        <v>2939</v>
      </c>
      <c r="B161" s="39">
        <v>156</v>
      </c>
      <c r="C161" s="129" t="s">
        <v>225</v>
      </c>
      <c r="D161" s="131" t="s">
        <v>2903</v>
      </c>
      <c r="E161" s="130" t="s">
        <v>173</v>
      </c>
      <c r="F161" s="130" t="s">
        <v>326</v>
      </c>
      <c r="G161" s="130" t="s">
        <v>173</v>
      </c>
      <c r="H161" s="41"/>
      <c r="I161" s="41" t="s">
        <v>528</v>
      </c>
      <c r="J161" s="41"/>
      <c r="K161" s="132"/>
      <c r="L161" s="132"/>
      <c r="M161" s="133" t="str">
        <f t="shared" si="39"/>
        <v xml:space="preserve">Café 1810, S.A. de C.V.  </v>
      </c>
      <c r="N161" s="1013" t="s">
        <v>270</v>
      </c>
      <c r="O161" s="1013" t="s">
        <v>270</v>
      </c>
      <c r="P161" s="1013" t="s">
        <v>2940</v>
      </c>
      <c r="Q161" s="1014">
        <f>682425.27+1172517.12</f>
        <v>1854942.3900000001</v>
      </c>
      <c r="R161" s="134">
        <f t="shared" si="34"/>
        <v>296790.78240000003</v>
      </c>
      <c r="S161" s="135">
        <f t="shared" si="36"/>
        <v>2151733.1724</v>
      </c>
      <c r="T161" s="136">
        <f>272970.11+469006.85</f>
        <v>741976.96</v>
      </c>
      <c r="U161" s="137">
        <f t="shared" si="35"/>
        <v>860693.27359999996</v>
      </c>
      <c r="V161" s="134">
        <f t="shared" si="37"/>
        <v>2151733.1724</v>
      </c>
      <c r="W161" s="1015" t="s">
        <v>156</v>
      </c>
      <c r="X161" s="138">
        <v>44183</v>
      </c>
      <c r="Y161" s="139">
        <v>44197</v>
      </c>
      <c r="Z161" s="138">
        <v>44197</v>
      </c>
      <c r="AA161" s="138">
        <v>44561</v>
      </c>
      <c r="AB161" s="129" t="s">
        <v>182</v>
      </c>
      <c r="AC161" s="129"/>
      <c r="AD161" s="140">
        <v>43850</v>
      </c>
      <c r="AE161" s="140" t="s">
        <v>161</v>
      </c>
      <c r="AF161" s="140" t="s">
        <v>161</v>
      </c>
      <c r="AG161" s="140" t="s">
        <v>161</v>
      </c>
      <c r="AH161" s="130" t="s">
        <v>183</v>
      </c>
      <c r="AI161" s="200" t="s">
        <v>2941</v>
      </c>
      <c r="AJ161" s="129" t="s">
        <v>2942</v>
      </c>
      <c r="AK161" s="141">
        <v>44522</v>
      </c>
      <c r="AL161" s="134">
        <v>0</v>
      </c>
      <c r="AM161" s="130" t="str">
        <f t="shared" ca="1" si="38"/>
        <v>MUERTO</v>
      </c>
      <c r="AN161" s="130"/>
      <c r="AO161" s="130"/>
      <c r="AP161" s="130"/>
      <c r="AQ161" s="130"/>
      <c r="AR161" s="130" t="s">
        <v>924</v>
      </c>
      <c r="AS161" s="130"/>
      <c r="AT161" s="130"/>
      <c r="AU161" s="142"/>
      <c r="AV161" s="141"/>
      <c r="AW161" s="129"/>
      <c r="AX161" s="143"/>
      <c r="AY161" s="173" t="s">
        <v>2943</v>
      </c>
      <c r="AZ161" s="205" t="s">
        <v>2944</v>
      </c>
      <c r="BA161" s="129" t="e">
        <f>VLOOKUP(I161,#REF!,2,0)</f>
        <v>#REF!</v>
      </c>
      <c r="BB161" s="129"/>
      <c r="BC161" s="140">
        <v>44518</v>
      </c>
      <c r="BD161" s="204">
        <v>44518</v>
      </c>
      <c r="BE161" s="204">
        <v>44522</v>
      </c>
      <c r="BF161" s="130"/>
      <c r="BG161" s="130"/>
      <c r="BH161" s="140"/>
      <c r="BI161" s="140"/>
      <c r="BJ161" s="140"/>
      <c r="BK161" s="140"/>
      <c r="BL161" s="140"/>
      <c r="BM161" s="140"/>
      <c r="BN161" s="140"/>
      <c r="BO161" s="140"/>
      <c r="BP161" s="140"/>
      <c r="BQ161" s="144"/>
      <c r="BR161" s="145"/>
      <c r="BS161" s="146"/>
      <c r="BT161" s="144" t="s">
        <v>2945</v>
      </c>
      <c r="BU161" s="147"/>
      <c r="BV161" s="147"/>
      <c r="BW161" s="147"/>
      <c r="BX161" s="147"/>
      <c r="BY161" s="147"/>
    </row>
    <row r="162" spans="1:77" ht="180" x14ac:dyDescent="0.25">
      <c r="A162" s="38" t="s">
        <v>2946</v>
      </c>
      <c r="B162" s="39">
        <v>157</v>
      </c>
      <c r="C162" s="38" t="s">
        <v>149</v>
      </c>
      <c r="D162" s="40" t="s">
        <v>2947</v>
      </c>
      <c r="E162" s="39" t="s">
        <v>173</v>
      </c>
      <c r="F162" s="39" t="s">
        <v>326</v>
      </c>
      <c r="G162" s="39" t="s">
        <v>173</v>
      </c>
      <c r="H162" s="41"/>
      <c r="I162" s="41" t="s">
        <v>2948</v>
      </c>
      <c r="J162" s="41"/>
      <c r="K162" s="41"/>
      <c r="L162" s="41"/>
      <c r="M162" s="42" t="str">
        <f t="shared" si="39"/>
        <v xml:space="preserve">Debug Experts, S.A. de C.V.  </v>
      </c>
      <c r="N162" s="991" t="s">
        <v>656</v>
      </c>
      <c r="O162" s="991" t="s">
        <v>209</v>
      </c>
      <c r="P162" s="991" t="s">
        <v>2949</v>
      </c>
      <c r="Q162" s="992">
        <v>4310344.83</v>
      </c>
      <c r="R162" s="44">
        <f t="shared" si="34"/>
        <v>689655.17280000006</v>
      </c>
      <c r="S162" s="45">
        <f t="shared" si="36"/>
        <v>5000000.0027999999</v>
      </c>
      <c r="T162" s="46">
        <v>0</v>
      </c>
      <c r="U162" s="47">
        <f t="shared" si="35"/>
        <v>0</v>
      </c>
      <c r="V162" s="44">
        <f t="shared" si="37"/>
        <v>5000000.0027999999</v>
      </c>
      <c r="W162" s="993" t="s">
        <v>156</v>
      </c>
      <c r="X162" s="48">
        <v>44181</v>
      </c>
      <c r="Y162" s="39" t="s">
        <v>924</v>
      </c>
      <c r="Z162" s="48">
        <v>44181</v>
      </c>
      <c r="AA162" s="48">
        <v>44530</v>
      </c>
      <c r="AB162" s="38" t="s">
        <v>2033</v>
      </c>
      <c r="AC162" s="38"/>
      <c r="AD162" s="59">
        <v>44202</v>
      </c>
      <c r="AE162" s="59">
        <v>44209</v>
      </c>
      <c r="AF162" s="59" t="s">
        <v>161</v>
      </c>
      <c r="AG162" s="59" t="s">
        <v>161</v>
      </c>
      <c r="AH162" s="39" t="s">
        <v>183</v>
      </c>
      <c r="AI162" s="38"/>
      <c r="AJ162" s="38"/>
      <c r="AK162" s="50"/>
      <c r="AL162" s="44"/>
      <c r="AM162" s="39" t="str">
        <f t="shared" ca="1" si="38"/>
        <v>MUERTO</v>
      </c>
      <c r="AN162" s="39"/>
      <c r="AO162" s="39"/>
      <c r="AP162" s="39"/>
      <c r="AQ162" s="39"/>
      <c r="AR162" s="39" t="s">
        <v>924</v>
      </c>
      <c r="AS162" s="39"/>
      <c r="AT162" s="39"/>
      <c r="AU162" s="51"/>
      <c r="AV162" s="50"/>
      <c r="AW162" s="38"/>
      <c r="AX162" s="52"/>
      <c r="AY162" s="173"/>
      <c r="AZ162" s="38"/>
      <c r="BA162" s="38" t="e">
        <f>VLOOKUP(I162,#REF!,2,0)</f>
        <v>#REF!</v>
      </c>
      <c r="BB162" s="71"/>
      <c r="BC162" s="59"/>
      <c r="BD162" s="39"/>
      <c r="BE162" s="39"/>
      <c r="BF162" s="39"/>
      <c r="BG162" s="39"/>
      <c r="BH162" s="59"/>
      <c r="BI162" s="59"/>
      <c r="BJ162" s="59"/>
      <c r="BK162" s="59"/>
      <c r="BL162" s="59"/>
      <c r="BM162" s="59"/>
      <c r="BN162" s="59"/>
      <c r="BO162" s="59"/>
      <c r="BP162" s="59"/>
      <c r="BQ162" s="62"/>
      <c r="BR162" s="6"/>
      <c r="BS162" s="70"/>
      <c r="BT162" s="62" t="s">
        <v>2950</v>
      </c>
      <c r="BU162" s="84"/>
      <c r="BV162" s="84"/>
      <c r="BW162" s="84"/>
      <c r="BX162" s="84"/>
      <c r="BY162" s="84"/>
    </row>
    <row r="163" spans="1:77" ht="135" x14ac:dyDescent="0.25">
      <c r="A163" s="38" t="s">
        <v>2951</v>
      </c>
      <c r="B163" s="39">
        <v>158</v>
      </c>
      <c r="C163" s="38" t="s">
        <v>225</v>
      </c>
      <c r="D163" s="40" t="s">
        <v>2952</v>
      </c>
      <c r="E163" s="567" t="s">
        <v>163</v>
      </c>
      <c r="F163" s="39" t="s">
        <v>188</v>
      </c>
      <c r="G163" s="39" t="s">
        <v>427</v>
      </c>
      <c r="H163" s="567" t="s">
        <v>163</v>
      </c>
      <c r="I163" s="41" t="s">
        <v>1401</v>
      </c>
      <c r="J163" s="41"/>
      <c r="K163" s="41"/>
      <c r="L163" s="41"/>
      <c r="M163" s="42" t="str">
        <f t="shared" si="39"/>
        <v xml:space="preserve">Servicios Broxel, S.A.P.I. de C.V.  </v>
      </c>
      <c r="N163" s="991" t="s">
        <v>370</v>
      </c>
      <c r="O163" s="991" t="s">
        <v>370</v>
      </c>
      <c r="P163" s="991" t="s">
        <v>2953</v>
      </c>
      <c r="Q163" s="992">
        <v>1246000</v>
      </c>
      <c r="R163" s="44">
        <v>0</v>
      </c>
      <c r="S163" s="45">
        <f t="shared" si="36"/>
        <v>1246000</v>
      </c>
      <c r="T163" s="46">
        <v>0</v>
      </c>
      <c r="U163" s="47">
        <f t="shared" si="35"/>
        <v>0</v>
      </c>
      <c r="V163" s="44">
        <f t="shared" si="37"/>
        <v>1246000</v>
      </c>
      <c r="W163" s="993" t="s">
        <v>156</v>
      </c>
      <c r="X163" s="48">
        <v>44183</v>
      </c>
      <c r="Y163" s="39" t="s">
        <v>924</v>
      </c>
      <c r="Z163" s="48">
        <v>44183</v>
      </c>
      <c r="AA163" s="48">
        <v>44196</v>
      </c>
      <c r="AB163" s="38" t="s">
        <v>2050</v>
      </c>
      <c r="AC163" s="38" t="s">
        <v>2954</v>
      </c>
      <c r="AD163" s="59"/>
      <c r="AE163" s="59"/>
      <c r="AF163" s="59"/>
      <c r="AG163" s="59"/>
      <c r="AH163" s="39"/>
      <c r="AI163" s="38"/>
      <c r="AJ163" s="38"/>
      <c r="AK163" s="50"/>
      <c r="AL163" s="44"/>
      <c r="AM163" s="39" t="str">
        <f t="shared" ca="1" si="38"/>
        <v>MUERTO</v>
      </c>
      <c r="AN163" s="39"/>
      <c r="AO163" s="39"/>
      <c r="AP163" s="39"/>
      <c r="AQ163" s="39"/>
      <c r="AR163" s="39" t="s">
        <v>924</v>
      </c>
      <c r="AS163" s="39"/>
      <c r="AT163" s="39"/>
      <c r="AU163" s="51"/>
      <c r="AV163" s="50"/>
      <c r="AW163" s="38"/>
      <c r="AX163" s="52"/>
      <c r="AY163" s="173"/>
      <c r="AZ163" s="38"/>
      <c r="BA163" s="38" t="e">
        <f>VLOOKUP(I163,#REF!,2,0)</f>
        <v>#REF!</v>
      </c>
      <c r="BB163" s="71"/>
      <c r="BC163" s="59"/>
      <c r="BD163" s="39"/>
      <c r="BE163" s="39"/>
      <c r="BF163" s="39"/>
      <c r="BG163" s="39"/>
      <c r="BH163" s="59"/>
      <c r="BI163" s="59"/>
      <c r="BJ163" s="59"/>
      <c r="BK163" s="59"/>
      <c r="BL163" s="59"/>
      <c r="BM163" s="59"/>
      <c r="BN163" s="59"/>
      <c r="BO163" s="59"/>
      <c r="BP163" s="59"/>
      <c r="BQ163" s="62"/>
      <c r="BR163" s="6"/>
      <c r="BS163" s="70"/>
      <c r="BT163" s="59" t="s">
        <v>2955</v>
      </c>
      <c r="BU163" s="84"/>
      <c r="BV163" s="84"/>
      <c r="BW163" s="84"/>
      <c r="BX163" s="84"/>
      <c r="BY163" s="84"/>
    </row>
    <row r="164" spans="1:77" ht="89.25" x14ac:dyDescent="0.25">
      <c r="A164" s="38" t="s">
        <v>2956</v>
      </c>
      <c r="B164" s="39">
        <v>159</v>
      </c>
      <c r="C164" s="38" t="s">
        <v>149</v>
      </c>
      <c r="D164" s="40" t="s">
        <v>2957</v>
      </c>
      <c r="E164" s="567" t="s">
        <v>163</v>
      </c>
      <c r="F164" s="39" t="s">
        <v>237</v>
      </c>
      <c r="G164" s="567" t="s">
        <v>238</v>
      </c>
      <c r="H164" s="567" t="s">
        <v>163</v>
      </c>
      <c r="I164" s="41" t="s">
        <v>2958</v>
      </c>
      <c r="J164" s="41"/>
      <c r="K164" s="41"/>
      <c r="L164" s="41"/>
      <c r="M164" s="42" t="str">
        <f t="shared" si="39"/>
        <v xml:space="preserve">Stagemen, S.A. de C.V.  </v>
      </c>
      <c r="N164" s="991" t="s">
        <v>860</v>
      </c>
      <c r="O164" s="991" t="s">
        <v>861</v>
      </c>
      <c r="P164" s="991" t="s">
        <v>2959</v>
      </c>
      <c r="Q164" s="992">
        <v>475352</v>
      </c>
      <c r="R164" s="44">
        <f t="shared" ref="R164:R171" si="40">Q164*0.16</f>
        <v>76056.320000000007</v>
      </c>
      <c r="S164" s="45">
        <f t="shared" si="36"/>
        <v>551408.32000000007</v>
      </c>
      <c r="T164" s="46">
        <v>0</v>
      </c>
      <c r="U164" s="47">
        <f t="shared" ref="U164:U182" si="41">(T164*0.16)+(T164)</f>
        <v>0</v>
      </c>
      <c r="V164" s="44">
        <f t="shared" si="37"/>
        <v>551408.32000000007</v>
      </c>
      <c r="W164" s="993" t="s">
        <v>156</v>
      </c>
      <c r="X164" s="48">
        <v>44183</v>
      </c>
      <c r="Y164" s="39" t="s">
        <v>924</v>
      </c>
      <c r="Z164" s="48">
        <v>44183</v>
      </c>
      <c r="AA164" s="48">
        <v>44196</v>
      </c>
      <c r="AB164" s="38" t="s">
        <v>2033</v>
      </c>
      <c r="AC164" s="38"/>
      <c r="AD164" s="59">
        <v>44207</v>
      </c>
      <c r="AE164" s="59">
        <v>44207</v>
      </c>
      <c r="AF164" s="59" t="s">
        <v>161</v>
      </c>
      <c r="AG164" s="59" t="s">
        <v>161</v>
      </c>
      <c r="AH164" s="39" t="s">
        <v>183</v>
      </c>
      <c r="AI164" s="38"/>
      <c r="AJ164" s="38"/>
      <c r="AK164" s="50"/>
      <c r="AL164" s="44"/>
      <c r="AM164" s="39" t="str">
        <f t="shared" ca="1" si="38"/>
        <v>MUERTO</v>
      </c>
      <c r="AN164" s="39"/>
      <c r="AO164" s="39"/>
      <c r="AP164" s="39"/>
      <c r="AQ164" s="39"/>
      <c r="AR164" s="39" t="s">
        <v>924</v>
      </c>
      <c r="AS164" s="39"/>
      <c r="AT164" s="39"/>
      <c r="AU164" s="51"/>
      <c r="AV164" s="50"/>
      <c r="AW164" s="38"/>
      <c r="AX164" s="52"/>
      <c r="AY164" s="173"/>
      <c r="AZ164" s="38"/>
      <c r="BA164" s="38" t="e">
        <f>VLOOKUP(I164,#REF!,2,0)</f>
        <v>#REF!</v>
      </c>
      <c r="BB164" s="71"/>
      <c r="BC164" s="59"/>
      <c r="BD164" s="39"/>
      <c r="BE164" s="39"/>
      <c r="BF164" s="39"/>
      <c r="BG164" s="39"/>
      <c r="BH164" s="59"/>
      <c r="BI164" s="59"/>
      <c r="BJ164" s="59"/>
      <c r="BK164" s="59"/>
      <c r="BL164" s="59"/>
      <c r="BM164" s="59"/>
      <c r="BN164" s="59"/>
      <c r="BO164" s="59"/>
      <c r="BP164" s="59"/>
      <c r="BQ164" s="62"/>
      <c r="BR164" s="6"/>
      <c r="BS164" s="70"/>
      <c r="BT164" s="59" t="s">
        <v>2960</v>
      </c>
      <c r="BU164" s="84"/>
      <c r="BV164" s="84"/>
      <c r="BW164" s="84"/>
      <c r="BX164" s="84"/>
      <c r="BY164" s="84"/>
    </row>
    <row r="165" spans="1:77" ht="150" x14ac:dyDescent="0.25">
      <c r="A165" s="38" t="s">
        <v>2961</v>
      </c>
      <c r="B165" s="39">
        <v>160</v>
      </c>
      <c r="C165" s="38" t="s">
        <v>225</v>
      </c>
      <c r="D165" s="40" t="s">
        <v>2818</v>
      </c>
      <c r="E165" s="39" t="s">
        <v>173</v>
      </c>
      <c r="F165" s="39" t="s">
        <v>326</v>
      </c>
      <c r="G165" s="39" t="s">
        <v>173</v>
      </c>
      <c r="H165" s="41"/>
      <c r="I165" s="41" t="s">
        <v>625</v>
      </c>
      <c r="J165" s="41"/>
      <c r="K165" s="41"/>
      <c r="L165" s="41"/>
      <c r="M165" s="42" t="str">
        <f t="shared" si="39"/>
        <v xml:space="preserve">Videoservicios, S.A. de C.V.  </v>
      </c>
      <c r="N165" s="991" t="s">
        <v>860</v>
      </c>
      <c r="O165" s="991" t="s">
        <v>861</v>
      </c>
      <c r="P165" s="991" t="s">
        <v>2962</v>
      </c>
      <c r="Q165" s="992">
        <v>7985087.5</v>
      </c>
      <c r="R165" s="44">
        <f t="shared" si="40"/>
        <v>1277614</v>
      </c>
      <c r="S165" s="45">
        <f t="shared" ref="S165:S183" si="42">Q165+R165</f>
        <v>9262701.5</v>
      </c>
      <c r="T165" s="46">
        <v>0</v>
      </c>
      <c r="U165" s="47">
        <f t="shared" si="41"/>
        <v>0</v>
      </c>
      <c r="V165" s="44">
        <f t="shared" ref="V165:V183" si="43">S165+AL165</f>
        <v>9262701.5</v>
      </c>
      <c r="W165" s="993" t="s">
        <v>183</v>
      </c>
      <c r="X165" s="48">
        <v>44167</v>
      </c>
      <c r="Y165" s="39" t="s">
        <v>924</v>
      </c>
      <c r="Z165" s="48">
        <v>44167</v>
      </c>
      <c r="AA165" s="48">
        <v>44270</v>
      </c>
      <c r="AB165" s="38" t="s">
        <v>2963</v>
      </c>
      <c r="AC165" s="38"/>
      <c r="AD165" s="59">
        <v>44195</v>
      </c>
      <c r="AE165" s="59" t="s">
        <v>161</v>
      </c>
      <c r="AF165" s="59">
        <v>44195</v>
      </c>
      <c r="AG165" s="59" t="s">
        <v>161</v>
      </c>
      <c r="AH165" s="39" t="s">
        <v>183</v>
      </c>
      <c r="AI165" s="38"/>
      <c r="AJ165" s="38"/>
      <c r="AK165" s="50"/>
      <c r="AL165" s="44"/>
      <c r="AM165" s="39" t="str">
        <f t="shared" ref="AM165:AM183" ca="1" si="44">IF(ISBLANK(AA165),"",IF(AA165&gt;=TODAY(),"VIGENTE","MUERTO"))</f>
        <v>MUERTO</v>
      </c>
      <c r="AN165" s="39"/>
      <c r="AO165" s="39"/>
      <c r="AP165" s="39"/>
      <c r="AQ165" s="39"/>
      <c r="AR165" s="39" t="s">
        <v>924</v>
      </c>
      <c r="AS165" s="39"/>
      <c r="AT165" s="39"/>
      <c r="AU165" s="51"/>
      <c r="AV165" s="50"/>
      <c r="AW165" s="38"/>
      <c r="AX165" s="52"/>
      <c r="AY165" s="173"/>
      <c r="AZ165" s="38"/>
      <c r="BA165" s="38" t="e">
        <f>VLOOKUP(I165,#REF!,2,0)</f>
        <v>#REF!</v>
      </c>
      <c r="BB165" s="71"/>
      <c r="BC165" s="59"/>
      <c r="BD165" s="39"/>
      <c r="BE165" s="39"/>
      <c r="BF165" s="39"/>
      <c r="BG165" s="39"/>
      <c r="BH165" s="59"/>
      <c r="BI165" s="59"/>
      <c r="BJ165" s="59"/>
      <c r="BK165" s="59"/>
      <c r="BL165" s="59"/>
      <c r="BM165" s="59"/>
      <c r="BN165" s="59"/>
      <c r="BO165" s="59"/>
      <c r="BP165" s="59"/>
      <c r="BQ165" s="62"/>
      <c r="BR165" s="6"/>
      <c r="BS165" s="70"/>
      <c r="BT165" s="62" t="s">
        <v>2894</v>
      </c>
      <c r="BU165" s="84">
        <v>4008620.68</v>
      </c>
      <c r="BV165" s="84">
        <v>3976466.82</v>
      </c>
      <c r="BW165" s="84"/>
      <c r="BX165" s="84"/>
      <c r="BY165" s="84"/>
    </row>
    <row r="166" spans="1:77" ht="240" x14ac:dyDescent="0.25">
      <c r="A166" s="110" t="s">
        <v>2964</v>
      </c>
      <c r="B166" s="39">
        <v>161</v>
      </c>
      <c r="C166" s="38" t="s">
        <v>225</v>
      </c>
      <c r="D166" s="40" t="s">
        <v>1177</v>
      </c>
      <c r="E166" s="567" t="s">
        <v>163</v>
      </c>
      <c r="F166" s="39" t="s">
        <v>561</v>
      </c>
      <c r="G166" s="567" t="s">
        <v>163</v>
      </c>
      <c r="H166" s="567" t="s">
        <v>163</v>
      </c>
      <c r="I166" s="41" t="s">
        <v>2965</v>
      </c>
      <c r="J166" s="41"/>
      <c r="K166" s="41"/>
      <c r="L166" s="41"/>
      <c r="M166" s="42" t="str">
        <f t="shared" si="39"/>
        <v xml:space="preserve">Eseotres Pharma, S.A.P.I. de C.V.  </v>
      </c>
      <c r="N166" s="991" t="s">
        <v>763</v>
      </c>
      <c r="O166" s="991" t="s">
        <v>763</v>
      </c>
      <c r="P166" s="991" t="s">
        <v>2966</v>
      </c>
      <c r="Q166" s="992">
        <v>1570000</v>
      </c>
      <c r="R166" s="44">
        <f t="shared" si="40"/>
        <v>251200</v>
      </c>
      <c r="S166" s="45">
        <f t="shared" si="42"/>
        <v>1821200</v>
      </c>
      <c r="T166" s="46">
        <v>0</v>
      </c>
      <c r="U166" s="47">
        <f t="shared" si="41"/>
        <v>0</v>
      </c>
      <c r="V166" s="44">
        <f t="shared" si="43"/>
        <v>2276500</v>
      </c>
      <c r="W166" s="993" t="s">
        <v>156</v>
      </c>
      <c r="X166" s="48">
        <v>44187</v>
      </c>
      <c r="Y166" s="39" t="s">
        <v>924</v>
      </c>
      <c r="Z166" s="48">
        <v>44187</v>
      </c>
      <c r="AA166" s="48">
        <v>44196</v>
      </c>
      <c r="AB166" s="38" t="s">
        <v>2050</v>
      </c>
      <c r="AC166" s="38" t="s">
        <v>2967</v>
      </c>
      <c r="AD166" s="59" t="s">
        <v>2547</v>
      </c>
      <c r="AE166" s="59" t="s">
        <v>2547</v>
      </c>
      <c r="AF166" s="59" t="s">
        <v>2547</v>
      </c>
      <c r="AG166" s="59" t="s">
        <v>2547</v>
      </c>
      <c r="AH166" s="39" t="s">
        <v>183</v>
      </c>
      <c r="AI166" s="38" t="s">
        <v>2968</v>
      </c>
      <c r="AJ166" s="38" t="s">
        <v>2969</v>
      </c>
      <c r="AK166" s="50">
        <v>44196</v>
      </c>
      <c r="AL166" s="44">
        <f>392500*1.16</f>
        <v>455299.99999999994</v>
      </c>
      <c r="AM166" s="39" t="str">
        <f t="shared" ca="1" si="44"/>
        <v>MUERTO</v>
      </c>
      <c r="AN166" s="39"/>
      <c r="AO166" s="39"/>
      <c r="AP166" s="39"/>
      <c r="AQ166" s="39"/>
      <c r="AR166" s="39" t="s">
        <v>924</v>
      </c>
      <c r="AS166" s="39"/>
      <c r="AT166" s="39"/>
      <c r="AU166" s="51"/>
      <c r="AV166" s="50"/>
      <c r="AW166" s="38"/>
      <c r="AX166" s="52"/>
      <c r="AY166" s="173"/>
      <c r="AZ166" s="38"/>
      <c r="BA166" s="38" t="e">
        <f>VLOOKUP(I166,#REF!,2,0)</f>
        <v>#REF!</v>
      </c>
      <c r="BB166" s="71"/>
      <c r="BC166" s="59"/>
      <c r="BD166" s="39"/>
      <c r="BE166" s="39"/>
      <c r="BF166" s="39"/>
      <c r="BG166" s="39"/>
      <c r="BH166" s="59"/>
      <c r="BI166" s="59"/>
      <c r="BJ166" s="59"/>
      <c r="BK166" s="59"/>
      <c r="BL166" s="59"/>
      <c r="BM166" s="59"/>
      <c r="BN166" s="59"/>
      <c r="BO166" s="59"/>
      <c r="BP166" s="59"/>
      <c r="BQ166" s="62"/>
      <c r="BR166" s="6"/>
      <c r="BS166" s="70"/>
      <c r="BT166" s="62" t="s">
        <v>2970</v>
      </c>
      <c r="BU166" s="84"/>
      <c r="BV166" s="84"/>
      <c r="BW166" s="84"/>
      <c r="BX166" s="84"/>
      <c r="BY166" s="84"/>
    </row>
    <row r="167" spans="1:77" ht="89.25" x14ac:dyDescent="0.25">
      <c r="A167" s="38" t="s">
        <v>2971</v>
      </c>
      <c r="B167" s="39">
        <v>162</v>
      </c>
      <c r="C167" s="38" t="s">
        <v>225</v>
      </c>
      <c r="D167" s="40" t="s">
        <v>2972</v>
      </c>
      <c r="E167" s="567" t="s">
        <v>163</v>
      </c>
      <c r="F167" s="39" t="s">
        <v>607</v>
      </c>
      <c r="G167" s="567" t="s">
        <v>608</v>
      </c>
      <c r="H167" s="685" t="s">
        <v>546</v>
      </c>
      <c r="I167" s="41" t="s">
        <v>2079</v>
      </c>
      <c r="J167" s="41"/>
      <c r="K167" s="41"/>
      <c r="L167" s="41"/>
      <c r="M167" s="42" t="str">
        <f t="shared" si="39"/>
        <v xml:space="preserve">Unified Networks, S.A. de C.V.  </v>
      </c>
      <c r="N167" s="991" t="s">
        <v>656</v>
      </c>
      <c r="O167" s="991" t="s">
        <v>209</v>
      </c>
      <c r="P167" s="991" t="s">
        <v>2973</v>
      </c>
      <c r="Q167" s="992">
        <v>22411847.16</v>
      </c>
      <c r="R167" s="44">
        <f t="shared" si="40"/>
        <v>3585895.5456000003</v>
      </c>
      <c r="S167" s="45">
        <f t="shared" si="42"/>
        <v>25997742.705600001</v>
      </c>
      <c r="T167" s="46">
        <v>0</v>
      </c>
      <c r="U167" s="47">
        <f t="shared" si="41"/>
        <v>0</v>
      </c>
      <c r="V167" s="44">
        <f t="shared" si="43"/>
        <v>25997742.705600001</v>
      </c>
      <c r="W167" s="993" t="s">
        <v>156</v>
      </c>
      <c r="X167" s="48">
        <v>44187</v>
      </c>
      <c r="Y167" s="39" t="s">
        <v>924</v>
      </c>
      <c r="Z167" s="48">
        <v>44187</v>
      </c>
      <c r="AA167" s="48">
        <v>44196</v>
      </c>
      <c r="AB167" s="38" t="s">
        <v>182</v>
      </c>
      <c r="AC167" s="38"/>
      <c r="AD167" s="59">
        <v>44209</v>
      </c>
      <c r="AE167" s="59" t="s">
        <v>161</v>
      </c>
      <c r="AF167" s="59" t="s">
        <v>161</v>
      </c>
      <c r="AG167" s="59" t="s">
        <v>161</v>
      </c>
      <c r="AH167" s="39" t="s">
        <v>183</v>
      </c>
      <c r="AI167" s="38"/>
      <c r="AJ167" s="38"/>
      <c r="AK167" s="50"/>
      <c r="AL167" s="44"/>
      <c r="AM167" s="39" t="str">
        <f t="shared" ca="1" si="44"/>
        <v>MUERTO</v>
      </c>
      <c r="AN167" s="39"/>
      <c r="AO167" s="39"/>
      <c r="AP167" s="39"/>
      <c r="AQ167" s="39"/>
      <c r="AR167" s="39" t="s">
        <v>924</v>
      </c>
      <c r="AS167" s="39"/>
      <c r="AT167" s="39"/>
      <c r="AU167" s="51"/>
      <c r="AV167" s="50"/>
      <c r="AW167" s="38"/>
      <c r="AX167" s="52"/>
      <c r="AY167" s="173"/>
      <c r="AZ167" s="38"/>
      <c r="BA167" s="38" t="e">
        <f>VLOOKUP(I167,#REF!,2,0)</f>
        <v>#REF!</v>
      </c>
      <c r="BB167" s="71"/>
      <c r="BC167" s="59"/>
      <c r="BD167" s="39"/>
      <c r="BE167" s="39"/>
      <c r="BF167" s="39"/>
      <c r="BG167" s="39"/>
      <c r="BH167" s="59"/>
      <c r="BI167" s="59"/>
      <c r="BJ167" s="59"/>
      <c r="BK167" s="59"/>
      <c r="BL167" s="59"/>
      <c r="BM167" s="59"/>
      <c r="BN167" s="59"/>
      <c r="BO167" s="59"/>
      <c r="BP167" s="59"/>
      <c r="BQ167" s="62"/>
      <c r="BR167" s="6"/>
      <c r="BS167" s="70"/>
      <c r="BT167" s="62" t="s">
        <v>2945</v>
      </c>
      <c r="BU167" s="84"/>
      <c r="BV167" s="84"/>
      <c r="BW167" s="84"/>
      <c r="BX167" s="84"/>
      <c r="BY167" s="84"/>
    </row>
    <row r="168" spans="1:77" ht="63.75" x14ac:dyDescent="0.25">
      <c r="A168" s="38" t="s">
        <v>2974</v>
      </c>
      <c r="B168" s="39">
        <v>163</v>
      </c>
      <c r="C168" s="38" t="s">
        <v>149</v>
      </c>
      <c r="D168" s="40" t="s">
        <v>2975</v>
      </c>
      <c r="E168" s="567" t="s">
        <v>163</v>
      </c>
      <c r="F168" s="39" t="s">
        <v>2099</v>
      </c>
      <c r="G168" s="567" t="s">
        <v>2237</v>
      </c>
      <c r="H168" s="685" t="s">
        <v>546</v>
      </c>
      <c r="I168" s="41" t="s">
        <v>2937</v>
      </c>
      <c r="J168" s="41"/>
      <c r="K168" s="41"/>
      <c r="L168" s="41"/>
      <c r="M168" s="42" t="str">
        <f t="shared" si="39"/>
        <v xml:space="preserve">Scontinuidad Latam, S.A. de C.V.  </v>
      </c>
      <c r="N168" s="991" t="s">
        <v>656</v>
      </c>
      <c r="O168" s="991" t="s">
        <v>209</v>
      </c>
      <c r="P168" s="991" t="s">
        <v>2976</v>
      </c>
      <c r="Q168" s="992">
        <v>31034482.760000002</v>
      </c>
      <c r="R168" s="44">
        <f t="shared" si="40"/>
        <v>4965517.2416000003</v>
      </c>
      <c r="S168" s="45">
        <f t="shared" si="42"/>
        <v>36000000.001600005</v>
      </c>
      <c r="T168" s="46">
        <v>0</v>
      </c>
      <c r="U168" s="47">
        <f t="shared" si="41"/>
        <v>0</v>
      </c>
      <c r="V168" s="44">
        <f t="shared" si="43"/>
        <v>36000000.001600005</v>
      </c>
      <c r="W168" s="993" t="s">
        <v>156</v>
      </c>
      <c r="X168" s="48">
        <v>44188</v>
      </c>
      <c r="Y168" s="39" t="s">
        <v>924</v>
      </c>
      <c r="Z168" s="48">
        <v>44188</v>
      </c>
      <c r="AA168" s="48">
        <v>44561</v>
      </c>
      <c r="AB168" s="38" t="s">
        <v>2033</v>
      </c>
      <c r="AC168" s="38"/>
      <c r="AD168" s="59">
        <v>44195</v>
      </c>
      <c r="AE168" s="59">
        <v>44201</v>
      </c>
      <c r="AF168" s="59" t="s">
        <v>161</v>
      </c>
      <c r="AG168" s="59" t="s">
        <v>161</v>
      </c>
      <c r="AH168" s="39" t="s">
        <v>183</v>
      </c>
      <c r="AI168" s="38"/>
      <c r="AJ168" s="38"/>
      <c r="AK168" s="50"/>
      <c r="AL168" s="44"/>
      <c r="AM168" s="39" t="str">
        <f t="shared" ca="1" si="44"/>
        <v>MUERTO</v>
      </c>
      <c r="AN168" s="39"/>
      <c r="AO168" s="39"/>
      <c r="AP168" s="39"/>
      <c r="AQ168" s="39"/>
      <c r="AR168" s="39" t="s">
        <v>924</v>
      </c>
      <c r="AS168" s="39"/>
      <c r="AT168" s="39"/>
      <c r="AU168" s="51"/>
      <c r="AV168" s="50"/>
      <c r="AW168" s="38"/>
      <c r="AX168" s="52"/>
      <c r="AY168" s="173"/>
      <c r="AZ168" s="38"/>
      <c r="BA168" s="38" t="e">
        <f>VLOOKUP(I168,#REF!,2,0)</f>
        <v>#REF!</v>
      </c>
      <c r="BB168" s="71"/>
      <c r="BC168" s="59"/>
      <c r="BD168" s="39"/>
      <c r="BE168" s="39"/>
      <c r="BF168" s="39"/>
      <c r="BG168" s="39"/>
      <c r="BH168" s="59"/>
      <c r="BI168" s="59"/>
      <c r="BJ168" s="59"/>
      <c r="BK168" s="59"/>
      <c r="BL168" s="59"/>
      <c r="BM168" s="59"/>
      <c r="BN168" s="59"/>
      <c r="BO168" s="59"/>
      <c r="BP168" s="59"/>
      <c r="BQ168" s="62"/>
      <c r="BR168" s="6"/>
      <c r="BS168" s="70"/>
      <c r="BT168" s="62" t="s">
        <v>2875</v>
      </c>
      <c r="BU168" s="84"/>
      <c r="BV168" s="84"/>
      <c r="BW168" s="84"/>
      <c r="BX168" s="84"/>
      <c r="BY168" s="84"/>
    </row>
    <row r="169" spans="1:77" ht="165" x14ac:dyDescent="0.25">
      <c r="A169" s="38" t="s">
        <v>2977</v>
      </c>
      <c r="B169" s="39">
        <v>164</v>
      </c>
      <c r="C169" s="38" t="s">
        <v>149</v>
      </c>
      <c r="D169" s="40" t="s">
        <v>2978</v>
      </c>
      <c r="E169" s="39" t="s">
        <v>173</v>
      </c>
      <c r="F169" s="39" t="s">
        <v>326</v>
      </c>
      <c r="G169" s="39" t="s">
        <v>173</v>
      </c>
      <c r="H169" s="41"/>
      <c r="I169" s="41" t="s">
        <v>2979</v>
      </c>
      <c r="J169" s="41"/>
      <c r="K169" s="41"/>
      <c r="L169" s="41"/>
      <c r="M169" s="42" t="str">
        <f t="shared" si="39"/>
        <v xml:space="preserve">Ingenieros Mafur, S.A. de C.V.  </v>
      </c>
      <c r="N169" s="991" t="s">
        <v>270</v>
      </c>
      <c r="O169" s="991" t="s">
        <v>270</v>
      </c>
      <c r="P169" s="991" t="s">
        <v>2980</v>
      </c>
      <c r="Q169" s="992">
        <v>16637789.210000001</v>
      </c>
      <c r="R169" s="44">
        <f t="shared" si="40"/>
        <v>2662046.2736000004</v>
      </c>
      <c r="S169" s="45">
        <f t="shared" si="42"/>
        <v>19299835.483600002</v>
      </c>
      <c r="T169" s="46">
        <v>0</v>
      </c>
      <c r="U169" s="47">
        <f t="shared" si="41"/>
        <v>0</v>
      </c>
      <c r="V169" s="44">
        <f t="shared" si="43"/>
        <v>19299835.483600002</v>
      </c>
      <c r="W169" s="993" t="s">
        <v>183</v>
      </c>
      <c r="X169" s="48">
        <v>44188</v>
      </c>
      <c r="Y169" s="39" t="s">
        <v>924</v>
      </c>
      <c r="Z169" s="48">
        <v>44188</v>
      </c>
      <c r="AA169" s="48" t="s">
        <v>2981</v>
      </c>
      <c r="AB169" s="38" t="s">
        <v>2982</v>
      </c>
      <c r="AC169" s="38" t="s">
        <v>2983</v>
      </c>
      <c r="AD169" s="59">
        <v>44196</v>
      </c>
      <c r="AE169" s="59">
        <v>44236</v>
      </c>
      <c r="AF169" s="59">
        <v>44196</v>
      </c>
      <c r="AG169" s="59" t="s">
        <v>2653</v>
      </c>
      <c r="AH169" s="39" t="s">
        <v>183</v>
      </c>
      <c r="AI169" s="184" t="s">
        <v>2984</v>
      </c>
      <c r="AJ169" s="38" t="s">
        <v>2985</v>
      </c>
      <c r="AK169" s="50" t="s">
        <v>2986</v>
      </c>
      <c r="AL169" s="44">
        <v>0</v>
      </c>
      <c r="AM169" s="39" t="str">
        <f t="shared" ca="1" si="44"/>
        <v>VIGENTE</v>
      </c>
      <c r="AN169" s="39"/>
      <c r="AO169" s="39"/>
      <c r="AP169" s="39"/>
      <c r="AQ169" s="39"/>
      <c r="AR169" s="39" t="s">
        <v>924</v>
      </c>
      <c r="AS169" s="39"/>
      <c r="AT169" s="39"/>
      <c r="AU169" s="51"/>
      <c r="AV169" s="50"/>
      <c r="AW169" s="38"/>
      <c r="AX169" s="52"/>
      <c r="AY169" s="170" t="s">
        <v>2987</v>
      </c>
      <c r="AZ169" s="38"/>
      <c r="BA169" s="38" t="e">
        <f>VLOOKUP(I169,#REF!,2,0)</f>
        <v>#REF!</v>
      </c>
      <c r="BB169" s="71"/>
      <c r="BC169" s="59"/>
      <c r="BD169" s="39"/>
      <c r="BE169" s="39"/>
      <c r="BF169" s="39"/>
      <c r="BG169" s="39"/>
      <c r="BH169" s="59"/>
      <c r="BI169" s="59"/>
      <c r="BJ169" s="59"/>
      <c r="BK169" s="59"/>
      <c r="BL169" s="59"/>
      <c r="BM169" s="59"/>
      <c r="BN169" s="59"/>
      <c r="BO169" s="59"/>
      <c r="BP169" s="59"/>
      <c r="BQ169" s="62" t="s">
        <v>2988</v>
      </c>
      <c r="BR169" s="6"/>
      <c r="BS169" s="70"/>
      <c r="BT169" s="62" t="s">
        <v>2989</v>
      </c>
      <c r="BU169" s="84">
        <v>4991336.7699999996</v>
      </c>
      <c r="BV169" s="84">
        <v>11646452.449999999</v>
      </c>
      <c r="BW169" s="84"/>
      <c r="BX169" s="84"/>
      <c r="BY169" s="84"/>
    </row>
    <row r="170" spans="1:77" ht="76.5" x14ac:dyDescent="0.25">
      <c r="A170" s="38" t="s">
        <v>2990</v>
      </c>
      <c r="B170" s="39">
        <v>165</v>
      </c>
      <c r="C170" s="38" t="s">
        <v>149</v>
      </c>
      <c r="D170" s="40" t="s">
        <v>2991</v>
      </c>
      <c r="E170" s="567" t="s">
        <v>163</v>
      </c>
      <c r="F170" s="39" t="s">
        <v>568</v>
      </c>
      <c r="G170" s="567" t="s">
        <v>2237</v>
      </c>
      <c r="H170" s="685" t="s">
        <v>546</v>
      </c>
      <c r="I170" s="41" t="s">
        <v>2992</v>
      </c>
      <c r="J170" s="41"/>
      <c r="K170" s="41"/>
      <c r="L170" s="41"/>
      <c r="M170" s="42" t="str">
        <f t="shared" ref="M170:M188" si="45">I170&amp;J170&amp;" "&amp;K170&amp;" "&amp;L170</f>
        <v xml:space="preserve">Corporativo BDG, S.A. de C.V.  </v>
      </c>
      <c r="N170" s="991" t="s">
        <v>190</v>
      </c>
      <c r="O170" s="991" t="s">
        <v>190</v>
      </c>
      <c r="P170" s="991" t="s">
        <v>2993</v>
      </c>
      <c r="Q170" s="992">
        <v>705597.43999999994</v>
      </c>
      <c r="R170" s="44">
        <f t="shared" si="40"/>
        <v>112895.59039999999</v>
      </c>
      <c r="S170" s="45">
        <f t="shared" si="42"/>
        <v>818493.03039999993</v>
      </c>
      <c r="T170" s="46">
        <v>0</v>
      </c>
      <c r="U170" s="47">
        <f t="shared" si="41"/>
        <v>0</v>
      </c>
      <c r="V170" s="44">
        <f t="shared" si="43"/>
        <v>818493.03039999993</v>
      </c>
      <c r="W170" s="993" t="s">
        <v>156</v>
      </c>
      <c r="X170" s="48">
        <v>44193</v>
      </c>
      <c r="Y170" s="39" t="s">
        <v>924</v>
      </c>
      <c r="Z170" s="48">
        <v>44193</v>
      </c>
      <c r="AA170" s="48">
        <v>44196</v>
      </c>
      <c r="AB170" s="38" t="s">
        <v>2050</v>
      </c>
      <c r="AC170" s="38"/>
      <c r="AD170" s="59"/>
      <c r="AE170" s="59"/>
      <c r="AF170" s="59"/>
      <c r="AG170" s="59"/>
      <c r="AH170" s="39"/>
      <c r="AI170" s="38"/>
      <c r="AJ170" s="38"/>
      <c r="AK170" s="50"/>
      <c r="AL170" s="44"/>
      <c r="AM170" s="39" t="str">
        <f t="shared" ca="1" si="44"/>
        <v>MUERTO</v>
      </c>
      <c r="AN170" s="39"/>
      <c r="AO170" s="39"/>
      <c r="AP170" s="39"/>
      <c r="AQ170" s="39"/>
      <c r="AR170" s="39" t="s">
        <v>924</v>
      </c>
      <c r="AS170" s="39"/>
      <c r="AT170" s="39"/>
      <c r="AU170" s="51"/>
      <c r="AV170" s="50"/>
      <c r="AW170" s="38"/>
      <c r="AX170" s="52"/>
      <c r="AY170" s="173"/>
      <c r="AZ170" s="38"/>
      <c r="BA170" s="38" t="e">
        <f>VLOOKUP(I170,#REF!,2,0)</f>
        <v>#REF!</v>
      </c>
      <c r="BB170" s="71"/>
      <c r="BC170" s="59"/>
      <c r="BD170" s="39"/>
      <c r="BE170" s="39"/>
      <c r="BF170" s="39"/>
      <c r="BG170" s="39"/>
      <c r="BH170" s="59"/>
      <c r="BI170" s="59"/>
      <c r="BJ170" s="59"/>
      <c r="BK170" s="59"/>
      <c r="BL170" s="59"/>
      <c r="BM170" s="59"/>
      <c r="BN170" s="59"/>
      <c r="BO170" s="59"/>
      <c r="BP170" s="59"/>
      <c r="BQ170" s="62"/>
      <c r="BR170" s="6"/>
      <c r="BS170" s="70"/>
      <c r="BT170" s="59"/>
      <c r="BU170" s="84"/>
      <c r="BV170" s="84"/>
      <c r="BW170" s="84"/>
      <c r="BX170" s="84"/>
      <c r="BY170" s="84"/>
    </row>
    <row r="171" spans="1:77" ht="60" x14ac:dyDescent="0.25">
      <c r="A171" s="38" t="s">
        <v>2994</v>
      </c>
      <c r="B171" s="39">
        <v>166</v>
      </c>
      <c r="C171" s="38" t="s">
        <v>149</v>
      </c>
      <c r="D171" s="40" t="s">
        <v>2995</v>
      </c>
      <c r="E171" s="39" t="s">
        <v>173</v>
      </c>
      <c r="F171" s="39" t="s">
        <v>326</v>
      </c>
      <c r="G171" s="39" t="s">
        <v>173</v>
      </c>
      <c r="H171" s="41"/>
      <c r="I171" s="41" t="s">
        <v>2079</v>
      </c>
      <c r="J171" s="41"/>
      <c r="K171" s="41"/>
      <c r="L171" s="41"/>
      <c r="M171" s="42" t="str">
        <f t="shared" si="45"/>
        <v xml:space="preserve">Unified Networks, S.A. de C.V.  </v>
      </c>
      <c r="N171" s="991" t="s">
        <v>656</v>
      </c>
      <c r="O171" s="991" t="s">
        <v>209</v>
      </c>
      <c r="P171" s="991" t="s">
        <v>2996</v>
      </c>
      <c r="Q171" s="992">
        <v>7451732.2800000003</v>
      </c>
      <c r="R171" s="44">
        <f t="shared" si="40"/>
        <v>1192277.1648000001</v>
      </c>
      <c r="S171" s="45">
        <f t="shared" si="42"/>
        <v>8644009.4448000006</v>
      </c>
      <c r="T171" s="46">
        <v>0</v>
      </c>
      <c r="U171" s="47">
        <f t="shared" si="41"/>
        <v>0</v>
      </c>
      <c r="V171" s="44">
        <f t="shared" si="43"/>
        <v>8644009.4448000006</v>
      </c>
      <c r="W171" s="993" t="s">
        <v>156</v>
      </c>
      <c r="X171" s="48">
        <v>44194</v>
      </c>
      <c r="Y171" s="109">
        <v>44197</v>
      </c>
      <c r="Z171" s="48">
        <v>44197</v>
      </c>
      <c r="AA171" s="48">
        <v>44561</v>
      </c>
      <c r="AB171" s="38" t="s">
        <v>2033</v>
      </c>
      <c r="AC171" s="38"/>
      <c r="AD171" s="59">
        <v>44209</v>
      </c>
      <c r="AE171" s="59">
        <v>43850</v>
      </c>
      <c r="AF171" s="59" t="s">
        <v>161</v>
      </c>
      <c r="AG171" s="59" t="s">
        <v>161</v>
      </c>
      <c r="AH171" s="39" t="s">
        <v>183</v>
      </c>
      <c r="AI171" s="38"/>
      <c r="AJ171" s="38"/>
      <c r="AK171" s="50"/>
      <c r="AL171" s="44"/>
      <c r="AM171" s="39" t="str">
        <f t="shared" ca="1" si="44"/>
        <v>MUERTO</v>
      </c>
      <c r="AN171" s="39"/>
      <c r="AO171" s="39"/>
      <c r="AP171" s="39"/>
      <c r="AQ171" s="39"/>
      <c r="AR171" s="109">
        <v>44197</v>
      </c>
      <c r="AS171" s="39"/>
      <c r="AT171" s="39"/>
      <c r="AU171" s="51"/>
      <c r="AV171" s="50"/>
      <c r="AW171" s="38"/>
      <c r="AX171" s="52"/>
      <c r="AY171" s="173"/>
      <c r="AZ171" s="38"/>
      <c r="BA171" s="38" t="e">
        <f>VLOOKUP(I171,#REF!,2,0)</f>
        <v>#REF!</v>
      </c>
      <c r="BB171" s="71"/>
      <c r="BC171" s="59"/>
      <c r="BD171" s="39"/>
      <c r="BE171" s="39"/>
      <c r="BF171" s="39"/>
      <c r="BG171" s="39"/>
      <c r="BH171" s="59"/>
      <c r="BI171" s="59"/>
      <c r="BJ171" s="59"/>
      <c r="BK171" s="59"/>
      <c r="BL171" s="59"/>
      <c r="BM171" s="59"/>
      <c r="BN171" s="59"/>
      <c r="BO171" s="59"/>
      <c r="BP171" s="59"/>
      <c r="BQ171" s="62"/>
      <c r="BR171" s="6"/>
      <c r="BS171" s="70"/>
      <c r="BT171" s="62" t="s">
        <v>2945</v>
      </c>
      <c r="BU171" s="84"/>
      <c r="BV171" s="84"/>
      <c r="BW171" s="84"/>
      <c r="BX171" s="84"/>
      <c r="BY171" s="84"/>
    </row>
    <row r="172" spans="1:77" ht="165" x14ac:dyDescent="0.25">
      <c r="A172" s="38" t="s">
        <v>2997</v>
      </c>
      <c r="B172" s="39">
        <v>167</v>
      </c>
      <c r="C172" s="38" t="s">
        <v>149</v>
      </c>
      <c r="D172" s="40" t="s">
        <v>2998</v>
      </c>
      <c r="E172" s="39" t="s">
        <v>151</v>
      </c>
      <c r="F172" s="39" t="s">
        <v>152</v>
      </c>
      <c r="G172" s="39" t="s">
        <v>151</v>
      </c>
      <c r="H172" s="41"/>
      <c r="I172" s="41" t="s">
        <v>1076</v>
      </c>
      <c r="J172" s="41"/>
      <c r="K172" s="41"/>
      <c r="L172" s="41"/>
      <c r="M172" s="42" t="str">
        <f t="shared" si="45"/>
        <v xml:space="preserve">Metlife México, S.A.  </v>
      </c>
      <c r="N172" s="991" t="s">
        <v>270</v>
      </c>
      <c r="O172" s="991" t="s">
        <v>270</v>
      </c>
      <c r="P172" s="991" t="s">
        <v>2999</v>
      </c>
      <c r="Q172" s="992">
        <v>23924486.289999999</v>
      </c>
      <c r="R172" s="44">
        <v>0</v>
      </c>
      <c r="S172" s="45">
        <f t="shared" si="42"/>
        <v>23924486.289999999</v>
      </c>
      <c r="T172" s="46">
        <v>0</v>
      </c>
      <c r="U172" s="47">
        <f t="shared" si="41"/>
        <v>0</v>
      </c>
      <c r="V172" s="44">
        <f t="shared" si="43"/>
        <v>23924486.289999999</v>
      </c>
      <c r="W172" s="993" t="s">
        <v>156</v>
      </c>
      <c r="X172" s="48">
        <v>44193</v>
      </c>
      <c r="Y172" s="109">
        <v>44197</v>
      </c>
      <c r="Z172" s="48">
        <v>44197</v>
      </c>
      <c r="AA172" s="48">
        <v>44561</v>
      </c>
      <c r="AB172" s="38" t="s">
        <v>161</v>
      </c>
      <c r="AC172" s="38"/>
      <c r="AD172" s="59"/>
      <c r="AE172" s="59"/>
      <c r="AF172" s="59"/>
      <c r="AG172" s="59"/>
      <c r="AH172" s="39"/>
      <c r="AI172" s="38"/>
      <c r="AJ172" s="38"/>
      <c r="AK172" s="50"/>
      <c r="AL172" s="44"/>
      <c r="AM172" s="39" t="str">
        <f t="shared" ca="1" si="44"/>
        <v>MUERTO</v>
      </c>
      <c r="AN172" s="39"/>
      <c r="AO172" s="39"/>
      <c r="AP172" s="39"/>
      <c r="AQ172" s="39"/>
      <c r="AR172" s="39" t="s">
        <v>924</v>
      </c>
      <c r="AS172" s="39"/>
      <c r="AT172" s="39"/>
      <c r="AU172" s="51"/>
      <c r="AV172" s="50"/>
      <c r="AW172" s="38"/>
      <c r="AX172" s="52"/>
      <c r="AY172" s="173"/>
      <c r="AZ172" s="38"/>
      <c r="BA172" s="38" t="e">
        <f>VLOOKUP(I172,#REF!,2,0)</f>
        <v>#REF!</v>
      </c>
      <c r="BB172" s="71"/>
      <c r="BC172" s="59"/>
      <c r="BD172" s="39"/>
      <c r="BE172" s="39"/>
      <c r="BF172" s="39"/>
      <c r="BG172" s="39"/>
      <c r="BH172" s="59"/>
      <c r="BI172" s="59"/>
      <c r="BJ172" s="59"/>
      <c r="BK172" s="59"/>
      <c r="BL172" s="59"/>
      <c r="BM172" s="59"/>
      <c r="BN172" s="59"/>
      <c r="BO172" s="59"/>
      <c r="BP172" s="59"/>
      <c r="BQ172" s="62"/>
      <c r="BR172" s="6"/>
      <c r="BS172" s="70"/>
      <c r="BT172" s="62" t="s">
        <v>2318</v>
      </c>
      <c r="BU172" s="84"/>
      <c r="BV172" s="84"/>
      <c r="BW172" s="84"/>
      <c r="BX172" s="84"/>
      <c r="BY172" s="84"/>
    </row>
    <row r="173" spans="1:77" ht="75" x14ac:dyDescent="0.25">
      <c r="A173" s="38" t="s">
        <v>3000</v>
      </c>
      <c r="B173" s="39">
        <v>168</v>
      </c>
      <c r="C173" s="38" t="s">
        <v>149</v>
      </c>
      <c r="D173" s="40" t="s">
        <v>3001</v>
      </c>
      <c r="E173" s="39" t="s">
        <v>151</v>
      </c>
      <c r="F173" s="39" t="s">
        <v>152</v>
      </c>
      <c r="G173" s="39" t="s">
        <v>151</v>
      </c>
      <c r="H173" s="41"/>
      <c r="I173" s="41" t="s">
        <v>1314</v>
      </c>
      <c r="J173" s="41"/>
      <c r="K173" s="41"/>
      <c r="L173" s="41"/>
      <c r="M173" s="42" t="str">
        <f t="shared" si="45"/>
        <v xml:space="preserve">SB Strategies, S.A. de C.V.  </v>
      </c>
      <c r="N173" s="991" t="s">
        <v>656</v>
      </c>
      <c r="O173" s="991" t="s">
        <v>209</v>
      </c>
      <c r="P173" s="991" t="s">
        <v>3002</v>
      </c>
      <c r="Q173" s="992">
        <v>687352.24</v>
      </c>
      <c r="R173" s="44">
        <f t="shared" ref="R173:R184" si="46">Q173*0.16</f>
        <v>109976.3584</v>
      </c>
      <c r="S173" s="45">
        <f t="shared" si="42"/>
        <v>797328.59840000002</v>
      </c>
      <c r="T173" s="46">
        <v>0</v>
      </c>
      <c r="U173" s="47">
        <f t="shared" si="41"/>
        <v>0</v>
      </c>
      <c r="V173" s="44">
        <f t="shared" si="43"/>
        <v>797328.59840000002</v>
      </c>
      <c r="W173" s="993" t="s">
        <v>156</v>
      </c>
      <c r="X173" s="48">
        <v>44193</v>
      </c>
      <c r="Y173" s="109">
        <v>44197</v>
      </c>
      <c r="Z173" s="48">
        <v>44197</v>
      </c>
      <c r="AA173" s="48">
        <v>44561</v>
      </c>
      <c r="AB173" s="38" t="s">
        <v>2033</v>
      </c>
      <c r="AC173" s="38"/>
      <c r="AD173" s="59">
        <v>44207</v>
      </c>
      <c r="AE173" s="59">
        <v>44214</v>
      </c>
      <c r="AF173" s="59" t="s">
        <v>2547</v>
      </c>
      <c r="AG173" s="59" t="s">
        <v>161</v>
      </c>
      <c r="AH173" s="39" t="s">
        <v>183</v>
      </c>
      <c r="AI173" s="38"/>
      <c r="AJ173" s="38"/>
      <c r="AK173" s="50"/>
      <c r="AL173" s="44"/>
      <c r="AM173" s="39" t="str">
        <f t="shared" ca="1" si="44"/>
        <v>MUERTO</v>
      </c>
      <c r="AN173" s="39"/>
      <c r="AO173" s="39"/>
      <c r="AP173" s="39"/>
      <c r="AQ173" s="39"/>
      <c r="AR173" s="39" t="s">
        <v>924</v>
      </c>
      <c r="AS173" s="39"/>
      <c r="AT173" s="39"/>
      <c r="AU173" s="51"/>
      <c r="AV173" s="50"/>
      <c r="AW173" s="38"/>
      <c r="AX173" s="52"/>
      <c r="AY173" s="173"/>
      <c r="AZ173" s="38"/>
      <c r="BA173" s="38" t="e">
        <f>VLOOKUP(I173,#REF!,2,0)</f>
        <v>#REF!</v>
      </c>
      <c r="BB173" s="71"/>
      <c r="BC173" s="59"/>
      <c r="BD173" s="39"/>
      <c r="BE173" s="39"/>
      <c r="BF173" s="39"/>
      <c r="BG173" s="39"/>
      <c r="BH173" s="59"/>
      <c r="BI173" s="59"/>
      <c r="BJ173" s="59"/>
      <c r="BK173" s="59"/>
      <c r="BL173" s="59"/>
      <c r="BM173" s="59"/>
      <c r="BN173" s="59"/>
      <c r="BO173" s="59"/>
      <c r="BP173" s="59"/>
      <c r="BQ173" s="62"/>
      <c r="BR173" s="6"/>
      <c r="BS173" s="70"/>
      <c r="BT173" s="62" t="s">
        <v>2945</v>
      </c>
      <c r="BU173" s="84"/>
      <c r="BV173" s="84"/>
      <c r="BW173" s="84"/>
      <c r="BX173" s="84"/>
      <c r="BY173" s="84"/>
    </row>
    <row r="174" spans="1:77" ht="409.5" x14ac:dyDescent="0.25">
      <c r="A174" s="110" t="s">
        <v>3003</v>
      </c>
      <c r="B174" s="39">
        <v>169</v>
      </c>
      <c r="C174" s="38" t="s">
        <v>149</v>
      </c>
      <c r="D174" s="40" t="s">
        <v>3004</v>
      </c>
      <c r="E174" s="567" t="s">
        <v>163</v>
      </c>
      <c r="F174" s="39" t="s">
        <v>607</v>
      </c>
      <c r="G174" s="567" t="s">
        <v>608</v>
      </c>
      <c r="H174" s="685" t="s">
        <v>546</v>
      </c>
      <c r="I174" s="41" t="s">
        <v>3005</v>
      </c>
      <c r="J174" s="41"/>
      <c r="K174" s="41"/>
      <c r="L174" s="41"/>
      <c r="M174" s="42" t="str">
        <f t="shared" si="45"/>
        <v xml:space="preserve">Comtelsat, S.A. de C.V.  </v>
      </c>
      <c r="N174" s="991" t="s">
        <v>860</v>
      </c>
      <c r="O174" s="991" t="s">
        <v>861</v>
      </c>
      <c r="P174" s="991" t="s">
        <v>3006</v>
      </c>
      <c r="Q174" s="992">
        <v>13047413.6</v>
      </c>
      <c r="R174" s="44">
        <f t="shared" si="46"/>
        <v>2087586.176</v>
      </c>
      <c r="S174" s="45">
        <f t="shared" si="42"/>
        <v>15134999.776000001</v>
      </c>
      <c r="T174" s="46">
        <v>0</v>
      </c>
      <c r="U174" s="47">
        <f t="shared" si="41"/>
        <v>0</v>
      </c>
      <c r="V174" s="44">
        <f t="shared" si="43"/>
        <v>15134999.776000001</v>
      </c>
      <c r="W174" s="993" t="s">
        <v>156</v>
      </c>
      <c r="X174" s="48">
        <v>44196</v>
      </c>
      <c r="Y174" s="109">
        <v>44197</v>
      </c>
      <c r="Z174" s="48">
        <v>44197</v>
      </c>
      <c r="AA174" s="48">
        <v>44561</v>
      </c>
      <c r="AB174" s="38" t="s">
        <v>2033</v>
      </c>
      <c r="AC174" s="38"/>
      <c r="AD174" s="59">
        <v>44209</v>
      </c>
      <c r="AE174" s="59">
        <v>43858</v>
      </c>
      <c r="AF174" s="59" t="s">
        <v>2547</v>
      </c>
      <c r="AG174" s="59" t="s">
        <v>161</v>
      </c>
      <c r="AH174" s="39" t="s">
        <v>183</v>
      </c>
      <c r="AI174" s="38" t="s">
        <v>3007</v>
      </c>
      <c r="AJ174" s="620" t="s">
        <v>3008</v>
      </c>
      <c r="AK174" s="50" t="s">
        <v>3009</v>
      </c>
      <c r="AL174" s="44">
        <v>0</v>
      </c>
      <c r="AM174" s="39" t="str">
        <f t="shared" ca="1" si="44"/>
        <v>MUERTO</v>
      </c>
      <c r="AN174" s="39"/>
      <c r="AO174" s="39"/>
      <c r="AP174" s="39"/>
      <c r="AQ174" s="39"/>
      <c r="AR174" s="39" t="s">
        <v>924</v>
      </c>
      <c r="AS174" s="39"/>
      <c r="AT174" s="39"/>
      <c r="AU174" s="51"/>
      <c r="AV174" s="50"/>
      <c r="AW174" s="38"/>
      <c r="AX174" s="52"/>
      <c r="AY174" s="173"/>
      <c r="AZ174" s="38"/>
      <c r="BA174" s="38" t="e">
        <f>VLOOKUP(I174,#REF!,2,0)</f>
        <v>#REF!</v>
      </c>
      <c r="BB174" s="71"/>
      <c r="BC174" s="59"/>
      <c r="BD174" s="39"/>
      <c r="BE174" s="39"/>
      <c r="BF174" s="39"/>
      <c r="BG174" s="39"/>
      <c r="BH174" s="59"/>
      <c r="BI174" s="59"/>
      <c r="BJ174" s="59"/>
      <c r="BK174" s="59"/>
      <c r="BL174" s="59"/>
      <c r="BM174" s="59"/>
      <c r="BN174" s="59"/>
      <c r="BO174" s="59"/>
      <c r="BP174" s="59"/>
      <c r="BQ174" s="62"/>
      <c r="BR174" s="6"/>
      <c r="BS174" s="70"/>
      <c r="BT174" s="62" t="s">
        <v>3010</v>
      </c>
      <c r="BU174" s="84"/>
      <c r="BV174" s="84"/>
      <c r="BW174" s="84"/>
      <c r="BX174" s="84"/>
      <c r="BY174" s="84"/>
    </row>
    <row r="175" spans="1:77" ht="135" x14ac:dyDescent="0.25">
      <c r="A175" s="38" t="s">
        <v>3011</v>
      </c>
      <c r="B175" s="39">
        <v>170</v>
      </c>
      <c r="C175" s="38" t="s">
        <v>225</v>
      </c>
      <c r="D175" s="40" t="s">
        <v>3012</v>
      </c>
      <c r="E175" s="39" t="s">
        <v>173</v>
      </c>
      <c r="F175" s="39" t="s">
        <v>326</v>
      </c>
      <c r="G175" s="39" t="s">
        <v>173</v>
      </c>
      <c r="H175" s="41"/>
      <c r="I175" s="41" t="s">
        <v>2436</v>
      </c>
      <c r="J175" s="41"/>
      <c r="K175" s="41"/>
      <c r="L175" s="41"/>
      <c r="M175" s="42" t="str">
        <f t="shared" si="45"/>
        <v xml:space="preserve">Teletec de México, S.A.P.I. de C.V.  </v>
      </c>
      <c r="N175" s="991" t="s">
        <v>190</v>
      </c>
      <c r="O175" s="991" t="s">
        <v>190</v>
      </c>
      <c r="P175" s="991" t="s">
        <v>3013</v>
      </c>
      <c r="Q175" s="992">
        <v>3360000</v>
      </c>
      <c r="R175" s="44">
        <f t="shared" si="46"/>
        <v>537600</v>
      </c>
      <c r="S175" s="45">
        <f t="shared" si="42"/>
        <v>3897600</v>
      </c>
      <c r="T175" s="46">
        <v>2990400</v>
      </c>
      <c r="U175" s="47">
        <f t="shared" si="41"/>
        <v>3468864</v>
      </c>
      <c r="V175" s="44">
        <f t="shared" si="43"/>
        <v>3897600</v>
      </c>
      <c r="W175" s="993" t="s">
        <v>156</v>
      </c>
      <c r="X175" s="48">
        <v>44193</v>
      </c>
      <c r="Y175" s="109">
        <v>44197</v>
      </c>
      <c r="Z175" s="48">
        <v>44197</v>
      </c>
      <c r="AA175" s="48">
        <v>44561</v>
      </c>
      <c r="AB175" s="38" t="s">
        <v>2071</v>
      </c>
      <c r="AC175" s="38"/>
      <c r="AD175" s="59">
        <v>44207</v>
      </c>
      <c r="AE175" s="59">
        <v>44216</v>
      </c>
      <c r="AF175" s="59" t="s">
        <v>2547</v>
      </c>
      <c r="AG175" s="59" t="s">
        <v>161</v>
      </c>
      <c r="AH175" s="39" t="s">
        <v>183</v>
      </c>
      <c r="AI175" s="38"/>
      <c r="AJ175" s="38"/>
      <c r="AK175" s="50"/>
      <c r="AL175" s="44"/>
      <c r="AM175" s="39" t="str">
        <f t="shared" ca="1" si="44"/>
        <v>MUERTO</v>
      </c>
      <c r="AN175" s="39"/>
      <c r="AO175" s="39"/>
      <c r="AP175" s="39"/>
      <c r="AQ175" s="39"/>
      <c r="AR175" s="39" t="s">
        <v>924</v>
      </c>
      <c r="AS175" s="39"/>
      <c r="AT175" s="39"/>
      <c r="AU175" s="51"/>
      <c r="AV175" s="50"/>
      <c r="AW175" s="38"/>
      <c r="AX175" s="52"/>
      <c r="AY175" s="173"/>
      <c r="AZ175" s="38"/>
      <c r="BA175" s="38" t="e">
        <f>VLOOKUP(I175,#REF!,2,0)</f>
        <v>#REF!</v>
      </c>
      <c r="BB175" s="71"/>
      <c r="BC175" s="59"/>
      <c r="BD175" s="39"/>
      <c r="BE175" s="39"/>
      <c r="BF175" s="39"/>
      <c r="BG175" s="39"/>
      <c r="BH175" s="59"/>
      <c r="BI175" s="59"/>
      <c r="BJ175" s="59"/>
      <c r="BK175" s="59"/>
      <c r="BL175" s="59"/>
      <c r="BM175" s="59"/>
      <c r="BN175" s="59"/>
      <c r="BO175" s="59"/>
      <c r="BP175" s="59"/>
      <c r="BQ175" s="62"/>
      <c r="BR175" s="6"/>
      <c r="BS175" s="70"/>
      <c r="BT175" s="59" t="s">
        <v>2945</v>
      </c>
      <c r="BU175" s="84"/>
      <c r="BV175" s="84"/>
      <c r="BW175" s="84"/>
      <c r="BX175" s="84"/>
      <c r="BY175" s="84"/>
    </row>
    <row r="176" spans="1:77" ht="60" x14ac:dyDescent="0.25">
      <c r="A176" s="38" t="s">
        <v>3014</v>
      </c>
      <c r="B176" s="39">
        <v>171</v>
      </c>
      <c r="C176" s="38" t="s">
        <v>149</v>
      </c>
      <c r="D176" s="40" t="s">
        <v>2998</v>
      </c>
      <c r="E176" s="39" t="s">
        <v>151</v>
      </c>
      <c r="F176" s="39" t="s">
        <v>152</v>
      </c>
      <c r="G176" s="39" t="s">
        <v>151</v>
      </c>
      <c r="H176" s="41"/>
      <c r="I176" s="41" t="s">
        <v>1129</v>
      </c>
      <c r="J176" s="41"/>
      <c r="K176" s="41"/>
      <c r="L176" s="41"/>
      <c r="M176" s="42" t="str">
        <f t="shared" si="45"/>
        <v xml:space="preserve">Grupo Mexicano de Seguros, S.A. de C.V.  </v>
      </c>
      <c r="N176" s="991" t="s">
        <v>270</v>
      </c>
      <c r="O176" s="991" t="s">
        <v>270</v>
      </c>
      <c r="P176" s="991" t="s">
        <v>3015</v>
      </c>
      <c r="Q176" s="992">
        <v>20728528.550000001</v>
      </c>
      <c r="R176" s="44">
        <f t="shared" si="46"/>
        <v>3316564.568</v>
      </c>
      <c r="S176" s="45">
        <f t="shared" si="42"/>
        <v>24045093.118000001</v>
      </c>
      <c r="T176" s="46">
        <v>0</v>
      </c>
      <c r="U176" s="47">
        <f t="shared" si="41"/>
        <v>0</v>
      </c>
      <c r="V176" s="44">
        <f t="shared" si="43"/>
        <v>24045093.118000001</v>
      </c>
      <c r="W176" s="993" t="s">
        <v>156</v>
      </c>
      <c r="X176" s="48">
        <v>44195</v>
      </c>
      <c r="Y176" s="109">
        <v>44197</v>
      </c>
      <c r="Z176" s="48">
        <v>44197</v>
      </c>
      <c r="AA176" s="48">
        <v>44561</v>
      </c>
      <c r="AB176" s="38" t="s">
        <v>161</v>
      </c>
      <c r="AC176" s="38"/>
      <c r="AD176" s="59"/>
      <c r="AE176" s="59"/>
      <c r="AF176" s="59"/>
      <c r="AG176" s="59"/>
      <c r="AH176" s="39"/>
      <c r="AI176" s="38"/>
      <c r="AJ176" s="38"/>
      <c r="AK176" s="50"/>
      <c r="AL176" s="44"/>
      <c r="AM176" s="39" t="str">
        <f t="shared" ca="1" si="44"/>
        <v>MUERTO</v>
      </c>
      <c r="AN176" s="39"/>
      <c r="AO176" s="39"/>
      <c r="AP176" s="39"/>
      <c r="AQ176" s="39"/>
      <c r="AR176" s="39" t="s">
        <v>924</v>
      </c>
      <c r="AS176" s="39"/>
      <c r="AT176" s="39"/>
      <c r="AU176" s="51"/>
      <c r="AV176" s="50"/>
      <c r="AW176" s="38"/>
      <c r="AX176" s="52"/>
      <c r="AY176" s="173"/>
      <c r="AZ176" s="38"/>
      <c r="BA176" s="38" t="e">
        <f>VLOOKUP(I176,#REF!,2,0)</f>
        <v>#REF!</v>
      </c>
      <c r="BB176" s="71"/>
      <c r="BC176" s="59"/>
      <c r="BD176" s="39"/>
      <c r="BE176" s="39"/>
      <c r="BF176" s="39"/>
      <c r="BG176" s="39"/>
      <c r="BH176" s="59"/>
      <c r="BI176" s="59"/>
      <c r="BJ176" s="59"/>
      <c r="BK176" s="59"/>
      <c r="BL176" s="59"/>
      <c r="BM176" s="59"/>
      <c r="BN176" s="59"/>
      <c r="BO176" s="59"/>
      <c r="BP176" s="59"/>
      <c r="BQ176" s="62"/>
      <c r="BR176" s="6"/>
      <c r="BS176" s="70"/>
      <c r="BT176" s="62" t="s">
        <v>2318</v>
      </c>
      <c r="BU176" s="84"/>
      <c r="BV176" s="84"/>
      <c r="BW176" s="84"/>
      <c r="BX176" s="84"/>
      <c r="BY176" s="84"/>
    </row>
    <row r="177" spans="1:77" ht="225" x14ac:dyDescent="0.25">
      <c r="A177" s="38" t="s">
        <v>3016</v>
      </c>
      <c r="B177" s="39">
        <v>172</v>
      </c>
      <c r="C177" s="38" t="s">
        <v>225</v>
      </c>
      <c r="D177" s="40" t="s">
        <v>2975</v>
      </c>
      <c r="E177" s="567" t="s">
        <v>163</v>
      </c>
      <c r="F177" s="39" t="s">
        <v>568</v>
      </c>
      <c r="G177" s="567" t="s">
        <v>2237</v>
      </c>
      <c r="H177" s="685" t="s">
        <v>546</v>
      </c>
      <c r="I177" s="41" t="s">
        <v>3017</v>
      </c>
      <c r="J177" s="41"/>
      <c r="K177" s="41"/>
      <c r="L177" s="41"/>
      <c r="M177" s="42" t="str">
        <f t="shared" si="45"/>
        <v xml:space="preserve">Magnum Audio Digital, S.A. de C.V.  </v>
      </c>
      <c r="N177" s="991" t="s">
        <v>179</v>
      </c>
      <c r="O177" s="991" t="s">
        <v>179</v>
      </c>
      <c r="P177" s="991" t="s">
        <v>3018</v>
      </c>
      <c r="Q177" s="992">
        <v>5861396.9900000002</v>
      </c>
      <c r="R177" s="44">
        <f t="shared" si="46"/>
        <v>937823.51840000006</v>
      </c>
      <c r="S177" s="45">
        <f t="shared" si="42"/>
        <v>6799220.5084000006</v>
      </c>
      <c r="T177" s="46">
        <v>0</v>
      </c>
      <c r="U177" s="47">
        <f t="shared" si="41"/>
        <v>0</v>
      </c>
      <c r="V177" s="44">
        <f t="shared" si="43"/>
        <v>6799220.5084000006</v>
      </c>
      <c r="W177" s="993" t="s">
        <v>156</v>
      </c>
      <c r="X177" s="48">
        <v>44193</v>
      </c>
      <c r="Y177" s="39" t="s">
        <v>924</v>
      </c>
      <c r="Z177" s="48">
        <v>44193</v>
      </c>
      <c r="AA177" s="48">
        <v>44196</v>
      </c>
      <c r="AB177" s="38" t="s">
        <v>3019</v>
      </c>
      <c r="AC177" s="38" t="s">
        <v>3020</v>
      </c>
      <c r="AD177" s="59" t="s">
        <v>2547</v>
      </c>
      <c r="AE177" s="59" t="s">
        <v>2547</v>
      </c>
      <c r="AF177" s="59" t="s">
        <v>2547</v>
      </c>
      <c r="AG177" s="59" t="s">
        <v>2547</v>
      </c>
      <c r="AH177" s="39" t="s">
        <v>183</v>
      </c>
      <c r="AI177" s="38"/>
      <c r="AJ177" s="38"/>
      <c r="AK177" s="50"/>
      <c r="AL177" s="44"/>
      <c r="AM177" s="39" t="str">
        <f t="shared" ca="1" si="44"/>
        <v>MUERTO</v>
      </c>
      <c r="AN177" s="39"/>
      <c r="AO177" s="39"/>
      <c r="AP177" s="39"/>
      <c r="AQ177" s="39"/>
      <c r="AR177" s="109">
        <v>44197</v>
      </c>
      <c r="AS177" s="39"/>
      <c r="AT177" s="39"/>
      <c r="AU177" s="51"/>
      <c r="AV177" s="50"/>
      <c r="AW177" s="38"/>
      <c r="AX177" s="52"/>
      <c r="AY177" s="173"/>
      <c r="AZ177" s="38"/>
      <c r="BA177" s="38" t="e">
        <f>VLOOKUP(I177,#REF!,2,0)</f>
        <v>#REF!</v>
      </c>
      <c r="BB177" s="71"/>
      <c r="BC177" s="59"/>
      <c r="BD177" s="39"/>
      <c r="BE177" s="39"/>
      <c r="BF177" s="39"/>
      <c r="BG177" s="39"/>
      <c r="BH177" s="59"/>
      <c r="BI177" s="59"/>
      <c r="BJ177" s="59"/>
      <c r="BK177" s="59"/>
      <c r="BL177" s="59"/>
      <c r="BM177" s="59"/>
      <c r="BN177" s="59"/>
      <c r="BO177" s="59"/>
      <c r="BP177" s="59"/>
      <c r="BQ177" s="62"/>
      <c r="BR177" s="6"/>
      <c r="BS177" s="70"/>
      <c r="BT177" s="62" t="s">
        <v>3021</v>
      </c>
      <c r="BU177" s="84"/>
      <c r="BV177" s="84"/>
      <c r="BW177" s="84"/>
      <c r="BX177" s="84"/>
      <c r="BY177" s="84"/>
    </row>
    <row r="178" spans="1:77" ht="105" x14ac:dyDescent="0.25">
      <c r="A178" s="38" t="s">
        <v>3022</v>
      </c>
      <c r="B178" s="39">
        <v>173</v>
      </c>
      <c r="C178" s="38" t="s">
        <v>149</v>
      </c>
      <c r="D178" s="40" t="s">
        <v>2975</v>
      </c>
      <c r="E178" s="567" t="s">
        <v>163</v>
      </c>
      <c r="F178" s="39" t="s">
        <v>568</v>
      </c>
      <c r="G178" s="567" t="s">
        <v>2237</v>
      </c>
      <c r="H178" s="685" t="s">
        <v>546</v>
      </c>
      <c r="I178" s="41" t="s">
        <v>3023</v>
      </c>
      <c r="J178" s="41"/>
      <c r="K178" s="41"/>
      <c r="L178" s="41"/>
      <c r="M178" s="42" t="str">
        <f t="shared" si="45"/>
        <v xml:space="preserve">América en Triunfo, S.A. de C.V.  </v>
      </c>
      <c r="N178" s="991" t="s">
        <v>198</v>
      </c>
      <c r="O178" s="991" t="s">
        <v>198</v>
      </c>
      <c r="P178" s="991" t="s">
        <v>3024</v>
      </c>
      <c r="Q178" s="992">
        <v>6849860</v>
      </c>
      <c r="R178" s="44">
        <f t="shared" si="46"/>
        <v>1095977.6000000001</v>
      </c>
      <c r="S178" s="45">
        <f t="shared" si="42"/>
        <v>7945837.5999999996</v>
      </c>
      <c r="T178" s="46">
        <v>0</v>
      </c>
      <c r="U178" s="47">
        <f t="shared" si="41"/>
        <v>0</v>
      </c>
      <c r="V178" s="44">
        <f t="shared" si="43"/>
        <v>7945837.5999999996</v>
      </c>
      <c r="W178" s="993" t="s">
        <v>183</v>
      </c>
      <c r="X178" s="48">
        <v>44193</v>
      </c>
      <c r="Y178" s="39" t="s">
        <v>924</v>
      </c>
      <c r="Z178" s="48">
        <v>44193</v>
      </c>
      <c r="AA178" s="48">
        <v>44206</v>
      </c>
      <c r="AB178" s="38" t="s">
        <v>2076</v>
      </c>
      <c r="AC178" s="38" t="s">
        <v>3025</v>
      </c>
      <c r="AD178" s="59">
        <v>44232</v>
      </c>
      <c r="AE178" s="59">
        <v>44232</v>
      </c>
      <c r="AF178" s="59" t="s">
        <v>2547</v>
      </c>
      <c r="AG178" s="59" t="s">
        <v>161</v>
      </c>
      <c r="AH178" s="39" t="s">
        <v>183</v>
      </c>
      <c r="AI178" s="38"/>
      <c r="AJ178" s="38"/>
      <c r="AK178" s="50"/>
      <c r="AL178" s="44"/>
      <c r="AM178" s="39" t="str">
        <f t="shared" ca="1" si="44"/>
        <v>MUERTO</v>
      </c>
      <c r="AN178" s="39"/>
      <c r="AO178" s="39"/>
      <c r="AP178" s="39"/>
      <c r="AQ178" s="39"/>
      <c r="AR178" s="39" t="s">
        <v>924</v>
      </c>
      <c r="AS178" s="39"/>
      <c r="AT178" s="39"/>
      <c r="AU178" s="51"/>
      <c r="AV178" s="50"/>
      <c r="AW178" s="38"/>
      <c r="AX178" s="52"/>
      <c r="AY178" s="173"/>
      <c r="AZ178" s="38"/>
      <c r="BA178" s="38" t="e">
        <f>VLOOKUP(I178,#REF!,2,0)</f>
        <v>#REF!</v>
      </c>
      <c r="BB178" s="71"/>
      <c r="BC178" s="59"/>
      <c r="BD178" s="39"/>
      <c r="BE178" s="39"/>
      <c r="BF178" s="39"/>
      <c r="BG178" s="39"/>
      <c r="BH178" s="59"/>
      <c r="BI178" s="59"/>
      <c r="BJ178" s="59"/>
      <c r="BK178" s="59"/>
      <c r="BL178" s="59"/>
      <c r="BM178" s="59"/>
      <c r="BN178" s="59"/>
      <c r="BO178" s="59"/>
      <c r="BP178" s="59"/>
      <c r="BQ178" s="62"/>
      <c r="BR178" s="6"/>
      <c r="BS178" s="70"/>
      <c r="BT178" s="62" t="s">
        <v>3021</v>
      </c>
      <c r="BU178" s="84">
        <v>5479888</v>
      </c>
      <c r="BV178" s="84">
        <v>1369972</v>
      </c>
      <c r="BW178" s="84"/>
      <c r="BX178" s="84"/>
      <c r="BY178" s="84"/>
    </row>
    <row r="179" spans="1:77" ht="89.25" x14ac:dyDescent="0.25">
      <c r="A179" s="38" t="s">
        <v>3026</v>
      </c>
      <c r="B179" s="39">
        <v>174</v>
      </c>
      <c r="C179" s="38" t="s">
        <v>149</v>
      </c>
      <c r="D179" s="40" t="s">
        <v>3027</v>
      </c>
      <c r="E179" s="567" t="s">
        <v>163</v>
      </c>
      <c r="F179" s="39" t="s">
        <v>237</v>
      </c>
      <c r="G179" s="567" t="s">
        <v>238</v>
      </c>
      <c r="H179" s="567" t="s">
        <v>163</v>
      </c>
      <c r="I179" s="41" t="s">
        <v>1509</v>
      </c>
      <c r="J179" s="41"/>
      <c r="K179" s="41"/>
      <c r="L179" s="41"/>
      <c r="M179" s="42" t="str">
        <f t="shared" si="45"/>
        <v xml:space="preserve">A.N.A. Compañía de Seguros, S.A. de C.V.  </v>
      </c>
      <c r="N179" s="991" t="s">
        <v>270</v>
      </c>
      <c r="O179" s="991" t="s">
        <v>270</v>
      </c>
      <c r="P179" s="991" t="s">
        <v>3028</v>
      </c>
      <c r="Q179" s="992">
        <v>726879.83</v>
      </c>
      <c r="R179" s="44">
        <f t="shared" si="46"/>
        <v>116300.77279999999</v>
      </c>
      <c r="S179" s="45">
        <f t="shared" si="42"/>
        <v>843180.60279999999</v>
      </c>
      <c r="T179" s="46">
        <v>0</v>
      </c>
      <c r="U179" s="47">
        <f t="shared" si="41"/>
        <v>0</v>
      </c>
      <c r="V179" s="44">
        <f t="shared" si="43"/>
        <v>843180.60279999999</v>
      </c>
      <c r="W179" s="993" t="s">
        <v>156</v>
      </c>
      <c r="X179" s="48">
        <v>44195</v>
      </c>
      <c r="Y179" s="109">
        <v>44197</v>
      </c>
      <c r="Z179" s="48">
        <v>44197</v>
      </c>
      <c r="AA179" s="48">
        <v>44561</v>
      </c>
      <c r="AB179" s="38" t="s">
        <v>161</v>
      </c>
      <c r="AC179" s="38"/>
      <c r="AD179" s="59"/>
      <c r="AE179" s="59"/>
      <c r="AF179" s="59"/>
      <c r="AG179" s="59"/>
      <c r="AH179" s="39"/>
      <c r="AI179" s="38"/>
      <c r="AJ179" s="38"/>
      <c r="AK179" s="50"/>
      <c r="AL179" s="44"/>
      <c r="AM179" s="39" t="str">
        <f t="shared" ca="1" si="44"/>
        <v>MUERTO</v>
      </c>
      <c r="AN179" s="39"/>
      <c r="AO179" s="39"/>
      <c r="AP179" s="39"/>
      <c r="AQ179" s="39"/>
      <c r="AR179" s="39" t="s">
        <v>924</v>
      </c>
      <c r="AS179" s="39"/>
      <c r="AT179" s="39"/>
      <c r="AU179" s="51"/>
      <c r="AV179" s="50"/>
      <c r="AW179" s="38"/>
      <c r="AX179" s="52"/>
      <c r="AY179" s="173"/>
      <c r="AZ179" s="38"/>
      <c r="BA179" s="38" t="e">
        <f>VLOOKUP(I179,#REF!,2,0)</f>
        <v>#REF!</v>
      </c>
      <c r="BB179" s="71"/>
      <c r="BC179" s="59"/>
      <c r="BD179" s="39"/>
      <c r="BE179" s="39"/>
      <c r="BF179" s="39"/>
      <c r="BG179" s="39"/>
      <c r="BH179" s="59"/>
      <c r="BI179" s="59"/>
      <c r="BJ179" s="59"/>
      <c r="BK179" s="59"/>
      <c r="BL179" s="59"/>
      <c r="BM179" s="59"/>
      <c r="BN179" s="59"/>
      <c r="BO179" s="59"/>
      <c r="BP179" s="59"/>
      <c r="BQ179" s="62"/>
      <c r="BR179" s="6"/>
      <c r="BS179" s="70"/>
      <c r="BT179" s="62" t="s">
        <v>2945</v>
      </c>
      <c r="BU179" s="84"/>
      <c r="BV179" s="84"/>
      <c r="BW179" s="84"/>
      <c r="BX179" s="84"/>
      <c r="BY179" s="84"/>
    </row>
    <row r="180" spans="1:77" ht="135" x14ac:dyDescent="0.25">
      <c r="A180" s="38" t="s">
        <v>3029</v>
      </c>
      <c r="B180" s="39">
        <v>175</v>
      </c>
      <c r="C180" s="38" t="s">
        <v>149</v>
      </c>
      <c r="D180" s="40" t="s">
        <v>3030</v>
      </c>
      <c r="E180" s="39" t="s">
        <v>173</v>
      </c>
      <c r="F180" s="39" t="s">
        <v>326</v>
      </c>
      <c r="G180" s="39" t="s">
        <v>173</v>
      </c>
      <c r="H180" s="41"/>
      <c r="I180" s="41" t="s">
        <v>511</v>
      </c>
      <c r="J180" s="41"/>
      <c r="K180" s="41"/>
      <c r="L180" s="41"/>
      <c r="M180" s="42" t="str">
        <f t="shared" si="45"/>
        <v xml:space="preserve">Cicovisa, S.A. de C.V.  </v>
      </c>
      <c r="N180" s="991" t="s">
        <v>270</v>
      </c>
      <c r="O180" s="991" t="s">
        <v>270</v>
      </c>
      <c r="P180" s="991" t="s">
        <v>3031</v>
      </c>
      <c r="Q180" s="992">
        <v>8315454.0700000003</v>
      </c>
      <c r="R180" s="44">
        <f t="shared" si="46"/>
        <v>1330472.6512</v>
      </c>
      <c r="S180" s="45">
        <f t="shared" si="42"/>
        <v>9645926.7212000005</v>
      </c>
      <c r="T180" s="46">
        <v>3326181.63</v>
      </c>
      <c r="U180" s="47">
        <f t="shared" si="41"/>
        <v>3858370.6908</v>
      </c>
      <c r="V180" s="44">
        <f t="shared" si="43"/>
        <v>9645926.7212000005</v>
      </c>
      <c r="W180" s="993" t="s">
        <v>156</v>
      </c>
      <c r="X180" s="48">
        <v>44196</v>
      </c>
      <c r="Y180" s="109">
        <v>44197</v>
      </c>
      <c r="Z180" s="48">
        <v>44197</v>
      </c>
      <c r="AA180" s="48">
        <v>44561</v>
      </c>
      <c r="AB180" s="38" t="s">
        <v>182</v>
      </c>
      <c r="AC180" s="38"/>
      <c r="AD180" s="59">
        <v>43852</v>
      </c>
      <c r="AE180" s="59" t="s">
        <v>161</v>
      </c>
      <c r="AF180" s="59" t="s">
        <v>161</v>
      </c>
      <c r="AG180" s="59" t="s">
        <v>161</v>
      </c>
      <c r="AH180" s="39" t="s">
        <v>156</v>
      </c>
      <c r="AI180" s="38"/>
      <c r="AJ180" s="38"/>
      <c r="AK180" s="50"/>
      <c r="AL180" s="44"/>
      <c r="AM180" s="39" t="str">
        <f t="shared" ca="1" si="44"/>
        <v>MUERTO</v>
      </c>
      <c r="AN180" s="39"/>
      <c r="AO180" s="39"/>
      <c r="AP180" s="39"/>
      <c r="AQ180" s="39"/>
      <c r="AR180" s="39" t="s">
        <v>924</v>
      </c>
      <c r="AS180" s="39"/>
      <c r="AT180" s="39"/>
      <c r="AU180" s="51"/>
      <c r="AV180" s="50"/>
      <c r="AW180" s="38"/>
      <c r="AX180" s="52"/>
      <c r="AY180" s="173">
        <v>44231</v>
      </c>
      <c r="AZ180" s="38"/>
      <c r="BA180" s="38" t="e">
        <f>VLOOKUP(I180,#REF!,2,0)</f>
        <v>#REF!</v>
      </c>
      <c r="BB180" s="71"/>
      <c r="BC180" s="59"/>
      <c r="BD180" s="39"/>
      <c r="BE180" s="39"/>
      <c r="BF180" s="39"/>
      <c r="BG180" s="39"/>
      <c r="BH180" s="59"/>
      <c r="BI180" s="59"/>
      <c r="BJ180" s="59"/>
      <c r="BK180" s="59"/>
      <c r="BL180" s="59"/>
      <c r="BM180" s="59"/>
      <c r="BN180" s="59"/>
      <c r="BO180" s="59"/>
      <c r="BP180" s="59"/>
      <c r="BQ180" s="62"/>
      <c r="BR180" s="6"/>
      <c r="BS180" s="70"/>
      <c r="BT180" s="62" t="s">
        <v>3032</v>
      </c>
      <c r="BU180" s="84"/>
      <c r="BV180" s="84"/>
      <c r="BW180" s="84"/>
      <c r="BX180" s="84"/>
      <c r="BY180" s="84"/>
    </row>
    <row r="181" spans="1:77" ht="150" x14ac:dyDescent="0.25">
      <c r="A181" s="38" t="s">
        <v>3033</v>
      </c>
      <c r="B181" s="39">
        <v>176</v>
      </c>
      <c r="C181" s="38" t="s">
        <v>149</v>
      </c>
      <c r="D181" s="40" t="s">
        <v>2975</v>
      </c>
      <c r="E181" s="567" t="s">
        <v>163</v>
      </c>
      <c r="F181" s="39" t="s">
        <v>568</v>
      </c>
      <c r="G181" s="567" t="s">
        <v>2237</v>
      </c>
      <c r="H181" s="685" t="s">
        <v>546</v>
      </c>
      <c r="I181" s="41" t="s">
        <v>757</v>
      </c>
      <c r="J181" s="41"/>
      <c r="K181" s="41"/>
      <c r="L181" s="41"/>
      <c r="M181" s="42" t="str">
        <f t="shared" si="45"/>
        <v xml:space="preserve">Teléfonos de México, S.A.B. de C.V.  </v>
      </c>
      <c r="N181" s="991" t="s">
        <v>656</v>
      </c>
      <c r="O181" s="991" t="s">
        <v>209</v>
      </c>
      <c r="P181" s="991" t="s">
        <v>3034</v>
      </c>
      <c r="Q181" s="992">
        <v>16231091.68</v>
      </c>
      <c r="R181" s="44">
        <f t="shared" si="46"/>
        <v>2596974.6688000001</v>
      </c>
      <c r="S181" s="45">
        <f t="shared" si="42"/>
        <v>18828066.3488</v>
      </c>
      <c r="T181" s="46">
        <v>2000000</v>
      </c>
      <c r="U181" s="47">
        <f t="shared" si="41"/>
        <v>2320000</v>
      </c>
      <c r="V181" s="44">
        <f t="shared" si="43"/>
        <v>18828066.3488</v>
      </c>
      <c r="W181" s="993" t="s">
        <v>156</v>
      </c>
      <c r="X181" s="48">
        <v>44196</v>
      </c>
      <c r="Y181" s="109">
        <v>44197</v>
      </c>
      <c r="Z181" s="48">
        <v>44197</v>
      </c>
      <c r="AA181" s="48">
        <v>44561</v>
      </c>
      <c r="AB181" s="38" t="s">
        <v>182</v>
      </c>
      <c r="AC181" s="38"/>
      <c r="AD181" s="59">
        <v>44217</v>
      </c>
      <c r="AE181" s="59" t="s">
        <v>161</v>
      </c>
      <c r="AF181" s="59" t="s">
        <v>161</v>
      </c>
      <c r="AG181" s="59" t="s">
        <v>161</v>
      </c>
      <c r="AH181" s="39" t="s">
        <v>183</v>
      </c>
      <c r="AI181" s="38"/>
      <c r="AJ181" s="38"/>
      <c r="AK181" s="50"/>
      <c r="AL181" s="44"/>
      <c r="AM181" s="39" t="str">
        <f t="shared" ca="1" si="44"/>
        <v>MUERTO</v>
      </c>
      <c r="AN181" s="39"/>
      <c r="AO181" s="39"/>
      <c r="AP181" s="39"/>
      <c r="AQ181" s="39"/>
      <c r="AR181" s="39" t="s">
        <v>924</v>
      </c>
      <c r="AS181" s="39"/>
      <c r="AT181" s="39"/>
      <c r="AU181" s="51"/>
      <c r="AV181" s="50"/>
      <c r="AW181" s="38"/>
      <c r="AX181" s="52"/>
      <c r="AY181" s="173"/>
      <c r="AZ181" s="38"/>
      <c r="BA181" s="38" t="e">
        <f>VLOOKUP(I181,#REF!,2,0)</f>
        <v>#REF!</v>
      </c>
      <c r="BB181" s="71"/>
      <c r="BC181" s="59"/>
      <c r="BD181" s="39"/>
      <c r="BE181" s="39"/>
      <c r="BF181" s="39"/>
      <c r="BG181" s="39"/>
      <c r="BH181" s="59"/>
      <c r="BI181" s="59"/>
      <c r="BJ181" s="59"/>
      <c r="BK181" s="59"/>
      <c r="BL181" s="59"/>
      <c r="BM181" s="59"/>
      <c r="BN181" s="59"/>
      <c r="BO181" s="59"/>
      <c r="BP181" s="59"/>
      <c r="BQ181" s="62"/>
      <c r="BR181" s="6"/>
      <c r="BS181" s="70"/>
      <c r="BT181" s="62" t="s">
        <v>2945</v>
      </c>
      <c r="BU181" s="84"/>
      <c r="BV181" s="84"/>
      <c r="BW181" s="84"/>
      <c r="BX181" s="84"/>
      <c r="BY181" s="84"/>
    </row>
    <row r="182" spans="1:77" ht="60" x14ac:dyDescent="0.25">
      <c r="A182" s="38" t="s">
        <v>3035</v>
      </c>
      <c r="B182" s="39">
        <v>177</v>
      </c>
      <c r="C182" s="38" t="s">
        <v>225</v>
      </c>
      <c r="D182" s="40" t="s">
        <v>3030</v>
      </c>
      <c r="E182" s="39" t="s">
        <v>173</v>
      </c>
      <c r="F182" s="39" t="s">
        <v>326</v>
      </c>
      <c r="G182" s="39" t="s">
        <v>173</v>
      </c>
      <c r="H182" s="41"/>
      <c r="I182" s="41" t="s">
        <v>519</v>
      </c>
      <c r="J182" s="41"/>
      <c r="K182" s="41"/>
      <c r="L182" s="41"/>
      <c r="M182" s="42" t="str">
        <f t="shared" si="45"/>
        <v xml:space="preserve">Cosmopapel, S.A. de C.V.  </v>
      </c>
      <c r="N182" s="991" t="s">
        <v>270</v>
      </c>
      <c r="O182" s="991" t="s">
        <v>270</v>
      </c>
      <c r="P182" s="991" t="s">
        <v>3036</v>
      </c>
      <c r="Q182" s="992">
        <v>1609110.72</v>
      </c>
      <c r="R182" s="44">
        <f t="shared" si="46"/>
        <v>257457.71520000001</v>
      </c>
      <c r="S182" s="45">
        <f t="shared" si="42"/>
        <v>1866568.4351999999</v>
      </c>
      <c r="T182" s="46">
        <v>643644.29</v>
      </c>
      <c r="U182" s="47">
        <f t="shared" si="41"/>
        <v>746627.37640000007</v>
      </c>
      <c r="V182" s="44">
        <f t="shared" si="43"/>
        <v>1866568.4351999999</v>
      </c>
      <c r="W182" s="993" t="s">
        <v>156</v>
      </c>
      <c r="X182" s="48">
        <v>44196</v>
      </c>
      <c r="Y182" s="109">
        <v>44197</v>
      </c>
      <c r="Z182" s="48">
        <v>44197</v>
      </c>
      <c r="AA182" s="48">
        <v>44561</v>
      </c>
      <c r="AB182" s="38" t="s">
        <v>182</v>
      </c>
      <c r="AC182" s="38"/>
      <c r="AD182" s="59" t="s">
        <v>3037</v>
      </c>
      <c r="AE182" s="59" t="s">
        <v>161</v>
      </c>
      <c r="AF182" s="59" t="s">
        <v>161</v>
      </c>
      <c r="AG182" s="59" t="s">
        <v>161</v>
      </c>
      <c r="AH182" s="39" t="s">
        <v>156</v>
      </c>
      <c r="AI182" s="38"/>
      <c r="AJ182" s="38"/>
      <c r="AK182" s="50"/>
      <c r="AL182" s="44"/>
      <c r="AM182" s="39" t="str">
        <f t="shared" ca="1" si="44"/>
        <v>MUERTO</v>
      </c>
      <c r="AN182" s="39"/>
      <c r="AO182" s="39"/>
      <c r="AP182" s="39"/>
      <c r="AQ182" s="39"/>
      <c r="AR182" s="39" t="s">
        <v>924</v>
      </c>
      <c r="AS182" s="39"/>
      <c r="AT182" s="39"/>
      <c r="AU182" s="51"/>
      <c r="AV182" s="50"/>
      <c r="AW182" s="38"/>
      <c r="AX182" s="52"/>
      <c r="AY182" s="173"/>
      <c r="AZ182" s="38"/>
      <c r="BA182" s="38" t="e">
        <f>VLOOKUP(I182,#REF!,2,0)</f>
        <v>#REF!</v>
      </c>
      <c r="BB182" s="71"/>
      <c r="BC182" s="59"/>
      <c r="BD182" s="39"/>
      <c r="BE182" s="39"/>
      <c r="BF182" s="39"/>
      <c r="BG182" s="39"/>
      <c r="BH182" s="59"/>
      <c r="BI182" s="59"/>
      <c r="BJ182" s="59"/>
      <c r="BK182" s="59"/>
      <c r="BL182" s="59"/>
      <c r="BM182" s="59"/>
      <c r="BN182" s="59"/>
      <c r="BO182" s="59"/>
      <c r="BP182" s="59"/>
      <c r="BQ182" s="62"/>
      <c r="BR182" s="6"/>
      <c r="BS182" s="70"/>
      <c r="BT182" s="62" t="s">
        <v>3038</v>
      </c>
      <c r="BU182" s="84"/>
      <c r="BV182" s="84"/>
      <c r="BW182" s="84"/>
      <c r="BX182" s="84"/>
      <c r="BY182" s="84"/>
    </row>
    <row r="183" spans="1:77" ht="120" x14ac:dyDescent="0.25">
      <c r="A183" s="38" t="s">
        <v>3039</v>
      </c>
      <c r="B183" s="39">
        <v>178</v>
      </c>
      <c r="C183" s="38" t="s">
        <v>149</v>
      </c>
      <c r="D183" s="40" t="s">
        <v>2975</v>
      </c>
      <c r="E183" s="567" t="s">
        <v>163</v>
      </c>
      <c r="F183" s="39" t="s">
        <v>568</v>
      </c>
      <c r="G183" s="567" t="s">
        <v>2237</v>
      </c>
      <c r="H183" s="685" t="s">
        <v>546</v>
      </c>
      <c r="I183" s="41" t="s">
        <v>757</v>
      </c>
      <c r="J183" s="41"/>
      <c r="K183" s="41"/>
      <c r="L183" s="41"/>
      <c r="M183" s="42" t="str">
        <f t="shared" si="45"/>
        <v xml:space="preserve">Teléfonos de México, S.A.B. de C.V.  </v>
      </c>
      <c r="N183" s="991" t="s">
        <v>656</v>
      </c>
      <c r="O183" s="991" t="s">
        <v>209</v>
      </c>
      <c r="P183" s="991" t="s">
        <v>3040</v>
      </c>
      <c r="Q183" s="992">
        <v>3017241.38</v>
      </c>
      <c r="R183" s="44">
        <f t="shared" si="46"/>
        <v>482758.62079999998</v>
      </c>
      <c r="S183" s="45">
        <f t="shared" si="42"/>
        <v>3500000.0008</v>
      </c>
      <c r="T183" s="46">
        <v>500000</v>
      </c>
      <c r="U183" s="47">
        <f>(T183*0.16)+(T183)</f>
        <v>580000</v>
      </c>
      <c r="V183" s="44">
        <f t="shared" si="43"/>
        <v>3500000.0008</v>
      </c>
      <c r="W183" s="993" t="s">
        <v>156</v>
      </c>
      <c r="X183" s="48">
        <v>44196</v>
      </c>
      <c r="Y183" s="109">
        <v>44197</v>
      </c>
      <c r="Z183" s="48">
        <v>44197</v>
      </c>
      <c r="AA183" s="48">
        <v>44561</v>
      </c>
      <c r="AB183" s="38" t="s">
        <v>182</v>
      </c>
      <c r="AC183" s="38"/>
      <c r="AD183" s="59">
        <v>44217</v>
      </c>
      <c r="AE183" s="59" t="s">
        <v>161</v>
      </c>
      <c r="AF183" s="59" t="s">
        <v>161</v>
      </c>
      <c r="AG183" s="59" t="s">
        <v>161</v>
      </c>
      <c r="AH183" s="39" t="s">
        <v>183</v>
      </c>
      <c r="AI183" s="38"/>
      <c r="AJ183" s="38"/>
      <c r="AK183" s="50"/>
      <c r="AL183" s="44"/>
      <c r="AM183" s="39" t="str">
        <f t="shared" ca="1" si="44"/>
        <v>MUERTO</v>
      </c>
      <c r="AN183" s="39"/>
      <c r="AO183" s="39"/>
      <c r="AP183" s="39"/>
      <c r="AQ183" s="39"/>
      <c r="AR183" s="39" t="s">
        <v>924</v>
      </c>
      <c r="AS183" s="39"/>
      <c r="AT183" s="39"/>
      <c r="AU183" s="51"/>
      <c r="AV183" s="50"/>
      <c r="AW183" s="38"/>
      <c r="AX183" s="52"/>
      <c r="AY183" s="173">
        <v>44236</v>
      </c>
      <c r="AZ183" s="38"/>
      <c r="BA183" s="38" t="e">
        <f>VLOOKUP(I183,#REF!,2,0)</f>
        <v>#REF!</v>
      </c>
      <c r="BB183" s="71"/>
      <c r="BC183" s="59"/>
      <c r="BD183" s="39"/>
      <c r="BE183" s="39"/>
      <c r="BF183" s="39"/>
      <c r="BG183" s="39"/>
      <c r="BH183" s="59"/>
      <c r="BI183" s="59"/>
      <c r="BJ183" s="59"/>
      <c r="BK183" s="59"/>
      <c r="BL183" s="59"/>
      <c r="BM183" s="59"/>
      <c r="BN183" s="59"/>
      <c r="BO183" s="59"/>
      <c r="BP183" s="59"/>
      <c r="BQ183" s="62"/>
      <c r="BR183" s="6"/>
      <c r="BS183" s="70"/>
      <c r="BT183" s="59" t="s">
        <v>3041</v>
      </c>
      <c r="BU183" s="84"/>
      <c r="BV183" s="84"/>
      <c r="BW183" s="84"/>
      <c r="BX183" s="84"/>
      <c r="BY183" s="84"/>
    </row>
    <row r="184" spans="1:77" ht="285" x14ac:dyDescent="0.25">
      <c r="A184" s="110" t="s">
        <v>3042</v>
      </c>
      <c r="B184" s="39">
        <v>179</v>
      </c>
      <c r="C184" s="38" t="s">
        <v>149</v>
      </c>
      <c r="D184" s="40" t="s">
        <v>1177</v>
      </c>
      <c r="E184" s="567" t="s">
        <v>163</v>
      </c>
      <c r="F184" s="39" t="s">
        <v>1055</v>
      </c>
      <c r="G184" s="567" t="s">
        <v>163</v>
      </c>
      <c r="H184" s="567" t="s">
        <v>163</v>
      </c>
      <c r="I184" s="41" t="s">
        <v>2239</v>
      </c>
      <c r="J184" s="41"/>
      <c r="K184" s="41"/>
      <c r="L184" s="41"/>
      <c r="M184" s="42" t="str">
        <f t="shared" si="45"/>
        <v xml:space="preserve">Desarrolladora de Estacionamientos Privados, S.A. de C.V.  </v>
      </c>
      <c r="N184" s="991" t="s">
        <v>301</v>
      </c>
      <c r="O184" s="991" t="s">
        <v>301</v>
      </c>
      <c r="P184" s="991" t="s">
        <v>3043</v>
      </c>
      <c r="Q184" s="992">
        <v>7241379.3099999996</v>
      </c>
      <c r="R184" s="44">
        <f t="shared" si="46"/>
        <v>1158620.6895999999</v>
      </c>
      <c r="S184" s="45">
        <f t="shared" ref="S184:S193" si="47">Q184+R184</f>
        <v>8399999.9995999988</v>
      </c>
      <c r="T184" s="46">
        <v>2896551.72</v>
      </c>
      <c r="U184" s="47">
        <f>(T184*0.16)+(T184)</f>
        <v>3359999.9952000002</v>
      </c>
      <c r="V184" s="44">
        <f t="shared" ref="V184:V193" si="48">S184+AL184</f>
        <v>8399999.9995999988</v>
      </c>
      <c r="W184" s="993" t="s">
        <v>156</v>
      </c>
      <c r="X184" s="48">
        <v>44196</v>
      </c>
      <c r="Y184" s="109">
        <v>44197</v>
      </c>
      <c r="Z184" s="48">
        <v>44197</v>
      </c>
      <c r="AA184" s="213" t="s">
        <v>3044</v>
      </c>
      <c r="AB184" s="38" t="s">
        <v>2050</v>
      </c>
      <c r="AC184" s="38" t="s">
        <v>3045</v>
      </c>
      <c r="AD184" s="59" t="s">
        <v>161</v>
      </c>
      <c r="AE184" s="59" t="s">
        <v>161</v>
      </c>
      <c r="AF184" s="59" t="s">
        <v>161</v>
      </c>
      <c r="AG184" s="59" t="s">
        <v>161</v>
      </c>
      <c r="AH184" s="39" t="s">
        <v>183</v>
      </c>
      <c r="AI184" s="214" t="s">
        <v>3046</v>
      </c>
      <c r="AJ184" s="38" t="s">
        <v>3047</v>
      </c>
      <c r="AK184" s="50">
        <v>44558</v>
      </c>
      <c r="AL184" s="44">
        <v>0</v>
      </c>
      <c r="AM184" s="39" t="str">
        <f t="shared" ref="AM184:AM193" ca="1" si="49">IF(ISBLANK(AA184),"",IF(AA184&gt;=TODAY(),"VIGENTE","MUERTO"))</f>
        <v>VIGENTE</v>
      </c>
      <c r="AN184" s="39"/>
      <c r="AO184" s="39"/>
      <c r="AP184" s="39"/>
      <c r="AQ184" s="39"/>
      <c r="AR184" s="39" t="s">
        <v>924</v>
      </c>
      <c r="AS184" s="39"/>
      <c r="AT184" s="39"/>
      <c r="AU184" s="51"/>
      <c r="AV184" s="50"/>
      <c r="AW184" s="38"/>
      <c r="AX184" s="52"/>
      <c r="AY184" s="173" t="s">
        <v>3048</v>
      </c>
      <c r="AZ184" s="38" t="s">
        <v>3049</v>
      </c>
      <c r="BA184" s="38" t="e">
        <f>VLOOKUP(I184,#REF!,2,0)</f>
        <v>#REF!</v>
      </c>
      <c r="BB184" s="71"/>
      <c r="BC184" s="59"/>
      <c r="BD184" s="39"/>
      <c r="BE184" s="39"/>
      <c r="BF184" s="39"/>
      <c r="BG184" s="39"/>
      <c r="BH184" s="59"/>
      <c r="BI184" s="59"/>
      <c r="BJ184" s="59"/>
      <c r="BK184" s="59"/>
      <c r="BL184" s="59"/>
      <c r="BM184" s="59"/>
      <c r="BN184" s="59"/>
      <c r="BO184" s="59"/>
      <c r="BP184" s="59"/>
      <c r="BQ184" s="62"/>
      <c r="BR184" s="6"/>
      <c r="BS184" s="70"/>
      <c r="BT184" s="62" t="s">
        <v>3050</v>
      </c>
      <c r="BU184" s="84"/>
      <c r="BV184" s="84"/>
      <c r="BW184" s="84"/>
      <c r="BX184" s="84"/>
      <c r="BY184" s="84"/>
    </row>
    <row r="185" spans="1:77" ht="225" x14ac:dyDescent="0.25">
      <c r="A185" s="110" t="s">
        <v>3051</v>
      </c>
      <c r="B185" s="39">
        <v>180</v>
      </c>
      <c r="C185" s="38" t="s">
        <v>225</v>
      </c>
      <c r="D185" s="40" t="s">
        <v>3052</v>
      </c>
      <c r="E185" s="39" t="s">
        <v>173</v>
      </c>
      <c r="F185" s="39" t="s">
        <v>326</v>
      </c>
      <c r="G185" s="39" t="s">
        <v>173</v>
      </c>
      <c r="H185" s="41"/>
      <c r="I185" s="41" t="s">
        <v>1401</v>
      </c>
      <c r="J185" s="41"/>
      <c r="K185" s="41"/>
      <c r="L185" s="41"/>
      <c r="M185" s="42" t="str">
        <f t="shared" si="45"/>
        <v xml:space="preserve">Servicios Broxel, S.A.P.I. de C.V.  </v>
      </c>
      <c r="N185" s="991" t="s">
        <v>370</v>
      </c>
      <c r="O185" s="991" t="s">
        <v>370</v>
      </c>
      <c r="P185" s="991" t="s">
        <v>371</v>
      </c>
      <c r="Q185" s="992">
        <v>40889195.359999999</v>
      </c>
      <c r="R185" s="44">
        <v>0</v>
      </c>
      <c r="S185" s="45">
        <f t="shared" si="47"/>
        <v>40889195.359999999</v>
      </c>
      <c r="T185" s="46">
        <v>36406318.700000003</v>
      </c>
      <c r="U185" s="47">
        <v>0</v>
      </c>
      <c r="V185" s="44">
        <f t="shared" si="48"/>
        <v>43368755.359999999</v>
      </c>
      <c r="W185" s="993" t="s">
        <v>156</v>
      </c>
      <c r="X185" s="48">
        <v>44196</v>
      </c>
      <c r="Y185" s="109">
        <v>44197</v>
      </c>
      <c r="Z185" s="48">
        <v>44197</v>
      </c>
      <c r="AA185" s="48">
        <v>44561</v>
      </c>
      <c r="AB185" s="38" t="s">
        <v>182</v>
      </c>
      <c r="AC185" s="38"/>
      <c r="AD185" s="59" t="s">
        <v>2653</v>
      </c>
      <c r="AE185" s="59" t="s">
        <v>161</v>
      </c>
      <c r="AF185" s="59" t="s">
        <v>2547</v>
      </c>
      <c r="AG185" s="59" t="s">
        <v>161</v>
      </c>
      <c r="AH185" s="39" t="s">
        <v>156</v>
      </c>
      <c r="AI185" s="38" t="s">
        <v>3053</v>
      </c>
      <c r="AJ185" s="38" t="s">
        <v>3054</v>
      </c>
      <c r="AK185" s="50">
        <v>44536</v>
      </c>
      <c r="AL185" s="44">
        <v>2479560</v>
      </c>
      <c r="AM185" s="39" t="str">
        <f t="shared" ca="1" si="49"/>
        <v>MUERTO</v>
      </c>
      <c r="AN185" s="39">
        <v>15401</v>
      </c>
      <c r="AO185" s="39"/>
      <c r="AP185" s="39"/>
      <c r="AQ185" s="39"/>
      <c r="AR185" s="109">
        <v>44197</v>
      </c>
      <c r="AS185" s="39"/>
      <c r="AT185" s="39"/>
      <c r="AU185" s="51"/>
      <c r="AV185" s="50"/>
      <c r="AW185" s="38"/>
      <c r="AX185" s="52"/>
      <c r="AY185" s="173" t="s">
        <v>3055</v>
      </c>
      <c r="AZ185" s="38" t="s">
        <v>3056</v>
      </c>
      <c r="BA185" s="38" t="e">
        <f>VLOOKUP(I185,#REF!,2,0)</f>
        <v>#REF!</v>
      </c>
      <c r="BB185" s="71"/>
      <c r="BC185" s="59"/>
      <c r="BD185" s="39"/>
      <c r="BE185" s="209" t="s">
        <v>3057</v>
      </c>
      <c r="BF185" s="207"/>
      <c r="BG185" s="207"/>
      <c r="BH185" s="208"/>
      <c r="BI185" s="208"/>
      <c r="BJ185" s="208"/>
      <c r="BK185" s="208"/>
      <c r="BL185" s="208"/>
      <c r="BM185" s="208"/>
      <c r="BN185" s="208"/>
      <c r="BO185" s="208"/>
      <c r="BP185" s="208"/>
      <c r="BQ185" s="62"/>
      <c r="BR185" s="6"/>
      <c r="BS185" s="70"/>
      <c r="BT185" s="62" t="s">
        <v>3058</v>
      </c>
      <c r="BU185" s="84"/>
      <c r="BV185" s="84"/>
      <c r="BW185" s="84"/>
      <c r="BX185" s="84"/>
      <c r="BY185" s="84"/>
    </row>
    <row r="186" spans="1:77" ht="120" x14ac:dyDescent="0.25">
      <c r="A186" s="38" t="s">
        <v>3059</v>
      </c>
      <c r="B186" s="39">
        <v>181</v>
      </c>
      <c r="C186" s="38" t="s">
        <v>225</v>
      </c>
      <c r="D186" s="40" t="s">
        <v>3052</v>
      </c>
      <c r="E186" s="39" t="s">
        <v>173</v>
      </c>
      <c r="F186" s="39" t="s">
        <v>326</v>
      </c>
      <c r="G186" s="39" t="s">
        <v>173</v>
      </c>
      <c r="H186" s="41"/>
      <c r="I186" s="41" t="s">
        <v>719</v>
      </c>
      <c r="J186" s="41"/>
      <c r="K186" s="41"/>
      <c r="L186" s="41"/>
      <c r="M186" s="42" t="str">
        <f t="shared" si="45"/>
        <v xml:space="preserve">Sí Vale México, S.A. de C.V.  </v>
      </c>
      <c r="N186" s="991" t="s">
        <v>370</v>
      </c>
      <c r="O186" s="991" t="s">
        <v>370</v>
      </c>
      <c r="P186" s="991" t="s">
        <v>3060</v>
      </c>
      <c r="Q186" s="992">
        <v>600000</v>
      </c>
      <c r="R186" s="44"/>
      <c r="S186" s="45">
        <f t="shared" si="47"/>
        <v>600000</v>
      </c>
      <c r="T186" s="46">
        <v>100000</v>
      </c>
      <c r="U186" s="47">
        <v>0</v>
      </c>
      <c r="V186" s="44">
        <f t="shared" si="48"/>
        <v>600000</v>
      </c>
      <c r="W186" s="993" t="s">
        <v>156</v>
      </c>
      <c r="X186" s="48">
        <v>44196</v>
      </c>
      <c r="Y186" s="39" t="s">
        <v>157</v>
      </c>
      <c r="Z186" s="48">
        <v>44197</v>
      </c>
      <c r="AA186" s="48">
        <v>44561</v>
      </c>
      <c r="AB186" s="38" t="s">
        <v>182</v>
      </c>
      <c r="AC186" s="38"/>
      <c r="AD186" s="59" t="s">
        <v>2653</v>
      </c>
      <c r="AE186" s="59" t="s">
        <v>161</v>
      </c>
      <c r="AF186" s="59" t="s">
        <v>2547</v>
      </c>
      <c r="AG186" s="59" t="s">
        <v>161</v>
      </c>
      <c r="AH186" s="39" t="s">
        <v>156</v>
      </c>
      <c r="AI186" s="38"/>
      <c r="AJ186" s="38" t="s">
        <v>3061</v>
      </c>
      <c r="AK186" s="50"/>
      <c r="AL186" s="44"/>
      <c r="AM186" s="39" t="str">
        <f t="shared" ca="1" si="49"/>
        <v>MUERTO</v>
      </c>
      <c r="AN186" s="39">
        <v>26103</v>
      </c>
      <c r="AO186" s="39"/>
      <c r="AP186" s="39"/>
      <c r="AQ186" s="39"/>
      <c r="AR186" s="109">
        <v>44197</v>
      </c>
      <c r="AS186" s="39"/>
      <c r="AT186" s="39"/>
      <c r="AU186" s="51"/>
      <c r="AV186" s="50"/>
      <c r="AW186" s="38"/>
      <c r="AX186" s="52"/>
      <c r="AY186" s="173"/>
      <c r="AZ186" s="38"/>
      <c r="BA186" s="38" t="e">
        <f>VLOOKUP(I186,#REF!,2,0)</f>
        <v>#REF!</v>
      </c>
      <c r="BB186" s="71"/>
      <c r="BC186" s="59"/>
      <c r="BD186" s="39"/>
      <c r="BE186" s="39"/>
      <c r="BF186" s="39"/>
      <c r="BG186" s="39"/>
      <c r="BH186" s="59"/>
      <c r="BI186" s="59"/>
      <c r="BJ186" s="59"/>
      <c r="BK186" s="59"/>
      <c r="BL186" s="59"/>
      <c r="BM186" s="59"/>
      <c r="BN186" s="59"/>
      <c r="BO186" s="59"/>
      <c r="BP186" s="59"/>
      <c r="BQ186" s="62"/>
      <c r="BR186" s="6"/>
      <c r="BS186" s="70"/>
      <c r="BT186" s="62" t="s">
        <v>3062</v>
      </c>
      <c r="BU186" s="84"/>
      <c r="BV186" s="84"/>
      <c r="BW186" s="84"/>
      <c r="BX186" s="84"/>
      <c r="BY186" s="84"/>
    </row>
    <row r="187" spans="1:77" ht="120" x14ac:dyDescent="0.25">
      <c r="A187" s="38" t="s">
        <v>3063</v>
      </c>
      <c r="B187" s="39">
        <v>182</v>
      </c>
      <c r="C187" s="38" t="s">
        <v>149</v>
      </c>
      <c r="D187" s="40" t="s">
        <v>3064</v>
      </c>
      <c r="E187" s="567" t="s">
        <v>163</v>
      </c>
      <c r="F187" s="39" t="s">
        <v>188</v>
      </c>
      <c r="G187" s="39" t="s">
        <v>427</v>
      </c>
      <c r="H187" s="567" t="s">
        <v>163</v>
      </c>
      <c r="I187" s="41" t="s">
        <v>3065</v>
      </c>
      <c r="J187" s="41"/>
      <c r="K187" s="41"/>
      <c r="L187" s="41"/>
      <c r="M187" s="42" t="str">
        <f t="shared" si="45"/>
        <v xml:space="preserve">Especialidades Comerciales Reyes, S.A. de C.V.  </v>
      </c>
      <c r="N187" s="991" t="s">
        <v>190</v>
      </c>
      <c r="O187" s="991" t="s">
        <v>190</v>
      </c>
      <c r="P187" s="991" t="s">
        <v>3066</v>
      </c>
      <c r="Q187" s="992">
        <v>7000000</v>
      </c>
      <c r="R187" s="44">
        <f t="shared" ref="R187:R193" si="50">Q187*0.16</f>
        <v>1120000</v>
      </c>
      <c r="S187" s="45">
        <f t="shared" si="47"/>
        <v>8120000</v>
      </c>
      <c r="T187" s="46">
        <v>1400000</v>
      </c>
      <c r="U187" s="47">
        <f t="shared" ref="U187:U193" si="51">(T187*0.16)+(T187)</f>
        <v>1624000</v>
      </c>
      <c r="V187" s="44">
        <f t="shared" si="48"/>
        <v>8120000</v>
      </c>
      <c r="W187" s="993" t="s">
        <v>156</v>
      </c>
      <c r="X187" s="48">
        <v>44196</v>
      </c>
      <c r="Y187" s="109">
        <v>44197</v>
      </c>
      <c r="Z187" s="48">
        <v>44197</v>
      </c>
      <c r="AA187" s="48">
        <v>44561</v>
      </c>
      <c r="AB187" s="38" t="s">
        <v>3067</v>
      </c>
      <c r="AC187" s="38" t="s">
        <v>3068</v>
      </c>
      <c r="AD187" s="59" t="s">
        <v>2653</v>
      </c>
      <c r="AE187" s="59" t="s">
        <v>2653</v>
      </c>
      <c r="AF187" s="59" t="s">
        <v>2547</v>
      </c>
      <c r="AG187" s="59" t="s">
        <v>161</v>
      </c>
      <c r="AH187" s="39" t="s">
        <v>156</v>
      </c>
      <c r="AI187" s="38"/>
      <c r="AJ187" s="38"/>
      <c r="AK187" s="50"/>
      <c r="AL187" s="44"/>
      <c r="AM187" s="39" t="str">
        <f t="shared" ca="1" si="49"/>
        <v>MUERTO</v>
      </c>
      <c r="AN187" s="39"/>
      <c r="AO187" s="39"/>
      <c r="AP187" s="39"/>
      <c r="AQ187" s="39"/>
      <c r="AR187" s="39" t="s">
        <v>924</v>
      </c>
      <c r="AS187" s="39"/>
      <c r="AT187" s="39"/>
      <c r="AU187" s="51"/>
      <c r="AV187" s="50"/>
      <c r="AW187" s="38"/>
      <c r="AX187" s="52"/>
      <c r="AY187" s="173">
        <v>44216</v>
      </c>
      <c r="AZ187" s="38"/>
      <c r="BA187" s="38" t="e">
        <f>VLOOKUP(I187,#REF!,2,0)</f>
        <v>#REF!</v>
      </c>
      <c r="BB187" s="71"/>
      <c r="BC187" s="59"/>
      <c r="BD187" s="39"/>
      <c r="BE187" s="39"/>
      <c r="BF187" s="39"/>
      <c r="BG187" s="39"/>
      <c r="BH187" s="59"/>
      <c r="BI187" s="59"/>
      <c r="BJ187" s="59"/>
      <c r="BK187" s="59"/>
      <c r="BL187" s="59"/>
      <c r="BM187" s="59" t="s">
        <v>2455</v>
      </c>
      <c r="BN187" s="59"/>
      <c r="BO187" s="59"/>
      <c r="BP187" s="59"/>
      <c r="BQ187" s="62"/>
      <c r="BR187" s="6"/>
      <c r="BS187" s="70"/>
      <c r="BT187" s="62" t="s">
        <v>3069</v>
      </c>
      <c r="BU187" s="84"/>
      <c r="BV187" s="84"/>
      <c r="BW187" s="84"/>
      <c r="BX187" s="84"/>
      <c r="BY187" s="84"/>
    </row>
    <row r="188" spans="1:77" ht="45" x14ac:dyDescent="0.25">
      <c r="A188" s="38" t="s">
        <v>3070</v>
      </c>
      <c r="B188" s="39">
        <v>183</v>
      </c>
      <c r="C188" s="38" t="s">
        <v>225</v>
      </c>
      <c r="D188" s="40" t="s">
        <v>3030</v>
      </c>
      <c r="E188" s="39" t="s">
        <v>173</v>
      </c>
      <c r="F188" s="39" t="s">
        <v>326</v>
      </c>
      <c r="G188" s="39" t="s">
        <v>173</v>
      </c>
      <c r="H188" s="41"/>
      <c r="I188" s="41" t="s">
        <v>522</v>
      </c>
      <c r="J188" s="41"/>
      <c r="K188" s="41"/>
      <c r="L188" s="41"/>
      <c r="M188" s="42" t="str">
        <f t="shared" si="45"/>
        <v xml:space="preserve">Papelera Anzures, S.A. de C.V.  </v>
      </c>
      <c r="N188" s="991" t="s">
        <v>270</v>
      </c>
      <c r="O188" s="991" t="s">
        <v>270</v>
      </c>
      <c r="P188" s="991" t="s">
        <v>3071</v>
      </c>
      <c r="Q188" s="992">
        <v>2832305.19</v>
      </c>
      <c r="R188" s="44">
        <f t="shared" si="50"/>
        <v>453168.83039999998</v>
      </c>
      <c r="S188" s="45">
        <f t="shared" si="47"/>
        <v>3285474.0203999998</v>
      </c>
      <c r="T188" s="46">
        <v>1132922.07</v>
      </c>
      <c r="U188" s="47">
        <f t="shared" si="51"/>
        <v>1314189.6012000002</v>
      </c>
      <c r="V188" s="44">
        <f t="shared" si="48"/>
        <v>3285474.0203999998</v>
      </c>
      <c r="W188" s="993" t="s">
        <v>156</v>
      </c>
      <c r="X188" s="48">
        <v>44196</v>
      </c>
      <c r="Y188" s="39" t="s">
        <v>157</v>
      </c>
      <c r="Z188" s="48">
        <v>44197</v>
      </c>
      <c r="AA188" s="48">
        <v>44561</v>
      </c>
      <c r="AB188" s="38" t="s">
        <v>182</v>
      </c>
      <c r="AC188" s="38"/>
      <c r="AD188" s="59">
        <v>43850</v>
      </c>
      <c r="AE188" s="59" t="s">
        <v>161</v>
      </c>
      <c r="AF188" s="59" t="s">
        <v>2547</v>
      </c>
      <c r="AG188" s="59" t="s">
        <v>161</v>
      </c>
      <c r="AH188" s="39" t="s">
        <v>183</v>
      </c>
      <c r="AI188" s="38"/>
      <c r="AJ188" s="38"/>
      <c r="AK188" s="50"/>
      <c r="AL188" s="44"/>
      <c r="AM188" s="39" t="str">
        <f t="shared" ca="1" si="49"/>
        <v>MUERTO</v>
      </c>
      <c r="AN188" s="39"/>
      <c r="AO188" s="39"/>
      <c r="AP188" s="39"/>
      <c r="AQ188" s="39"/>
      <c r="AR188" s="109">
        <v>44197</v>
      </c>
      <c r="AS188" s="39"/>
      <c r="AT188" s="39"/>
      <c r="AU188" s="51"/>
      <c r="AV188" s="50"/>
      <c r="AW188" s="38"/>
      <c r="AX188" s="52"/>
      <c r="AY188" s="173"/>
      <c r="AZ188" s="38"/>
      <c r="BA188" s="38" t="e">
        <f>VLOOKUP(I188,#REF!,2,0)</f>
        <v>#REF!</v>
      </c>
      <c r="BB188" s="71"/>
      <c r="BC188" s="59"/>
      <c r="BD188" s="39"/>
      <c r="BE188" s="39"/>
      <c r="BF188" s="39"/>
      <c r="BG188" s="39"/>
      <c r="BH188" s="59"/>
      <c r="BI188" s="59"/>
      <c r="BJ188" s="59"/>
      <c r="BK188" s="59"/>
      <c r="BL188" s="59"/>
      <c r="BM188" s="59"/>
      <c r="BN188" s="59"/>
      <c r="BO188" s="59"/>
      <c r="BP188" s="59"/>
      <c r="BQ188" s="62"/>
      <c r="BR188" s="6"/>
      <c r="BS188" s="70"/>
      <c r="BT188" s="62" t="s">
        <v>3072</v>
      </c>
      <c r="BU188" s="84"/>
      <c r="BV188" s="84"/>
      <c r="BW188" s="84"/>
      <c r="BX188" s="84"/>
      <c r="BY188" s="84"/>
    </row>
    <row r="189" spans="1:77" ht="135" x14ac:dyDescent="0.25">
      <c r="A189" s="38" t="s">
        <v>3073</v>
      </c>
      <c r="B189" s="39">
        <v>184</v>
      </c>
      <c r="C189" s="38" t="s">
        <v>149</v>
      </c>
      <c r="D189" s="40" t="s">
        <v>2975</v>
      </c>
      <c r="E189" s="567" t="s">
        <v>163</v>
      </c>
      <c r="F189" s="39" t="s">
        <v>568</v>
      </c>
      <c r="G189" s="567" t="s">
        <v>2237</v>
      </c>
      <c r="H189" s="685" t="s">
        <v>546</v>
      </c>
      <c r="I189" s="41" t="s">
        <v>1008</v>
      </c>
      <c r="J189" s="41"/>
      <c r="K189" s="41"/>
      <c r="L189" s="41"/>
      <c r="M189" s="42" t="str">
        <f>I189&amp;J189&amp;" "&amp;K189&amp;" "&amp;L189</f>
        <v xml:space="preserve">Dhimex Ciudad de México, S.A. de C.V.  </v>
      </c>
      <c r="N189" s="991" t="s">
        <v>198</v>
      </c>
      <c r="O189" s="991" t="s">
        <v>198</v>
      </c>
      <c r="P189" s="991" t="s">
        <v>3074</v>
      </c>
      <c r="Q189" s="992">
        <v>2109142.4700000002</v>
      </c>
      <c r="R189" s="44">
        <f t="shared" si="50"/>
        <v>337462.79520000005</v>
      </c>
      <c r="S189" s="45">
        <f t="shared" si="47"/>
        <v>2446605.2652000003</v>
      </c>
      <c r="T189" s="46">
        <v>1227139.2</v>
      </c>
      <c r="U189" s="47">
        <f t="shared" si="51"/>
        <v>1423481.4720000001</v>
      </c>
      <c r="V189" s="44">
        <f t="shared" si="48"/>
        <v>2446605.2652000003</v>
      </c>
      <c r="W189" s="993" t="s">
        <v>156</v>
      </c>
      <c r="X189" s="48">
        <v>44196</v>
      </c>
      <c r="Y189" s="109">
        <v>44197</v>
      </c>
      <c r="Z189" s="48">
        <v>44197</v>
      </c>
      <c r="AA189" s="48">
        <v>44561</v>
      </c>
      <c r="AB189" s="38" t="s">
        <v>3075</v>
      </c>
      <c r="AC189" s="38" t="s">
        <v>3068</v>
      </c>
      <c r="AD189" s="59" t="s">
        <v>3076</v>
      </c>
      <c r="AE189" s="59">
        <v>44224</v>
      </c>
      <c r="AF189" s="59" t="s">
        <v>2547</v>
      </c>
      <c r="AG189" s="59" t="s">
        <v>161</v>
      </c>
      <c r="AH189" s="39" t="s">
        <v>156</v>
      </c>
      <c r="AI189" s="38"/>
      <c r="AJ189" s="38"/>
      <c r="AK189" s="50"/>
      <c r="AL189" s="44"/>
      <c r="AM189" s="39" t="str">
        <f t="shared" ca="1" si="49"/>
        <v>MUERTO</v>
      </c>
      <c r="AN189" s="39"/>
      <c r="AO189" s="39"/>
      <c r="AP189" s="39"/>
      <c r="AQ189" s="39"/>
      <c r="AR189" s="39" t="s">
        <v>924</v>
      </c>
      <c r="AS189" s="39"/>
      <c r="AT189" s="39"/>
      <c r="AU189" s="51"/>
      <c r="AV189" s="50"/>
      <c r="AW189" s="38"/>
      <c r="AX189" s="52"/>
      <c r="AY189" s="173"/>
      <c r="AZ189" s="38"/>
      <c r="BA189" s="38" t="e">
        <f>VLOOKUP(I189,#REF!,2,0)</f>
        <v>#REF!</v>
      </c>
      <c r="BB189" s="71"/>
      <c r="BC189" s="59"/>
      <c r="BD189" s="39"/>
      <c r="BE189" s="39"/>
      <c r="BF189" s="39"/>
      <c r="BG189" s="39"/>
      <c r="BH189" s="59"/>
      <c r="BI189" s="59"/>
      <c r="BJ189" s="59"/>
      <c r="BK189" s="59"/>
      <c r="BL189" s="59"/>
      <c r="BM189" s="59"/>
      <c r="BN189" s="59"/>
      <c r="BO189" s="59"/>
      <c r="BP189" s="59"/>
      <c r="BQ189" s="62"/>
      <c r="BR189" s="6"/>
      <c r="BS189" s="70"/>
      <c r="BT189" s="62" t="s">
        <v>3077</v>
      </c>
      <c r="BU189" s="84"/>
      <c r="BV189" s="84"/>
      <c r="BW189" s="84"/>
      <c r="BX189" s="84"/>
      <c r="BY189" s="84"/>
    </row>
    <row r="190" spans="1:77" ht="180" x14ac:dyDescent="0.25">
      <c r="A190" s="38" t="s">
        <v>3078</v>
      </c>
      <c r="B190" s="39">
        <v>185</v>
      </c>
      <c r="C190" s="38" t="s">
        <v>149</v>
      </c>
      <c r="D190" s="40" t="s">
        <v>2975</v>
      </c>
      <c r="E190" s="567" t="s">
        <v>163</v>
      </c>
      <c r="F190" s="39" t="s">
        <v>568</v>
      </c>
      <c r="G190" s="567" t="s">
        <v>2237</v>
      </c>
      <c r="H190" s="685" t="s">
        <v>546</v>
      </c>
      <c r="I190" s="41" t="s">
        <v>1008</v>
      </c>
      <c r="J190" s="41"/>
      <c r="K190" s="41"/>
      <c r="L190" s="41"/>
      <c r="M190" s="42" t="str">
        <f>I190&amp;J190&amp;" "&amp;K190&amp;" "&amp;L190</f>
        <v xml:space="preserve">Dhimex Ciudad de México, S.A. de C.V.  </v>
      </c>
      <c r="N190" s="991" t="s">
        <v>198</v>
      </c>
      <c r="O190" s="991" t="s">
        <v>198</v>
      </c>
      <c r="P190" s="991" t="s">
        <v>3079</v>
      </c>
      <c r="Q190" s="992">
        <v>2772346.5</v>
      </c>
      <c r="R190" s="44">
        <f t="shared" si="50"/>
        <v>443575.44</v>
      </c>
      <c r="S190" s="45">
        <f t="shared" si="47"/>
        <v>3215921.94</v>
      </c>
      <c r="T190" s="46">
        <v>2292098.7599999998</v>
      </c>
      <c r="U190" s="47">
        <f t="shared" si="51"/>
        <v>2658834.5615999997</v>
      </c>
      <c r="V190" s="44">
        <f t="shared" si="48"/>
        <v>3215921.94</v>
      </c>
      <c r="W190" s="993" t="s">
        <v>156</v>
      </c>
      <c r="X190" s="48">
        <v>44196</v>
      </c>
      <c r="Y190" s="109">
        <v>44197</v>
      </c>
      <c r="Z190" s="48">
        <v>44197</v>
      </c>
      <c r="AA190" s="48">
        <v>44561</v>
      </c>
      <c r="AB190" s="38" t="s">
        <v>3075</v>
      </c>
      <c r="AC190" s="38" t="s">
        <v>3068</v>
      </c>
      <c r="AD190" s="59">
        <v>44243</v>
      </c>
      <c r="AE190" s="59">
        <v>44242</v>
      </c>
      <c r="AF190" s="59" t="s">
        <v>2547</v>
      </c>
      <c r="AG190" s="59" t="s">
        <v>161</v>
      </c>
      <c r="AH190" s="39" t="s">
        <v>156</v>
      </c>
      <c r="AI190" s="38"/>
      <c r="AJ190" s="38"/>
      <c r="AK190" s="50"/>
      <c r="AL190" s="44"/>
      <c r="AM190" s="39" t="str">
        <f t="shared" ca="1" si="49"/>
        <v>MUERTO</v>
      </c>
      <c r="AN190" s="39"/>
      <c r="AO190" s="39"/>
      <c r="AP190" s="39"/>
      <c r="AQ190" s="39"/>
      <c r="AR190" s="39" t="s">
        <v>924</v>
      </c>
      <c r="AS190" s="39"/>
      <c r="AT190" s="39"/>
      <c r="AU190" s="51"/>
      <c r="AV190" s="50"/>
      <c r="AW190" s="38"/>
      <c r="AX190" s="52"/>
      <c r="AY190" s="173"/>
      <c r="AZ190" s="38"/>
      <c r="BA190" s="38" t="e">
        <f>VLOOKUP(I190,#REF!,2,0)</f>
        <v>#REF!</v>
      </c>
      <c r="BB190" s="71"/>
      <c r="BC190" s="59"/>
      <c r="BD190" s="39"/>
      <c r="BE190" s="39"/>
      <c r="BF190" s="39"/>
      <c r="BG190" s="39"/>
      <c r="BH190" s="59"/>
      <c r="BI190" s="59"/>
      <c r="BJ190" s="59"/>
      <c r="BK190" s="59"/>
      <c r="BL190" s="59"/>
      <c r="BM190" s="59"/>
      <c r="BN190" s="59"/>
      <c r="BO190" s="59"/>
      <c r="BP190" s="59"/>
      <c r="BQ190" s="62"/>
      <c r="BR190" s="6"/>
      <c r="BS190" s="70"/>
      <c r="BT190" s="59" t="s">
        <v>3080</v>
      </c>
      <c r="BU190" s="84"/>
      <c r="BV190" s="84"/>
      <c r="BW190" s="84"/>
      <c r="BX190" s="84"/>
      <c r="BY190" s="84"/>
    </row>
    <row r="191" spans="1:77" ht="120" x14ac:dyDescent="0.25">
      <c r="A191" s="38" t="s">
        <v>3081</v>
      </c>
      <c r="B191" s="39">
        <v>186</v>
      </c>
      <c r="C191" s="38" t="s">
        <v>149</v>
      </c>
      <c r="D191" s="40" t="s">
        <v>2975</v>
      </c>
      <c r="E191" s="567" t="s">
        <v>163</v>
      </c>
      <c r="F191" s="39" t="s">
        <v>312</v>
      </c>
      <c r="G191" s="567" t="s">
        <v>2237</v>
      </c>
      <c r="H191" s="685" t="s">
        <v>546</v>
      </c>
      <c r="I191" s="41" t="s">
        <v>2449</v>
      </c>
      <c r="J191" s="41"/>
      <c r="K191" s="41"/>
      <c r="L191" s="41"/>
      <c r="M191" s="42" t="str">
        <f>I191&amp;J191&amp;" "&amp;K191&amp;" "&amp;L191</f>
        <v xml:space="preserve">Johnson Controls BE Operations México, S. de R.L. de C.V.  </v>
      </c>
      <c r="N191" s="991" t="s">
        <v>198</v>
      </c>
      <c r="O191" s="991" t="s">
        <v>198</v>
      </c>
      <c r="P191" s="991" t="s">
        <v>3082</v>
      </c>
      <c r="Q191" s="992">
        <v>7500000</v>
      </c>
      <c r="R191" s="44">
        <f t="shared" si="50"/>
        <v>1200000</v>
      </c>
      <c r="S191" s="45">
        <f t="shared" si="47"/>
        <v>8700000</v>
      </c>
      <c r="T191" s="46">
        <v>5874299.2999999998</v>
      </c>
      <c r="U191" s="47">
        <f t="shared" si="51"/>
        <v>6814187.1880000001</v>
      </c>
      <c r="V191" s="44">
        <f t="shared" si="48"/>
        <v>8700000</v>
      </c>
      <c r="W191" s="993" t="s">
        <v>156</v>
      </c>
      <c r="X191" s="48">
        <v>44196</v>
      </c>
      <c r="Y191" s="109">
        <v>44197</v>
      </c>
      <c r="Z191" s="48">
        <v>44197</v>
      </c>
      <c r="AA191" s="48">
        <v>44561</v>
      </c>
      <c r="AB191" s="38" t="s">
        <v>3075</v>
      </c>
      <c r="AC191" s="38" t="s">
        <v>3068</v>
      </c>
      <c r="AD191" s="59" t="s">
        <v>2653</v>
      </c>
      <c r="AE191" s="59" t="s">
        <v>2653</v>
      </c>
      <c r="AF191" s="59" t="s">
        <v>2547</v>
      </c>
      <c r="AG191" s="59">
        <v>44539</v>
      </c>
      <c r="AH191" s="39" t="s">
        <v>156</v>
      </c>
      <c r="AI191" s="200" t="s">
        <v>1118</v>
      </c>
      <c r="AJ191" s="38"/>
      <c r="AK191" s="50"/>
      <c r="AL191" s="44"/>
      <c r="AM191" s="39" t="str">
        <f t="shared" ca="1" si="49"/>
        <v>MUERTO</v>
      </c>
      <c r="AN191" s="39">
        <v>35201</v>
      </c>
      <c r="AO191" s="39"/>
      <c r="AP191" s="39"/>
      <c r="AQ191" s="39"/>
      <c r="AR191" s="39" t="s">
        <v>924</v>
      </c>
      <c r="AS191" s="39"/>
      <c r="AT191" s="39"/>
      <c r="AU191" s="51"/>
      <c r="AV191" s="50"/>
      <c r="AW191" s="38"/>
      <c r="AX191" s="52"/>
      <c r="AY191" s="173">
        <v>44240</v>
      </c>
      <c r="AZ191" s="38"/>
      <c r="BA191" s="38" t="e">
        <f>VLOOKUP(I191,#REF!,2,0)</f>
        <v>#REF!</v>
      </c>
      <c r="BB191" s="71"/>
      <c r="BC191" s="59"/>
      <c r="BD191" s="39"/>
      <c r="BE191" s="39"/>
      <c r="BF191" s="39"/>
      <c r="BG191" s="39"/>
      <c r="BH191" s="59"/>
      <c r="BI191" s="59"/>
      <c r="BJ191" s="59"/>
      <c r="BK191" s="59"/>
      <c r="BL191" s="59"/>
      <c r="BM191" s="59" t="s">
        <v>2455</v>
      </c>
      <c r="BN191" s="59"/>
      <c r="BO191" s="59"/>
      <c r="BP191" s="59"/>
      <c r="BQ191" s="62"/>
      <c r="BR191" s="6"/>
      <c r="BS191" s="70"/>
      <c r="BT191" s="62" t="s">
        <v>3083</v>
      </c>
      <c r="BU191" s="84"/>
      <c r="BV191" s="84"/>
      <c r="BW191" s="84"/>
      <c r="BX191" s="84"/>
      <c r="BY191" s="84"/>
    </row>
    <row r="192" spans="1:77" ht="150" x14ac:dyDescent="0.25">
      <c r="A192" s="38" t="s">
        <v>3084</v>
      </c>
      <c r="B192" s="39">
        <v>187</v>
      </c>
      <c r="C192" s="38" t="s">
        <v>149</v>
      </c>
      <c r="D192" s="40" t="s">
        <v>1177</v>
      </c>
      <c r="E192" s="567" t="s">
        <v>163</v>
      </c>
      <c r="F192" s="39" t="s">
        <v>164</v>
      </c>
      <c r="G192" s="567" t="s">
        <v>163</v>
      </c>
      <c r="H192" s="567" t="s">
        <v>163</v>
      </c>
      <c r="I192" s="41" t="s">
        <v>1305</v>
      </c>
      <c r="J192" s="41"/>
      <c r="K192" s="41"/>
      <c r="L192" s="41"/>
      <c r="M192" s="42" t="str">
        <f>I192&amp;J192&amp;" "&amp;K192&amp;" "&amp;L192</f>
        <v xml:space="preserve">Fonatur Infraestructura, S.A. de C.V.  </v>
      </c>
      <c r="N192" s="991" t="s">
        <v>198</v>
      </c>
      <c r="O192" s="991" t="s">
        <v>198</v>
      </c>
      <c r="P192" s="991" t="s">
        <v>1311</v>
      </c>
      <c r="Q192" s="992">
        <v>47164662.560000002</v>
      </c>
      <c r="R192" s="44">
        <f t="shared" si="50"/>
        <v>7546346.0096000005</v>
      </c>
      <c r="S192" s="45">
        <f t="shared" si="47"/>
        <v>54711008.569600001</v>
      </c>
      <c r="T192" s="46">
        <v>36121151.68</v>
      </c>
      <c r="U192" s="47">
        <f t="shared" si="51"/>
        <v>41900535.948799998</v>
      </c>
      <c r="V192" s="44">
        <f t="shared" si="48"/>
        <v>54711008.569600001</v>
      </c>
      <c r="W192" s="993" t="s">
        <v>156</v>
      </c>
      <c r="X192" s="48">
        <v>44196</v>
      </c>
      <c r="Y192" s="109">
        <v>44197</v>
      </c>
      <c r="Z192" s="48">
        <v>44197</v>
      </c>
      <c r="AA192" s="48">
        <v>44561</v>
      </c>
      <c r="AB192" s="38" t="s">
        <v>161</v>
      </c>
      <c r="AC192" s="38" t="s">
        <v>3085</v>
      </c>
      <c r="AD192" s="59" t="s">
        <v>2547</v>
      </c>
      <c r="AE192" s="59" t="s">
        <v>2547</v>
      </c>
      <c r="AF192" s="59" t="s">
        <v>2547</v>
      </c>
      <c r="AG192" s="59" t="s">
        <v>2547</v>
      </c>
      <c r="AH192" s="39" t="s">
        <v>183</v>
      </c>
      <c r="AI192" s="38"/>
      <c r="AJ192" s="38"/>
      <c r="AK192" s="50"/>
      <c r="AL192" s="44"/>
      <c r="AM192" s="39" t="str">
        <f t="shared" ca="1" si="49"/>
        <v>MUERTO</v>
      </c>
      <c r="AN192" s="39">
        <v>36901</v>
      </c>
      <c r="AO192" s="39"/>
      <c r="AP192" s="39"/>
      <c r="AQ192" s="39"/>
      <c r="AR192" s="109">
        <v>44197</v>
      </c>
      <c r="AS192" s="39"/>
      <c r="AT192" s="39"/>
      <c r="AU192" s="51"/>
      <c r="AV192" s="50"/>
      <c r="AW192" s="38"/>
      <c r="AX192" s="52"/>
      <c r="AY192" s="173">
        <v>44223</v>
      </c>
      <c r="AZ192" s="38"/>
      <c r="BA192" s="38" t="e">
        <f>VLOOKUP(I192,#REF!,2,0)</f>
        <v>#REF!</v>
      </c>
      <c r="BB192" s="71"/>
      <c r="BC192" s="59"/>
      <c r="BD192" s="39"/>
      <c r="BE192" s="39"/>
      <c r="BF192" s="39"/>
      <c r="BG192" s="39"/>
      <c r="BH192" s="59"/>
      <c r="BI192" s="59"/>
      <c r="BJ192" s="59"/>
      <c r="BK192" s="59"/>
      <c r="BL192" s="59"/>
      <c r="BM192" s="59"/>
      <c r="BN192" s="59"/>
      <c r="BO192" s="59"/>
      <c r="BP192" s="59"/>
      <c r="BQ192" s="62"/>
      <c r="BR192" s="6"/>
      <c r="BS192" s="70"/>
      <c r="BT192" s="62" t="s">
        <v>3086</v>
      </c>
      <c r="BU192" s="84"/>
      <c r="BV192" s="84"/>
      <c r="BW192" s="84"/>
      <c r="BX192" s="84"/>
      <c r="BY192" s="84"/>
    </row>
    <row r="193" spans="1:77" ht="150" x14ac:dyDescent="0.25">
      <c r="A193" s="38" t="s">
        <v>3087</v>
      </c>
      <c r="B193" s="39">
        <v>188</v>
      </c>
      <c r="C193" s="38" t="s">
        <v>149</v>
      </c>
      <c r="D193" s="40" t="s">
        <v>1177</v>
      </c>
      <c r="E193" s="567" t="s">
        <v>163</v>
      </c>
      <c r="F193" s="39" t="s">
        <v>164</v>
      </c>
      <c r="G193" s="567" t="s">
        <v>163</v>
      </c>
      <c r="H193" s="567" t="s">
        <v>163</v>
      </c>
      <c r="I193" s="41" t="s">
        <v>1305</v>
      </c>
      <c r="J193" s="41"/>
      <c r="K193" s="41"/>
      <c r="L193" s="41"/>
      <c r="M193" s="42" t="str">
        <f>I193&amp;J193&amp;" "&amp;K193&amp;" "&amp;L193</f>
        <v xml:space="preserve">Fonatur Infraestructura, S.A. de C.V.  </v>
      </c>
      <c r="N193" s="991" t="s">
        <v>198</v>
      </c>
      <c r="O193" s="991" t="s">
        <v>198</v>
      </c>
      <c r="P193" s="991" t="s">
        <v>2399</v>
      </c>
      <c r="Q193" s="992">
        <v>75694559.920000002</v>
      </c>
      <c r="R193" s="44">
        <f t="shared" si="50"/>
        <v>12111129.587200001</v>
      </c>
      <c r="S193" s="45">
        <f t="shared" si="47"/>
        <v>87805689.507200003</v>
      </c>
      <c r="T193" s="46">
        <v>23673598.059999999</v>
      </c>
      <c r="U193" s="47">
        <f t="shared" si="51"/>
        <v>27461373.749599997</v>
      </c>
      <c r="V193" s="44">
        <f t="shared" si="48"/>
        <v>87805689.507200003</v>
      </c>
      <c r="W193" s="993" t="s">
        <v>156</v>
      </c>
      <c r="X193" s="48">
        <v>44196</v>
      </c>
      <c r="Y193" s="109">
        <v>44197</v>
      </c>
      <c r="Z193" s="48">
        <v>44197</v>
      </c>
      <c r="AA193" s="48">
        <v>44561</v>
      </c>
      <c r="AB193" s="38" t="s">
        <v>161</v>
      </c>
      <c r="AC193" s="38" t="s">
        <v>3085</v>
      </c>
      <c r="AD193" s="59" t="s">
        <v>2547</v>
      </c>
      <c r="AE193" s="59" t="s">
        <v>2547</v>
      </c>
      <c r="AF193" s="59" t="s">
        <v>2547</v>
      </c>
      <c r="AG193" s="59" t="s">
        <v>2547</v>
      </c>
      <c r="AH193" s="39" t="s">
        <v>183</v>
      </c>
      <c r="AI193" s="38"/>
      <c r="AJ193" s="38"/>
      <c r="AK193" s="50"/>
      <c r="AL193" s="44"/>
      <c r="AM193" s="39" t="str">
        <f t="shared" ca="1" si="49"/>
        <v>MUERTO</v>
      </c>
      <c r="AN193" s="39">
        <v>35101</v>
      </c>
      <c r="AO193" s="39"/>
      <c r="AP193" s="39"/>
      <c r="AQ193" s="39"/>
      <c r="AR193" s="109">
        <v>44197</v>
      </c>
      <c r="AS193" s="39"/>
      <c r="AT193" s="39"/>
      <c r="AU193" s="51"/>
      <c r="AV193" s="50"/>
      <c r="AW193" s="38"/>
      <c r="AX193" s="52"/>
      <c r="AY193" s="173">
        <v>44224</v>
      </c>
      <c r="AZ193" s="38"/>
      <c r="BA193" s="38" t="e">
        <f>VLOOKUP(I193,#REF!,2,0)</f>
        <v>#REF!</v>
      </c>
      <c r="BB193" s="71"/>
      <c r="BC193" s="59"/>
      <c r="BD193" s="39"/>
      <c r="BE193" s="39"/>
      <c r="BF193" s="39"/>
      <c r="BG193" s="39"/>
      <c r="BH193" s="59"/>
      <c r="BI193" s="59"/>
      <c r="BJ193" s="59"/>
      <c r="BK193" s="59"/>
      <c r="BL193" s="59"/>
      <c r="BM193" s="59"/>
      <c r="BN193" s="59"/>
      <c r="BO193" s="59"/>
      <c r="BP193" s="59"/>
      <c r="BQ193" s="62"/>
      <c r="BR193" s="6"/>
      <c r="BS193" s="70"/>
      <c r="BT193" s="62" t="s">
        <v>3086</v>
      </c>
      <c r="BU193" s="84"/>
      <c r="BV193" s="84"/>
      <c r="BW193" s="84"/>
      <c r="BX193" s="84"/>
      <c r="BY193" s="84"/>
    </row>
    <row r="194" spans="1:77" x14ac:dyDescent="0.25">
      <c r="BS194" s="70"/>
    </row>
    <row r="195" spans="1:77" x14ac:dyDescent="0.25">
      <c r="Q195" s="2">
        <f>SUBTOTAL(9,Q2:Q193)</f>
        <v>1216087473.4572418</v>
      </c>
      <c r="R195" s="2">
        <f>SUBTOTAL(9,R2:R64)</f>
        <v>57773179.409379318</v>
      </c>
      <c r="S195" s="13">
        <f>SUBTOTAL(9,S2:S193)</f>
        <v>1396628517.2183998</v>
      </c>
      <c r="T195" s="15">
        <f>SUBTOTAL(9,T2:T193)</f>
        <v>279610902.61379313</v>
      </c>
      <c r="U195" s="15">
        <f>SUBTOTAL(9,U2:U193)</f>
        <v>273565723.63280004</v>
      </c>
      <c r="V195" s="2">
        <f>SUBTOTAL(9,V6:V193)</f>
        <v>1343267572.6383996</v>
      </c>
      <c r="AL195" s="2">
        <f>SUBTOTAL(9,AL6:AL64)</f>
        <v>4330498.7992000002</v>
      </c>
      <c r="AX195" s="2">
        <f>SUBTOTAL(9,AX6:AX64)</f>
        <v>0</v>
      </c>
      <c r="AY195" s="174"/>
      <c r="AZ195" s="2"/>
      <c r="BA195" s="2"/>
      <c r="BB195" s="12"/>
      <c r="BC195" s="2"/>
      <c r="BH195" s="2"/>
      <c r="BI195" s="2"/>
      <c r="BJ195" s="2"/>
      <c r="BK195" s="2"/>
      <c r="BL195" s="2"/>
      <c r="BM195" s="2"/>
      <c r="BN195" s="2"/>
      <c r="BS195" s="70"/>
    </row>
    <row r="196" spans="1:77" x14ac:dyDescent="0.25">
      <c r="BS196" s="70"/>
    </row>
    <row r="197" spans="1:77" x14ac:dyDescent="0.25">
      <c r="A197" s="20" t="s">
        <v>1080</v>
      </c>
      <c r="B197" s="20" t="s">
        <v>1080</v>
      </c>
      <c r="C197" s="20" t="s">
        <v>1080</v>
      </c>
      <c r="D197" s="20" t="s">
        <v>1080</v>
      </c>
      <c r="E197" s="20" t="s">
        <v>1080</v>
      </c>
      <c r="F197" s="20" t="s">
        <v>1080</v>
      </c>
      <c r="G197" s="20" t="s">
        <v>1080</v>
      </c>
      <c r="H197" s="20"/>
      <c r="I197" s="20" t="s">
        <v>1080</v>
      </c>
      <c r="J197" s="20" t="s">
        <v>1080</v>
      </c>
      <c r="K197" s="20" t="s">
        <v>1080</v>
      </c>
      <c r="L197" s="20" t="s">
        <v>1080</v>
      </c>
      <c r="M197" s="20" t="s">
        <v>1080</v>
      </c>
      <c r="N197" s="20" t="s">
        <v>1080</v>
      </c>
      <c r="O197" s="20" t="s">
        <v>1080</v>
      </c>
      <c r="P197" s="20" t="s">
        <v>1080</v>
      </c>
      <c r="Q197" s="20" t="s">
        <v>1080</v>
      </c>
      <c r="R197" s="20" t="s">
        <v>1080</v>
      </c>
      <c r="S197" s="20" t="s">
        <v>1080</v>
      </c>
      <c r="T197" s="20" t="s">
        <v>1080</v>
      </c>
      <c r="U197" s="20" t="s">
        <v>1080</v>
      </c>
      <c r="V197" s="20" t="s">
        <v>1080</v>
      </c>
      <c r="W197" s="20" t="s">
        <v>1080</v>
      </c>
      <c r="X197" s="20" t="s">
        <v>1080</v>
      </c>
      <c r="Y197" s="20" t="s">
        <v>1080</v>
      </c>
      <c r="Z197" s="20" t="s">
        <v>1080</v>
      </c>
      <c r="AA197" s="20" t="s">
        <v>1080</v>
      </c>
      <c r="AB197" s="20" t="s">
        <v>1080</v>
      </c>
      <c r="AC197" s="20"/>
      <c r="AD197" s="126" t="s">
        <v>1080</v>
      </c>
      <c r="AE197" s="126" t="s">
        <v>1080</v>
      </c>
      <c r="AF197" s="126" t="s">
        <v>1080</v>
      </c>
      <c r="AG197" s="126" t="s">
        <v>1080</v>
      </c>
      <c r="AH197" s="20" t="s">
        <v>1080</v>
      </c>
      <c r="AI197" s="20" t="s">
        <v>1080</v>
      </c>
      <c r="AJ197" s="20" t="s">
        <v>1080</v>
      </c>
      <c r="AK197" s="20" t="s">
        <v>1080</v>
      </c>
      <c r="AL197" s="20" t="s">
        <v>1080</v>
      </c>
      <c r="AM197" s="20" t="s">
        <v>1080</v>
      </c>
      <c r="AN197" s="20"/>
      <c r="AO197" s="20"/>
      <c r="AP197" s="20" t="s">
        <v>1080</v>
      </c>
      <c r="AQ197" s="20" t="s">
        <v>1080</v>
      </c>
      <c r="AR197" s="20" t="s">
        <v>1080</v>
      </c>
      <c r="AS197" s="20" t="s">
        <v>1080</v>
      </c>
      <c r="AT197" s="20" t="s">
        <v>1080</v>
      </c>
      <c r="AU197" s="20" t="s">
        <v>1080</v>
      </c>
      <c r="AV197" s="20" t="s">
        <v>1080</v>
      </c>
      <c r="AW197" s="20" t="s">
        <v>1080</v>
      </c>
      <c r="AX197" s="20" t="s">
        <v>1080</v>
      </c>
      <c r="AY197" s="175" t="s">
        <v>1080</v>
      </c>
      <c r="AZ197" s="20" t="s">
        <v>1080</v>
      </c>
      <c r="BA197" s="20" t="s">
        <v>1080</v>
      </c>
      <c r="BB197" s="72"/>
      <c r="BC197" s="20" t="s">
        <v>1080</v>
      </c>
      <c r="BD197" s="20" t="s">
        <v>1080</v>
      </c>
      <c r="BE197" s="20" t="s">
        <v>1080</v>
      </c>
      <c r="BF197" s="20" t="s">
        <v>1080</v>
      </c>
      <c r="BG197" s="20"/>
      <c r="BH197" s="20" t="s">
        <v>1080</v>
      </c>
      <c r="BI197" s="20"/>
      <c r="BJ197" s="20" t="s">
        <v>1080</v>
      </c>
      <c r="BK197" s="20" t="s">
        <v>1080</v>
      </c>
      <c r="BL197" s="20" t="s">
        <v>1080</v>
      </c>
      <c r="BM197" s="20" t="s">
        <v>1080</v>
      </c>
      <c r="BN197" s="20" t="s">
        <v>1080</v>
      </c>
      <c r="BO197" s="20" t="s">
        <v>1080</v>
      </c>
      <c r="BP197" s="20" t="s">
        <v>1080</v>
      </c>
      <c r="BQ197" s="20" t="s">
        <v>1080</v>
      </c>
      <c r="BR197" s="65"/>
      <c r="BS197" s="70"/>
      <c r="BT197" s="20" t="s">
        <v>1080</v>
      </c>
    </row>
    <row r="198" spans="1:77" x14ac:dyDescent="0.25">
      <c r="BS198" s="70"/>
    </row>
    <row r="199" spans="1:77" x14ac:dyDescent="0.25">
      <c r="BS199" s="70"/>
    </row>
    <row r="200" spans="1:77" x14ac:dyDescent="0.25">
      <c r="E200" s="566" t="s">
        <v>86</v>
      </c>
      <c r="F200" s="566" t="s">
        <v>1081</v>
      </c>
      <c r="G200" s="566" t="s">
        <v>1082</v>
      </c>
      <c r="H200" s="675"/>
      <c r="BS200" s="70"/>
    </row>
    <row r="201" spans="1:77" ht="30" x14ac:dyDescent="0.25">
      <c r="E201" s="567" t="s">
        <v>163</v>
      </c>
      <c r="F201" s="469">
        <f>+SUMIF($E$6:$E$193,E201,$V$6:$V$193)</f>
        <v>901389044.96080005</v>
      </c>
      <c r="G201" s="470">
        <f>COUNTIF(E6:E193,E201)</f>
        <v>115</v>
      </c>
      <c r="H201" s="690"/>
      <c r="BS201" s="70"/>
    </row>
    <row r="202" spans="1:77" x14ac:dyDescent="0.25">
      <c r="E202" s="4" t="s">
        <v>173</v>
      </c>
      <c r="F202" s="469">
        <f>+SUMIF($E$3:$E$193,E202,$V$3:$V$195)</f>
        <v>372738036.83639997</v>
      </c>
      <c r="G202" s="470">
        <v>29</v>
      </c>
      <c r="H202" s="690"/>
      <c r="V202" s="2"/>
      <c r="BS202" s="70"/>
    </row>
    <row r="203" spans="1:77" x14ac:dyDescent="0.25">
      <c r="E203" s="4" t="s">
        <v>151</v>
      </c>
      <c r="F203" s="469">
        <f>+SUMIF($E$3:$E$193,E203,$V$3:$V$195)</f>
        <v>69140490.841199994</v>
      </c>
      <c r="G203" s="470">
        <v>25</v>
      </c>
      <c r="H203" s="690"/>
      <c r="BS203" s="70"/>
    </row>
    <row r="204" spans="1:77" x14ac:dyDescent="0.25">
      <c r="E204" s="4" t="s">
        <v>1083</v>
      </c>
      <c r="F204" s="469">
        <f>SUM(F201:F203)</f>
        <v>1343267572.6384001</v>
      </c>
      <c r="G204" s="470"/>
      <c r="H204" s="690"/>
      <c r="BS204" s="70"/>
    </row>
    <row r="205" spans="1:77" x14ac:dyDescent="0.25">
      <c r="E205" s="979" t="s">
        <v>1084</v>
      </c>
      <c r="F205" s="990">
        <f>+V195</f>
        <v>1343267572.6383996</v>
      </c>
      <c r="G205" s="202"/>
      <c r="H205" s="202"/>
      <c r="BS205" s="70"/>
    </row>
    <row r="206" spans="1:77" x14ac:dyDescent="0.25">
      <c r="BS206" s="70"/>
    </row>
    <row r="207" spans="1:77" x14ac:dyDescent="0.25">
      <c r="BS207" s="70"/>
    </row>
    <row r="208" spans="1:77" ht="15.75" customHeight="1" x14ac:dyDescent="0.25">
      <c r="E208" s="1092" t="s">
        <v>1085</v>
      </c>
      <c r="F208" s="1092"/>
      <c r="G208" s="194" t="s">
        <v>1082</v>
      </c>
      <c r="H208" s="691"/>
      <c r="BS208" s="70"/>
    </row>
    <row r="209" spans="5:7" ht="15.75" x14ac:dyDescent="0.25">
      <c r="E209" s="684" t="s">
        <v>163</v>
      </c>
      <c r="F209" s="679">
        <f ca="1">+SUMIF($H$6:$I$195,E209,$V$6:$V$195)</f>
        <v>515800507.66719997</v>
      </c>
      <c r="G209" s="470">
        <f>COUNTIF(H6:H193,E209)</f>
        <v>63</v>
      </c>
    </row>
    <row r="210" spans="5:7" ht="15.75" x14ac:dyDescent="0.25">
      <c r="E210" s="685" t="s">
        <v>546</v>
      </c>
      <c r="F210" s="679">
        <f ca="1">+SUMIF($H$6:$I$195,E210,$V$6:$V$195)</f>
        <v>385588537.2936002</v>
      </c>
      <c r="G210" s="470">
        <f>COUNTIF(H7:H194,E210)</f>
        <v>52</v>
      </c>
    </row>
    <row r="211" spans="5:7" ht="31.5" x14ac:dyDescent="0.25">
      <c r="E211" s="686" t="s">
        <v>1086</v>
      </c>
      <c r="F211" s="687">
        <f ca="1">+F209+F210</f>
        <v>901389044.96080017</v>
      </c>
      <c r="G211" s="676">
        <f>SUM(G209:G210)</f>
        <v>115</v>
      </c>
    </row>
    <row r="212" spans="5:7" x14ac:dyDescent="0.25">
      <c r="F212" s="16">
        <f ca="1">+F211-F201</f>
        <v>0</v>
      </c>
    </row>
  </sheetData>
  <autoFilter ref="A1:CA193" xr:uid="{00000000-0001-0000-0300-000000000000}"/>
  <mergeCells count="1">
    <mergeCell ref="E208:F20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10"/>
  <dimension ref="A1:BS175"/>
  <sheetViews>
    <sheetView zoomScaleNormal="100" workbookViewId="0">
      <pane xSplit="13" ySplit="1" topLeftCell="N149" activePane="bottomRight" state="frozen"/>
      <selection pane="topRight" activeCell="M1" sqref="M1"/>
      <selection pane="bottomLeft" activeCell="A3" sqref="A3"/>
      <selection pane="bottomRight" activeCell="P151" sqref="P151"/>
    </sheetView>
  </sheetViews>
  <sheetFormatPr baseColWidth="10" defaultColWidth="11.42578125" defaultRowHeight="15" x14ac:dyDescent="0.25"/>
  <cols>
    <col min="1" max="1" width="25.28515625" customWidth="1"/>
    <col min="2" max="6" width="11.42578125" customWidth="1"/>
    <col min="7" max="7" width="11.42578125" hidden="1" customWidth="1"/>
    <col min="8" max="8" width="14.85546875" customWidth="1"/>
    <col min="9" max="9" width="16.85546875" bestFit="1" customWidth="1"/>
    <col min="10" max="10" width="16.7109375" customWidth="1"/>
    <col min="11" max="15" width="11.42578125" customWidth="1"/>
    <col min="16" max="16" width="26.85546875" customWidth="1"/>
    <col min="17" max="17" width="17" customWidth="1"/>
    <col min="18" max="18" width="16" customWidth="1"/>
    <col min="19" max="19" width="19.28515625" customWidth="1"/>
    <col min="20" max="20" width="15.5703125" customWidth="1"/>
    <col min="21" max="21" width="15.85546875" customWidth="1"/>
    <col min="22" max="22" width="15.5703125" bestFit="1" customWidth="1"/>
    <col min="23" max="25" width="11.42578125" customWidth="1"/>
    <col min="28" max="34" width="11.42578125" customWidth="1"/>
    <col min="35" max="35" width="16.5703125" customWidth="1"/>
    <col min="36" max="36" width="39" customWidth="1"/>
    <col min="38" max="38" width="14.5703125" bestFit="1" customWidth="1"/>
    <col min="51" max="51" width="14" customWidth="1"/>
    <col min="65" max="65" width="13.7109375" bestFit="1" customWidth="1"/>
    <col min="66" max="66" width="15" bestFit="1" customWidth="1"/>
    <col min="67" max="67" width="13.7109375" customWidth="1"/>
    <col min="68" max="68" width="15.140625" customWidth="1"/>
  </cols>
  <sheetData>
    <row r="1" spans="1:71" ht="90" x14ac:dyDescent="0.25">
      <c r="A1" s="189" t="s">
        <v>83</v>
      </c>
      <c r="B1" s="194" t="s">
        <v>3088</v>
      </c>
      <c r="C1" s="191" t="s">
        <v>1088</v>
      </c>
      <c r="D1" s="24" t="s">
        <v>85</v>
      </c>
      <c r="E1" s="21" t="s">
        <v>86</v>
      </c>
      <c r="F1" s="128" t="s">
        <v>1</v>
      </c>
      <c r="G1" s="128" t="s">
        <v>87</v>
      </c>
      <c r="H1" s="23" t="s">
        <v>88</v>
      </c>
      <c r="I1" s="23" t="s">
        <v>89</v>
      </c>
      <c r="J1" s="23" t="s">
        <v>90</v>
      </c>
      <c r="K1" s="23" t="s">
        <v>91</v>
      </c>
      <c r="L1" s="23" t="s">
        <v>92</v>
      </c>
      <c r="M1" s="21" t="s">
        <v>93</v>
      </c>
      <c r="N1" s="21" t="s">
        <v>3089</v>
      </c>
      <c r="O1" s="23" t="s">
        <v>3090</v>
      </c>
      <c r="P1" s="21" t="s">
        <v>0</v>
      </c>
      <c r="Q1" s="25" t="s">
        <v>96</v>
      </c>
      <c r="R1" s="26" t="s">
        <v>97</v>
      </c>
      <c r="S1" s="26" t="s">
        <v>3091</v>
      </c>
      <c r="T1" s="26" t="s">
        <v>3092</v>
      </c>
      <c r="U1" s="27" t="s">
        <v>100</v>
      </c>
      <c r="V1" s="28" t="s">
        <v>101</v>
      </c>
      <c r="W1" s="60" t="s">
        <v>102</v>
      </c>
      <c r="X1" s="29" t="s">
        <v>103</v>
      </c>
      <c r="Y1" s="23" t="s">
        <v>104</v>
      </c>
      <c r="Z1" s="30" t="s">
        <v>105</v>
      </c>
      <c r="AA1" s="30" t="s">
        <v>106</v>
      </c>
      <c r="AB1" s="23" t="s">
        <v>2232</v>
      </c>
      <c r="AC1" s="23" t="s">
        <v>110</v>
      </c>
      <c r="AD1" s="124" t="s">
        <v>111</v>
      </c>
      <c r="AE1" s="124" t="s">
        <v>112</v>
      </c>
      <c r="AF1" s="124" t="s">
        <v>113</v>
      </c>
      <c r="AG1" s="124" t="s">
        <v>114</v>
      </c>
      <c r="AH1" s="23" t="s">
        <v>1092</v>
      </c>
      <c r="AI1" s="231" t="s">
        <v>3093</v>
      </c>
      <c r="AJ1" s="32" t="s">
        <v>117</v>
      </c>
      <c r="AK1" s="32" t="s">
        <v>118</v>
      </c>
      <c r="AL1" s="33" t="s">
        <v>119</v>
      </c>
      <c r="AM1" s="23" t="s">
        <v>120</v>
      </c>
      <c r="AN1" s="23" t="s">
        <v>2233</v>
      </c>
      <c r="AO1" s="23" t="s">
        <v>1093</v>
      </c>
      <c r="AP1" s="34" t="s">
        <v>121</v>
      </c>
      <c r="AQ1" s="34" t="s">
        <v>122</v>
      </c>
      <c r="AR1" s="34" t="s">
        <v>123</v>
      </c>
      <c r="AS1" s="34" t="s">
        <v>124</v>
      </c>
      <c r="AT1" s="34" t="s">
        <v>125</v>
      </c>
      <c r="AU1" s="35" t="s">
        <v>126</v>
      </c>
      <c r="AV1" s="29" t="s">
        <v>118</v>
      </c>
      <c r="AW1" s="23" t="s">
        <v>127</v>
      </c>
      <c r="AX1" s="25" t="s">
        <v>128</v>
      </c>
      <c r="AY1" s="29" t="s">
        <v>3094</v>
      </c>
      <c r="AZ1" s="23" t="s">
        <v>130</v>
      </c>
      <c r="BA1" s="23" t="s">
        <v>131</v>
      </c>
      <c r="BB1" s="21" t="s">
        <v>107</v>
      </c>
      <c r="BC1" s="157" t="s">
        <v>3095</v>
      </c>
      <c r="BD1" s="79" t="s">
        <v>132</v>
      </c>
      <c r="BE1" s="80" t="s">
        <v>3096</v>
      </c>
      <c r="BF1" s="74" t="s">
        <v>3097</v>
      </c>
      <c r="BG1" s="74" t="s">
        <v>1094</v>
      </c>
      <c r="BH1" s="152" t="s">
        <v>142</v>
      </c>
      <c r="BI1" s="152" t="s">
        <v>3098</v>
      </c>
      <c r="BJ1" s="153" t="s">
        <v>3099</v>
      </c>
      <c r="BK1" s="154" t="s">
        <v>147</v>
      </c>
      <c r="BL1" s="83" t="s">
        <v>3100</v>
      </c>
      <c r="BM1" s="83" t="s">
        <v>3101</v>
      </c>
      <c r="BN1" s="83" t="s">
        <v>3102</v>
      </c>
      <c r="BO1" s="83" t="s">
        <v>3103</v>
      </c>
      <c r="BP1" s="83" t="s">
        <v>3104</v>
      </c>
    </row>
    <row r="2" spans="1:71" ht="225" x14ac:dyDescent="0.25">
      <c r="A2" s="382" t="s">
        <v>1724</v>
      </c>
      <c r="B2" s="579"/>
      <c r="C2" s="580" t="s">
        <v>149</v>
      </c>
      <c r="D2" s="341" t="s">
        <v>1177</v>
      </c>
      <c r="E2" s="579" t="s">
        <v>163</v>
      </c>
      <c r="F2" s="340" t="s">
        <v>188</v>
      </c>
      <c r="G2" s="3" t="s">
        <v>163</v>
      </c>
      <c r="H2" s="340" t="s">
        <v>163</v>
      </c>
      <c r="I2" s="342" t="s">
        <v>1725</v>
      </c>
      <c r="J2" s="343"/>
      <c r="K2" s="343"/>
      <c r="L2" s="343"/>
      <c r="M2" s="344" t="str">
        <f t="shared" ref="M2:M32" si="0">I2&amp;J2&amp;" "&amp;K2&amp;" "&amp;L2</f>
        <v xml:space="preserve">GRUPO IDSEC, S.A.P.I. DE C.V.  </v>
      </c>
      <c r="N2" s="996" t="s">
        <v>166</v>
      </c>
      <c r="O2" s="996" t="s">
        <v>166</v>
      </c>
      <c r="P2" s="996" t="s">
        <v>1726</v>
      </c>
      <c r="Q2" s="997">
        <v>16086000.000000002</v>
      </c>
      <c r="R2" s="345">
        <f t="shared" ref="R2:R43" si="1">Q2*0.16</f>
        <v>2573760.0000000005</v>
      </c>
      <c r="S2" s="346">
        <f t="shared" ref="S2:S33" si="2">Q2+R2</f>
        <v>18659760.000000004</v>
      </c>
      <c r="T2" s="347">
        <v>0</v>
      </c>
      <c r="U2" s="348">
        <f t="shared" ref="U2:U43" si="3">(T2*0.16)+(T2)</f>
        <v>0</v>
      </c>
      <c r="V2" s="345">
        <f>S2+AK2</f>
        <v>18659760.000000004</v>
      </c>
      <c r="W2" s="998" t="s">
        <v>183</v>
      </c>
      <c r="X2" s="349">
        <v>43622</v>
      </c>
      <c r="Y2" s="349" t="s">
        <v>496</v>
      </c>
      <c r="Z2" s="349">
        <v>43617</v>
      </c>
      <c r="AA2" s="349">
        <v>45443</v>
      </c>
      <c r="AB2" s="339" t="s">
        <v>1727</v>
      </c>
      <c r="AC2" s="350"/>
      <c r="AD2" s="351" t="s">
        <v>1728</v>
      </c>
      <c r="AE2" s="350"/>
      <c r="AF2" s="350"/>
      <c r="AG2" s="340" t="s">
        <v>156</v>
      </c>
      <c r="AH2" s="339" t="s">
        <v>1729</v>
      </c>
      <c r="AI2" s="339" t="s">
        <v>1730</v>
      </c>
      <c r="AJ2" s="352">
        <v>45110</v>
      </c>
      <c r="AK2" s="345">
        <v>0</v>
      </c>
      <c r="AL2" s="340" t="str">
        <f ca="1">IF(ISBLANK(AA2),"",IF(AA2&gt;=TODAY(),"VIGENTE","MUERTO"))</f>
        <v>MUERTO</v>
      </c>
      <c r="AM2" s="340"/>
      <c r="AN2" s="340" t="s">
        <v>156</v>
      </c>
      <c r="AO2" s="340" t="s">
        <v>496</v>
      </c>
      <c r="AP2" s="340"/>
      <c r="AQ2" s="340" t="s">
        <v>1719</v>
      </c>
      <c r="AR2" s="340"/>
      <c r="AS2" s="340"/>
      <c r="AT2" s="340" t="s">
        <v>156</v>
      </c>
      <c r="AU2" s="353"/>
      <c r="AV2" s="352"/>
      <c r="AW2" s="339"/>
      <c r="AX2" s="354"/>
      <c r="AY2" s="339" t="s">
        <v>1731</v>
      </c>
      <c r="AZ2" s="339"/>
      <c r="BA2" s="339" t="e">
        <f>VLOOKUP(I2,#REF!,2,0)</f>
        <v>#REF!</v>
      </c>
      <c r="BB2" s="339" t="s">
        <v>1732</v>
      </c>
      <c r="BC2" s="355">
        <v>43585</v>
      </c>
      <c r="BD2" s="356">
        <v>43614</v>
      </c>
      <c r="BE2" s="356">
        <v>43627</v>
      </c>
      <c r="BF2" s="356" t="s">
        <v>1652</v>
      </c>
      <c r="BG2" s="356">
        <v>43658</v>
      </c>
      <c r="BH2" s="356">
        <v>43658</v>
      </c>
      <c r="BI2" s="340" t="e">
        <f>NETWORKDAYS(BF2,BG2,#REF!)</f>
        <v>#VALUE!</v>
      </c>
      <c r="BJ2" s="356" t="s">
        <v>1733</v>
      </c>
      <c r="BK2" s="583" t="s">
        <v>1734</v>
      </c>
      <c r="BL2" s="585" t="s">
        <v>1735</v>
      </c>
      <c r="BM2" s="585" t="s">
        <v>1652</v>
      </c>
      <c r="BN2" s="585" t="s">
        <v>1652</v>
      </c>
      <c r="BO2" s="585" t="s">
        <v>1652</v>
      </c>
      <c r="BP2" s="584" t="s">
        <v>1652</v>
      </c>
      <c r="BQ2" s="584" t="s">
        <v>1652</v>
      </c>
      <c r="BR2" s="586" t="e">
        <f xml:space="preserve"> NETWORKDAYS(BC2,BM2,#REF!)</f>
        <v>#VALUE!</v>
      </c>
      <c r="BS2" s="586" t="e">
        <f>NETWORKDAYS(BC2,BN2,#REF!)</f>
        <v>#VALUE!</v>
      </c>
    </row>
    <row r="3" spans="1:71" ht="180" x14ac:dyDescent="0.25">
      <c r="A3" s="382" t="s">
        <v>3105</v>
      </c>
      <c r="B3" s="579"/>
      <c r="C3" s="580" t="s">
        <v>1959</v>
      </c>
      <c r="D3" s="341" t="s">
        <v>2010</v>
      </c>
      <c r="E3" s="579" t="s">
        <v>163</v>
      </c>
      <c r="F3" s="340" t="s">
        <v>607</v>
      </c>
      <c r="G3" s="3" t="s">
        <v>163</v>
      </c>
      <c r="H3" s="340" t="s">
        <v>3106</v>
      </c>
      <c r="I3" s="342" t="s">
        <v>2011</v>
      </c>
      <c r="J3" s="343"/>
      <c r="K3" s="343"/>
      <c r="L3" s="343"/>
      <c r="M3" s="344" t="str">
        <f t="shared" si="0"/>
        <v xml:space="preserve">Proceso de Ingeniería Aplicada, S.A. de C.V.  </v>
      </c>
      <c r="N3" s="996" t="s">
        <v>198</v>
      </c>
      <c r="O3" s="996" t="s">
        <v>198</v>
      </c>
      <c r="P3" s="996" t="s">
        <v>2012</v>
      </c>
      <c r="Q3" s="997">
        <v>19642392.870689657</v>
      </c>
      <c r="R3" s="345">
        <f t="shared" si="1"/>
        <v>3142782.8593103453</v>
      </c>
      <c r="S3" s="346">
        <f t="shared" si="2"/>
        <v>22785175.73</v>
      </c>
      <c r="T3" s="347">
        <v>0</v>
      </c>
      <c r="U3" s="348">
        <f t="shared" si="3"/>
        <v>0</v>
      </c>
      <c r="V3" s="345">
        <f>S3+AK3</f>
        <v>22785175.73</v>
      </c>
      <c r="W3" s="998" t="s">
        <v>183</v>
      </c>
      <c r="X3" s="349">
        <v>45653</v>
      </c>
      <c r="Y3" s="340" t="s">
        <v>924</v>
      </c>
      <c r="Z3" s="349">
        <v>43770</v>
      </c>
      <c r="AA3" s="349">
        <v>44865</v>
      </c>
      <c r="AB3" s="339" t="s">
        <v>1941</v>
      </c>
      <c r="AC3" s="350"/>
      <c r="AD3" s="350"/>
      <c r="AE3" s="350"/>
      <c r="AF3" s="350"/>
      <c r="AG3" s="340"/>
      <c r="AH3" s="339" t="s">
        <v>3107</v>
      </c>
      <c r="AI3" s="339" t="s">
        <v>3107</v>
      </c>
      <c r="AJ3" s="352">
        <v>44557</v>
      </c>
      <c r="AK3" s="345">
        <v>0</v>
      </c>
      <c r="AL3" s="340" t="str">
        <f ca="1">IF(ISBLANK(AA3),"",IF(AA3&gt;=TODAY(),"VIGENTE","MUERTO"))</f>
        <v>MUERTO</v>
      </c>
      <c r="AM3" s="340"/>
      <c r="AN3" s="340" t="s">
        <v>156</v>
      </c>
      <c r="AO3" s="340" t="s">
        <v>892</v>
      </c>
      <c r="AP3" s="340"/>
      <c r="AQ3" s="340" t="s">
        <v>729</v>
      </c>
      <c r="AR3" s="340"/>
      <c r="AS3" s="340"/>
      <c r="AT3" s="340"/>
      <c r="AU3" s="353"/>
      <c r="AV3" s="352"/>
      <c r="AW3" s="339"/>
      <c r="AX3" s="354"/>
      <c r="AY3" s="339"/>
      <c r="AZ3" s="339"/>
      <c r="BA3" s="339" t="e">
        <f>VLOOKUP(I3,#REF!,2,0)</f>
        <v>#REF!</v>
      </c>
      <c r="BB3" s="339"/>
      <c r="BC3" s="355"/>
      <c r="BD3" s="340"/>
      <c r="BE3" s="340"/>
      <c r="BF3" s="340"/>
      <c r="BG3" s="340"/>
      <c r="BH3" s="355"/>
      <c r="BI3" s="340" t="e">
        <f>NETWORKDAYS(BF3,BG3,#REF!)</f>
        <v>#REF!</v>
      </c>
      <c r="BJ3" s="355"/>
      <c r="BK3" s="357"/>
      <c r="BL3" s="584"/>
      <c r="BM3" s="584"/>
      <c r="BN3" s="584"/>
      <c r="BO3" s="584"/>
      <c r="BP3" s="584"/>
      <c r="BQ3" s="584"/>
      <c r="BR3" s="586" t="e">
        <f xml:space="preserve"> NETWORKDAYS(BC3,BM3,#REF!)</f>
        <v>#REF!</v>
      </c>
      <c r="BS3" s="362"/>
    </row>
    <row r="4" spans="1:71" ht="180" x14ac:dyDescent="0.25">
      <c r="A4" s="382" t="s">
        <v>3108</v>
      </c>
      <c r="B4" s="579"/>
      <c r="C4" s="580" t="s">
        <v>149</v>
      </c>
      <c r="D4" s="341" t="s">
        <v>2098</v>
      </c>
      <c r="E4" s="579" t="s">
        <v>163</v>
      </c>
      <c r="F4" s="340" t="s">
        <v>312</v>
      </c>
      <c r="G4" s="685" t="s">
        <v>546</v>
      </c>
      <c r="H4" s="340" t="s">
        <v>2237</v>
      </c>
      <c r="I4" s="342" t="s">
        <v>1065</v>
      </c>
      <c r="J4" s="343"/>
      <c r="K4" s="343"/>
      <c r="L4" s="343"/>
      <c r="M4" s="344" t="str">
        <f t="shared" si="0"/>
        <v xml:space="preserve">Elevadores Schindler, S.A. de C.V.  </v>
      </c>
      <c r="N4" s="996" t="s">
        <v>198</v>
      </c>
      <c r="O4" s="996" t="s">
        <v>198</v>
      </c>
      <c r="P4" s="996" t="s">
        <v>2142</v>
      </c>
      <c r="Q4" s="997">
        <v>2174684.3620689656</v>
      </c>
      <c r="R4" s="345">
        <f t="shared" si="1"/>
        <v>347949.49793103448</v>
      </c>
      <c r="S4" s="346">
        <f t="shared" si="2"/>
        <v>2522633.86</v>
      </c>
      <c r="T4" s="347">
        <v>0</v>
      </c>
      <c r="U4" s="348">
        <f t="shared" si="3"/>
        <v>0</v>
      </c>
      <c r="V4" s="345">
        <f>S4+AK4</f>
        <v>2522633.86</v>
      </c>
      <c r="W4" s="998" t="s">
        <v>183</v>
      </c>
      <c r="X4" s="349">
        <v>44258</v>
      </c>
      <c r="Y4" s="340" t="s">
        <v>234</v>
      </c>
      <c r="Z4" s="349">
        <v>43808</v>
      </c>
      <c r="AA4" s="349">
        <v>44828</v>
      </c>
      <c r="AB4" s="339" t="s">
        <v>2025</v>
      </c>
      <c r="AC4" s="350" t="s">
        <v>1489</v>
      </c>
      <c r="AD4" s="350" t="s">
        <v>1489</v>
      </c>
      <c r="AE4" s="350" t="s">
        <v>159</v>
      </c>
      <c r="AF4" s="350" t="s">
        <v>159</v>
      </c>
      <c r="AG4" s="340" t="s">
        <v>1146</v>
      </c>
      <c r="AH4" s="365" t="s">
        <v>3109</v>
      </c>
      <c r="AI4" s="339"/>
      <c r="AJ4" s="352">
        <v>45354</v>
      </c>
      <c r="AK4" s="345">
        <v>0</v>
      </c>
      <c r="AL4" s="340" t="str">
        <f ca="1">IF(ISBLANK(AA4),"",IF(AA4&gt;=TODAY(),"VIGENTE","MUERTO"))</f>
        <v>MUERTO</v>
      </c>
      <c r="AM4" s="340"/>
      <c r="AN4" s="340"/>
      <c r="AO4" s="340"/>
      <c r="AP4" s="340"/>
      <c r="AQ4" s="340"/>
      <c r="AR4" s="340"/>
      <c r="AS4" s="340"/>
      <c r="AT4" s="340"/>
      <c r="AU4" s="353"/>
      <c r="AV4" s="353"/>
      <c r="AW4" s="353"/>
      <c r="AX4" s="353"/>
      <c r="AY4" s="352"/>
      <c r="AZ4" s="339" t="s">
        <v>2143</v>
      </c>
      <c r="BA4" s="339" t="e">
        <f>VLOOKUP(I4,#REF!,2,0)</f>
        <v>#REF!</v>
      </c>
      <c r="BB4" s="339"/>
      <c r="BC4" s="355"/>
      <c r="BD4" s="340">
        <v>44257</v>
      </c>
      <c r="BE4" s="340">
        <v>44259</v>
      </c>
      <c r="BF4" s="340"/>
      <c r="BG4" s="340"/>
      <c r="BH4" s="355"/>
      <c r="BI4" s="340" t="e">
        <f>NETWORKDAYS(BF4,BG4,#REF!)</f>
        <v>#REF!</v>
      </c>
      <c r="BJ4" s="355"/>
      <c r="BK4" s="357"/>
      <c r="BL4" s="584"/>
      <c r="BM4" s="584" t="s">
        <v>2144</v>
      </c>
      <c r="BN4" s="584"/>
      <c r="BO4" s="584"/>
      <c r="BP4" s="584"/>
      <c r="BQ4" s="584"/>
      <c r="BR4" s="586"/>
      <c r="BS4" s="362"/>
    </row>
    <row r="5" spans="1:71" ht="409.5" x14ac:dyDescent="0.25">
      <c r="A5" s="190" t="s">
        <v>3110</v>
      </c>
      <c r="B5" s="3">
        <v>1</v>
      </c>
      <c r="C5" s="167" t="s">
        <v>225</v>
      </c>
      <c r="D5" s="40" t="s">
        <v>3111</v>
      </c>
      <c r="E5" s="39" t="s">
        <v>173</v>
      </c>
      <c r="F5" s="39" t="s">
        <v>326</v>
      </c>
      <c r="G5" s="39"/>
      <c r="H5" s="39" t="s">
        <v>173</v>
      </c>
      <c r="I5" s="81"/>
      <c r="J5" s="41" t="s">
        <v>2292</v>
      </c>
      <c r="K5" s="41" t="s">
        <v>393</v>
      </c>
      <c r="L5" s="41" t="s">
        <v>2293</v>
      </c>
      <c r="M5" s="42" t="str">
        <f t="shared" si="0"/>
        <v>Zaira Lizbeth Martínez Laurel</v>
      </c>
      <c r="N5" s="985" t="s">
        <v>198</v>
      </c>
      <c r="O5" s="985" t="s">
        <v>198</v>
      </c>
      <c r="P5" s="991" t="s">
        <v>3112</v>
      </c>
      <c r="Q5" s="992">
        <v>2174684.3620689656</v>
      </c>
      <c r="R5" s="44">
        <f t="shared" si="1"/>
        <v>347949.49793103448</v>
      </c>
      <c r="S5" s="45">
        <f t="shared" si="2"/>
        <v>2522633.86</v>
      </c>
      <c r="T5" s="46">
        <v>327586.21000000002</v>
      </c>
      <c r="U5" s="47">
        <f t="shared" si="3"/>
        <v>380000.00360000005</v>
      </c>
      <c r="V5" s="44">
        <f t="shared" ref="V5:V36" si="4">S5+AL5</f>
        <v>1837528.54</v>
      </c>
      <c r="W5" s="993" t="s">
        <v>156</v>
      </c>
      <c r="X5" s="48">
        <v>44200</v>
      </c>
      <c r="Y5" s="39" t="s">
        <v>157</v>
      </c>
      <c r="Z5" s="48">
        <v>44197</v>
      </c>
      <c r="AA5" s="48">
        <v>44561</v>
      </c>
      <c r="AB5" s="38" t="s">
        <v>3113</v>
      </c>
      <c r="AC5" s="38"/>
      <c r="AD5" s="59" t="s">
        <v>3114</v>
      </c>
      <c r="AE5" s="59" t="s">
        <v>161</v>
      </c>
      <c r="AF5" s="59" t="s">
        <v>161</v>
      </c>
      <c r="AG5" s="59" t="s">
        <v>161</v>
      </c>
      <c r="AH5" s="155" t="s">
        <v>3115</v>
      </c>
      <c r="AI5" s="38" t="s">
        <v>3116</v>
      </c>
      <c r="AJ5" s="14" t="s">
        <v>3117</v>
      </c>
      <c r="AK5" s="50">
        <v>44361</v>
      </c>
      <c r="AL5" s="44">
        <v>-685105.32</v>
      </c>
      <c r="AM5" s="198" t="s">
        <v>3118</v>
      </c>
      <c r="AN5" s="73"/>
      <c r="AO5" s="39"/>
      <c r="AP5" s="39" t="s">
        <v>157</v>
      </c>
      <c r="AQ5" s="39"/>
      <c r="AR5" s="39" t="s">
        <v>157</v>
      </c>
      <c r="AS5" s="39"/>
      <c r="AT5" s="39"/>
      <c r="AU5" s="51"/>
      <c r="AV5" s="50"/>
      <c r="AW5" s="38"/>
      <c r="AX5" s="52"/>
      <c r="AY5" s="170" t="s">
        <v>3119</v>
      </c>
      <c r="AZ5" s="38" t="s">
        <v>3120</v>
      </c>
      <c r="BA5" s="38" t="s">
        <v>3121</v>
      </c>
      <c r="BB5" s="73">
        <f t="shared" ref="BB5:BB23" si="5">AN5</f>
        <v>0</v>
      </c>
      <c r="BC5" s="159"/>
      <c r="BD5" s="59">
        <v>44187</v>
      </c>
      <c r="BE5" s="59">
        <v>44196</v>
      </c>
      <c r="BF5" s="58">
        <v>44200</v>
      </c>
      <c r="BG5" s="58">
        <v>44201</v>
      </c>
      <c r="BH5" s="183" t="str">
        <f t="shared" ref="BH5:BH42" si="6">AY5</f>
        <v>Formalizado 03/02/2021
Formalizado Conv Terminación en tesorería 22/6</v>
      </c>
      <c r="BI5" s="195">
        <v>44230</v>
      </c>
      <c r="BJ5" s="185">
        <f>BI5</f>
        <v>44230</v>
      </c>
      <c r="BK5" s="186" t="str">
        <f t="shared" ref="BK5:BK36" si="7">AY5</f>
        <v>Formalizado 03/02/2021
Formalizado Conv Terminación en tesorería 22/6</v>
      </c>
      <c r="BL5" s="84"/>
      <c r="BM5" s="84"/>
      <c r="BN5" s="84"/>
      <c r="BO5" s="84"/>
      <c r="BP5" s="84"/>
    </row>
    <row r="6" spans="1:71" ht="180" x14ac:dyDescent="0.25">
      <c r="A6" s="196" t="s">
        <v>3122</v>
      </c>
      <c r="B6" s="5">
        <v>2</v>
      </c>
      <c r="C6" s="193" t="s">
        <v>149</v>
      </c>
      <c r="D6" s="156" t="s">
        <v>2975</v>
      </c>
      <c r="E6" s="39" t="s">
        <v>163</v>
      </c>
      <c r="F6" s="73" t="s">
        <v>568</v>
      </c>
      <c r="G6" s="685" t="s">
        <v>546</v>
      </c>
      <c r="H6" s="39" t="s">
        <v>2237</v>
      </c>
      <c r="I6" s="87" t="s">
        <v>1162</v>
      </c>
      <c r="J6" s="88"/>
      <c r="K6" s="88"/>
      <c r="L6" s="88"/>
      <c r="M6" s="42" t="str">
        <f t="shared" si="0"/>
        <v xml:space="preserve">Lemonroy Business Solutions, S.A. de C.V.  </v>
      </c>
      <c r="N6" s="985" t="s">
        <v>198</v>
      </c>
      <c r="O6" s="985" t="s">
        <v>198</v>
      </c>
      <c r="P6" s="991" t="s">
        <v>3123</v>
      </c>
      <c r="Q6" s="992">
        <v>3361368</v>
      </c>
      <c r="R6" s="44">
        <f t="shared" si="1"/>
        <v>537818.88</v>
      </c>
      <c r="S6" s="45">
        <f t="shared" si="2"/>
        <v>3899186.88</v>
      </c>
      <c r="T6" s="46">
        <v>2053302.96</v>
      </c>
      <c r="U6" s="47">
        <f t="shared" si="3"/>
        <v>2381831.4336000001</v>
      </c>
      <c r="V6" s="44">
        <f t="shared" si="4"/>
        <v>4873983.5999999996</v>
      </c>
      <c r="W6" s="1003" t="s">
        <v>156</v>
      </c>
      <c r="X6" s="94">
        <v>44200</v>
      </c>
      <c r="Y6" s="73" t="s">
        <v>157</v>
      </c>
      <c r="Z6" s="48">
        <v>44197</v>
      </c>
      <c r="AA6" s="213">
        <v>44651</v>
      </c>
      <c r="AB6" s="38" t="s">
        <v>2033</v>
      </c>
      <c r="AC6" s="71"/>
      <c r="AD6" s="95" t="s">
        <v>3124</v>
      </c>
      <c r="AE6" s="95" t="s">
        <v>3125</v>
      </c>
      <c r="AF6" s="95" t="s">
        <v>161</v>
      </c>
      <c r="AG6" s="95" t="s">
        <v>161</v>
      </c>
      <c r="AH6" s="155" t="s">
        <v>3126</v>
      </c>
      <c r="AI6" s="211" t="s">
        <v>3127</v>
      </c>
      <c r="AJ6" s="38" t="s">
        <v>3128</v>
      </c>
      <c r="AK6" s="218">
        <v>44561</v>
      </c>
      <c r="AL6" s="90">
        <v>974796.72</v>
      </c>
      <c r="AM6" s="73" t="str">
        <f ca="1">IF(ISBLANK(AA6),"",IF(AA6&gt;=TODAY(),"VIGENTE","MUERTO"))</f>
        <v>MUERTO</v>
      </c>
      <c r="AN6" s="73">
        <v>35301</v>
      </c>
      <c r="AO6" s="73"/>
      <c r="AP6" s="39" t="s">
        <v>157</v>
      </c>
      <c r="AQ6" s="39"/>
      <c r="AR6" s="39" t="s">
        <v>157</v>
      </c>
      <c r="AS6" s="39"/>
      <c r="AT6" s="39"/>
      <c r="AU6" s="51"/>
      <c r="AV6" s="50"/>
      <c r="AW6" s="38"/>
      <c r="AX6" s="52"/>
      <c r="AY6" s="170" t="s">
        <v>3129</v>
      </c>
      <c r="AZ6" s="71"/>
      <c r="BA6" s="71" t="e">
        <f>VLOOKUP(I6,#REF!,2,0)</f>
        <v>#REF!</v>
      </c>
      <c r="BB6" s="73">
        <f t="shared" si="5"/>
        <v>35301</v>
      </c>
      <c r="BC6" s="159" t="s">
        <v>3130</v>
      </c>
      <c r="BD6" s="95" t="s">
        <v>3131</v>
      </c>
      <c r="BE6" s="95" t="s">
        <v>3132</v>
      </c>
      <c r="BF6" s="96" t="s">
        <v>3133</v>
      </c>
      <c r="BG6" s="96">
        <v>44214</v>
      </c>
      <c r="BH6" s="183" t="str">
        <f t="shared" si="6"/>
        <v>Formalizado 24/02/2021
1er  Modif co endosos FC y PRC formalizado 26/01/22</v>
      </c>
      <c r="BI6" s="195" t="s">
        <v>3134</v>
      </c>
      <c r="BJ6" s="185" t="s">
        <v>3135</v>
      </c>
      <c r="BK6" s="186" t="str">
        <f t="shared" si="7"/>
        <v>Formalizado 24/02/2021
1er  Modif co endosos FC y PRC formalizado 26/01/22</v>
      </c>
      <c r="BL6" s="99"/>
      <c r="BM6" s="99"/>
      <c r="BN6" s="99"/>
      <c r="BO6" s="99"/>
      <c r="BP6" s="99"/>
    </row>
    <row r="7" spans="1:71" ht="105" x14ac:dyDescent="0.25">
      <c r="A7" s="168" t="s">
        <v>3136</v>
      </c>
      <c r="B7" s="3">
        <v>3</v>
      </c>
      <c r="C7" s="167" t="s">
        <v>149</v>
      </c>
      <c r="D7" s="40" t="s">
        <v>3137</v>
      </c>
      <c r="E7" s="39" t="s">
        <v>151</v>
      </c>
      <c r="F7" s="39" t="s">
        <v>152</v>
      </c>
      <c r="G7" s="39"/>
      <c r="H7" s="39" t="s">
        <v>151</v>
      </c>
      <c r="I7" s="81" t="s">
        <v>3138</v>
      </c>
      <c r="J7" s="41"/>
      <c r="K7" s="41"/>
      <c r="L7" s="41"/>
      <c r="M7" s="42" t="str">
        <f t="shared" si="0"/>
        <v xml:space="preserve">Servipro de México, S.A. de C.V.  </v>
      </c>
      <c r="N7" s="985" t="s">
        <v>198</v>
      </c>
      <c r="O7" s="985" t="s">
        <v>198</v>
      </c>
      <c r="P7" s="991" t="s">
        <v>3139</v>
      </c>
      <c r="Q7" s="992">
        <v>732758.62</v>
      </c>
      <c r="R7" s="44">
        <f t="shared" si="1"/>
        <v>117241.3792</v>
      </c>
      <c r="S7" s="45">
        <f t="shared" si="2"/>
        <v>849999.99919999996</v>
      </c>
      <c r="T7" s="46">
        <v>413793.1</v>
      </c>
      <c r="U7" s="47">
        <f t="shared" si="3"/>
        <v>479999.99599999998</v>
      </c>
      <c r="V7" s="44">
        <f t="shared" si="4"/>
        <v>849999.99919999996</v>
      </c>
      <c r="W7" s="993" t="s">
        <v>156</v>
      </c>
      <c r="X7" s="48">
        <v>44200</v>
      </c>
      <c r="Y7" s="39" t="s">
        <v>157</v>
      </c>
      <c r="Z7" s="48">
        <v>44197</v>
      </c>
      <c r="AA7" s="48">
        <v>44561</v>
      </c>
      <c r="AB7" s="38" t="s">
        <v>2033</v>
      </c>
      <c r="AC7" s="38"/>
      <c r="AD7" s="59" t="s">
        <v>3114</v>
      </c>
      <c r="AE7" s="59" t="s">
        <v>3140</v>
      </c>
      <c r="AF7" s="59" t="s">
        <v>161</v>
      </c>
      <c r="AG7" s="59" t="s">
        <v>161</v>
      </c>
      <c r="AH7" s="155" t="s">
        <v>3141</v>
      </c>
      <c r="AI7" s="38"/>
      <c r="AJ7" s="38"/>
      <c r="AK7" s="50"/>
      <c r="AL7" s="44"/>
      <c r="AM7" s="39" t="str">
        <f ca="1">IF(ISBLANK(AA7),"",IF(AA7&gt;=TODAY(),"VIGENTE","MUERTO"))</f>
        <v>MUERTO</v>
      </c>
      <c r="AN7" s="39">
        <v>35901</v>
      </c>
      <c r="AO7" s="39"/>
      <c r="AP7" s="39" t="s">
        <v>157</v>
      </c>
      <c r="AQ7" s="39"/>
      <c r="AR7" s="39" t="s">
        <v>157</v>
      </c>
      <c r="AS7" s="39"/>
      <c r="AT7" s="39"/>
      <c r="AU7" s="51"/>
      <c r="AV7" s="50"/>
      <c r="AW7" s="38"/>
      <c r="AX7" s="52"/>
      <c r="AY7" s="170" t="s">
        <v>3142</v>
      </c>
      <c r="AZ7" s="38"/>
      <c r="BA7" s="38" t="e">
        <f>VLOOKUP(I7,#REF!,2,0)</f>
        <v>#REF!</v>
      </c>
      <c r="BB7" s="73">
        <f t="shared" si="5"/>
        <v>35901</v>
      </c>
      <c r="BC7" s="160" t="s">
        <v>3143</v>
      </c>
      <c r="BD7" s="59">
        <v>44193</v>
      </c>
      <c r="BE7" s="59">
        <v>44196</v>
      </c>
      <c r="BF7" s="58">
        <v>44211</v>
      </c>
      <c r="BG7" s="58">
        <v>44214</v>
      </c>
      <c r="BH7" s="183" t="str">
        <f t="shared" si="6"/>
        <v>Formalizado 02/02/2021</v>
      </c>
      <c r="BI7" s="195">
        <v>44230</v>
      </c>
      <c r="BJ7" s="185">
        <f>BI7</f>
        <v>44230</v>
      </c>
      <c r="BK7" s="186" t="str">
        <f t="shared" si="7"/>
        <v>Formalizado 02/02/2021</v>
      </c>
      <c r="BL7" s="84"/>
      <c r="BM7" s="84"/>
      <c r="BN7" s="84"/>
      <c r="BO7" s="84"/>
      <c r="BP7" s="84"/>
    </row>
    <row r="8" spans="1:71" s="468" customFormat="1" ht="105" x14ac:dyDescent="0.25">
      <c r="A8" s="168" t="s">
        <v>3144</v>
      </c>
      <c r="B8" s="3">
        <v>4</v>
      </c>
      <c r="C8" s="167" t="s">
        <v>149</v>
      </c>
      <c r="D8" s="40" t="s">
        <v>3145</v>
      </c>
      <c r="E8" s="39" t="s">
        <v>173</v>
      </c>
      <c r="F8" s="39" t="s">
        <v>326</v>
      </c>
      <c r="G8" s="39"/>
      <c r="H8" s="39" t="s">
        <v>173</v>
      </c>
      <c r="I8" s="81" t="s">
        <v>1966</v>
      </c>
      <c r="J8" s="41"/>
      <c r="K8" s="41"/>
      <c r="L8" s="41"/>
      <c r="M8" s="42" t="str">
        <f t="shared" si="0"/>
        <v xml:space="preserve">Corporate Accon en Conocimientos e Ingeniería, S.A. de C.V.  </v>
      </c>
      <c r="N8" s="985" t="s">
        <v>166</v>
      </c>
      <c r="O8" s="985" t="s">
        <v>315</v>
      </c>
      <c r="P8" s="991" t="s">
        <v>3146</v>
      </c>
      <c r="Q8" s="992">
        <v>1062000</v>
      </c>
      <c r="R8" s="44">
        <f t="shared" si="1"/>
        <v>169920</v>
      </c>
      <c r="S8" s="45">
        <f t="shared" si="2"/>
        <v>1231920</v>
      </c>
      <c r="T8" s="46">
        <v>0</v>
      </c>
      <c r="U8" s="47">
        <f t="shared" si="3"/>
        <v>0</v>
      </c>
      <c r="V8" s="44">
        <f t="shared" si="4"/>
        <v>1231920</v>
      </c>
      <c r="W8" s="993" t="s">
        <v>156</v>
      </c>
      <c r="X8" s="48">
        <v>44200</v>
      </c>
      <c r="Y8" s="39" t="s">
        <v>157</v>
      </c>
      <c r="Z8" s="48">
        <v>44197</v>
      </c>
      <c r="AA8" s="48">
        <v>44561</v>
      </c>
      <c r="AB8" s="38" t="s">
        <v>2637</v>
      </c>
      <c r="AC8" s="38"/>
      <c r="AD8" s="59" t="s">
        <v>3147</v>
      </c>
      <c r="AE8" s="59" t="s">
        <v>3147</v>
      </c>
      <c r="AF8" s="59" t="s">
        <v>161</v>
      </c>
      <c r="AG8" s="59">
        <v>44581</v>
      </c>
      <c r="AH8" s="155" t="s">
        <v>3148</v>
      </c>
      <c r="AI8" s="38"/>
      <c r="AJ8" s="38"/>
      <c r="AK8" s="50"/>
      <c r="AL8" s="44"/>
      <c r="AM8" s="149" t="str">
        <f ca="1">IF(ISBLANK(AA8),"",IF(AA8&gt;=TODAY(),"VIGENTE","MUERTO"))</f>
        <v>MUERTO</v>
      </c>
      <c r="AN8" s="39">
        <v>35701</v>
      </c>
      <c r="AO8" s="39"/>
      <c r="AP8" s="39" t="s">
        <v>157</v>
      </c>
      <c r="AQ8" s="39"/>
      <c r="AR8" s="39" t="s">
        <v>157</v>
      </c>
      <c r="AS8" s="39"/>
      <c r="AT8" s="39"/>
      <c r="AU8" s="51"/>
      <c r="AV8" s="50"/>
      <c r="AW8" s="38"/>
      <c r="AX8" s="52"/>
      <c r="AY8" s="170" t="s">
        <v>3149</v>
      </c>
      <c r="AZ8" s="38"/>
      <c r="BA8" s="38" t="e">
        <f>VLOOKUP(I8,#REF!,2,0)</f>
        <v>#REF!</v>
      </c>
      <c r="BB8" s="73">
        <f t="shared" si="5"/>
        <v>35701</v>
      </c>
      <c r="BC8" s="55" t="s">
        <v>3150</v>
      </c>
      <c r="BD8" s="59">
        <v>44195</v>
      </c>
      <c r="BE8" s="59">
        <v>44196</v>
      </c>
      <c r="BF8" s="58">
        <v>44210</v>
      </c>
      <c r="BG8" s="58">
        <v>44211</v>
      </c>
      <c r="BH8" s="183" t="str">
        <f t="shared" si="6"/>
        <v>Formalizado 12/02/2021</v>
      </c>
      <c r="BI8" s="195">
        <v>44236</v>
      </c>
      <c r="BJ8" s="185">
        <f>BI8</f>
        <v>44236</v>
      </c>
      <c r="BK8" s="186" t="str">
        <f t="shared" si="7"/>
        <v>Formalizado 12/02/2021</v>
      </c>
      <c r="BL8" s="84"/>
      <c r="BM8" s="84"/>
      <c r="BN8" s="84"/>
      <c r="BO8" s="84"/>
      <c r="BP8" s="84"/>
      <c r="BQ8"/>
      <c r="BR8"/>
      <c r="BS8"/>
    </row>
    <row r="9" spans="1:71" ht="135" x14ac:dyDescent="0.25">
      <c r="A9" s="201" t="s">
        <v>3151</v>
      </c>
      <c r="B9" s="3">
        <v>5</v>
      </c>
      <c r="C9" s="167" t="s">
        <v>149</v>
      </c>
      <c r="D9" s="40" t="s">
        <v>3145</v>
      </c>
      <c r="E9" s="39" t="s">
        <v>173</v>
      </c>
      <c r="F9" s="39" t="s">
        <v>326</v>
      </c>
      <c r="G9" s="39"/>
      <c r="H9" s="39" t="s">
        <v>173</v>
      </c>
      <c r="I9" s="81" t="s">
        <v>3152</v>
      </c>
      <c r="J9" s="41"/>
      <c r="K9" s="41"/>
      <c r="L9" s="41"/>
      <c r="M9" s="42" t="str">
        <f t="shared" si="0"/>
        <v xml:space="preserve">Mantenimientos Godupe, S.A. de C.V.  </v>
      </c>
      <c r="N9" s="985" t="s">
        <v>166</v>
      </c>
      <c r="O9" s="985" t="s">
        <v>315</v>
      </c>
      <c r="P9" s="991" t="s">
        <v>3153</v>
      </c>
      <c r="Q9" s="992">
        <v>1344840</v>
      </c>
      <c r="R9" s="44">
        <f t="shared" si="1"/>
        <v>215174.39999999999</v>
      </c>
      <c r="S9" s="45">
        <f t="shared" si="2"/>
        <v>1560014.4</v>
      </c>
      <c r="T9" s="46">
        <v>0</v>
      </c>
      <c r="U9" s="47">
        <f t="shared" si="3"/>
        <v>0</v>
      </c>
      <c r="V9" s="44">
        <f t="shared" si="4"/>
        <v>520004.79999999993</v>
      </c>
      <c r="W9" s="993" t="s">
        <v>156</v>
      </c>
      <c r="X9" s="48">
        <v>44200</v>
      </c>
      <c r="Y9" s="39" t="s">
        <v>157</v>
      </c>
      <c r="Z9" s="48">
        <v>44197</v>
      </c>
      <c r="AA9" s="48">
        <v>44561</v>
      </c>
      <c r="AB9" s="38" t="s">
        <v>2017</v>
      </c>
      <c r="AC9" s="38"/>
      <c r="AD9" s="59" t="s">
        <v>3154</v>
      </c>
      <c r="AE9" s="59" t="s">
        <v>3155</v>
      </c>
      <c r="AF9" s="59" t="s">
        <v>161</v>
      </c>
      <c r="AG9" s="59" t="s">
        <v>2653</v>
      </c>
      <c r="AH9" s="155" t="s">
        <v>3156</v>
      </c>
      <c r="AI9" s="40" t="s">
        <v>1118</v>
      </c>
      <c r="AJ9" s="38" t="s">
        <v>3157</v>
      </c>
      <c r="AK9" s="50">
        <v>44474</v>
      </c>
      <c r="AL9" s="44">
        <v>-1040009.6</v>
      </c>
      <c r="AM9" s="149" t="s">
        <v>1388</v>
      </c>
      <c r="AN9" s="39">
        <v>35701</v>
      </c>
      <c r="AO9" s="39"/>
      <c r="AP9" s="39" t="s">
        <v>157</v>
      </c>
      <c r="AQ9" s="39"/>
      <c r="AR9" s="39" t="s">
        <v>157</v>
      </c>
      <c r="AS9" s="39"/>
      <c r="AT9" s="39"/>
      <c r="AU9" s="51"/>
      <c r="AV9" s="50"/>
      <c r="AW9" s="38"/>
      <c r="AX9" s="52"/>
      <c r="AY9" s="170" t="s">
        <v>3158</v>
      </c>
      <c r="AZ9" s="38" t="s">
        <v>3159</v>
      </c>
      <c r="BA9" s="38" t="s">
        <v>3160</v>
      </c>
      <c r="BB9" s="73">
        <f t="shared" si="5"/>
        <v>35701</v>
      </c>
      <c r="BC9" s="55" t="s">
        <v>3161</v>
      </c>
      <c r="BD9" s="59">
        <v>44195</v>
      </c>
      <c r="BE9" s="59">
        <v>44196</v>
      </c>
      <c r="BF9" s="58">
        <v>44225</v>
      </c>
      <c r="BG9" s="58">
        <v>44225</v>
      </c>
      <c r="BH9" s="183" t="str">
        <f t="shared" si="6"/>
        <v>Formalizado 19/02/2021
Terminación Anticipada  en tesoreria 20/10/21</v>
      </c>
      <c r="BI9" s="195" t="s">
        <v>3162</v>
      </c>
      <c r="BJ9" s="185" t="s">
        <v>3163</v>
      </c>
      <c r="BK9" s="186" t="str">
        <f t="shared" si="7"/>
        <v>Formalizado 19/02/2021
Terminación Anticipada  en tesoreria 20/10/21</v>
      </c>
      <c r="BL9" s="84"/>
      <c r="BM9" s="84"/>
      <c r="BN9" s="84"/>
      <c r="BO9" s="84"/>
      <c r="BP9" s="84"/>
    </row>
    <row r="10" spans="1:71" ht="105" x14ac:dyDescent="0.25">
      <c r="A10" s="196" t="s">
        <v>3164</v>
      </c>
      <c r="B10" s="3">
        <v>6</v>
      </c>
      <c r="C10" s="167" t="s">
        <v>225</v>
      </c>
      <c r="D10" s="40" t="s">
        <v>3111</v>
      </c>
      <c r="E10" s="39" t="s">
        <v>173</v>
      </c>
      <c r="F10" s="39" t="s">
        <v>326</v>
      </c>
      <c r="G10" s="39"/>
      <c r="H10" s="39" t="s">
        <v>173</v>
      </c>
      <c r="I10" s="81" t="s">
        <v>2310</v>
      </c>
      <c r="J10" s="41"/>
      <c r="K10" s="41"/>
      <c r="L10" s="41"/>
      <c r="M10" s="42" t="str">
        <f t="shared" si="0"/>
        <v xml:space="preserve">Sanipap de México, S.A. de C.V.  </v>
      </c>
      <c r="N10" s="985" t="s">
        <v>198</v>
      </c>
      <c r="O10" s="985" t="s">
        <v>198</v>
      </c>
      <c r="P10" s="991" t="s">
        <v>3165</v>
      </c>
      <c r="Q10" s="992">
        <v>1724137.93</v>
      </c>
      <c r="R10" s="44">
        <f t="shared" si="1"/>
        <v>275862.06880000001</v>
      </c>
      <c r="S10" s="45">
        <f t="shared" si="2"/>
        <v>1999999.9987999999</v>
      </c>
      <c r="T10" s="46">
        <v>862068.97</v>
      </c>
      <c r="U10" s="47">
        <f t="shared" si="3"/>
        <v>1000000.0052</v>
      </c>
      <c r="V10" s="44">
        <f t="shared" si="4"/>
        <v>1999999.9987999999</v>
      </c>
      <c r="W10" s="993" t="s">
        <v>156</v>
      </c>
      <c r="X10" s="48">
        <v>44200</v>
      </c>
      <c r="Y10" s="39" t="s">
        <v>157</v>
      </c>
      <c r="Z10" s="48">
        <v>44197</v>
      </c>
      <c r="AA10" s="48">
        <v>44561</v>
      </c>
      <c r="AB10" s="38" t="s">
        <v>3113</v>
      </c>
      <c r="AC10" s="38" t="s">
        <v>3166</v>
      </c>
      <c r="AD10" s="59" t="s">
        <v>3167</v>
      </c>
      <c r="AE10" s="59" t="s">
        <v>161</v>
      </c>
      <c r="AF10" s="59" t="s">
        <v>161</v>
      </c>
      <c r="AG10" s="59" t="s">
        <v>161</v>
      </c>
      <c r="AH10" s="155" t="s">
        <v>3168</v>
      </c>
      <c r="AI10" s="14" t="s">
        <v>3169</v>
      </c>
      <c r="AJ10" s="38" t="s">
        <v>3170</v>
      </c>
      <c r="AK10" s="50">
        <v>44328</v>
      </c>
      <c r="AL10" s="44">
        <v>0</v>
      </c>
      <c r="AM10" s="149" t="str">
        <f t="shared" ref="AM10:AM32" ca="1" si="8">IF(ISBLANK(AA10),"",IF(AA10&gt;=TODAY(),"VIGENTE","MUERTO"))</f>
        <v>MUERTO</v>
      </c>
      <c r="AN10" s="39">
        <v>21601</v>
      </c>
      <c r="AO10" s="39"/>
      <c r="AP10" s="39" t="s">
        <v>157</v>
      </c>
      <c r="AQ10" s="39"/>
      <c r="AR10" s="39" t="s">
        <v>157</v>
      </c>
      <c r="AS10" s="39"/>
      <c r="AT10" s="39"/>
      <c r="AU10" s="51"/>
      <c r="AV10" s="50"/>
      <c r="AW10" s="38"/>
      <c r="AX10" s="52"/>
      <c r="AY10" s="170" t="s">
        <v>3171</v>
      </c>
      <c r="AZ10" s="38"/>
      <c r="BA10" s="38" t="e">
        <f>VLOOKUP(I10,#REF!,2,0)</f>
        <v>#REF!</v>
      </c>
      <c r="BB10" s="39">
        <f t="shared" si="5"/>
        <v>21601</v>
      </c>
      <c r="BC10" s="55" t="s">
        <v>3172</v>
      </c>
      <c r="BD10" s="59">
        <v>44552</v>
      </c>
      <c r="BE10" s="59">
        <v>44196</v>
      </c>
      <c r="BF10" s="58">
        <v>44200</v>
      </c>
      <c r="BG10" s="58">
        <v>44200</v>
      </c>
      <c r="BH10" s="183" t="str">
        <f t="shared" si="6"/>
        <v>Formalizado C. 03/02/2021
M. formalizado 25/05/2021</v>
      </c>
      <c r="BI10" s="195" t="s">
        <v>3173</v>
      </c>
      <c r="BJ10" s="185" t="s">
        <v>3174</v>
      </c>
      <c r="BK10" s="186" t="str">
        <f t="shared" si="7"/>
        <v>Formalizado C. 03/02/2021
M. formalizado 25/05/2021</v>
      </c>
      <c r="BL10" s="84"/>
      <c r="BM10" s="84"/>
      <c r="BN10" s="84"/>
      <c r="BO10" s="84"/>
      <c r="BP10" s="84"/>
    </row>
    <row r="11" spans="1:71" ht="105" x14ac:dyDescent="0.25">
      <c r="A11" s="196" t="s">
        <v>3175</v>
      </c>
      <c r="B11" s="3">
        <v>7</v>
      </c>
      <c r="C11" s="167" t="s">
        <v>225</v>
      </c>
      <c r="D11" s="40" t="s">
        <v>3111</v>
      </c>
      <c r="E11" s="39" t="s">
        <v>173</v>
      </c>
      <c r="F11" s="39" t="s">
        <v>326</v>
      </c>
      <c r="G11" s="39"/>
      <c r="H11" s="39" t="s">
        <v>173</v>
      </c>
      <c r="I11" s="81" t="s">
        <v>3176</v>
      </c>
      <c r="J11" s="41"/>
      <c r="K11" s="41"/>
      <c r="L11" s="41"/>
      <c r="M11" s="42" t="str">
        <f t="shared" si="0"/>
        <v xml:space="preserve">Máquilas Plásticas Poliducto "C", S.A. de C.V.  </v>
      </c>
      <c r="N11" s="985" t="s">
        <v>198</v>
      </c>
      <c r="O11" s="985" t="s">
        <v>198</v>
      </c>
      <c r="P11" s="991" t="s">
        <v>3177</v>
      </c>
      <c r="Q11" s="992">
        <v>431034.48</v>
      </c>
      <c r="R11" s="44">
        <f t="shared" si="1"/>
        <v>68965.516799999998</v>
      </c>
      <c r="S11" s="45">
        <f t="shared" si="2"/>
        <v>499999.99679999996</v>
      </c>
      <c r="T11" s="46">
        <v>215517.24</v>
      </c>
      <c r="U11" s="47">
        <f t="shared" si="3"/>
        <v>249999.99839999998</v>
      </c>
      <c r="V11" s="44">
        <f t="shared" si="4"/>
        <v>499999.99679999996</v>
      </c>
      <c r="W11" s="993" t="s">
        <v>156</v>
      </c>
      <c r="X11" s="48">
        <v>44200</v>
      </c>
      <c r="Y11" s="39" t="s">
        <v>157</v>
      </c>
      <c r="Z11" s="48">
        <v>44197</v>
      </c>
      <c r="AA11" s="48">
        <v>44561</v>
      </c>
      <c r="AB11" s="38" t="s">
        <v>3113</v>
      </c>
      <c r="AC11" s="38" t="s">
        <v>3166</v>
      </c>
      <c r="AD11" s="59" t="s">
        <v>3178</v>
      </c>
      <c r="AE11" s="59" t="s">
        <v>161</v>
      </c>
      <c r="AF11" s="59" t="s">
        <v>161</v>
      </c>
      <c r="AG11" s="59" t="s">
        <v>161</v>
      </c>
      <c r="AH11" s="155" t="s">
        <v>3179</v>
      </c>
      <c r="AI11" s="38" t="s">
        <v>3169</v>
      </c>
      <c r="AJ11" s="38" t="s">
        <v>3170</v>
      </c>
      <c r="AK11" s="50">
        <v>44328</v>
      </c>
      <c r="AL11" s="44">
        <v>0</v>
      </c>
      <c r="AM11" s="149" t="str">
        <f t="shared" ca="1" si="8"/>
        <v>MUERTO</v>
      </c>
      <c r="AN11" s="39">
        <v>21601</v>
      </c>
      <c r="AO11" s="39"/>
      <c r="AP11" s="39" t="s">
        <v>157</v>
      </c>
      <c r="AQ11" s="39"/>
      <c r="AR11" s="39" t="s">
        <v>157</v>
      </c>
      <c r="AS11" s="39"/>
      <c r="AT11" s="39"/>
      <c r="AU11" s="51"/>
      <c r="AV11" s="50"/>
      <c r="AW11" s="38"/>
      <c r="AX11" s="52"/>
      <c r="AY11" s="170" t="s">
        <v>3180</v>
      </c>
      <c r="AZ11" s="38"/>
      <c r="BA11" s="38" t="s">
        <v>3181</v>
      </c>
      <c r="BB11" s="73">
        <f t="shared" si="5"/>
        <v>21601</v>
      </c>
      <c r="BC11" s="55" t="s">
        <v>3182</v>
      </c>
      <c r="BD11" s="59">
        <v>44552</v>
      </c>
      <c r="BE11" s="59">
        <v>44196</v>
      </c>
      <c r="BF11" s="58">
        <v>44200</v>
      </c>
      <c r="BG11" s="58">
        <v>44209</v>
      </c>
      <c r="BH11" s="183" t="str">
        <f t="shared" si="6"/>
        <v>Formalizado 19/02/2021
M. formalizado 25/05/2021</v>
      </c>
      <c r="BI11" s="195" t="s">
        <v>3183</v>
      </c>
      <c r="BJ11" s="185" t="s">
        <v>3184</v>
      </c>
      <c r="BK11" s="186" t="str">
        <f t="shared" si="7"/>
        <v>Formalizado 19/02/2021
M. formalizado 25/05/2021</v>
      </c>
      <c r="BL11" s="84"/>
      <c r="BM11" s="84"/>
      <c r="BN11" s="84"/>
      <c r="BO11" s="84"/>
      <c r="BP11" s="84"/>
    </row>
    <row r="12" spans="1:71" ht="105" x14ac:dyDescent="0.25">
      <c r="A12" s="196" t="s">
        <v>3185</v>
      </c>
      <c r="B12" s="3">
        <v>8</v>
      </c>
      <c r="C12" s="167" t="s">
        <v>225</v>
      </c>
      <c r="D12" s="40" t="s">
        <v>3111</v>
      </c>
      <c r="E12" s="39" t="s">
        <v>173</v>
      </c>
      <c r="F12" s="39" t="s">
        <v>326</v>
      </c>
      <c r="G12" s="39"/>
      <c r="H12" s="39" t="s">
        <v>173</v>
      </c>
      <c r="I12" s="81" t="s">
        <v>522</v>
      </c>
      <c r="J12" s="41"/>
      <c r="K12" s="41"/>
      <c r="L12" s="41"/>
      <c r="M12" s="42" t="str">
        <f t="shared" si="0"/>
        <v xml:space="preserve">Papelera Anzures, S.A. de C.V.  </v>
      </c>
      <c r="N12" s="985" t="s">
        <v>198</v>
      </c>
      <c r="O12" s="985" t="s">
        <v>198</v>
      </c>
      <c r="P12" s="991" t="s">
        <v>3186</v>
      </c>
      <c r="Q12" s="992">
        <v>448275.86</v>
      </c>
      <c r="R12" s="44">
        <f t="shared" si="1"/>
        <v>71724.137600000002</v>
      </c>
      <c r="S12" s="45">
        <f t="shared" si="2"/>
        <v>519999.9976</v>
      </c>
      <c r="T12" s="46">
        <v>224137.93</v>
      </c>
      <c r="U12" s="47">
        <f t="shared" si="3"/>
        <v>259999.9988</v>
      </c>
      <c r="V12" s="44">
        <f t="shared" si="4"/>
        <v>519999.9976</v>
      </c>
      <c r="W12" s="993" t="s">
        <v>156</v>
      </c>
      <c r="X12" s="48">
        <v>44200</v>
      </c>
      <c r="Y12" s="39" t="s">
        <v>157</v>
      </c>
      <c r="Z12" s="48">
        <v>44197</v>
      </c>
      <c r="AA12" s="48">
        <v>44561</v>
      </c>
      <c r="AB12" s="38" t="s">
        <v>3113</v>
      </c>
      <c r="AC12" s="38"/>
      <c r="AD12" s="59" t="s">
        <v>3187</v>
      </c>
      <c r="AE12" s="59" t="s">
        <v>161</v>
      </c>
      <c r="AF12" s="59" t="s">
        <v>161</v>
      </c>
      <c r="AG12" s="59" t="s">
        <v>161</v>
      </c>
      <c r="AH12" s="155" t="s">
        <v>3188</v>
      </c>
      <c r="AI12" s="38" t="s">
        <v>3169</v>
      </c>
      <c r="AJ12" s="38" t="s">
        <v>3170</v>
      </c>
      <c r="AK12" s="50">
        <v>44328</v>
      </c>
      <c r="AL12" s="44">
        <v>0</v>
      </c>
      <c r="AM12" s="149" t="str">
        <f t="shared" ca="1" si="8"/>
        <v>MUERTO</v>
      </c>
      <c r="AN12" s="39">
        <v>21601</v>
      </c>
      <c r="AO12" s="39"/>
      <c r="AP12" s="39" t="s">
        <v>157</v>
      </c>
      <c r="AQ12" s="39"/>
      <c r="AR12" s="39" t="s">
        <v>157</v>
      </c>
      <c r="AS12" s="39"/>
      <c r="AT12" s="39"/>
      <c r="AU12" s="51"/>
      <c r="AV12" s="50"/>
      <c r="AW12" s="38"/>
      <c r="AX12" s="52"/>
      <c r="AY12" s="170" t="s">
        <v>3189</v>
      </c>
      <c r="AZ12" s="38"/>
      <c r="BA12" s="38" t="e">
        <f>VLOOKUP(I12,#REF!,2,0)</f>
        <v>#REF!</v>
      </c>
      <c r="BB12" s="39">
        <f t="shared" si="5"/>
        <v>21601</v>
      </c>
      <c r="BC12" s="55" t="s">
        <v>3190</v>
      </c>
      <c r="BD12" s="59">
        <v>44552</v>
      </c>
      <c r="BE12" s="59">
        <v>44196</v>
      </c>
      <c r="BF12" s="58">
        <v>44200</v>
      </c>
      <c r="BG12" s="58">
        <v>44214</v>
      </c>
      <c r="BH12" s="183" t="str">
        <f t="shared" si="6"/>
        <v>Formalizado 03/02/2021
M 21/05/21</v>
      </c>
      <c r="BI12" s="195">
        <v>44214</v>
      </c>
      <c r="BJ12" s="185" t="s">
        <v>3191</v>
      </c>
      <c r="BK12" s="186" t="str">
        <f t="shared" si="7"/>
        <v>Formalizado 03/02/2021
M 21/05/21</v>
      </c>
      <c r="BL12" s="84"/>
      <c r="BM12" s="84"/>
      <c r="BN12" s="84"/>
      <c r="BO12" s="84"/>
      <c r="BP12" s="84"/>
    </row>
    <row r="13" spans="1:71" s="468" customFormat="1" ht="105" x14ac:dyDescent="0.25">
      <c r="A13" s="196" t="s">
        <v>3192</v>
      </c>
      <c r="B13" s="3">
        <v>9</v>
      </c>
      <c r="C13" s="167" t="s">
        <v>225</v>
      </c>
      <c r="D13" s="40" t="s">
        <v>3111</v>
      </c>
      <c r="E13" s="39" t="s">
        <v>173</v>
      </c>
      <c r="F13" s="39" t="s">
        <v>326</v>
      </c>
      <c r="G13" s="39"/>
      <c r="H13" s="39" t="s">
        <v>173</v>
      </c>
      <c r="I13" s="81" t="s">
        <v>1352</v>
      </c>
      <c r="J13" s="41"/>
      <c r="K13" s="41"/>
      <c r="L13" s="41"/>
      <c r="M13" s="42" t="str">
        <f t="shared" si="0"/>
        <v xml:space="preserve">Aba-Mexa, S.A. de C.V.  </v>
      </c>
      <c r="N13" s="985" t="s">
        <v>198</v>
      </c>
      <c r="O13" s="985" t="s">
        <v>198</v>
      </c>
      <c r="P13" s="991" t="s">
        <v>3193</v>
      </c>
      <c r="Q13" s="992">
        <v>13793.1</v>
      </c>
      <c r="R13" s="44">
        <f t="shared" si="1"/>
        <v>2206.8960000000002</v>
      </c>
      <c r="S13" s="45">
        <f t="shared" si="2"/>
        <v>15999.996000000001</v>
      </c>
      <c r="T13" s="46">
        <v>6896.55</v>
      </c>
      <c r="U13" s="47">
        <f t="shared" si="3"/>
        <v>7999.9980000000005</v>
      </c>
      <c r="V13" s="44">
        <f t="shared" si="4"/>
        <v>15999.996000000001</v>
      </c>
      <c r="W13" s="993" t="s">
        <v>156</v>
      </c>
      <c r="X13" s="48">
        <v>44200</v>
      </c>
      <c r="Y13" s="39" t="s">
        <v>157</v>
      </c>
      <c r="Z13" s="48">
        <v>44197</v>
      </c>
      <c r="AA13" s="48">
        <v>44561</v>
      </c>
      <c r="AB13" s="38" t="s">
        <v>3113</v>
      </c>
      <c r="AC13" s="38" t="s">
        <v>3166</v>
      </c>
      <c r="AD13" s="59" t="s">
        <v>3194</v>
      </c>
      <c r="AE13" s="59" t="s">
        <v>161</v>
      </c>
      <c r="AF13" s="59" t="s">
        <v>161</v>
      </c>
      <c r="AG13" s="59" t="s">
        <v>161</v>
      </c>
      <c r="AH13" s="155" t="s">
        <v>3195</v>
      </c>
      <c r="AI13" s="38" t="s">
        <v>3169</v>
      </c>
      <c r="AJ13" s="38" t="s">
        <v>3170</v>
      </c>
      <c r="AK13" s="50">
        <v>44328</v>
      </c>
      <c r="AL13" s="44">
        <v>0</v>
      </c>
      <c r="AM13" s="149" t="str">
        <f t="shared" ca="1" si="8"/>
        <v>MUERTO</v>
      </c>
      <c r="AN13" s="39">
        <v>21601</v>
      </c>
      <c r="AO13" s="39"/>
      <c r="AP13" s="39" t="s">
        <v>157</v>
      </c>
      <c r="AQ13" s="39"/>
      <c r="AR13" s="39" t="s">
        <v>157</v>
      </c>
      <c r="AS13" s="39"/>
      <c r="AT13" s="39"/>
      <c r="AU13" s="51"/>
      <c r="AV13" s="50"/>
      <c r="AW13" s="38"/>
      <c r="AX13" s="52"/>
      <c r="AY13" s="170" t="s">
        <v>3196</v>
      </c>
      <c r="AZ13" s="38"/>
      <c r="BA13" s="38" t="s">
        <v>3197</v>
      </c>
      <c r="BB13" s="39">
        <f t="shared" si="5"/>
        <v>21601</v>
      </c>
      <c r="BC13" s="55" t="s">
        <v>3198</v>
      </c>
      <c r="BD13" s="59">
        <v>44552</v>
      </c>
      <c r="BE13" s="59">
        <v>44196</v>
      </c>
      <c r="BF13" s="58">
        <v>44200</v>
      </c>
      <c r="BG13" s="58">
        <v>44200</v>
      </c>
      <c r="BH13" s="183" t="str">
        <f t="shared" si="6"/>
        <v>Formalizado 16/02/2021
M.  21/05/021</v>
      </c>
      <c r="BI13" s="195">
        <v>44232</v>
      </c>
      <c r="BJ13" s="185" t="s">
        <v>3199</v>
      </c>
      <c r="BK13" s="186" t="str">
        <f t="shared" si="7"/>
        <v>Formalizado 16/02/2021
M.  21/05/021</v>
      </c>
      <c r="BL13" s="84"/>
      <c r="BM13" s="84"/>
      <c r="BN13" s="84"/>
      <c r="BO13" s="84"/>
      <c r="BP13" s="84"/>
      <c r="BQ13"/>
      <c r="BR13"/>
      <c r="BS13"/>
    </row>
    <row r="14" spans="1:71" s="468" customFormat="1" ht="75" x14ac:dyDescent="0.25">
      <c r="A14" s="168" t="s">
        <v>3200</v>
      </c>
      <c r="B14" s="3">
        <v>10</v>
      </c>
      <c r="C14" s="167" t="s">
        <v>149</v>
      </c>
      <c r="D14" s="40" t="s">
        <v>3201</v>
      </c>
      <c r="E14" s="39" t="s">
        <v>151</v>
      </c>
      <c r="F14" s="39" t="s">
        <v>152</v>
      </c>
      <c r="G14" s="39"/>
      <c r="H14" s="39" t="s">
        <v>151</v>
      </c>
      <c r="I14" s="81" t="s">
        <v>569</v>
      </c>
      <c r="J14" s="41"/>
      <c r="K14" s="41"/>
      <c r="L14" s="41"/>
      <c r="M14" s="42" t="str">
        <f t="shared" si="0"/>
        <v xml:space="preserve">Audio Video &amp; Control, S.A. de C.V.  </v>
      </c>
      <c r="N14" s="1016" t="s">
        <v>190</v>
      </c>
      <c r="O14" s="1016" t="s">
        <v>3202</v>
      </c>
      <c r="P14" s="991" t="s">
        <v>3203</v>
      </c>
      <c r="Q14" s="992">
        <v>950000</v>
      </c>
      <c r="R14" s="44">
        <f t="shared" si="1"/>
        <v>152000</v>
      </c>
      <c r="S14" s="45">
        <f t="shared" si="2"/>
        <v>1102000</v>
      </c>
      <c r="T14" s="46">
        <v>600000</v>
      </c>
      <c r="U14" s="47">
        <f t="shared" si="3"/>
        <v>696000</v>
      </c>
      <c r="V14" s="44">
        <f t="shared" si="4"/>
        <v>1102000</v>
      </c>
      <c r="W14" s="993" t="s">
        <v>156</v>
      </c>
      <c r="X14" s="48">
        <v>44200</v>
      </c>
      <c r="Y14" s="39" t="s">
        <v>157</v>
      </c>
      <c r="Z14" s="48">
        <v>44197</v>
      </c>
      <c r="AA14" s="48">
        <v>44561</v>
      </c>
      <c r="AB14" s="38" t="s">
        <v>2071</v>
      </c>
      <c r="AC14" s="38"/>
      <c r="AD14" s="59" t="s">
        <v>3167</v>
      </c>
      <c r="AE14" s="59">
        <v>44224</v>
      </c>
      <c r="AF14" s="59" t="s">
        <v>161</v>
      </c>
      <c r="AG14" s="59" t="s">
        <v>161</v>
      </c>
      <c r="AH14" s="155" t="s">
        <v>3204</v>
      </c>
      <c r="AI14" s="38"/>
      <c r="AJ14" s="38"/>
      <c r="AK14" s="50"/>
      <c r="AL14" s="44"/>
      <c r="AM14" s="149" t="str">
        <f t="shared" ca="1" si="8"/>
        <v>MUERTO</v>
      </c>
      <c r="AN14" s="39">
        <v>35201</v>
      </c>
      <c r="AO14" s="39"/>
      <c r="AP14" s="39" t="s">
        <v>157</v>
      </c>
      <c r="AQ14" s="39"/>
      <c r="AR14" s="39" t="s">
        <v>157</v>
      </c>
      <c r="AS14" s="39"/>
      <c r="AT14" s="39"/>
      <c r="AU14" s="51"/>
      <c r="AV14" s="50"/>
      <c r="AW14" s="38"/>
      <c r="AX14" s="52"/>
      <c r="AY14" s="170" t="s">
        <v>3205</v>
      </c>
      <c r="AZ14" s="38"/>
      <c r="BA14" s="38" t="e">
        <f>VLOOKUP(I14,#REF!,2,0)</f>
        <v>#REF!</v>
      </c>
      <c r="BB14" s="73">
        <f t="shared" si="5"/>
        <v>35201</v>
      </c>
      <c r="BC14" s="55" t="s">
        <v>186</v>
      </c>
      <c r="BD14" s="59">
        <v>44553</v>
      </c>
      <c r="BE14" s="59">
        <v>44196</v>
      </c>
      <c r="BF14" s="58">
        <v>44210</v>
      </c>
      <c r="BG14" s="58">
        <v>44210</v>
      </c>
      <c r="BH14" s="183" t="str">
        <f t="shared" si="6"/>
        <v>Formalizado 18/02/2021</v>
      </c>
      <c r="BI14" s="195">
        <v>44214</v>
      </c>
      <c r="BJ14" s="185">
        <f t="shared" ref="BJ14:BJ19" si="9">BI14</f>
        <v>44214</v>
      </c>
      <c r="BK14" s="186" t="str">
        <f t="shared" si="7"/>
        <v>Formalizado 18/02/2021</v>
      </c>
      <c r="BL14" s="84"/>
      <c r="BM14" s="84"/>
      <c r="BN14" s="84"/>
      <c r="BO14" s="84"/>
      <c r="BP14" s="84"/>
      <c r="BQ14"/>
      <c r="BR14"/>
      <c r="BS14"/>
    </row>
    <row r="15" spans="1:71" ht="90" x14ac:dyDescent="0.25">
      <c r="A15" s="190" t="s">
        <v>3206</v>
      </c>
      <c r="B15" s="3">
        <v>11</v>
      </c>
      <c r="C15" s="167" t="s">
        <v>149</v>
      </c>
      <c r="D15" s="40" t="s">
        <v>3207</v>
      </c>
      <c r="E15" s="39" t="s">
        <v>163</v>
      </c>
      <c r="F15" s="39" t="s">
        <v>188</v>
      </c>
      <c r="G15" s="3" t="s">
        <v>163</v>
      </c>
      <c r="H15" s="39" t="s">
        <v>427</v>
      </c>
      <c r="I15" s="81" t="s">
        <v>1214</v>
      </c>
      <c r="J15" s="41"/>
      <c r="K15" s="41"/>
      <c r="L15" s="41"/>
      <c r="M15" s="42" t="str">
        <f t="shared" si="0"/>
        <v xml:space="preserve">Gaini, S.C.  </v>
      </c>
      <c r="N15" s="985" t="s">
        <v>179</v>
      </c>
      <c r="O15" s="985" t="s">
        <v>179</v>
      </c>
      <c r="P15" s="991" t="s">
        <v>3208</v>
      </c>
      <c r="Q15" s="992">
        <v>17896551.719999999</v>
      </c>
      <c r="R15" s="44">
        <f t="shared" si="1"/>
        <v>2863448.2752</v>
      </c>
      <c r="S15" s="45">
        <f t="shared" si="2"/>
        <v>20759999.995200001</v>
      </c>
      <c r="T15" s="46">
        <v>0</v>
      </c>
      <c r="U15" s="47">
        <f t="shared" si="3"/>
        <v>0</v>
      </c>
      <c r="V15" s="44">
        <f t="shared" si="4"/>
        <v>4324998.9952000007</v>
      </c>
      <c r="W15" s="993" t="s">
        <v>156</v>
      </c>
      <c r="X15" s="48">
        <v>44200</v>
      </c>
      <c r="Y15" s="39" t="s">
        <v>157</v>
      </c>
      <c r="Z15" s="48">
        <v>44197</v>
      </c>
      <c r="AA15" s="48">
        <v>44561</v>
      </c>
      <c r="AB15" s="38" t="s">
        <v>3113</v>
      </c>
      <c r="AC15" s="38"/>
      <c r="AD15" s="59" t="s">
        <v>3209</v>
      </c>
      <c r="AE15" s="59" t="s">
        <v>161</v>
      </c>
      <c r="AF15" s="59" t="s">
        <v>161</v>
      </c>
      <c r="AG15" s="59" t="s">
        <v>161</v>
      </c>
      <c r="AH15" s="155" t="s">
        <v>3210</v>
      </c>
      <c r="AI15" s="38" t="s">
        <v>3211</v>
      </c>
      <c r="AJ15" s="38" t="s">
        <v>3212</v>
      </c>
      <c r="AK15" s="218">
        <v>44330</v>
      </c>
      <c r="AL15" s="44">
        <v>-16435001</v>
      </c>
      <c r="AM15" s="149" t="str">
        <f t="shared" ca="1" si="8"/>
        <v>MUERTO</v>
      </c>
      <c r="AN15" s="39">
        <v>36901</v>
      </c>
      <c r="AO15" s="39"/>
      <c r="AP15" s="39" t="s">
        <v>157</v>
      </c>
      <c r="AQ15" s="39"/>
      <c r="AR15" s="39" t="s">
        <v>157</v>
      </c>
      <c r="AS15" s="39"/>
      <c r="AT15" s="39"/>
      <c r="AU15" s="51"/>
      <c r="AV15" s="50"/>
      <c r="AW15" s="38"/>
      <c r="AX15" s="52"/>
      <c r="AY15" s="170" t="s">
        <v>3149</v>
      </c>
      <c r="AZ15" s="38"/>
      <c r="BA15" s="38" t="s">
        <v>3213</v>
      </c>
      <c r="BB15" s="73">
        <f t="shared" si="5"/>
        <v>36901</v>
      </c>
      <c r="BC15" s="55" t="s">
        <v>186</v>
      </c>
      <c r="BD15" s="59">
        <v>44187</v>
      </c>
      <c r="BE15" s="59">
        <v>44196</v>
      </c>
      <c r="BF15" s="58">
        <v>44211</v>
      </c>
      <c r="BG15" s="58">
        <v>44211</v>
      </c>
      <c r="BH15" s="183" t="str">
        <f t="shared" si="6"/>
        <v>Formalizado 12/02/2021</v>
      </c>
      <c r="BI15" s="195">
        <v>44231</v>
      </c>
      <c r="BJ15" s="185">
        <f t="shared" si="9"/>
        <v>44231</v>
      </c>
      <c r="BK15" s="186" t="str">
        <f t="shared" si="7"/>
        <v>Formalizado 12/02/2021</v>
      </c>
      <c r="BL15" s="84"/>
      <c r="BM15" s="84"/>
      <c r="BN15" s="84"/>
      <c r="BO15" s="84"/>
      <c r="BP15" s="84"/>
    </row>
    <row r="16" spans="1:71" ht="165" x14ac:dyDescent="0.25">
      <c r="A16" s="168" t="s">
        <v>3214</v>
      </c>
      <c r="B16" s="3">
        <v>12</v>
      </c>
      <c r="C16" s="167" t="s">
        <v>149</v>
      </c>
      <c r="D16" s="40" t="s">
        <v>3215</v>
      </c>
      <c r="E16" s="39" t="s">
        <v>163</v>
      </c>
      <c r="F16" s="39" t="s">
        <v>312</v>
      </c>
      <c r="G16" s="685" t="s">
        <v>546</v>
      </c>
      <c r="H16" s="39" t="s">
        <v>2237</v>
      </c>
      <c r="I16" s="81" t="s">
        <v>2436</v>
      </c>
      <c r="J16" s="41"/>
      <c r="K16" s="41"/>
      <c r="L16" s="41"/>
      <c r="M16" s="42" t="str">
        <f t="shared" si="0"/>
        <v xml:space="preserve">Teletec de México, S.A.P.I. de C.V.  </v>
      </c>
      <c r="N16" s="985" t="s">
        <v>198</v>
      </c>
      <c r="O16" s="985" t="s">
        <v>198</v>
      </c>
      <c r="P16" s="991" t="s">
        <v>3216</v>
      </c>
      <c r="Q16" s="992">
        <v>4422247.16</v>
      </c>
      <c r="R16" s="44">
        <f t="shared" si="1"/>
        <v>707559.54560000007</v>
      </c>
      <c r="S16" s="45">
        <f t="shared" si="2"/>
        <v>5129806.7056</v>
      </c>
      <c r="T16" s="46">
        <v>3975120</v>
      </c>
      <c r="U16" s="47">
        <f t="shared" si="3"/>
        <v>4611139.2</v>
      </c>
      <c r="V16" s="44">
        <f t="shared" si="4"/>
        <v>5129806.7056</v>
      </c>
      <c r="W16" s="993" t="s">
        <v>156</v>
      </c>
      <c r="X16" s="48">
        <v>44200</v>
      </c>
      <c r="Y16" s="39" t="s">
        <v>157</v>
      </c>
      <c r="Z16" s="48">
        <v>44197</v>
      </c>
      <c r="AA16" s="48">
        <v>44561</v>
      </c>
      <c r="AB16" s="38" t="s">
        <v>2033</v>
      </c>
      <c r="AC16" s="38"/>
      <c r="AD16" s="59" t="s">
        <v>3217</v>
      </c>
      <c r="AE16" s="59">
        <v>44224</v>
      </c>
      <c r="AF16" s="59" t="s">
        <v>161</v>
      </c>
      <c r="AG16" s="59" t="s">
        <v>161</v>
      </c>
      <c r="AH16" s="155" t="s">
        <v>3218</v>
      </c>
      <c r="AI16" s="38"/>
      <c r="AJ16" s="38"/>
      <c r="AK16" s="50"/>
      <c r="AL16" s="44"/>
      <c r="AM16" s="149" t="str">
        <f t="shared" ca="1" si="8"/>
        <v>MUERTO</v>
      </c>
      <c r="AN16" s="39">
        <v>35101</v>
      </c>
      <c r="AO16" s="39"/>
      <c r="AP16" s="39" t="s">
        <v>157</v>
      </c>
      <c r="AQ16" s="39"/>
      <c r="AR16" s="39" t="s">
        <v>157</v>
      </c>
      <c r="AS16" s="39"/>
      <c r="AT16" s="39"/>
      <c r="AU16" s="51"/>
      <c r="AV16" s="50"/>
      <c r="AW16" s="38"/>
      <c r="AX16" s="52"/>
      <c r="AY16" s="170" t="s">
        <v>3219</v>
      </c>
      <c r="AZ16" s="38"/>
      <c r="BA16" s="38" t="e">
        <f>VLOOKUP(I16,#REF!,2,0)</f>
        <v>#REF!</v>
      </c>
      <c r="BB16" s="73">
        <f t="shared" si="5"/>
        <v>35101</v>
      </c>
      <c r="BC16" s="55" t="s">
        <v>3220</v>
      </c>
      <c r="BD16" s="59">
        <v>44187</v>
      </c>
      <c r="BE16" s="59">
        <v>44196</v>
      </c>
      <c r="BF16" s="58">
        <v>44211</v>
      </c>
      <c r="BG16" s="58">
        <v>44211</v>
      </c>
      <c r="BH16" s="183" t="str">
        <f t="shared" si="6"/>
        <v>Formalizado 04/02/2021</v>
      </c>
      <c r="BI16" s="195">
        <v>44221</v>
      </c>
      <c r="BJ16" s="185">
        <f t="shared" si="9"/>
        <v>44221</v>
      </c>
      <c r="BK16" s="186" t="str">
        <f t="shared" si="7"/>
        <v>Formalizado 04/02/2021</v>
      </c>
      <c r="BL16" s="84"/>
      <c r="BM16" s="84"/>
      <c r="BN16" s="84"/>
      <c r="BO16" s="84"/>
      <c r="BP16" s="84"/>
    </row>
    <row r="17" spans="1:71" ht="120" x14ac:dyDescent="0.25">
      <c r="A17" s="168" t="s">
        <v>3221</v>
      </c>
      <c r="B17" s="3">
        <v>13</v>
      </c>
      <c r="C17" s="167" t="s">
        <v>149</v>
      </c>
      <c r="D17" s="40" t="s">
        <v>3222</v>
      </c>
      <c r="E17" s="39" t="s">
        <v>163</v>
      </c>
      <c r="F17" s="39" t="s">
        <v>426</v>
      </c>
      <c r="G17" s="3" t="s">
        <v>163</v>
      </c>
      <c r="H17" s="39" t="s">
        <v>163</v>
      </c>
      <c r="I17" s="81"/>
      <c r="J17" s="41" t="s">
        <v>492</v>
      </c>
      <c r="K17" s="41" t="s">
        <v>493</v>
      </c>
      <c r="L17" s="41" t="s">
        <v>3223</v>
      </c>
      <c r="M17" s="42" t="str">
        <f t="shared" si="0"/>
        <v>Javier Solórzano Zínser</v>
      </c>
      <c r="N17" s="985" t="s">
        <v>860</v>
      </c>
      <c r="O17" s="985" t="s">
        <v>1946</v>
      </c>
      <c r="P17" s="991" t="s">
        <v>3224</v>
      </c>
      <c r="Q17" s="992">
        <v>490000</v>
      </c>
      <c r="R17" s="44">
        <f t="shared" si="1"/>
        <v>78400</v>
      </c>
      <c r="S17" s="45">
        <f t="shared" si="2"/>
        <v>568400</v>
      </c>
      <c r="T17" s="46">
        <v>196000</v>
      </c>
      <c r="U17" s="47">
        <f t="shared" si="3"/>
        <v>227360</v>
      </c>
      <c r="V17" s="44">
        <f t="shared" si="4"/>
        <v>568400</v>
      </c>
      <c r="W17" s="993" t="s">
        <v>156</v>
      </c>
      <c r="X17" s="48">
        <v>44201</v>
      </c>
      <c r="Y17" s="39" t="s">
        <v>157</v>
      </c>
      <c r="Z17" s="48">
        <v>44197</v>
      </c>
      <c r="AA17" s="48">
        <v>44561</v>
      </c>
      <c r="AB17" s="38" t="s">
        <v>2050</v>
      </c>
      <c r="AC17" s="38"/>
      <c r="AD17" s="59" t="s">
        <v>161</v>
      </c>
      <c r="AE17" s="59" t="s">
        <v>161</v>
      </c>
      <c r="AF17" s="59" t="s">
        <v>161</v>
      </c>
      <c r="AG17" s="59" t="s">
        <v>161</v>
      </c>
      <c r="AH17" s="39" t="s">
        <v>2050</v>
      </c>
      <c r="AI17" s="38"/>
      <c r="AJ17" s="38"/>
      <c r="AK17" s="50"/>
      <c r="AL17" s="44"/>
      <c r="AM17" s="149" t="str">
        <f t="shared" ca="1" si="8"/>
        <v>MUERTO</v>
      </c>
      <c r="AN17" s="39">
        <v>33901</v>
      </c>
      <c r="AO17" s="39"/>
      <c r="AP17" s="39" t="s">
        <v>157</v>
      </c>
      <c r="AQ17" s="39"/>
      <c r="AR17" s="39" t="s">
        <v>157</v>
      </c>
      <c r="AS17" s="39"/>
      <c r="AT17" s="39"/>
      <c r="AU17" s="51"/>
      <c r="AV17" s="50"/>
      <c r="AW17" s="38"/>
      <c r="AX17" s="52"/>
      <c r="AY17" s="170" t="s">
        <v>3225</v>
      </c>
      <c r="AZ17" s="38"/>
      <c r="BA17" s="38" t="s">
        <v>3226</v>
      </c>
      <c r="BB17" s="73">
        <f t="shared" si="5"/>
        <v>33901</v>
      </c>
      <c r="BC17" s="55" t="s">
        <v>3227</v>
      </c>
      <c r="BD17" s="59">
        <v>44183</v>
      </c>
      <c r="BE17" s="59">
        <v>44194</v>
      </c>
      <c r="BF17" s="59">
        <v>44216</v>
      </c>
      <c r="BG17" s="59" t="s">
        <v>2050</v>
      </c>
      <c r="BH17" s="183" t="str">
        <f t="shared" si="6"/>
        <v>Formalizado 05/02/2021</v>
      </c>
      <c r="BI17" s="195">
        <v>44231</v>
      </c>
      <c r="BJ17" s="185">
        <f t="shared" si="9"/>
        <v>44231</v>
      </c>
      <c r="BK17" s="186" t="str">
        <f t="shared" si="7"/>
        <v>Formalizado 05/02/2021</v>
      </c>
      <c r="BL17" s="84"/>
      <c r="BM17" s="84"/>
      <c r="BN17" s="84"/>
      <c r="BO17" s="84"/>
      <c r="BP17" s="84"/>
    </row>
    <row r="18" spans="1:71" ht="375" x14ac:dyDescent="0.25">
      <c r="A18" s="203" t="s">
        <v>3228</v>
      </c>
      <c r="B18" s="5">
        <v>14</v>
      </c>
      <c r="C18" s="167" t="s">
        <v>149</v>
      </c>
      <c r="D18" s="40" t="s">
        <v>3229</v>
      </c>
      <c r="E18" s="39" t="s">
        <v>163</v>
      </c>
      <c r="F18" s="39" t="s">
        <v>426</v>
      </c>
      <c r="G18" s="3" t="s">
        <v>163</v>
      </c>
      <c r="H18" s="39" t="s">
        <v>163</v>
      </c>
      <c r="I18" s="81"/>
      <c r="J18" s="41" t="s">
        <v>3230</v>
      </c>
      <c r="K18" s="41" t="s">
        <v>3231</v>
      </c>
      <c r="L18" s="41" t="s">
        <v>454</v>
      </c>
      <c r="M18" s="42" t="str">
        <f t="shared" si="0"/>
        <v>Claudia Selene Ávila  Flores</v>
      </c>
      <c r="N18" s="985" t="s">
        <v>860</v>
      </c>
      <c r="O18" s="985" t="s">
        <v>1946</v>
      </c>
      <c r="P18" s="991" t="s">
        <v>3232</v>
      </c>
      <c r="Q18" s="992">
        <v>453600</v>
      </c>
      <c r="R18" s="44">
        <f t="shared" si="1"/>
        <v>72576</v>
      </c>
      <c r="S18" s="45">
        <f t="shared" si="2"/>
        <v>526176</v>
      </c>
      <c r="T18" s="46">
        <v>189000</v>
      </c>
      <c r="U18" s="47">
        <f t="shared" si="3"/>
        <v>219240</v>
      </c>
      <c r="V18" s="44">
        <f t="shared" si="4"/>
        <v>409059.04</v>
      </c>
      <c r="W18" s="993" t="s">
        <v>156</v>
      </c>
      <c r="X18" s="48">
        <v>44201</v>
      </c>
      <c r="Y18" s="39" t="s">
        <v>157</v>
      </c>
      <c r="Z18" s="48">
        <v>44197</v>
      </c>
      <c r="AA18" s="48">
        <v>44561</v>
      </c>
      <c r="AB18" s="38" t="s">
        <v>2050</v>
      </c>
      <c r="AC18" s="38"/>
      <c r="AD18" s="59" t="s">
        <v>161</v>
      </c>
      <c r="AE18" s="59" t="s">
        <v>161</v>
      </c>
      <c r="AF18" s="59" t="s">
        <v>161</v>
      </c>
      <c r="AG18" s="59" t="s">
        <v>161</v>
      </c>
      <c r="AH18" s="39" t="s">
        <v>2050</v>
      </c>
      <c r="AI18" s="38" t="s">
        <v>3233</v>
      </c>
      <c r="AJ18" s="38" t="s">
        <v>3234</v>
      </c>
      <c r="AK18" s="50">
        <v>44439</v>
      </c>
      <c r="AL18" s="44">
        <v>-117116.96</v>
      </c>
      <c r="AM18" s="149" t="str">
        <f t="shared" ca="1" si="8"/>
        <v>MUERTO</v>
      </c>
      <c r="AN18" s="39">
        <v>33901</v>
      </c>
      <c r="AO18" s="39"/>
      <c r="AP18" s="39" t="s">
        <v>157</v>
      </c>
      <c r="AQ18" s="39" t="s">
        <v>881</v>
      </c>
      <c r="AR18" s="39" t="s">
        <v>157</v>
      </c>
      <c r="AS18" s="39"/>
      <c r="AT18" s="39"/>
      <c r="AU18" s="51"/>
      <c r="AV18" s="50"/>
      <c r="AW18" s="38"/>
      <c r="AX18" s="52"/>
      <c r="AY18" s="170" t="s">
        <v>3235</v>
      </c>
      <c r="AZ18" s="38"/>
      <c r="BA18" s="38" t="s">
        <v>3236</v>
      </c>
      <c r="BB18" s="73">
        <f t="shared" si="5"/>
        <v>33901</v>
      </c>
      <c r="BC18" s="55" t="s">
        <v>3237</v>
      </c>
      <c r="BD18" s="59">
        <v>44183</v>
      </c>
      <c r="BE18" s="59">
        <v>44194</v>
      </c>
      <c r="BF18" s="59">
        <v>44216</v>
      </c>
      <c r="BG18" s="59" t="s">
        <v>2050</v>
      </c>
      <c r="BH18" s="183" t="str">
        <f t="shared" si="6"/>
        <v>Formalizado 05/02/2021
Terminación Anticipada 26/10/21 (fecha especial de 06/09/21)</v>
      </c>
      <c r="BI18" s="195" t="s">
        <v>3238</v>
      </c>
      <c r="BJ18" s="185" t="str">
        <f t="shared" si="9"/>
        <v>04/02/2021
21/10/2021</v>
      </c>
      <c r="BK18" s="186" t="str">
        <f t="shared" si="7"/>
        <v>Formalizado 05/02/2021
Terminación Anticipada 26/10/21 (fecha especial de 06/09/21)</v>
      </c>
      <c r="BL18" s="84"/>
      <c r="BM18" s="84"/>
      <c r="BN18" s="84"/>
      <c r="BO18" s="84"/>
      <c r="BP18" s="84"/>
    </row>
    <row r="19" spans="1:71" s="468" customFormat="1" ht="90" x14ac:dyDescent="0.25">
      <c r="A19" s="168" t="s">
        <v>3239</v>
      </c>
      <c r="B19" s="3">
        <v>15</v>
      </c>
      <c r="C19" s="167" t="s">
        <v>149</v>
      </c>
      <c r="D19" s="40" t="s">
        <v>3240</v>
      </c>
      <c r="E19" s="39" t="s">
        <v>163</v>
      </c>
      <c r="F19" s="39" t="s">
        <v>561</v>
      </c>
      <c r="G19" s="3" t="s">
        <v>163</v>
      </c>
      <c r="H19" s="39" t="s">
        <v>163</v>
      </c>
      <c r="I19" s="81" t="s">
        <v>2484</v>
      </c>
      <c r="J19" s="41"/>
      <c r="K19" s="41"/>
      <c r="L19" s="41"/>
      <c r="M19" s="42" t="str">
        <f t="shared" si="0"/>
        <v xml:space="preserve">RCM Seguridad Privada, S.A. de C.V.  </v>
      </c>
      <c r="N19" s="985" t="s">
        <v>166</v>
      </c>
      <c r="O19" s="985" t="s">
        <v>166</v>
      </c>
      <c r="P19" s="991" t="s">
        <v>3241</v>
      </c>
      <c r="Q19" s="992">
        <v>1664998.6</v>
      </c>
      <c r="R19" s="44">
        <f t="shared" si="1"/>
        <v>266399.77600000001</v>
      </c>
      <c r="S19" s="45">
        <f t="shared" si="2"/>
        <v>1931398.3760000002</v>
      </c>
      <c r="T19" s="46">
        <v>0</v>
      </c>
      <c r="U19" s="47">
        <f t="shared" si="3"/>
        <v>0</v>
      </c>
      <c r="V19" s="44">
        <f t="shared" si="4"/>
        <v>1931398.3760000002</v>
      </c>
      <c r="W19" s="993" t="s">
        <v>156</v>
      </c>
      <c r="X19" s="48">
        <v>44211</v>
      </c>
      <c r="Y19" s="39" t="s">
        <v>157</v>
      </c>
      <c r="Z19" s="48">
        <v>44197</v>
      </c>
      <c r="AA19" s="48">
        <v>44561</v>
      </c>
      <c r="AB19" s="38" t="s">
        <v>2033</v>
      </c>
      <c r="AC19" s="38"/>
      <c r="AD19" s="59" t="s">
        <v>3124</v>
      </c>
      <c r="AE19" s="59">
        <v>44256</v>
      </c>
      <c r="AF19" s="59" t="s">
        <v>161</v>
      </c>
      <c r="AG19" s="59" t="s">
        <v>161</v>
      </c>
      <c r="AH19" s="155" t="s">
        <v>3242</v>
      </c>
      <c r="AI19" s="38"/>
      <c r="AJ19" s="38"/>
      <c r="AK19" s="50"/>
      <c r="AL19" s="44"/>
      <c r="AM19" s="149" t="str">
        <f t="shared" ca="1" si="8"/>
        <v>MUERTO</v>
      </c>
      <c r="AN19" s="39">
        <v>33801</v>
      </c>
      <c r="AO19" s="39"/>
      <c r="AP19" s="39" t="s">
        <v>157</v>
      </c>
      <c r="AQ19" s="39"/>
      <c r="AR19" s="39" t="s">
        <v>157</v>
      </c>
      <c r="AS19" s="39"/>
      <c r="AT19" s="39"/>
      <c r="AU19" s="51"/>
      <c r="AV19" s="50"/>
      <c r="AW19" s="38"/>
      <c r="AX19" s="52"/>
      <c r="AY19" s="170" t="s">
        <v>3243</v>
      </c>
      <c r="AZ19" s="38"/>
      <c r="BA19" s="38" t="s">
        <v>3244</v>
      </c>
      <c r="BB19" s="73">
        <f t="shared" si="5"/>
        <v>33801</v>
      </c>
      <c r="BC19" s="55" t="s">
        <v>3245</v>
      </c>
      <c r="BD19" s="59">
        <v>44113</v>
      </c>
      <c r="BE19" s="59">
        <v>44186</v>
      </c>
      <c r="BF19" s="59">
        <v>44214</v>
      </c>
      <c r="BG19" s="59">
        <v>44231</v>
      </c>
      <c r="BH19" s="183" t="str">
        <f t="shared" si="6"/>
        <v>Formalizado 03/03/2021</v>
      </c>
      <c r="BI19" s="195">
        <v>44231</v>
      </c>
      <c r="BJ19" s="185">
        <f t="shared" si="9"/>
        <v>44231</v>
      </c>
      <c r="BK19" s="186" t="str">
        <f t="shared" si="7"/>
        <v>Formalizado 03/03/2021</v>
      </c>
      <c r="BL19" s="84"/>
      <c r="BM19" s="84"/>
      <c r="BN19" s="84"/>
      <c r="BO19" s="84"/>
      <c r="BP19" s="84"/>
      <c r="BQ19"/>
      <c r="BR19"/>
      <c r="BS19"/>
    </row>
    <row r="20" spans="1:71" ht="409.5" x14ac:dyDescent="0.25">
      <c r="A20" s="196" t="s">
        <v>3246</v>
      </c>
      <c r="B20" s="3">
        <v>16</v>
      </c>
      <c r="C20" s="167" t="s">
        <v>149</v>
      </c>
      <c r="D20" s="40" t="s">
        <v>3247</v>
      </c>
      <c r="E20" s="39" t="s">
        <v>151</v>
      </c>
      <c r="F20" s="39" t="s">
        <v>152</v>
      </c>
      <c r="G20" s="39"/>
      <c r="H20" s="39" t="s">
        <v>151</v>
      </c>
      <c r="I20" s="81" t="s">
        <v>3248</v>
      </c>
      <c r="J20" s="41"/>
      <c r="K20" s="148"/>
      <c r="L20" s="41"/>
      <c r="M20" s="42" t="str">
        <f t="shared" si="0"/>
        <v xml:space="preserve">Proyectos de Ingeniería SDS, S.A. de C.V.  </v>
      </c>
      <c r="N20" s="985" t="s">
        <v>198</v>
      </c>
      <c r="O20" s="985" t="s">
        <v>198</v>
      </c>
      <c r="P20" s="991" t="s">
        <v>3249</v>
      </c>
      <c r="Q20" s="992">
        <v>1284482.76</v>
      </c>
      <c r="R20" s="44">
        <f t="shared" si="1"/>
        <v>205517.24160000001</v>
      </c>
      <c r="S20" s="45">
        <f t="shared" si="2"/>
        <v>1490000.0016000001</v>
      </c>
      <c r="T20" s="212">
        <v>700000</v>
      </c>
      <c r="U20" s="47">
        <f t="shared" si="3"/>
        <v>812000</v>
      </c>
      <c r="V20" s="44">
        <f t="shared" si="4"/>
        <v>1860060.0016000001</v>
      </c>
      <c r="W20" s="993" t="s">
        <v>156</v>
      </c>
      <c r="X20" s="48">
        <v>44221</v>
      </c>
      <c r="Y20" s="39" t="s">
        <v>157</v>
      </c>
      <c r="Z20" s="48">
        <v>44221</v>
      </c>
      <c r="AA20" s="48">
        <v>44561</v>
      </c>
      <c r="AB20" s="38" t="s">
        <v>2033</v>
      </c>
      <c r="AC20" s="38"/>
      <c r="AD20" s="59" t="s">
        <v>3250</v>
      </c>
      <c r="AE20" s="59" t="s">
        <v>3251</v>
      </c>
      <c r="AF20" s="59" t="s">
        <v>161</v>
      </c>
      <c r="AG20" s="59" t="s">
        <v>161</v>
      </c>
      <c r="AH20" s="155" t="s">
        <v>3252</v>
      </c>
      <c r="AI20" s="211" t="s">
        <v>3253</v>
      </c>
      <c r="AJ20" s="38" t="s">
        <v>3254</v>
      </c>
      <c r="AK20" s="50" t="s">
        <v>3255</v>
      </c>
      <c r="AL20" s="44">
        <v>370060</v>
      </c>
      <c r="AM20" s="149" t="str">
        <f t="shared" ca="1" si="8"/>
        <v>MUERTO</v>
      </c>
      <c r="AN20" s="39">
        <v>35101</v>
      </c>
      <c r="AO20" s="39"/>
      <c r="AP20" s="39" t="s">
        <v>157</v>
      </c>
      <c r="AQ20" s="39" t="s">
        <v>234</v>
      </c>
      <c r="AR20" s="39" t="s">
        <v>157</v>
      </c>
      <c r="AS20" s="39"/>
      <c r="AT20" s="39"/>
      <c r="AU20" s="51"/>
      <c r="AV20" s="50"/>
      <c r="AW20" s="38"/>
      <c r="AX20" s="52"/>
      <c r="AY20" s="170" t="s">
        <v>3256</v>
      </c>
      <c r="AZ20" s="38"/>
      <c r="BA20" s="38" t="s">
        <v>3257</v>
      </c>
      <c r="BB20" s="73">
        <f t="shared" si="5"/>
        <v>35101</v>
      </c>
      <c r="BC20" s="55" t="s">
        <v>3258</v>
      </c>
      <c r="BD20" s="59" t="s">
        <v>3259</v>
      </c>
      <c r="BE20" s="59" t="s">
        <v>3259</v>
      </c>
      <c r="BF20" s="59" t="s">
        <v>3260</v>
      </c>
      <c r="BG20" s="58">
        <v>44231</v>
      </c>
      <c r="BH20" s="183" t="str">
        <f t="shared" si="6"/>
        <v>Formalizado 05/03/2021
2do Modif formalizado con endosos FC y PRC 26/01/22</v>
      </c>
      <c r="BI20" s="195" t="s">
        <v>3261</v>
      </c>
      <c r="BJ20" s="185" t="s">
        <v>3262</v>
      </c>
      <c r="BK20" s="186" t="str">
        <f t="shared" si="7"/>
        <v>Formalizado 05/03/2021
2do Modif formalizado con endosos FC y PRC 26/01/22</v>
      </c>
      <c r="BL20" s="84"/>
      <c r="BM20" s="84"/>
      <c r="BN20" s="84"/>
      <c r="BO20" s="84"/>
      <c r="BP20" s="84"/>
    </row>
    <row r="21" spans="1:71" ht="195" x14ac:dyDescent="0.25">
      <c r="A21" s="196" t="s">
        <v>3263</v>
      </c>
      <c r="B21" s="3">
        <v>17</v>
      </c>
      <c r="C21" s="283" t="s">
        <v>149</v>
      </c>
      <c r="D21" s="280" t="s">
        <v>1177</v>
      </c>
      <c r="E21" s="39" t="s">
        <v>163</v>
      </c>
      <c r="F21" s="272" t="s">
        <v>1055</v>
      </c>
      <c r="G21" s="3" t="s">
        <v>163</v>
      </c>
      <c r="H21" s="39" t="s">
        <v>163</v>
      </c>
      <c r="I21" s="276" t="s">
        <v>2417</v>
      </c>
      <c r="J21" s="267"/>
      <c r="K21" s="267"/>
      <c r="L21" s="267"/>
      <c r="M21" s="422" t="str">
        <f t="shared" si="0"/>
        <v xml:space="preserve">Compañía Operadora de Estacionamientos Mexicanos, S.A. de C.V.  </v>
      </c>
      <c r="N21" s="1016" t="s">
        <v>301</v>
      </c>
      <c r="O21" s="1016" t="s">
        <v>301</v>
      </c>
      <c r="P21" s="991" t="s">
        <v>3264</v>
      </c>
      <c r="Q21" s="992">
        <v>4072968.55</v>
      </c>
      <c r="R21" s="44">
        <f t="shared" si="1"/>
        <v>651674.96799999999</v>
      </c>
      <c r="S21" s="45">
        <f t="shared" si="2"/>
        <v>4724643.5180000002</v>
      </c>
      <c r="T21" s="46">
        <v>1629187.42</v>
      </c>
      <c r="U21" s="47">
        <f t="shared" si="3"/>
        <v>1889857.4072</v>
      </c>
      <c r="V21" s="44">
        <f t="shared" si="4"/>
        <v>5624688.108</v>
      </c>
      <c r="W21" s="993" t="s">
        <v>156</v>
      </c>
      <c r="X21" s="48">
        <v>44225</v>
      </c>
      <c r="Y21" s="39" t="s">
        <v>193</v>
      </c>
      <c r="Z21" s="48">
        <v>44228</v>
      </c>
      <c r="AA21" s="213" t="s">
        <v>3265</v>
      </c>
      <c r="AB21" s="38" t="s">
        <v>2156</v>
      </c>
      <c r="AC21" s="59"/>
      <c r="AD21" s="165" t="s">
        <v>3140</v>
      </c>
      <c r="AE21" s="59" t="s">
        <v>3266</v>
      </c>
      <c r="AF21" s="59" t="s">
        <v>161</v>
      </c>
      <c r="AG21" s="59" t="s">
        <v>161</v>
      </c>
      <c r="AH21" s="155" t="s">
        <v>3267</v>
      </c>
      <c r="AI21" s="211" t="s">
        <v>3268</v>
      </c>
      <c r="AJ21" s="38" t="s">
        <v>3269</v>
      </c>
      <c r="AK21" s="218">
        <v>44561</v>
      </c>
      <c r="AL21" s="44">
        <v>900044.59</v>
      </c>
      <c r="AM21" s="149" t="str">
        <f t="shared" ca="1" si="8"/>
        <v>VIGENTE</v>
      </c>
      <c r="AN21" s="39">
        <v>31902</v>
      </c>
      <c r="AO21" s="39"/>
      <c r="AP21" s="39" t="s">
        <v>193</v>
      </c>
      <c r="AQ21" s="39"/>
      <c r="AR21" s="39" t="s">
        <v>333</v>
      </c>
      <c r="AS21" s="39"/>
      <c r="AT21" s="39"/>
      <c r="AU21" s="51"/>
      <c r="AV21" s="50"/>
      <c r="AW21" s="38"/>
      <c r="AX21" s="52"/>
      <c r="AY21" s="170" t="s">
        <v>3270</v>
      </c>
      <c r="AZ21" s="38" t="s">
        <v>3271</v>
      </c>
      <c r="BA21" s="38" t="s">
        <v>3272</v>
      </c>
      <c r="BB21" s="73">
        <f t="shared" si="5"/>
        <v>31902</v>
      </c>
      <c r="BC21" s="55" t="s">
        <v>3273</v>
      </c>
      <c r="BD21" s="59" t="s">
        <v>3274</v>
      </c>
      <c r="BE21" s="58" t="s">
        <v>3275</v>
      </c>
      <c r="BF21" s="58" t="s">
        <v>3276</v>
      </c>
      <c r="BG21" s="58">
        <v>44232</v>
      </c>
      <c r="BH21" s="183" t="str">
        <f t="shared" si="6"/>
        <v>Formalizado 08/04/2021
23/11/21 endoso por renovación de PRC
09/02/22 1er Modif formalizado con endosos de FC y PRC</v>
      </c>
      <c r="BI21" s="195" t="s">
        <v>3277</v>
      </c>
      <c r="BJ21" s="185" t="s">
        <v>3278</v>
      </c>
      <c r="BK21" s="186" t="str">
        <f t="shared" si="7"/>
        <v>Formalizado 08/04/2021
23/11/21 endoso por renovación de PRC
09/02/22 1er Modif formalizado con endosos de FC y PRC</v>
      </c>
      <c r="BL21" s="84"/>
      <c r="BM21" s="84"/>
      <c r="BN21" s="84"/>
      <c r="BO21" s="84"/>
      <c r="BP21" s="84"/>
    </row>
    <row r="22" spans="1:71" ht="105" x14ac:dyDescent="0.25">
      <c r="A22" s="196" t="s">
        <v>3279</v>
      </c>
      <c r="B22" s="5">
        <v>18</v>
      </c>
      <c r="C22" s="283" t="s">
        <v>149</v>
      </c>
      <c r="D22" s="280" t="s">
        <v>3280</v>
      </c>
      <c r="E22" s="39" t="s">
        <v>163</v>
      </c>
      <c r="F22" s="272" t="s">
        <v>312</v>
      </c>
      <c r="G22" s="685" t="s">
        <v>546</v>
      </c>
      <c r="H22" s="39" t="s">
        <v>2237</v>
      </c>
      <c r="I22" s="272" t="s">
        <v>3281</v>
      </c>
      <c r="J22" s="581"/>
      <c r="K22" s="267"/>
      <c r="L22" s="267"/>
      <c r="M22" s="422" t="str">
        <f t="shared" si="0"/>
        <v xml:space="preserve">Elevadores Schindler, S. A. de C.V.  </v>
      </c>
      <c r="N22" s="1016" t="s">
        <v>198</v>
      </c>
      <c r="O22" s="1016" t="s">
        <v>198</v>
      </c>
      <c r="P22" s="991" t="s">
        <v>3282</v>
      </c>
      <c r="Q22" s="992">
        <v>3557564.62</v>
      </c>
      <c r="R22" s="44">
        <f t="shared" si="1"/>
        <v>569210.33920000005</v>
      </c>
      <c r="S22" s="45">
        <f t="shared" si="2"/>
        <v>4126774.9592000004</v>
      </c>
      <c r="T22" s="212">
        <v>2595316.79</v>
      </c>
      <c r="U22" s="47">
        <f t="shared" si="3"/>
        <v>3010567.4764</v>
      </c>
      <c r="V22" s="44">
        <f t="shared" si="4"/>
        <v>5158468.6992000006</v>
      </c>
      <c r="W22" s="993" t="s">
        <v>156</v>
      </c>
      <c r="X22" s="48">
        <v>44230</v>
      </c>
      <c r="Y22" s="39" t="s">
        <v>193</v>
      </c>
      <c r="Z22" s="48">
        <v>44230</v>
      </c>
      <c r="AA22" s="213">
        <v>44620</v>
      </c>
      <c r="AB22" s="38" t="s">
        <v>2033</v>
      </c>
      <c r="AC22" s="38"/>
      <c r="AD22" s="59" t="s">
        <v>3283</v>
      </c>
      <c r="AE22" s="59" t="s">
        <v>3283</v>
      </c>
      <c r="AF22" s="59" t="s">
        <v>161</v>
      </c>
      <c r="AG22" s="59" t="s">
        <v>161</v>
      </c>
      <c r="AH22" s="155" t="s">
        <v>3284</v>
      </c>
      <c r="AI22" s="211" t="s">
        <v>1118</v>
      </c>
      <c r="AJ22" s="38" t="s">
        <v>3285</v>
      </c>
      <c r="AK22" s="218">
        <v>44552</v>
      </c>
      <c r="AL22" s="215">
        <v>1031693.74</v>
      </c>
      <c r="AM22" s="149" t="str">
        <f t="shared" ca="1" si="8"/>
        <v>MUERTO</v>
      </c>
      <c r="AN22" s="39">
        <v>35101</v>
      </c>
      <c r="AO22" s="39"/>
      <c r="AP22" s="39" t="s">
        <v>193</v>
      </c>
      <c r="AQ22" s="39"/>
      <c r="AR22" s="39" t="s">
        <v>193</v>
      </c>
      <c r="AS22" s="39"/>
      <c r="AT22" s="39"/>
      <c r="AU22" s="51"/>
      <c r="AV22" s="50"/>
      <c r="AW22" s="38"/>
      <c r="AX22" s="52"/>
      <c r="AY22" s="170" t="s">
        <v>3286</v>
      </c>
      <c r="AZ22" s="38"/>
      <c r="BA22" s="38" t="s">
        <v>3287</v>
      </c>
      <c r="BB22" s="73">
        <f t="shared" si="5"/>
        <v>35101</v>
      </c>
      <c r="BC22" s="55" t="s">
        <v>3288</v>
      </c>
      <c r="BD22" s="59">
        <v>44216</v>
      </c>
      <c r="BE22" s="58">
        <v>44232</v>
      </c>
      <c r="BF22" s="58" t="s">
        <v>3289</v>
      </c>
      <c r="BG22" s="58">
        <v>44242</v>
      </c>
      <c r="BH22" s="183" t="str">
        <f t="shared" si="6"/>
        <v>Formalizado C, FC y PRC  02/03/21
1er Modif formalizado 24/02/22</v>
      </c>
      <c r="BI22" s="195" t="s">
        <v>3290</v>
      </c>
      <c r="BJ22" s="185" t="s">
        <v>3291</v>
      </c>
      <c r="BK22" s="186" t="str">
        <f t="shared" si="7"/>
        <v>Formalizado C, FC y PRC  02/03/21
1er Modif formalizado 24/02/22</v>
      </c>
      <c r="BL22" s="84"/>
      <c r="BM22" s="84"/>
      <c r="BN22" s="84"/>
      <c r="BO22" s="84"/>
      <c r="BP22" s="84"/>
    </row>
    <row r="23" spans="1:71" ht="285" x14ac:dyDescent="0.25">
      <c r="A23" s="203" t="s">
        <v>3292</v>
      </c>
      <c r="B23" s="3">
        <v>19</v>
      </c>
      <c r="C23" s="167" t="s">
        <v>225</v>
      </c>
      <c r="D23" s="40" t="s">
        <v>3293</v>
      </c>
      <c r="E23" s="39" t="s">
        <v>163</v>
      </c>
      <c r="F23" s="39" t="s">
        <v>312</v>
      </c>
      <c r="G23" s="685" t="s">
        <v>546</v>
      </c>
      <c r="H23" s="39" t="s">
        <v>2237</v>
      </c>
      <c r="I23" s="81" t="s">
        <v>1254</v>
      </c>
      <c r="J23" s="41"/>
      <c r="K23" s="41"/>
      <c r="L23" s="41"/>
      <c r="M23" s="42" t="str">
        <f t="shared" si="0"/>
        <v xml:space="preserve">Intercomza, S.A. de C.V.  </v>
      </c>
      <c r="N23" s="1016" t="s">
        <v>198</v>
      </c>
      <c r="O23" s="1016" t="s">
        <v>198</v>
      </c>
      <c r="P23" s="991" t="s">
        <v>3294</v>
      </c>
      <c r="Q23" s="992">
        <v>862068.97</v>
      </c>
      <c r="R23" s="44">
        <f t="shared" si="1"/>
        <v>137931.03519999998</v>
      </c>
      <c r="S23" s="45">
        <f t="shared" si="2"/>
        <v>1000000.0052</v>
      </c>
      <c r="T23" s="46">
        <v>301724.14</v>
      </c>
      <c r="U23" s="47">
        <f t="shared" si="3"/>
        <v>350000.0024</v>
      </c>
      <c r="V23" s="44">
        <f t="shared" si="4"/>
        <v>1000000.0052</v>
      </c>
      <c r="W23" s="993" t="s">
        <v>156</v>
      </c>
      <c r="X23" s="48">
        <v>44237</v>
      </c>
      <c r="Y23" s="39" t="s">
        <v>193</v>
      </c>
      <c r="Z23" s="48">
        <v>44237</v>
      </c>
      <c r="AA23" s="48">
        <v>44561</v>
      </c>
      <c r="AB23" s="38" t="s">
        <v>182</v>
      </c>
      <c r="AC23" s="38"/>
      <c r="AD23" s="59">
        <v>44271</v>
      </c>
      <c r="AE23" s="59" t="s">
        <v>161</v>
      </c>
      <c r="AF23" s="59" t="s">
        <v>161</v>
      </c>
      <c r="AG23" s="59" t="s">
        <v>161</v>
      </c>
      <c r="AH23" s="155" t="s">
        <v>3295</v>
      </c>
      <c r="AI23" s="38" t="s">
        <v>3296</v>
      </c>
      <c r="AJ23" s="59" t="s">
        <v>3297</v>
      </c>
      <c r="AK23" s="50" t="s">
        <v>3298</v>
      </c>
      <c r="AL23" s="44">
        <v>0</v>
      </c>
      <c r="AM23" s="149" t="str">
        <f t="shared" ca="1" si="8"/>
        <v>MUERTO</v>
      </c>
      <c r="AN23" s="39">
        <v>21601</v>
      </c>
      <c r="AO23" s="39"/>
      <c r="AP23" s="39" t="s">
        <v>193</v>
      </c>
      <c r="AQ23" s="39" t="s">
        <v>881</v>
      </c>
      <c r="AR23" s="39" t="s">
        <v>193</v>
      </c>
      <c r="AS23" s="39"/>
      <c r="AT23" s="39"/>
      <c r="AU23" s="51"/>
      <c r="AV23" s="50"/>
      <c r="AW23" s="38"/>
      <c r="AX23" s="52"/>
      <c r="AY23" s="170" t="s">
        <v>3299</v>
      </c>
      <c r="AZ23" s="38"/>
      <c r="BA23" s="38" t="s">
        <v>3300</v>
      </c>
      <c r="BB23" s="73">
        <f t="shared" si="5"/>
        <v>21601</v>
      </c>
      <c r="BC23" s="55" t="s">
        <v>3301</v>
      </c>
      <c r="BD23" s="59">
        <v>44208</v>
      </c>
      <c r="BE23" s="58">
        <v>44236</v>
      </c>
      <c r="BF23" s="58">
        <v>44239</v>
      </c>
      <c r="BG23" s="58">
        <v>44242</v>
      </c>
      <c r="BH23" s="183" t="str">
        <f t="shared" si="6"/>
        <v>Formalizado 13/02/2021
Modif  21/05/21
Convenio de Terminación por Mutuo 22/09</v>
      </c>
      <c r="BI23" s="195">
        <v>44232</v>
      </c>
      <c r="BJ23" s="185" t="s">
        <v>3302</v>
      </c>
      <c r="BK23" s="186" t="str">
        <f t="shared" si="7"/>
        <v>Formalizado 13/02/2021
Modif  21/05/21
Convenio de Terminación por Mutuo 22/09</v>
      </c>
      <c r="BL23" s="84"/>
      <c r="BM23" s="84"/>
      <c r="BN23" s="84"/>
      <c r="BO23" s="84"/>
      <c r="BP23" s="84"/>
    </row>
    <row r="24" spans="1:71" ht="105" x14ac:dyDescent="0.25">
      <c r="A24" s="168" t="s">
        <v>3303</v>
      </c>
      <c r="B24" s="3">
        <v>20</v>
      </c>
      <c r="C24" s="167" t="s">
        <v>149</v>
      </c>
      <c r="D24" s="40" t="s">
        <v>3304</v>
      </c>
      <c r="E24" s="39" t="s">
        <v>151</v>
      </c>
      <c r="F24" s="39" t="s">
        <v>152</v>
      </c>
      <c r="G24" s="39"/>
      <c r="H24" s="39" t="s">
        <v>151</v>
      </c>
      <c r="I24" s="187"/>
      <c r="J24" s="41" t="s">
        <v>3305</v>
      </c>
      <c r="K24" s="41" t="s">
        <v>454</v>
      </c>
      <c r="L24" s="41" t="s">
        <v>3306</v>
      </c>
      <c r="M24" s="42" t="str">
        <f t="shared" si="0"/>
        <v>Jessica Flores Pérez</v>
      </c>
      <c r="N24" s="1016" t="s">
        <v>198</v>
      </c>
      <c r="O24" s="1016" t="s">
        <v>198</v>
      </c>
      <c r="P24" s="991" t="s">
        <v>3307</v>
      </c>
      <c r="Q24" s="992">
        <v>740029.75</v>
      </c>
      <c r="R24" s="44">
        <f t="shared" si="1"/>
        <v>118404.76000000001</v>
      </c>
      <c r="S24" s="45">
        <f t="shared" si="2"/>
        <v>858434.51</v>
      </c>
      <c r="T24" s="46">
        <v>501724.14</v>
      </c>
      <c r="U24" s="47">
        <f t="shared" si="3"/>
        <v>582000.0024</v>
      </c>
      <c r="V24" s="44">
        <f t="shared" si="4"/>
        <v>858434.51</v>
      </c>
      <c r="W24" s="993" t="s">
        <v>156</v>
      </c>
      <c r="X24" s="48">
        <v>44237</v>
      </c>
      <c r="Y24" s="39" t="s">
        <v>193</v>
      </c>
      <c r="Z24" s="48">
        <v>44242</v>
      </c>
      <c r="AA24" s="48">
        <v>44561</v>
      </c>
      <c r="AB24" s="38" t="s">
        <v>2033</v>
      </c>
      <c r="AC24" s="38"/>
      <c r="AD24" s="59">
        <v>44307</v>
      </c>
      <c r="AE24" s="59" t="s">
        <v>3308</v>
      </c>
      <c r="AF24" s="59" t="s">
        <v>161</v>
      </c>
      <c r="AG24" s="59" t="s">
        <v>161</v>
      </c>
      <c r="AH24" s="155" t="s">
        <v>3309</v>
      </c>
      <c r="AI24" s="38"/>
      <c r="AJ24" s="38"/>
      <c r="AK24" s="50"/>
      <c r="AL24" s="44"/>
      <c r="AM24" s="149" t="str">
        <f t="shared" ca="1" si="8"/>
        <v>MUERTO</v>
      </c>
      <c r="AN24" s="39"/>
      <c r="AO24" s="39"/>
      <c r="AP24" s="39" t="s">
        <v>193</v>
      </c>
      <c r="AQ24" s="39"/>
      <c r="AR24" s="39" t="s">
        <v>193</v>
      </c>
      <c r="AS24" s="39"/>
      <c r="AT24" s="39"/>
      <c r="AU24" s="51"/>
      <c r="AV24" s="50"/>
      <c r="AW24" s="38"/>
      <c r="AX24" s="52"/>
      <c r="AY24" s="170" t="s">
        <v>3310</v>
      </c>
      <c r="AZ24" s="38"/>
      <c r="BA24" s="38" t="e">
        <f>VLOOKUP(I24,#REF!,2,0)</f>
        <v>#REF!</v>
      </c>
      <c r="BB24" s="73">
        <v>35201</v>
      </c>
      <c r="BC24" s="55" t="s">
        <v>3311</v>
      </c>
      <c r="BD24" s="59">
        <v>44231</v>
      </c>
      <c r="BE24" s="58">
        <v>44236</v>
      </c>
      <c r="BF24" s="58">
        <v>44239</v>
      </c>
      <c r="BG24" s="58">
        <v>44239</v>
      </c>
      <c r="BH24" s="183" t="str">
        <f t="shared" si="6"/>
        <v>Formalizado C, FC y PRC 26/04/2021</v>
      </c>
      <c r="BI24" s="195">
        <v>44243</v>
      </c>
      <c r="BJ24" s="185">
        <v>44242</v>
      </c>
      <c r="BK24" s="186" t="str">
        <f t="shared" si="7"/>
        <v>Formalizado C, FC y PRC 26/04/2021</v>
      </c>
      <c r="BL24" s="84"/>
      <c r="BM24" s="84"/>
      <c r="BN24" s="84"/>
      <c r="BO24" s="84"/>
      <c r="BP24" s="84"/>
    </row>
    <row r="25" spans="1:71" ht="180" x14ac:dyDescent="0.25">
      <c r="A25" s="168" t="s">
        <v>3312</v>
      </c>
      <c r="B25" s="3">
        <v>21</v>
      </c>
      <c r="C25" s="167" t="s">
        <v>149</v>
      </c>
      <c r="D25" s="40" t="s">
        <v>3313</v>
      </c>
      <c r="E25" s="39" t="s">
        <v>163</v>
      </c>
      <c r="F25" s="39" t="s">
        <v>568</v>
      </c>
      <c r="G25" s="685" t="s">
        <v>546</v>
      </c>
      <c r="H25" s="39" t="s">
        <v>163</v>
      </c>
      <c r="I25" s="42" t="s">
        <v>3314</v>
      </c>
      <c r="J25" s="148"/>
      <c r="K25" s="41"/>
      <c r="L25" s="148"/>
      <c r="M25" s="42" t="str">
        <f t="shared" si="0"/>
        <v xml:space="preserve">Blue &amp; Green Servicios y Soluciones al Medio Ambiente, S.A. de C.V.    </v>
      </c>
      <c r="N25" s="985" t="s">
        <v>198</v>
      </c>
      <c r="O25" s="985" t="s">
        <v>198</v>
      </c>
      <c r="P25" s="991" t="s">
        <v>3315</v>
      </c>
      <c r="Q25" s="992">
        <v>4222698.17</v>
      </c>
      <c r="R25" s="44">
        <f t="shared" si="1"/>
        <v>675631.70719999995</v>
      </c>
      <c r="S25" s="45">
        <f t="shared" si="2"/>
        <v>4898329.8772</v>
      </c>
      <c r="T25" s="46">
        <v>3224605.87</v>
      </c>
      <c r="U25" s="47">
        <f t="shared" si="3"/>
        <v>3740542.8092</v>
      </c>
      <c r="V25" s="44">
        <f t="shared" si="4"/>
        <v>4898329.8772</v>
      </c>
      <c r="W25" s="993" t="s">
        <v>156</v>
      </c>
      <c r="X25" s="48">
        <v>44242</v>
      </c>
      <c r="Y25" s="39" t="s">
        <v>3316</v>
      </c>
      <c r="Z25" s="48">
        <v>44242</v>
      </c>
      <c r="AA25" s="48">
        <v>44561</v>
      </c>
      <c r="AB25" s="38" t="s">
        <v>2033</v>
      </c>
      <c r="AC25" s="38"/>
      <c r="AD25" s="59" t="s">
        <v>3317</v>
      </c>
      <c r="AE25" s="59" t="s">
        <v>3318</v>
      </c>
      <c r="AF25" s="59" t="s">
        <v>161</v>
      </c>
      <c r="AG25" s="59" t="s">
        <v>161</v>
      </c>
      <c r="AH25" s="155" t="s">
        <v>3319</v>
      </c>
      <c r="AI25" s="38"/>
      <c r="AJ25" s="38"/>
      <c r="AK25" s="50"/>
      <c r="AL25" s="44"/>
      <c r="AM25" s="149" t="str">
        <f t="shared" ca="1" si="8"/>
        <v>MUERTO</v>
      </c>
      <c r="AN25" s="39">
        <v>35701</v>
      </c>
      <c r="AO25" s="39"/>
      <c r="AP25" s="39" t="s">
        <v>193</v>
      </c>
      <c r="AQ25" s="39"/>
      <c r="AR25" s="39" t="s">
        <v>193</v>
      </c>
      <c r="AS25" s="39"/>
      <c r="AT25" s="39"/>
      <c r="AU25" s="51"/>
      <c r="AV25" s="50"/>
      <c r="AW25" s="38"/>
      <c r="AX25" s="52"/>
      <c r="AY25" s="170" t="s">
        <v>3320</v>
      </c>
      <c r="AZ25" s="38"/>
      <c r="BA25" s="38" t="e">
        <f>VLOOKUP(I25,#REF!,2,0)</f>
        <v>#REF!</v>
      </c>
      <c r="BB25" s="39">
        <f t="shared" ref="BB25:BB34" si="10">AN25</f>
        <v>35701</v>
      </c>
      <c r="BC25" s="55">
        <v>44</v>
      </c>
      <c r="BD25" s="59">
        <v>44229</v>
      </c>
      <c r="BE25" s="58">
        <v>44253</v>
      </c>
      <c r="BF25" s="58">
        <v>44256</v>
      </c>
      <c r="BG25" s="58">
        <v>44257</v>
      </c>
      <c r="BH25" s="183" t="str">
        <f t="shared" si="6"/>
        <v>Formalizado
 C, FC y PRC 18-03-21</v>
      </c>
      <c r="BI25" s="195">
        <v>44259</v>
      </c>
      <c r="BJ25" s="185">
        <f>BI25</f>
        <v>44259</v>
      </c>
      <c r="BK25" s="186" t="str">
        <f t="shared" si="7"/>
        <v>Formalizado
 C, FC y PRC 18-03-21</v>
      </c>
      <c r="BL25" s="84"/>
      <c r="BM25" s="84"/>
      <c r="BN25" s="84"/>
      <c r="BO25" s="84"/>
      <c r="BP25" s="84"/>
    </row>
    <row r="26" spans="1:71" ht="165" x14ac:dyDescent="0.25">
      <c r="A26" s="196" t="s">
        <v>3321</v>
      </c>
      <c r="B26" s="3">
        <v>22</v>
      </c>
      <c r="C26" s="167" t="s">
        <v>149</v>
      </c>
      <c r="D26" s="40" t="s">
        <v>3322</v>
      </c>
      <c r="E26" s="39" t="s">
        <v>163</v>
      </c>
      <c r="F26" s="39" t="s">
        <v>568</v>
      </c>
      <c r="G26" s="685" t="s">
        <v>546</v>
      </c>
      <c r="H26" s="39" t="s">
        <v>2237</v>
      </c>
      <c r="I26" s="42" t="s">
        <v>3323</v>
      </c>
      <c r="J26" s="41"/>
      <c r="K26" s="41"/>
      <c r="L26" s="41"/>
      <c r="M26" s="42" t="str">
        <f t="shared" si="0"/>
        <v xml:space="preserve">Dhimex Ciudad de México, S.A. de C.V.    </v>
      </c>
      <c r="N26" s="985" t="s">
        <v>166</v>
      </c>
      <c r="O26" s="985" t="s">
        <v>315</v>
      </c>
      <c r="P26" s="991" t="s">
        <v>3324</v>
      </c>
      <c r="Q26" s="992">
        <v>2612542.9</v>
      </c>
      <c r="R26" s="44">
        <f t="shared" si="1"/>
        <v>418006.864</v>
      </c>
      <c r="S26" s="45">
        <f t="shared" si="2"/>
        <v>3030549.764</v>
      </c>
      <c r="T26" s="46">
        <v>0</v>
      </c>
      <c r="U26" s="47">
        <f t="shared" si="3"/>
        <v>0</v>
      </c>
      <c r="V26" s="44">
        <f t="shared" si="4"/>
        <v>3788187.2039999999</v>
      </c>
      <c r="W26" s="993" t="s">
        <v>156</v>
      </c>
      <c r="X26" s="48">
        <v>44242</v>
      </c>
      <c r="Y26" s="39" t="s">
        <v>3316</v>
      </c>
      <c r="Z26" s="48">
        <v>44242</v>
      </c>
      <c r="AA26" s="213">
        <v>44641</v>
      </c>
      <c r="AB26" s="38" t="s">
        <v>2033</v>
      </c>
      <c r="AC26" s="38"/>
      <c r="AD26" s="59" t="s">
        <v>3325</v>
      </c>
      <c r="AE26" s="59" t="s">
        <v>3326</v>
      </c>
      <c r="AF26" s="59" t="s">
        <v>161</v>
      </c>
      <c r="AG26" s="59" t="s">
        <v>161</v>
      </c>
      <c r="AH26" s="155" t="s">
        <v>3327</v>
      </c>
      <c r="AI26" s="38" t="s">
        <v>3328</v>
      </c>
      <c r="AJ26" s="38" t="s">
        <v>3329</v>
      </c>
      <c r="AK26" s="218">
        <v>44552</v>
      </c>
      <c r="AL26" s="44">
        <v>757637.44</v>
      </c>
      <c r="AM26" s="149" t="str">
        <f t="shared" ca="1" si="8"/>
        <v>MUERTO</v>
      </c>
      <c r="AN26" s="39">
        <v>35701</v>
      </c>
      <c r="AO26" s="39"/>
      <c r="AP26" s="39" t="s">
        <v>193</v>
      </c>
      <c r="AQ26" s="39"/>
      <c r="AR26" s="39" t="s">
        <v>193</v>
      </c>
      <c r="AS26" s="39"/>
      <c r="AT26" s="39"/>
      <c r="AU26" s="51"/>
      <c r="AV26" s="50"/>
      <c r="AW26" s="38"/>
      <c r="AX26" s="52"/>
      <c r="AY26" s="170" t="s">
        <v>3330</v>
      </c>
      <c r="AZ26" s="38"/>
      <c r="BA26" s="38" t="e">
        <f>VLOOKUP(I26,#REF!,2,0)</f>
        <v>#REF!</v>
      </c>
      <c r="BB26" s="39">
        <f t="shared" si="10"/>
        <v>35701</v>
      </c>
      <c r="BC26" s="55">
        <v>5</v>
      </c>
      <c r="BD26" s="59">
        <v>44236</v>
      </c>
      <c r="BE26" s="58">
        <v>44239</v>
      </c>
      <c r="BF26" s="58" t="s">
        <v>3331</v>
      </c>
      <c r="BG26" s="58">
        <v>44259</v>
      </c>
      <c r="BH26" s="183" t="str">
        <f t="shared" si="6"/>
        <v>Formalizado C, FC y PRC
10-03-21
1er Modif formalizado con endoso de FC y PRC 15/02/22</v>
      </c>
      <c r="BI26" s="195" t="s">
        <v>3332</v>
      </c>
      <c r="BJ26" s="185" t="s">
        <v>3333</v>
      </c>
      <c r="BK26" s="186" t="str">
        <f t="shared" si="7"/>
        <v>Formalizado C, FC y PRC
10-03-21
1er Modif formalizado con endoso de FC y PRC 15/02/22</v>
      </c>
      <c r="BL26" s="84"/>
      <c r="BM26" s="84"/>
      <c r="BN26" s="84"/>
      <c r="BO26" s="84"/>
      <c r="BP26" s="84"/>
    </row>
    <row r="27" spans="1:71" ht="90" x14ac:dyDescent="0.25">
      <c r="A27" s="168" t="s">
        <v>3334</v>
      </c>
      <c r="B27" s="3">
        <v>23</v>
      </c>
      <c r="C27" s="167" t="s">
        <v>149</v>
      </c>
      <c r="D27" s="40" t="s">
        <v>3335</v>
      </c>
      <c r="E27" s="39" t="s">
        <v>173</v>
      </c>
      <c r="F27" s="39" t="s">
        <v>326</v>
      </c>
      <c r="G27" s="39"/>
      <c r="H27" s="39" t="s">
        <v>173</v>
      </c>
      <c r="I27" s="42" t="s">
        <v>3336</v>
      </c>
      <c r="J27" s="41"/>
      <c r="K27" s="41"/>
      <c r="L27" s="41"/>
      <c r="M27" s="42" t="str">
        <f t="shared" si="0"/>
        <v xml:space="preserve">Audio Video &amp; Control, S.A. de C.V.    </v>
      </c>
      <c r="N27" s="985" t="s">
        <v>656</v>
      </c>
      <c r="O27" s="985" t="s">
        <v>667</v>
      </c>
      <c r="P27" s="991" t="s">
        <v>3337</v>
      </c>
      <c r="Q27" s="992">
        <v>2155172.41</v>
      </c>
      <c r="R27" s="44">
        <f t="shared" si="1"/>
        <v>344827.58560000005</v>
      </c>
      <c r="S27" s="45">
        <f t="shared" si="2"/>
        <v>2499999.9956</v>
      </c>
      <c r="T27" s="46">
        <v>714000</v>
      </c>
      <c r="U27" s="47">
        <f t="shared" si="3"/>
        <v>828240</v>
      </c>
      <c r="V27" s="44">
        <f t="shared" si="4"/>
        <v>2499999.9956</v>
      </c>
      <c r="W27" s="993" t="s">
        <v>156</v>
      </c>
      <c r="X27" s="48">
        <v>44243</v>
      </c>
      <c r="Y27" s="39" t="s">
        <v>193</v>
      </c>
      <c r="Z27" s="48">
        <v>44243</v>
      </c>
      <c r="AA27" s="48">
        <v>44561</v>
      </c>
      <c r="AB27" s="38" t="s">
        <v>2033</v>
      </c>
      <c r="AC27" s="38"/>
      <c r="AD27" s="59" t="s">
        <v>3338</v>
      </c>
      <c r="AE27" s="59" t="s">
        <v>3339</v>
      </c>
      <c r="AF27" s="59" t="s">
        <v>161</v>
      </c>
      <c r="AG27" s="59" t="s">
        <v>161</v>
      </c>
      <c r="AH27" s="39" t="s">
        <v>183</v>
      </c>
      <c r="AI27" s="38"/>
      <c r="AJ27" s="38"/>
      <c r="AK27" s="50"/>
      <c r="AL27" s="44"/>
      <c r="AM27" s="149" t="str">
        <f t="shared" ca="1" si="8"/>
        <v>MUERTO</v>
      </c>
      <c r="AN27" s="39">
        <v>35301</v>
      </c>
      <c r="AO27" s="39"/>
      <c r="AP27" s="39" t="s">
        <v>193</v>
      </c>
      <c r="AQ27" s="39"/>
      <c r="AR27" s="39" t="s">
        <v>333</v>
      </c>
      <c r="AS27" s="39"/>
      <c r="AT27" s="39"/>
      <c r="AU27" s="51"/>
      <c r="AV27" s="50"/>
      <c r="AW27" s="38"/>
      <c r="AX27" s="52"/>
      <c r="AY27" s="170" t="s">
        <v>3340</v>
      </c>
      <c r="AZ27" s="38"/>
      <c r="BA27" s="38" t="s">
        <v>3341</v>
      </c>
      <c r="BB27" s="73">
        <f t="shared" si="10"/>
        <v>35301</v>
      </c>
      <c r="BC27" s="55"/>
      <c r="BD27" s="59">
        <v>44243</v>
      </c>
      <c r="BE27" s="58">
        <v>44244</v>
      </c>
      <c r="BF27" s="58">
        <v>44245</v>
      </c>
      <c r="BG27" s="58">
        <v>44249</v>
      </c>
      <c r="BH27" s="183" t="str">
        <f t="shared" si="6"/>
        <v>Formalizado
 10-03-21</v>
      </c>
      <c r="BI27" s="195">
        <v>44258</v>
      </c>
      <c r="BJ27" s="185">
        <f>BI27</f>
        <v>44258</v>
      </c>
      <c r="BK27" s="186" t="str">
        <f t="shared" si="7"/>
        <v>Formalizado
 10-03-21</v>
      </c>
      <c r="BL27" s="84"/>
      <c r="BM27" s="84"/>
      <c r="BN27" s="84"/>
      <c r="BO27" s="84"/>
      <c r="BP27" s="84"/>
    </row>
    <row r="28" spans="1:71" ht="90" x14ac:dyDescent="0.25">
      <c r="A28" s="168" t="s">
        <v>3342</v>
      </c>
      <c r="B28" s="3">
        <v>24</v>
      </c>
      <c r="C28" s="167" t="s">
        <v>149</v>
      </c>
      <c r="D28" s="40" t="s">
        <v>3343</v>
      </c>
      <c r="E28" s="39" t="s">
        <v>163</v>
      </c>
      <c r="F28" s="39" t="s">
        <v>188</v>
      </c>
      <c r="G28" s="3" t="s">
        <v>163</v>
      </c>
      <c r="H28" s="39" t="s">
        <v>163</v>
      </c>
      <c r="I28" s="42" t="s">
        <v>3344</v>
      </c>
      <c r="J28" s="41"/>
      <c r="K28" s="41"/>
      <c r="L28" s="41"/>
      <c r="M28" s="42" t="str">
        <f t="shared" si="0"/>
        <v xml:space="preserve">ACCASI, S.A. de C.V.  </v>
      </c>
      <c r="N28" s="985" t="s">
        <v>656</v>
      </c>
      <c r="O28" s="985" t="s">
        <v>667</v>
      </c>
      <c r="P28" s="991" t="s">
        <v>3345</v>
      </c>
      <c r="Q28" s="992">
        <v>23399400</v>
      </c>
      <c r="R28" s="44">
        <f t="shared" si="1"/>
        <v>3743904</v>
      </c>
      <c r="S28" s="45">
        <f t="shared" si="2"/>
        <v>27143304</v>
      </c>
      <c r="T28" s="46">
        <v>0</v>
      </c>
      <c r="U28" s="47">
        <f t="shared" si="3"/>
        <v>0</v>
      </c>
      <c r="V28" s="44">
        <f t="shared" si="4"/>
        <v>27143304</v>
      </c>
      <c r="W28" s="993" t="s">
        <v>156</v>
      </c>
      <c r="X28" s="48">
        <v>44246</v>
      </c>
      <c r="Y28" s="39" t="s">
        <v>193</v>
      </c>
      <c r="Z28" s="48">
        <v>44246</v>
      </c>
      <c r="AA28" s="48">
        <v>44316</v>
      </c>
      <c r="AB28" s="38" t="s">
        <v>2033</v>
      </c>
      <c r="AC28" s="38"/>
      <c r="AD28" s="59" t="s">
        <v>3140</v>
      </c>
      <c r="AE28" s="59" t="s">
        <v>3346</v>
      </c>
      <c r="AF28" s="59" t="s">
        <v>161</v>
      </c>
      <c r="AG28" s="59" t="s">
        <v>161</v>
      </c>
      <c r="AH28" s="155" t="s">
        <v>3347</v>
      </c>
      <c r="AI28" s="38"/>
      <c r="AJ28" s="38"/>
      <c r="AK28" s="50"/>
      <c r="AL28" s="44"/>
      <c r="AM28" s="149" t="str">
        <f t="shared" ca="1" si="8"/>
        <v>MUERTO</v>
      </c>
      <c r="AN28" s="39" t="s">
        <v>186</v>
      </c>
      <c r="AO28" s="39"/>
      <c r="AP28" s="39" t="s">
        <v>193</v>
      </c>
      <c r="AQ28" s="39"/>
      <c r="AR28" s="39" t="s">
        <v>193</v>
      </c>
      <c r="AS28" s="39"/>
      <c r="AT28" s="39"/>
      <c r="AU28" s="51"/>
      <c r="AV28" s="50"/>
      <c r="AW28" s="38"/>
      <c r="AX28" s="52"/>
      <c r="AY28" s="170" t="s">
        <v>3348</v>
      </c>
      <c r="AZ28" s="38"/>
      <c r="BA28" s="14" t="e">
        <f>VLOOKUP(I28,#REF!,2,0)</f>
        <v>#REF!</v>
      </c>
      <c r="BB28" s="73" t="str">
        <f t="shared" si="10"/>
        <v>Ejecutora</v>
      </c>
      <c r="BC28" s="55" t="s">
        <v>186</v>
      </c>
      <c r="BD28" s="59">
        <v>44237</v>
      </c>
      <c r="BE28" s="58">
        <v>44245</v>
      </c>
      <c r="BF28" s="58">
        <v>44249</v>
      </c>
      <c r="BG28" s="58">
        <v>44249</v>
      </c>
      <c r="BH28" s="183" t="str">
        <f t="shared" si="6"/>
        <v>Formalizado C, FC y PRC 30/03/21</v>
      </c>
      <c r="BI28" s="195">
        <v>44249</v>
      </c>
      <c r="BJ28" s="185">
        <v>44249</v>
      </c>
      <c r="BK28" s="186" t="str">
        <f t="shared" si="7"/>
        <v>Formalizado C, FC y PRC 30/03/21</v>
      </c>
      <c r="BL28" s="84"/>
      <c r="BM28" s="84"/>
      <c r="BN28" s="84"/>
      <c r="BO28" s="84"/>
      <c r="BP28" s="84"/>
    </row>
    <row r="29" spans="1:71" ht="90" x14ac:dyDescent="0.25">
      <c r="A29" s="168" t="s">
        <v>3349</v>
      </c>
      <c r="B29" s="3">
        <v>25</v>
      </c>
      <c r="C29" s="167" t="s">
        <v>149</v>
      </c>
      <c r="D29" s="40" t="s">
        <v>3350</v>
      </c>
      <c r="E29" s="39" t="s">
        <v>163</v>
      </c>
      <c r="F29" s="39" t="s">
        <v>164</v>
      </c>
      <c r="G29" s="3" t="s">
        <v>163</v>
      </c>
      <c r="H29" s="39" t="s">
        <v>163</v>
      </c>
      <c r="I29" s="81" t="s">
        <v>3351</v>
      </c>
      <c r="J29" s="41"/>
      <c r="K29" s="41"/>
      <c r="L29" s="41"/>
      <c r="M29" s="42" t="str">
        <f t="shared" si="0"/>
        <v xml:space="preserve">Policía Auxiliar de la CDMX  </v>
      </c>
      <c r="N29" s="985" t="s">
        <v>166</v>
      </c>
      <c r="O29" s="985" t="s">
        <v>166</v>
      </c>
      <c r="P29" s="991" t="s">
        <v>3352</v>
      </c>
      <c r="Q29" s="992">
        <v>55561760</v>
      </c>
      <c r="R29" s="44">
        <f t="shared" si="1"/>
        <v>8889881.5999999996</v>
      </c>
      <c r="S29" s="45">
        <f t="shared" si="2"/>
        <v>64451641.600000001</v>
      </c>
      <c r="T29" s="46">
        <v>25000000</v>
      </c>
      <c r="U29" s="47">
        <f t="shared" si="3"/>
        <v>29000000</v>
      </c>
      <c r="V29" s="44">
        <f t="shared" si="4"/>
        <v>64451641.600000001</v>
      </c>
      <c r="W29" s="993" t="s">
        <v>156</v>
      </c>
      <c r="X29" s="48">
        <v>44249</v>
      </c>
      <c r="Y29" s="39" t="s">
        <v>193</v>
      </c>
      <c r="Z29" s="48">
        <v>44197</v>
      </c>
      <c r="AA29" s="48">
        <v>44561</v>
      </c>
      <c r="AB29" s="38" t="s">
        <v>3353</v>
      </c>
      <c r="AC29" s="38"/>
      <c r="AD29" s="59" t="s">
        <v>161</v>
      </c>
      <c r="AE29" s="59" t="s">
        <v>161</v>
      </c>
      <c r="AF29" s="59" t="s">
        <v>161</v>
      </c>
      <c r="AG29" s="59" t="s">
        <v>161</v>
      </c>
      <c r="AH29" s="155" t="str">
        <f>AB29</f>
        <v>No aplica
INST PÚB</v>
      </c>
      <c r="AI29" s="38"/>
      <c r="AJ29" s="38"/>
      <c r="AK29" s="50"/>
      <c r="AL29" s="44"/>
      <c r="AM29" s="149" t="str">
        <f t="shared" ca="1" si="8"/>
        <v>MUERTO</v>
      </c>
      <c r="AN29" s="39">
        <v>33801</v>
      </c>
      <c r="AO29" s="39"/>
      <c r="AP29" s="39" t="s">
        <v>234</v>
      </c>
      <c r="AQ29" s="39"/>
      <c r="AR29" s="39" t="s">
        <v>234</v>
      </c>
      <c r="AS29" s="39"/>
      <c r="AT29" s="39"/>
      <c r="AU29" s="51"/>
      <c r="AV29" s="50"/>
      <c r="AW29" s="38"/>
      <c r="AX29" s="52"/>
      <c r="AY29" s="170" t="s">
        <v>3354</v>
      </c>
      <c r="AZ29" s="38"/>
      <c r="BA29" s="38" t="e">
        <f>VLOOKUP(I29,#REF!,2,0)</f>
        <v>#REF!</v>
      </c>
      <c r="BB29" s="39">
        <f t="shared" si="10"/>
        <v>33801</v>
      </c>
      <c r="BC29" s="55"/>
      <c r="BD29" s="59">
        <v>44532</v>
      </c>
      <c r="BE29" s="58">
        <v>44186</v>
      </c>
      <c r="BF29" s="58" t="s">
        <v>3355</v>
      </c>
      <c r="BG29" s="58" t="s">
        <v>159</v>
      </c>
      <c r="BH29" s="183" t="str">
        <f t="shared" si="6"/>
        <v>Formalizado C 03/05</v>
      </c>
      <c r="BI29" s="195">
        <v>44250</v>
      </c>
      <c r="BJ29" s="185">
        <f>BI29</f>
        <v>44250</v>
      </c>
      <c r="BK29" s="186" t="str">
        <f t="shared" si="7"/>
        <v>Formalizado C 03/05</v>
      </c>
      <c r="BL29" s="84"/>
      <c r="BM29" s="84"/>
      <c r="BN29" s="84"/>
      <c r="BO29" s="84"/>
      <c r="BP29" s="84"/>
    </row>
    <row r="30" spans="1:71" ht="60" x14ac:dyDescent="0.25">
      <c r="A30" s="168" t="s">
        <v>3356</v>
      </c>
      <c r="B30" s="3">
        <v>26</v>
      </c>
      <c r="C30" s="167" t="s">
        <v>149</v>
      </c>
      <c r="D30" s="40" t="s">
        <v>3357</v>
      </c>
      <c r="E30" s="39" t="s">
        <v>163</v>
      </c>
      <c r="F30" s="39" t="s">
        <v>164</v>
      </c>
      <c r="G30" s="3" t="s">
        <v>163</v>
      </c>
      <c r="H30" s="39" t="s">
        <v>163</v>
      </c>
      <c r="I30" s="81" t="s">
        <v>3358</v>
      </c>
      <c r="J30" s="41"/>
      <c r="K30" s="41"/>
      <c r="L30" s="41"/>
      <c r="M30" s="42" t="str">
        <f t="shared" si="0"/>
        <v xml:space="preserve">IDIOMAS IZTAPALAPA, S.C.  </v>
      </c>
      <c r="N30" s="985" t="s">
        <v>370</v>
      </c>
      <c r="O30" s="985" t="s">
        <v>3359</v>
      </c>
      <c r="P30" s="991" t="s">
        <v>3360</v>
      </c>
      <c r="Q30" s="992">
        <v>775862.07</v>
      </c>
      <c r="R30" s="44">
        <f t="shared" si="1"/>
        <v>124137.93119999999</v>
      </c>
      <c r="S30" s="45">
        <f t="shared" si="2"/>
        <v>900000.00119999994</v>
      </c>
      <c r="T30" s="46">
        <v>0</v>
      </c>
      <c r="U30" s="47">
        <f t="shared" si="3"/>
        <v>0</v>
      </c>
      <c r="V30" s="44">
        <f t="shared" si="4"/>
        <v>900000.00119999994</v>
      </c>
      <c r="W30" s="993" t="s">
        <v>156</v>
      </c>
      <c r="X30" s="48">
        <v>44256</v>
      </c>
      <c r="Y30" s="39" t="s">
        <v>234</v>
      </c>
      <c r="Z30" s="48">
        <v>44256</v>
      </c>
      <c r="AA30" s="48">
        <v>44561</v>
      </c>
      <c r="AB30" s="38" t="s">
        <v>2050</v>
      </c>
      <c r="AC30" s="38"/>
      <c r="AD30" s="59" t="s">
        <v>161</v>
      </c>
      <c r="AE30" s="59" t="s">
        <v>161</v>
      </c>
      <c r="AF30" s="59" t="s">
        <v>161</v>
      </c>
      <c r="AG30" s="59" t="s">
        <v>161</v>
      </c>
      <c r="AH30" s="155" t="s">
        <v>2050</v>
      </c>
      <c r="AI30" s="38"/>
      <c r="AJ30" s="14"/>
      <c r="AK30" s="50"/>
      <c r="AL30" s="44"/>
      <c r="AM30" s="149" t="str">
        <f t="shared" ca="1" si="8"/>
        <v>MUERTO</v>
      </c>
      <c r="AN30" s="39">
        <v>33401</v>
      </c>
      <c r="AO30" s="39"/>
      <c r="AP30" s="39" t="s">
        <v>234</v>
      </c>
      <c r="AQ30" s="39"/>
      <c r="AR30" s="39" t="s">
        <v>234</v>
      </c>
      <c r="AS30" s="39"/>
      <c r="AT30" s="39"/>
      <c r="AU30" s="51"/>
      <c r="AV30" s="50"/>
      <c r="AW30" s="38"/>
      <c r="AX30" s="52"/>
      <c r="AY30" s="170" t="s">
        <v>3361</v>
      </c>
      <c r="AZ30" s="38"/>
      <c r="BA30" s="14" t="e">
        <f>VLOOKUP(I30,#REF!,2,0)</f>
        <v>#REF!</v>
      </c>
      <c r="BB30" s="39">
        <f t="shared" si="10"/>
        <v>33401</v>
      </c>
      <c r="BC30" s="55" t="s">
        <v>186</v>
      </c>
      <c r="BD30" s="59">
        <v>44244</v>
      </c>
      <c r="BE30" s="58">
        <v>44250</v>
      </c>
      <c r="BF30" s="58">
        <v>44252</v>
      </c>
      <c r="BG30" s="39" t="s">
        <v>159</v>
      </c>
      <c r="BH30" s="183" t="str">
        <f t="shared" si="6"/>
        <v>Formalizado C 03/03/21</v>
      </c>
      <c r="BI30" s="195">
        <v>44257</v>
      </c>
      <c r="BJ30" s="185">
        <f>BI30</f>
        <v>44257</v>
      </c>
      <c r="BK30" s="186" t="str">
        <f t="shared" si="7"/>
        <v>Formalizado C 03/03/21</v>
      </c>
      <c r="BL30" s="84"/>
      <c r="BM30" s="84"/>
      <c r="BN30" s="84"/>
      <c r="BO30" s="84"/>
      <c r="BP30" s="84"/>
    </row>
    <row r="31" spans="1:71" ht="180.75" x14ac:dyDescent="0.25">
      <c r="A31" s="196" t="s">
        <v>3362</v>
      </c>
      <c r="B31" s="3">
        <v>27</v>
      </c>
      <c r="C31" s="1017" t="s">
        <v>149</v>
      </c>
      <c r="D31" s="40" t="s">
        <v>3363</v>
      </c>
      <c r="E31" s="39" t="s">
        <v>163</v>
      </c>
      <c r="F31" s="985" t="s">
        <v>188</v>
      </c>
      <c r="G31" s="3" t="s">
        <v>163</v>
      </c>
      <c r="H31" s="39" t="s">
        <v>427</v>
      </c>
      <c r="I31" s="81" t="s">
        <v>1183</v>
      </c>
      <c r="J31" s="41"/>
      <c r="K31" s="41"/>
      <c r="L31" s="41"/>
      <c r="M31" s="42" t="str">
        <f t="shared" si="0"/>
        <v xml:space="preserve">Aquí se está mejor, S.A. de C.V.  </v>
      </c>
      <c r="N31" s="985" t="s">
        <v>190</v>
      </c>
      <c r="O31" s="985" t="s">
        <v>3202</v>
      </c>
      <c r="P31" s="991" t="s">
        <v>3364</v>
      </c>
      <c r="Q31" s="992">
        <v>3850000</v>
      </c>
      <c r="R31" s="992">
        <f t="shared" si="1"/>
        <v>616000</v>
      </c>
      <c r="S31" s="45">
        <f t="shared" si="2"/>
        <v>4466000</v>
      </c>
      <c r="T31" s="46">
        <v>1200000</v>
      </c>
      <c r="U31" s="45">
        <f t="shared" si="3"/>
        <v>1392000</v>
      </c>
      <c r="V31" s="992">
        <f t="shared" si="4"/>
        <v>5002500</v>
      </c>
      <c r="W31" s="993" t="s">
        <v>156</v>
      </c>
      <c r="X31" s="1004" t="s">
        <v>3365</v>
      </c>
      <c r="Y31" s="985" t="s">
        <v>234</v>
      </c>
      <c r="Z31" s="1004">
        <v>44256</v>
      </c>
      <c r="AA31" s="1004">
        <v>44561</v>
      </c>
      <c r="AB31" s="991" t="s">
        <v>3366</v>
      </c>
      <c r="AC31" s="991"/>
      <c r="AD31" s="994" t="s">
        <v>3367</v>
      </c>
      <c r="AE31" s="994" t="s">
        <v>3367</v>
      </c>
      <c r="AF31" s="994" t="s">
        <v>3368</v>
      </c>
      <c r="AG31" s="994" t="s">
        <v>161</v>
      </c>
      <c r="AH31" s="1018" t="s">
        <v>3369</v>
      </c>
      <c r="AI31" s="582" t="s">
        <v>3370</v>
      </c>
      <c r="AJ31" s="57" t="s">
        <v>3371</v>
      </c>
      <c r="AK31" s="1005">
        <v>44529</v>
      </c>
      <c r="AL31" s="992">
        <v>536500</v>
      </c>
      <c r="AM31" s="1019" t="str">
        <f t="shared" ca="1" si="8"/>
        <v>MUERTO</v>
      </c>
      <c r="AN31" s="985">
        <v>21104</v>
      </c>
      <c r="AO31" s="985"/>
      <c r="AP31" s="985" t="s">
        <v>234</v>
      </c>
      <c r="AQ31" s="985"/>
      <c r="AR31" s="985" t="s">
        <v>333</v>
      </c>
      <c r="AS31" s="985"/>
      <c r="AT31" s="985"/>
      <c r="AU31" s="1006"/>
      <c r="AV31" s="1005"/>
      <c r="AW31" s="991"/>
      <c r="AX31" s="1007"/>
      <c r="AY31" s="1020" t="s">
        <v>3372</v>
      </c>
      <c r="AZ31" s="991"/>
      <c r="BA31" s="991" t="e">
        <f>VLOOKUP(I31,#REF!,2,0)</f>
        <v>#REF!</v>
      </c>
      <c r="BB31" s="73">
        <f t="shared" si="10"/>
        <v>21104</v>
      </c>
      <c r="BC31" s="55">
        <v>14</v>
      </c>
      <c r="BD31" s="994">
        <v>44256</v>
      </c>
      <c r="BE31" s="1008">
        <v>44256</v>
      </c>
      <c r="BF31" s="1008">
        <v>44533</v>
      </c>
      <c r="BG31" s="985"/>
      <c r="BH31" s="1021" t="str">
        <f t="shared" si="6"/>
        <v>Formalizado C, FC, PR y FD 28/04/2021
Modificatorio y endosos de FC y PRC 27/12/21</v>
      </c>
      <c r="BI31" s="1022" t="s">
        <v>3373</v>
      </c>
      <c r="BJ31" s="185" t="s">
        <v>3374</v>
      </c>
      <c r="BK31" s="186" t="str">
        <f t="shared" si="7"/>
        <v>Formalizado C, FC, PR y FD 28/04/2021
Modificatorio y endosos de FC y PRC 27/12/21</v>
      </c>
      <c r="BL31" s="1010"/>
      <c r="BM31" s="1010"/>
      <c r="BN31" s="1010"/>
      <c r="BO31" s="1010"/>
      <c r="BP31" s="1010"/>
      <c r="BQ31" s="986"/>
      <c r="BR31" s="986"/>
      <c r="BS31" s="986"/>
    </row>
    <row r="32" spans="1:71" ht="135" x14ac:dyDescent="0.25">
      <c r="A32" s="168" t="s">
        <v>3375</v>
      </c>
      <c r="B32" s="3">
        <v>28</v>
      </c>
      <c r="C32" s="167" t="s">
        <v>149</v>
      </c>
      <c r="D32" s="40" t="s">
        <v>3376</v>
      </c>
      <c r="E32" s="39" t="s">
        <v>173</v>
      </c>
      <c r="F32" s="39" t="s">
        <v>326</v>
      </c>
      <c r="G32" s="39"/>
      <c r="H32" s="39" t="s">
        <v>173</v>
      </c>
      <c r="I32" s="42" t="s">
        <v>3377</v>
      </c>
      <c r="J32" s="41"/>
      <c r="K32" s="41"/>
      <c r="L32" s="41"/>
      <c r="M32" s="42" t="str">
        <f t="shared" si="0"/>
        <v xml:space="preserve">Corporate Accon en Conocimientos e Ingeniería, S.A. de C.V.    </v>
      </c>
      <c r="N32" s="985" t="s">
        <v>301</v>
      </c>
      <c r="O32" s="985" t="s">
        <v>301</v>
      </c>
      <c r="P32" s="991" t="s">
        <v>3378</v>
      </c>
      <c r="Q32" s="992">
        <v>2073425</v>
      </c>
      <c r="R32" s="44">
        <f t="shared" si="1"/>
        <v>331748</v>
      </c>
      <c r="S32" s="45">
        <f t="shared" si="2"/>
        <v>2405173</v>
      </c>
      <c r="T32" s="46">
        <v>0</v>
      </c>
      <c r="U32" s="47">
        <f t="shared" si="3"/>
        <v>0</v>
      </c>
      <c r="V32" s="44">
        <f t="shared" si="4"/>
        <v>2405173</v>
      </c>
      <c r="W32" s="993" t="s">
        <v>156</v>
      </c>
      <c r="X32" s="48">
        <v>44256</v>
      </c>
      <c r="Y32" s="39" t="s">
        <v>234</v>
      </c>
      <c r="Z32" s="48">
        <v>44256</v>
      </c>
      <c r="AA32" s="48">
        <v>44561</v>
      </c>
      <c r="AB32" s="38" t="s">
        <v>2156</v>
      </c>
      <c r="AC32" s="38"/>
      <c r="AD32" s="59" t="s">
        <v>3379</v>
      </c>
      <c r="AE32" s="59" t="s">
        <v>3380</v>
      </c>
      <c r="AF32" s="59" t="s">
        <v>161</v>
      </c>
      <c r="AG32" s="59" t="s">
        <v>161</v>
      </c>
      <c r="AH32" s="155" t="s">
        <v>3381</v>
      </c>
      <c r="AI32" s="38"/>
      <c r="AJ32" s="38"/>
      <c r="AK32" s="50"/>
      <c r="AL32" s="44"/>
      <c r="AM32" s="149" t="str">
        <f t="shared" ca="1" si="8"/>
        <v>MUERTO</v>
      </c>
      <c r="AN32" s="39">
        <v>35701</v>
      </c>
      <c r="AO32" s="39"/>
      <c r="AP32" s="39" t="s">
        <v>234</v>
      </c>
      <c r="AQ32" s="39"/>
      <c r="AR32" s="39" t="s">
        <v>234</v>
      </c>
      <c r="AS32" s="39"/>
      <c r="AT32" s="39"/>
      <c r="AU32" s="51"/>
      <c r="AV32" s="50"/>
      <c r="AW32" s="38"/>
      <c r="AX32" s="52"/>
      <c r="AY32" s="170" t="s">
        <v>3382</v>
      </c>
      <c r="AZ32" s="38"/>
      <c r="BA32" s="38" t="e">
        <f>VLOOKUP(I32,#REF!,2,0)</f>
        <v>#REF!</v>
      </c>
      <c r="BB32" s="73">
        <f t="shared" si="10"/>
        <v>35701</v>
      </c>
      <c r="BC32" s="55">
        <v>23</v>
      </c>
      <c r="BD32" s="59">
        <v>44251</v>
      </c>
      <c r="BE32" s="59" t="s">
        <v>3383</v>
      </c>
      <c r="BF32" s="58" t="s">
        <v>3384</v>
      </c>
      <c r="BG32" s="39"/>
      <c r="BH32" s="183" t="str">
        <f t="shared" si="6"/>
        <v>Formalizado C, FC y PRC  05/04/21</v>
      </c>
      <c r="BI32" s="195">
        <v>44258</v>
      </c>
      <c r="BJ32" s="185">
        <v>44258</v>
      </c>
      <c r="BK32" s="186" t="str">
        <f t="shared" si="7"/>
        <v>Formalizado C, FC y PRC  05/04/21</v>
      </c>
      <c r="BL32" s="84"/>
      <c r="BM32" s="84"/>
      <c r="BN32" s="84"/>
      <c r="BO32" s="84"/>
      <c r="BP32" s="84"/>
    </row>
    <row r="33" spans="1:71" ht="75" x14ac:dyDescent="0.25">
      <c r="A33" s="570" t="s">
        <v>3385</v>
      </c>
      <c r="B33" s="622">
        <v>29</v>
      </c>
      <c r="C33" s="283" t="s">
        <v>225</v>
      </c>
      <c r="D33" s="280" t="s">
        <v>3386</v>
      </c>
      <c r="E33" s="272" t="s">
        <v>173</v>
      </c>
      <c r="F33" s="272" t="s">
        <v>326</v>
      </c>
      <c r="G33" s="272"/>
      <c r="H33" s="272" t="s">
        <v>173</v>
      </c>
      <c r="I33" s="422" t="s">
        <v>3387</v>
      </c>
      <c r="J33" s="267"/>
      <c r="K33" s="267"/>
      <c r="L33" s="267"/>
      <c r="M33" s="422" t="s">
        <v>3387</v>
      </c>
      <c r="N33" s="1016" t="s">
        <v>270</v>
      </c>
      <c r="O33" s="1016" t="s">
        <v>270</v>
      </c>
      <c r="P33" s="1023" t="s">
        <v>3388</v>
      </c>
      <c r="Q33" s="1024">
        <v>2364889.94</v>
      </c>
      <c r="R33" s="472">
        <f t="shared" si="1"/>
        <v>378382.39039999997</v>
      </c>
      <c r="S33" s="473">
        <f t="shared" si="2"/>
        <v>2743272.3303999999</v>
      </c>
      <c r="T33" s="474">
        <v>945955.99</v>
      </c>
      <c r="U33" s="475">
        <f t="shared" si="3"/>
        <v>1097308.9484000001</v>
      </c>
      <c r="V33" s="472">
        <f t="shared" si="4"/>
        <v>2743272.3303999999</v>
      </c>
      <c r="W33" s="1025" t="s">
        <v>156</v>
      </c>
      <c r="X33" s="476">
        <v>44257</v>
      </c>
      <c r="Y33" s="272" t="s">
        <v>234</v>
      </c>
      <c r="Z33" s="476">
        <v>44257</v>
      </c>
      <c r="AA33" s="476">
        <v>44561</v>
      </c>
      <c r="AB33" s="396" t="s">
        <v>182</v>
      </c>
      <c r="AC33" s="396"/>
      <c r="AD33" s="164" t="s">
        <v>3389</v>
      </c>
      <c r="AE33" s="164" t="s">
        <v>161</v>
      </c>
      <c r="AF33" s="164" t="s">
        <v>161</v>
      </c>
      <c r="AG33" s="164" t="s">
        <v>161</v>
      </c>
      <c r="AH33" s="626" t="s">
        <v>3390</v>
      </c>
      <c r="AI33" s="396"/>
      <c r="AJ33" s="396"/>
      <c r="AK33" s="477"/>
      <c r="AL33" s="472"/>
      <c r="AM33" s="627" t="s">
        <v>1388</v>
      </c>
      <c r="AN33" s="272" t="s">
        <v>3391</v>
      </c>
      <c r="AO33" s="272"/>
      <c r="AP33" s="272" t="s">
        <v>234</v>
      </c>
      <c r="AQ33" s="272"/>
      <c r="AR33" s="272" t="s">
        <v>234</v>
      </c>
      <c r="AS33" s="272"/>
      <c r="AT33" s="272"/>
      <c r="AU33" s="478"/>
      <c r="AV33" s="477"/>
      <c r="AW33" s="396"/>
      <c r="AX33" s="479"/>
      <c r="AY33" s="480" t="s">
        <v>3392</v>
      </c>
      <c r="AZ33" s="396"/>
      <c r="BA33" s="396" t="e">
        <f>VLOOKUP(I33,#REF!,2,0)</f>
        <v>#REF!</v>
      </c>
      <c r="BB33" s="571" t="str">
        <f t="shared" si="10"/>
        <v>21101
21401</v>
      </c>
      <c r="BC33" s="628">
        <v>49</v>
      </c>
      <c r="BD33" s="164">
        <v>44253</v>
      </c>
      <c r="BE33" s="481">
        <v>44256</v>
      </c>
      <c r="BF33" s="481">
        <v>44256</v>
      </c>
      <c r="BG33" s="481">
        <v>44257</v>
      </c>
      <c r="BH33" s="400" t="str">
        <f t="shared" si="6"/>
        <v>Formalizado C y FC 23/03/21</v>
      </c>
      <c r="BI33" s="227">
        <v>44260</v>
      </c>
      <c r="BJ33" s="482">
        <f>BI33</f>
        <v>44260</v>
      </c>
      <c r="BK33" s="573" t="str">
        <f t="shared" si="7"/>
        <v>Formalizado C y FC 23/03/21</v>
      </c>
      <c r="BL33" s="84"/>
      <c r="BM33" s="84"/>
      <c r="BN33" s="84"/>
      <c r="BO33" s="84"/>
      <c r="BP33" s="84"/>
    </row>
    <row r="34" spans="1:71" ht="120" x14ac:dyDescent="0.25">
      <c r="A34" s="527" t="s">
        <v>3393</v>
      </c>
      <c r="B34" s="5">
        <v>30</v>
      </c>
      <c r="C34" s="4" t="s">
        <v>225</v>
      </c>
      <c r="D34" s="18" t="s">
        <v>3394</v>
      </c>
      <c r="E34" s="3" t="s">
        <v>163</v>
      </c>
      <c r="F34" s="3" t="s">
        <v>3395</v>
      </c>
      <c r="G34" s="685" t="s">
        <v>546</v>
      </c>
      <c r="H34" s="3" t="s">
        <v>2237</v>
      </c>
      <c r="I34" s="275" t="s">
        <v>3396</v>
      </c>
      <c r="J34" s="17"/>
      <c r="K34" s="17"/>
      <c r="L34" s="17"/>
      <c r="M34" s="375" t="str">
        <f t="shared" ref="M34:M65" si="11">I34&amp;J34&amp;" "&amp;K34&amp;" "&amp;L34</f>
        <v xml:space="preserve">TECHNOLOGIT GROUP DE MÉXICO, S.A. DE C.V.  </v>
      </c>
      <c r="N34" s="960" t="s">
        <v>656</v>
      </c>
      <c r="O34" s="960" t="s">
        <v>667</v>
      </c>
      <c r="P34" s="959" t="s">
        <v>3397</v>
      </c>
      <c r="Q34" s="962">
        <v>2589196.58</v>
      </c>
      <c r="R34" s="383">
        <f t="shared" si="1"/>
        <v>414271.45280000003</v>
      </c>
      <c r="S34" s="384">
        <f t="shared" ref="S34:S65" si="12">Q34+R34</f>
        <v>3003468.0328000002</v>
      </c>
      <c r="T34" s="385">
        <v>0</v>
      </c>
      <c r="U34" s="386">
        <f t="shared" si="3"/>
        <v>0</v>
      </c>
      <c r="V34" s="383">
        <f t="shared" si="4"/>
        <v>3003468.0328000002</v>
      </c>
      <c r="W34" s="963" t="s">
        <v>156</v>
      </c>
      <c r="X34" s="387">
        <v>44257</v>
      </c>
      <c r="Y34" s="3" t="s">
        <v>234</v>
      </c>
      <c r="Z34" s="387">
        <v>44257</v>
      </c>
      <c r="AA34" s="387">
        <v>44286</v>
      </c>
      <c r="AB34" s="4" t="s">
        <v>182</v>
      </c>
      <c r="AC34" s="4"/>
      <c r="AD34" s="6" t="s">
        <v>3398</v>
      </c>
      <c r="AE34" s="6" t="s">
        <v>161</v>
      </c>
      <c r="AF34" s="6" t="s">
        <v>161</v>
      </c>
      <c r="AG34" s="6" t="s">
        <v>161</v>
      </c>
      <c r="AH34" s="629" t="s">
        <v>3399</v>
      </c>
      <c r="AI34" s="4"/>
      <c r="AJ34" s="4"/>
      <c r="AK34" s="388"/>
      <c r="AL34" s="383"/>
      <c r="AM34" s="625" t="str">
        <f ca="1">IF(ISBLANK(AA34),"",IF(AA34&gt;=TODAY(),"VIGENTE","MUERTO"))</f>
        <v>MUERTO</v>
      </c>
      <c r="AN34" s="3">
        <v>51501</v>
      </c>
      <c r="AO34" s="3"/>
      <c r="AP34" s="3" t="s">
        <v>234</v>
      </c>
      <c r="AQ34" s="3"/>
      <c r="AR34" s="3" t="s">
        <v>234</v>
      </c>
      <c r="AS34" s="3"/>
      <c r="AT34" s="3"/>
      <c r="AU34" s="458"/>
      <c r="AV34" s="388"/>
      <c r="AW34" s="4"/>
      <c r="AX34" s="459"/>
      <c r="AY34" s="281" t="s">
        <v>3392</v>
      </c>
      <c r="AZ34" s="4"/>
      <c r="BA34" s="4" t="e">
        <f>VLOOKUP(I34,#REF!,2,0)</f>
        <v>#REF!</v>
      </c>
      <c r="BB34" s="3">
        <f t="shared" si="10"/>
        <v>51501</v>
      </c>
      <c r="BC34" s="461">
        <v>5</v>
      </c>
      <c r="BD34" s="6">
        <v>44281</v>
      </c>
      <c r="BE34" s="6">
        <v>44253</v>
      </c>
      <c r="BF34" s="463">
        <v>44256</v>
      </c>
      <c r="BG34" s="463">
        <v>44257</v>
      </c>
      <c r="BH34" s="415" t="str">
        <f t="shared" si="6"/>
        <v>Formalizado C y FC 23/03/21</v>
      </c>
      <c r="BI34" s="416">
        <v>44257</v>
      </c>
      <c r="BJ34" s="255">
        <f>BI34</f>
        <v>44257</v>
      </c>
      <c r="BK34" s="415" t="str">
        <f t="shared" si="7"/>
        <v>Formalizado C y FC 23/03/21</v>
      </c>
      <c r="BL34" s="84"/>
      <c r="BM34" s="84"/>
      <c r="BN34" s="84"/>
      <c r="BO34" s="84"/>
      <c r="BP34" s="84"/>
    </row>
    <row r="35" spans="1:71" s="468" customFormat="1" ht="180" x14ac:dyDescent="0.25">
      <c r="A35" s="417" t="s">
        <v>3400</v>
      </c>
      <c r="B35" s="3">
        <v>31</v>
      </c>
      <c r="C35" s="4" t="s">
        <v>149</v>
      </c>
      <c r="D35" s="18" t="s">
        <v>3401</v>
      </c>
      <c r="E35" s="3" t="s">
        <v>151</v>
      </c>
      <c r="F35" s="3" t="s">
        <v>152</v>
      </c>
      <c r="G35" s="3"/>
      <c r="H35" s="3" t="s">
        <v>151</v>
      </c>
      <c r="I35" s="275" t="s">
        <v>3336</v>
      </c>
      <c r="J35" s="17"/>
      <c r="K35" s="17"/>
      <c r="L35" s="17"/>
      <c r="M35" s="375" t="str">
        <f t="shared" si="11"/>
        <v xml:space="preserve">Audio Video &amp; Control, S.A. de C.V.    </v>
      </c>
      <c r="N35" s="960" t="s">
        <v>166</v>
      </c>
      <c r="O35" s="960" t="s">
        <v>315</v>
      </c>
      <c r="P35" s="959" t="s">
        <v>3402</v>
      </c>
      <c r="Q35" s="962">
        <v>601250</v>
      </c>
      <c r="R35" s="383">
        <f t="shared" si="1"/>
        <v>96200</v>
      </c>
      <c r="S35" s="384">
        <f t="shared" si="12"/>
        <v>697450</v>
      </c>
      <c r="T35" s="385">
        <v>0</v>
      </c>
      <c r="U35" s="386">
        <f t="shared" si="3"/>
        <v>0</v>
      </c>
      <c r="V35" s="383">
        <f t="shared" si="4"/>
        <v>836940</v>
      </c>
      <c r="W35" s="963" t="s">
        <v>156</v>
      </c>
      <c r="X35" s="387">
        <v>44256</v>
      </c>
      <c r="Y35" s="3" t="s">
        <v>234</v>
      </c>
      <c r="Z35" s="387">
        <v>44256</v>
      </c>
      <c r="AA35" s="531" t="s">
        <v>3403</v>
      </c>
      <c r="AB35" s="4" t="s">
        <v>2033</v>
      </c>
      <c r="AC35" s="4"/>
      <c r="AD35" s="6" t="s">
        <v>3404</v>
      </c>
      <c r="AE35" s="6" t="s">
        <v>3405</v>
      </c>
      <c r="AF35" s="6" t="s">
        <v>161</v>
      </c>
      <c r="AG35" s="6" t="s">
        <v>161</v>
      </c>
      <c r="AH35" s="3" t="s">
        <v>183</v>
      </c>
      <c r="AI35" s="527" t="s">
        <v>3406</v>
      </c>
      <c r="AJ35" s="4" t="s">
        <v>3407</v>
      </c>
      <c r="AK35" s="388">
        <v>44546</v>
      </c>
      <c r="AL35" s="383">
        <v>139490</v>
      </c>
      <c r="AM35" s="625" t="s">
        <v>1388</v>
      </c>
      <c r="AN35" s="3">
        <v>35701</v>
      </c>
      <c r="AO35" s="3"/>
      <c r="AP35" s="3" t="s">
        <v>234</v>
      </c>
      <c r="AQ35" s="3"/>
      <c r="AR35" s="3" t="s">
        <v>234</v>
      </c>
      <c r="AS35" s="3"/>
      <c r="AT35" s="3"/>
      <c r="AU35" s="458"/>
      <c r="AV35" s="388"/>
      <c r="AW35" s="4"/>
      <c r="AX35" s="459"/>
      <c r="AY35" s="281" t="s">
        <v>3408</v>
      </c>
      <c r="AZ35" s="4"/>
      <c r="BA35" s="4"/>
      <c r="BB35" s="5">
        <v>35701</v>
      </c>
      <c r="BC35" s="461">
        <v>18</v>
      </c>
      <c r="BD35" s="6">
        <v>44373</v>
      </c>
      <c r="BE35" s="6">
        <v>44253</v>
      </c>
      <c r="BF35" s="463" t="s">
        <v>3409</v>
      </c>
      <c r="BG35" s="463">
        <v>44257</v>
      </c>
      <c r="BH35" s="415" t="str">
        <f t="shared" si="6"/>
        <v>Formalizado 31/03/2021
1er Modific formalizado con endoso FC y PRC en tesorería 13/01/22</v>
      </c>
      <c r="BI35" s="416" t="s">
        <v>3410</v>
      </c>
      <c r="BJ35" s="255" t="s">
        <v>3411</v>
      </c>
      <c r="BK35" s="415" t="str">
        <f t="shared" si="7"/>
        <v>Formalizado 31/03/2021
1er Modific formalizado con endoso FC y PRC en tesorería 13/01/22</v>
      </c>
      <c r="BL35" s="84"/>
      <c r="BM35" s="84"/>
      <c r="BN35" s="84"/>
      <c r="BO35" s="84"/>
      <c r="BP35" s="84"/>
      <c r="BQ35"/>
      <c r="BR35"/>
      <c r="BS35"/>
    </row>
    <row r="36" spans="1:71" s="468" customFormat="1" ht="135" x14ac:dyDescent="0.25">
      <c r="A36" s="624" t="s">
        <v>3412</v>
      </c>
      <c r="B36" s="3">
        <v>32</v>
      </c>
      <c r="C36" s="4" t="s">
        <v>149</v>
      </c>
      <c r="D36" s="18" t="s">
        <v>3413</v>
      </c>
      <c r="E36" s="3" t="s">
        <v>163</v>
      </c>
      <c r="F36" s="3" t="s">
        <v>3414</v>
      </c>
      <c r="G36" s="685" t="s">
        <v>546</v>
      </c>
      <c r="H36" s="3" t="s">
        <v>163</v>
      </c>
      <c r="I36" s="275" t="s">
        <v>3415</v>
      </c>
      <c r="J36" s="17"/>
      <c r="K36" s="17"/>
      <c r="L36" s="17"/>
      <c r="M36" s="375" t="str">
        <f t="shared" si="11"/>
        <v xml:space="preserve">PROVETECNIA, S.A. DE C.V.  </v>
      </c>
      <c r="N36" s="960" t="s">
        <v>166</v>
      </c>
      <c r="O36" s="960" t="s">
        <v>2656</v>
      </c>
      <c r="P36" s="959" t="s">
        <v>3416</v>
      </c>
      <c r="Q36" s="962">
        <v>1456137.93</v>
      </c>
      <c r="R36" s="383">
        <f t="shared" si="1"/>
        <v>232982.06880000001</v>
      </c>
      <c r="S36" s="384">
        <f t="shared" si="12"/>
        <v>1689119.9987999999</v>
      </c>
      <c r="T36" s="385">
        <v>0</v>
      </c>
      <c r="U36" s="386">
        <f t="shared" si="3"/>
        <v>0</v>
      </c>
      <c r="V36" s="383">
        <f t="shared" si="4"/>
        <v>1689119.9987999999</v>
      </c>
      <c r="W36" s="1026" t="s">
        <v>156</v>
      </c>
      <c r="X36" s="630">
        <v>44256</v>
      </c>
      <c r="Y36" s="625" t="s">
        <v>234</v>
      </c>
      <c r="Z36" s="387">
        <v>44256</v>
      </c>
      <c r="AA36" s="387">
        <v>44561</v>
      </c>
      <c r="AB36" s="4" t="s">
        <v>2033</v>
      </c>
      <c r="AC36" s="4"/>
      <c r="AD36" s="6" t="s">
        <v>3417</v>
      </c>
      <c r="AE36" s="6" t="s">
        <v>3398</v>
      </c>
      <c r="AF36" s="6" t="s">
        <v>161</v>
      </c>
      <c r="AG36" s="6" t="s">
        <v>161</v>
      </c>
      <c r="AH36" s="3" t="s">
        <v>183</v>
      </c>
      <c r="AI36" s="4"/>
      <c r="AJ36" s="4"/>
      <c r="AK36" s="388"/>
      <c r="AL36" s="383"/>
      <c r="AM36" s="625" t="str">
        <f ca="1">IF(ISBLANK(AA36),"",IF(AA36&gt;=TODAY(),"VIGENTE","MUERTO"))</f>
        <v>MUERTO</v>
      </c>
      <c r="AN36" s="3"/>
      <c r="AO36" s="3"/>
      <c r="AP36" s="3" t="s">
        <v>234</v>
      </c>
      <c r="AQ36" s="3"/>
      <c r="AR36" s="3" t="s">
        <v>234</v>
      </c>
      <c r="AS36" s="3"/>
      <c r="AT36" s="3"/>
      <c r="AU36" s="458"/>
      <c r="AV36" s="388"/>
      <c r="AW36" s="4"/>
      <c r="AX36" s="459"/>
      <c r="AY36" s="281"/>
      <c r="AZ36" s="4"/>
      <c r="BA36" s="4" t="e">
        <f>VLOOKUP(I36,#REF!,2,0)</f>
        <v>#REF!</v>
      </c>
      <c r="BB36" s="5">
        <f t="shared" ref="BB36:BB49" si="13">AN36</f>
        <v>0</v>
      </c>
      <c r="BC36" s="461"/>
      <c r="BD36" s="6">
        <v>44256</v>
      </c>
      <c r="BE36" s="6">
        <v>44253</v>
      </c>
      <c r="BF36" s="463">
        <v>44260</v>
      </c>
      <c r="BG36" s="463">
        <v>44264</v>
      </c>
      <c r="BH36" s="415">
        <f t="shared" si="6"/>
        <v>0</v>
      </c>
      <c r="BI36" s="416">
        <v>44260</v>
      </c>
      <c r="BJ36" s="255">
        <f>BI36</f>
        <v>44260</v>
      </c>
      <c r="BK36" s="415">
        <f t="shared" si="7"/>
        <v>0</v>
      </c>
      <c r="BL36" s="84"/>
      <c r="BM36" s="84"/>
      <c r="BN36" s="84"/>
      <c r="BO36" s="84"/>
      <c r="BP36" s="84"/>
      <c r="BQ36"/>
      <c r="BR36"/>
      <c r="BS36"/>
    </row>
    <row r="37" spans="1:71" ht="405" x14ac:dyDescent="0.25">
      <c r="A37" s="417" t="s">
        <v>3418</v>
      </c>
      <c r="B37" s="3">
        <v>33</v>
      </c>
      <c r="C37" s="4" t="s">
        <v>149</v>
      </c>
      <c r="D37" s="18" t="s">
        <v>3419</v>
      </c>
      <c r="E37" s="3" t="s">
        <v>173</v>
      </c>
      <c r="F37" s="3" t="s">
        <v>326</v>
      </c>
      <c r="G37" s="3"/>
      <c r="H37" s="3" t="s">
        <v>173</v>
      </c>
      <c r="I37" s="375" t="s">
        <v>2668</v>
      </c>
      <c r="J37" s="17"/>
      <c r="K37" s="17"/>
      <c r="L37" s="17"/>
      <c r="M37" s="375" t="str">
        <f t="shared" si="11"/>
        <v xml:space="preserve">Roka Instalaciones y Equipos, S.A. de C.V.  </v>
      </c>
      <c r="N37" s="960" t="s">
        <v>198</v>
      </c>
      <c r="O37" s="960" t="s">
        <v>198</v>
      </c>
      <c r="P37" s="959" t="s">
        <v>3420</v>
      </c>
      <c r="Q37" s="962">
        <v>10693646.039999999</v>
      </c>
      <c r="R37" s="383">
        <f t="shared" si="1"/>
        <v>1710983.3663999999</v>
      </c>
      <c r="S37" s="384">
        <f t="shared" si="12"/>
        <v>12404629.406399999</v>
      </c>
      <c r="T37" s="385">
        <v>8455759.6799999997</v>
      </c>
      <c r="U37" s="386">
        <f t="shared" si="3"/>
        <v>9808681.2287999988</v>
      </c>
      <c r="V37" s="383">
        <f t="shared" ref="V37:V68" si="14">S37+AL37</f>
        <v>15505786.746399999</v>
      </c>
      <c r="W37" s="1026" t="s">
        <v>156</v>
      </c>
      <c r="X37" s="630">
        <v>44257</v>
      </c>
      <c r="Y37" s="625" t="s">
        <v>234</v>
      </c>
      <c r="Z37" s="387">
        <v>44257</v>
      </c>
      <c r="AA37" s="531">
        <v>44620</v>
      </c>
      <c r="AB37" s="4" t="s">
        <v>2033</v>
      </c>
      <c r="AC37" s="4"/>
      <c r="AD37" s="6" t="s">
        <v>3421</v>
      </c>
      <c r="AE37" s="6" t="s">
        <v>3389</v>
      </c>
      <c r="AF37" s="6" t="s">
        <v>161</v>
      </c>
      <c r="AG37" s="6" t="s">
        <v>161</v>
      </c>
      <c r="AH37" s="3" t="s">
        <v>183</v>
      </c>
      <c r="AI37" s="4" t="s">
        <v>3422</v>
      </c>
      <c r="AJ37" s="527" t="s">
        <v>3423</v>
      </c>
      <c r="AK37" s="521">
        <v>44561</v>
      </c>
      <c r="AL37" s="528">
        <v>3101157.34</v>
      </c>
      <c r="AM37" s="625" t="s">
        <v>1388</v>
      </c>
      <c r="AN37" s="3"/>
      <c r="AO37" s="3"/>
      <c r="AP37" s="3" t="s">
        <v>234</v>
      </c>
      <c r="AQ37" s="3"/>
      <c r="AR37" s="3" t="s">
        <v>234</v>
      </c>
      <c r="AS37" s="3"/>
      <c r="AT37" s="3"/>
      <c r="AU37" s="458"/>
      <c r="AV37" s="388"/>
      <c r="AW37" s="4"/>
      <c r="AX37" s="459"/>
      <c r="AY37" s="281" t="s">
        <v>3424</v>
      </c>
      <c r="AZ37" s="4"/>
      <c r="BA37" s="4"/>
      <c r="BB37" s="5">
        <f t="shared" si="13"/>
        <v>0</v>
      </c>
      <c r="BC37" s="461"/>
      <c r="BD37" s="6" t="s">
        <v>3425</v>
      </c>
      <c r="BE37" s="6" t="s">
        <v>3426</v>
      </c>
      <c r="BF37" s="463" t="s">
        <v>3427</v>
      </c>
      <c r="BG37" s="463">
        <v>44260</v>
      </c>
      <c r="BH37" s="415" t="str">
        <f t="shared" si="6"/>
        <v>Formalizado 23/03/2021
Modific con endoso de FC y PRC 01/02/22</v>
      </c>
      <c r="BI37" s="416" t="s">
        <v>3428</v>
      </c>
      <c r="BJ37" s="255" t="s">
        <v>3429</v>
      </c>
      <c r="BK37" s="415" t="str">
        <f t="shared" ref="BK37:BK68" si="15">AY37</f>
        <v>Formalizado 23/03/2021
Modific con endoso de FC y PRC 01/02/22</v>
      </c>
      <c r="BL37" s="84"/>
      <c r="BM37" s="84"/>
      <c r="BN37" s="84"/>
      <c r="BO37" s="84"/>
      <c r="BP37" s="84"/>
    </row>
    <row r="38" spans="1:71" ht="409.5" x14ac:dyDescent="0.25">
      <c r="A38" s="417" t="s">
        <v>3430</v>
      </c>
      <c r="B38" s="5">
        <v>34</v>
      </c>
      <c r="C38" s="4" t="s">
        <v>149</v>
      </c>
      <c r="D38" s="18" t="s">
        <v>3431</v>
      </c>
      <c r="E38" s="3" t="s">
        <v>163</v>
      </c>
      <c r="F38" s="3" t="s">
        <v>726</v>
      </c>
      <c r="G38" s="685" t="s">
        <v>546</v>
      </c>
      <c r="H38" s="3" t="s">
        <v>163</v>
      </c>
      <c r="I38" s="275" t="s">
        <v>3432</v>
      </c>
      <c r="J38" s="17"/>
      <c r="K38" s="17"/>
      <c r="L38" s="17"/>
      <c r="M38" s="375" t="str">
        <f t="shared" si="11"/>
        <v xml:space="preserve">DETECNO, S.A. DE .C.V.  </v>
      </c>
      <c r="N38" s="960" t="s">
        <v>461</v>
      </c>
      <c r="O38" s="960" t="s">
        <v>3433</v>
      </c>
      <c r="P38" s="959" t="s">
        <v>3434</v>
      </c>
      <c r="Q38" s="962">
        <v>1569760</v>
      </c>
      <c r="R38" s="383">
        <f t="shared" si="1"/>
        <v>251161.60000000001</v>
      </c>
      <c r="S38" s="384">
        <f t="shared" si="12"/>
        <v>1820921.6</v>
      </c>
      <c r="T38" s="385">
        <v>0</v>
      </c>
      <c r="U38" s="386">
        <f t="shared" si="3"/>
        <v>0</v>
      </c>
      <c r="V38" s="528">
        <f t="shared" si="14"/>
        <v>2185105.92</v>
      </c>
      <c r="W38" s="1026" t="s">
        <v>156</v>
      </c>
      <c r="X38" s="630">
        <v>44259</v>
      </c>
      <c r="Y38" s="625" t="s">
        <v>234</v>
      </c>
      <c r="Z38" s="387">
        <v>44259</v>
      </c>
      <c r="AA38" s="631" t="s">
        <v>3403</v>
      </c>
      <c r="AB38" s="4" t="s">
        <v>182</v>
      </c>
      <c r="AC38" s="4"/>
      <c r="AD38" s="6" t="s">
        <v>3435</v>
      </c>
      <c r="AE38" s="6" t="s">
        <v>161</v>
      </c>
      <c r="AF38" s="6" t="s">
        <v>161</v>
      </c>
      <c r="AG38" s="6" t="s">
        <v>161</v>
      </c>
      <c r="AH38" s="3" t="s">
        <v>183</v>
      </c>
      <c r="AI38" s="4" t="s">
        <v>3436</v>
      </c>
      <c r="AJ38" s="527" t="s">
        <v>3437</v>
      </c>
      <c r="AK38" s="521" t="s">
        <v>3438</v>
      </c>
      <c r="AL38" s="528">
        <f>306184.32+58000</f>
        <v>364184.32000000001</v>
      </c>
      <c r="AM38" s="625" t="str">
        <f ca="1">IF(ISBLANK(AA38),"",IF(AA38&gt;=TODAY(),"VIGENTE","MUERTO"))</f>
        <v>VIGENTE</v>
      </c>
      <c r="AN38" s="3"/>
      <c r="AO38" s="3"/>
      <c r="AP38" s="3" t="s">
        <v>234</v>
      </c>
      <c r="AQ38" s="3"/>
      <c r="AR38" s="3" t="s">
        <v>234</v>
      </c>
      <c r="AS38" s="3"/>
      <c r="AT38" s="3"/>
      <c r="AU38" s="458"/>
      <c r="AV38" s="388"/>
      <c r="AW38" s="4"/>
      <c r="AX38" s="459"/>
      <c r="AY38" s="281" t="s">
        <v>3439</v>
      </c>
      <c r="AZ38" s="4"/>
      <c r="BA38" s="4" t="e">
        <f>VLOOKUP(I38,#REF!,2,0)</f>
        <v>#REF!</v>
      </c>
      <c r="BB38" s="5">
        <f t="shared" si="13"/>
        <v>0</v>
      </c>
      <c r="BC38" s="461"/>
      <c r="BD38" s="6">
        <v>44256</v>
      </c>
      <c r="BE38" s="6">
        <v>44256</v>
      </c>
      <c r="BF38" s="463" t="s">
        <v>3440</v>
      </c>
      <c r="BG38" s="3"/>
      <c r="BH38" s="415" t="str">
        <f t="shared" si="6"/>
        <v>Formalizado 23/03/2021
Modificatorio 06/01/2022 y endoso de FC</v>
      </c>
      <c r="BI38" s="416" t="s">
        <v>3441</v>
      </c>
      <c r="BJ38" s="255" t="s">
        <v>3441</v>
      </c>
      <c r="BK38" s="415" t="str">
        <f t="shared" si="15"/>
        <v>Formalizado 23/03/2021
Modificatorio 06/01/2022 y endoso de FC</v>
      </c>
      <c r="BL38" s="84"/>
      <c r="BM38" s="84"/>
      <c r="BN38" s="84"/>
      <c r="BO38" s="84"/>
      <c r="BP38" s="84"/>
    </row>
    <row r="39" spans="1:71" ht="330" x14ac:dyDescent="0.25">
      <c r="A39" s="533" t="s">
        <v>3442</v>
      </c>
      <c r="B39" s="3">
        <v>35</v>
      </c>
      <c r="C39" s="4" t="s">
        <v>225</v>
      </c>
      <c r="D39" s="18" t="s">
        <v>3443</v>
      </c>
      <c r="E39" s="3" t="s">
        <v>173</v>
      </c>
      <c r="F39" s="3" t="s">
        <v>326</v>
      </c>
      <c r="G39" s="3"/>
      <c r="H39" s="3" t="s">
        <v>173</v>
      </c>
      <c r="I39" s="275"/>
      <c r="J39" s="17" t="s">
        <v>1469</v>
      </c>
      <c r="K39" s="17" t="s">
        <v>453</v>
      </c>
      <c r="L39" s="17" t="s">
        <v>454</v>
      </c>
      <c r="M39" s="375" t="str">
        <f t="shared" si="11"/>
        <v>Claudia Angélica López Flores</v>
      </c>
      <c r="N39" s="960" t="s">
        <v>270</v>
      </c>
      <c r="O39" s="960" t="s">
        <v>270</v>
      </c>
      <c r="P39" s="959" t="s">
        <v>3444</v>
      </c>
      <c r="Q39" s="962">
        <v>1311262.5900000001</v>
      </c>
      <c r="R39" s="383">
        <f t="shared" si="1"/>
        <v>209802.01440000001</v>
      </c>
      <c r="S39" s="384">
        <f t="shared" si="12"/>
        <v>1521064.6044000001</v>
      </c>
      <c r="T39" s="385">
        <v>524505.03</v>
      </c>
      <c r="U39" s="386">
        <f t="shared" si="3"/>
        <v>608425.83480000007</v>
      </c>
      <c r="V39" s="383">
        <f t="shared" si="14"/>
        <v>1901330.7544</v>
      </c>
      <c r="W39" s="963" t="s">
        <v>156</v>
      </c>
      <c r="X39" s="387">
        <v>44266</v>
      </c>
      <c r="Y39" s="3" t="s">
        <v>234</v>
      </c>
      <c r="Z39" s="387">
        <v>44287</v>
      </c>
      <c r="AA39" s="387">
        <v>44561</v>
      </c>
      <c r="AB39" s="4" t="s">
        <v>182</v>
      </c>
      <c r="AC39" s="4"/>
      <c r="AD39" s="6">
        <v>44286</v>
      </c>
      <c r="AE39" s="6" t="s">
        <v>161</v>
      </c>
      <c r="AF39" s="6" t="s">
        <v>161</v>
      </c>
      <c r="AG39" s="6" t="s">
        <v>161</v>
      </c>
      <c r="AH39" s="632" t="s">
        <v>3445</v>
      </c>
      <c r="AI39" s="4" t="s">
        <v>3446</v>
      </c>
      <c r="AJ39" s="4" t="s">
        <v>3447</v>
      </c>
      <c r="AK39" s="388" t="s">
        <v>3448</v>
      </c>
      <c r="AL39" s="383">
        <v>380266.15</v>
      </c>
      <c r="AM39" s="625" t="s">
        <v>1388</v>
      </c>
      <c r="AN39" s="3">
        <v>33603</v>
      </c>
      <c r="AO39" s="3"/>
      <c r="AP39" s="3" t="s">
        <v>333</v>
      </c>
      <c r="AQ39" s="3"/>
      <c r="AR39" s="3" t="s">
        <v>234</v>
      </c>
      <c r="AS39" s="3"/>
      <c r="AT39" s="3"/>
      <c r="AU39" s="458"/>
      <c r="AV39" s="388"/>
      <c r="AW39" s="4"/>
      <c r="AX39" s="459"/>
      <c r="AY39" s="281" t="s">
        <v>3449</v>
      </c>
      <c r="AZ39" s="4"/>
      <c r="BA39" s="4"/>
      <c r="BB39" s="5">
        <f t="shared" si="13"/>
        <v>33603</v>
      </c>
      <c r="BC39" s="461" t="s">
        <v>3450</v>
      </c>
      <c r="BD39" s="6">
        <v>44259</v>
      </c>
      <c r="BE39" s="6" t="s">
        <v>3451</v>
      </c>
      <c r="BF39" s="463" t="s">
        <v>3452</v>
      </c>
      <c r="BG39" s="463">
        <v>44274</v>
      </c>
      <c r="BH39" s="415" t="str">
        <f t="shared" si="6"/>
        <v xml:space="preserve">Formalizado 19/04/2021
Modif y endoso 13/09
Terminación formalizada en tesorería 08/12/21
</v>
      </c>
      <c r="BI39" s="416" t="s">
        <v>3453</v>
      </c>
      <c r="BJ39" s="255" t="s">
        <v>3454</v>
      </c>
      <c r="BK39" s="415" t="str">
        <f t="shared" si="15"/>
        <v xml:space="preserve">Formalizado 19/04/2021
Modif y endoso 13/09
Terminación formalizada en tesorería 08/12/21
</v>
      </c>
      <c r="BL39" s="84"/>
      <c r="BM39" s="84"/>
      <c r="BN39" s="84"/>
      <c r="BO39" s="84"/>
      <c r="BP39" s="84"/>
    </row>
    <row r="40" spans="1:71" ht="60" x14ac:dyDescent="0.25">
      <c r="A40" s="624" t="s">
        <v>3455</v>
      </c>
      <c r="B40" s="3">
        <v>36</v>
      </c>
      <c r="C40" s="4" t="s">
        <v>225</v>
      </c>
      <c r="D40" s="18" t="s">
        <v>3443</v>
      </c>
      <c r="E40" s="3" t="s">
        <v>173</v>
      </c>
      <c r="F40" s="3" t="s">
        <v>326</v>
      </c>
      <c r="G40" s="3"/>
      <c r="H40" s="3" t="s">
        <v>173</v>
      </c>
      <c r="I40" s="275"/>
      <c r="J40" s="17" t="s">
        <v>1469</v>
      </c>
      <c r="K40" s="17" t="s">
        <v>453</v>
      </c>
      <c r="L40" s="17" t="s">
        <v>454</v>
      </c>
      <c r="M40" s="375" t="str">
        <f t="shared" si="11"/>
        <v>Claudia Angélica López Flores</v>
      </c>
      <c r="N40" s="960" t="s">
        <v>270</v>
      </c>
      <c r="O40" s="960" t="s">
        <v>270</v>
      </c>
      <c r="P40" s="959" t="s">
        <v>3456</v>
      </c>
      <c r="Q40" s="962">
        <v>158940</v>
      </c>
      <c r="R40" s="383">
        <f t="shared" si="1"/>
        <v>25430.400000000001</v>
      </c>
      <c r="S40" s="384">
        <f t="shared" si="12"/>
        <v>184370.4</v>
      </c>
      <c r="T40" s="385">
        <v>63576</v>
      </c>
      <c r="U40" s="386">
        <f t="shared" si="3"/>
        <v>73748.160000000003</v>
      </c>
      <c r="V40" s="383">
        <f t="shared" si="14"/>
        <v>184370.4</v>
      </c>
      <c r="W40" s="963" t="s">
        <v>156</v>
      </c>
      <c r="X40" s="387">
        <v>44266</v>
      </c>
      <c r="Y40" s="3" t="s">
        <v>234</v>
      </c>
      <c r="Z40" s="387">
        <v>44264</v>
      </c>
      <c r="AA40" s="387">
        <v>44561</v>
      </c>
      <c r="AB40" s="4" t="s">
        <v>182</v>
      </c>
      <c r="AC40" s="4"/>
      <c r="AD40" s="633" t="s">
        <v>3457</v>
      </c>
      <c r="AE40" s="633" t="s">
        <v>161</v>
      </c>
      <c r="AF40" s="633" t="s">
        <v>161</v>
      </c>
      <c r="AG40" s="633" t="s">
        <v>161</v>
      </c>
      <c r="AH40" s="3" t="s">
        <v>183</v>
      </c>
      <c r="AI40" s="4"/>
      <c r="AJ40" s="4"/>
      <c r="AK40" s="388"/>
      <c r="AL40" s="383"/>
      <c r="AM40" s="625" t="s">
        <v>1388</v>
      </c>
      <c r="AN40" s="3"/>
      <c r="AO40" s="3"/>
      <c r="AP40" s="3" t="s">
        <v>234</v>
      </c>
      <c r="AQ40" s="3"/>
      <c r="AR40" s="3" t="s">
        <v>234</v>
      </c>
      <c r="AS40" s="3"/>
      <c r="AT40" s="3"/>
      <c r="AU40" s="458"/>
      <c r="AV40" s="388"/>
      <c r="AW40" s="4"/>
      <c r="AX40" s="459"/>
      <c r="AY40" s="281" t="s">
        <v>3458</v>
      </c>
      <c r="AZ40" s="4"/>
      <c r="BA40" s="4"/>
      <c r="BB40" s="5">
        <f t="shared" si="13"/>
        <v>0</v>
      </c>
      <c r="BC40" s="461"/>
      <c r="BD40" s="6">
        <v>44259</v>
      </c>
      <c r="BE40" s="463">
        <v>44264</v>
      </c>
      <c r="BF40" s="6">
        <v>44266</v>
      </c>
      <c r="BG40" s="463">
        <v>44271</v>
      </c>
      <c r="BH40" s="415" t="str">
        <f t="shared" si="6"/>
        <v>Formalizado 19/04/2021</v>
      </c>
      <c r="BI40" s="416">
        <v>44273</v>
      </c>
      <c r="BJ40" s="255">
        <f>BI40</f>
        <v>44273</v>
      </c>
      <c r="BK40" s="415" t="str">
        <f t="shared" si="15"/>
        <v>Formalizado 19/04/2021</v>
      </c>
      <c r="BL40" s="84"/>
      <c r="BM40" s="84"/>
      <c r="BN40" s="84"/>
      <c r="BO40" s="84"/>
      <c r="BP40" s="84"/>
    </row>
    <row r="41" spans="1:71" s="468" customFormat="1" ht="60" x14ac:dyDescent="0.25">
      <c r="A41" s="624" t="s">
        <v>3459</v>
      </c>
      <c r="B41" s="3">
        <v>37</v>
      </c>
      <c r="C41" s="4" t="s">
        <v>225</v>
      </c>
      <c r="D41" s="18" t="s">
        <v>3460</v>
      </c>
      <c r="E41" s="3" t="s">
        <v>173</v>
      </c>
      <c r="F41" s="3" t="s">
        <v>326</v>
      </c>
      <c r="G41" s="3"/>
      <c r="H41" s="3" t="s">
        <v>173</v>
      </c>
      <c r="I41" s="275"/>
      <c r="J41" s="17" t="s">
        <v>465</v>
      </c>
      <c r="K41" s="17" t="s">
        <v>466</v>
      </c>
      <c r="L41" s="17" t="s">
        <v>467</v>
      </c>
      <c r="M41" s="375" t="str">
        <f t="shared" si="11"/>
        <v>José Antonio Medina Gutiérrez</v>
      </c>
      <c r="N41" s="960" t="s">
        <v>270</v>
      </c>
      <c r="O41" s="960" t="s">
        <v>270</v>
      </c>
      <c r="P41" s="959" t="s">
        <v>3461</v>
      </c>
      <c r="Q41" s="962">
        <v>49056.800000000003</v>
      </c>
      <c r="R41" s="383">
        <f t="shared" si="1"/>
        <v>7849.0880000000006</v>
      </c>
      <c r="S41" s="384">
        <f t="shared" si="12"/>
        <v>56905.888000000006</v>
      </c>
      <c r="T41" s="385">
        <v>19622.72</v>
      </c>
      <c r="U41" s="386">
        <f t="shared" si="3"/>
        <v>22762.355200000002</v>
      </c>
      <c r="V41" s="383">
        <f t="shared" si="14"/>
        <v>56905.888000000006</v>
      </c>
      <c r="W41" s="963" t="s">
        <v>156</v>
      </c>
      <c r="X41" s="387">
        <v>44265</v>
      </c>
      <c r="Y41" s="3" t="s">
        <v>234</v>
      </c>
      <c r="Z41" s="387">
        <v>44265</v>
      </c>
      <c r="AA41" s="387">
        <v>44561</v>
      </c>
      <c r="AB41" s="4" t="s">
        <v>372</v>
      </c>
      <c r="AC41" s="4"/>
      <c r="AD41" s="633" t="s">
        <v>3457</v>
      </c>
      <c r="AE41" s="633" t="s">
        <v>161</v>
      </c>
      <c r="AF41" s="633" t="s">
        <v>161</v>
      </c>
      <c r="AG41" s="633" t="s">
        <v>161</v>
      </c>
      <c r="AH41" s="3" t="s">
        <v>183</v>
      </c>
      <c r="AI41" s="4"/>
      <c r="AJ41" s="4"/>
      <c r="AK41" s="388"/>
      <c r="AL41" s="383"/>
      <c r="AM41" s="625" t="str">
        <f t="shared" ref="AM41:AM70" ca="1" si="16">IF(ISBLANK(AA41),"",IF(AA41&gt;=TODAY(),"VIGENTE","MUERTO"))</f>
        <v>MUERTO</v>
      </c>
      <c r="AN41" s="3"/>
      <c r="AO41" s="3"/>
      <c r="AP41" s="3" t="s">
        <v>234</v>
      </c>
      <c r="AQ41" s="3"/>
      <c r="AR41" s="3" t="s">
        <v>234</v>
      </c>
      <c r="AS41" s="3"/>
      <c r="AT41" s="3"/>
      <c r="AU41" s="458"/>
      <c r="AV41" s="388"/>
      <c r="AW41" s="4"/>
      <c r="AX41" s="459"/>
      <c r="AY41" s="281" t="s">
        <v>3462</v>
      </c>
      <c r="AZ41" s="4"/>
      <c r="BA41" s="4" t="e">
        <f>VLOOKUP(I41,#REF!,2,0)</f>
        <v>#REF!</v>
      </c>
      <c r="BB41" s="5">
        <f t="shared" si="13"/>
        <v>0</v>
      </c>
      <c r="BC41" s="461"/>
      <c r="BD41" s="6">
        <v>44263</v>
      </c>
      <c r="BE41" s="6">
        <v>44265</v>
      </c>
      <c r="BF41" s="6">
        <v>44267</v>
      </c>
      <c r="BG41" s="3"/>
      <c r="BH41" s="415" t="str">
        <f t="shared" si="6"/>
        <v>Formalizado 26/04/2021</v>
      </c>
      <c r="BI41" s="416" t="s">
        <v>3463</v>
      </c>
      <c r="BJ41" s="255">
        <v>44277</v>
      </c>
      <c r="BK41" s="415" t="str">
        <f t="shared" si="15"/>
        <v>Formalizado 26/04/2021</v>
      </c>
      <c r="BL41" s="84"/>
      <c r="BM41" s="84"/>
      <c r="BN41" s="84"/>
      <c r="BO41" s="84"/>
      <c r="BP41" s="84"/>
      <c r="BQ41"/>
      <c r="BR41"/>
      <c r="BS41"/>
    </row>
    <row r="42" spans="1:71" ht="135" x14ac:dyDescent="0.25">
      <c r="A42" s="527" t="s">
        <v>3464</v>
      </c>
      <c r="B42" s="3">
        <v>38</v>
      </c>
      <c r="C42" s="4" t="s">
        <v>149</v>
      </c>
      <c r="D42" s="18" t="s">
        <v>3465</v>
      </c>
      <c r="E42" s="3" t="s">
        <v>163</v>
      </c>
      <c r="F42" s="3" t="s">
        <v>3466</v>
      </c>
      <c r="G42" s="685" t="s">
        <v>546</v>
      </c>
      <c r="H42" s="3" t="s">
        <v>2237</v>
      </c>
      <c r="I42" s="275" t="s">
        <v>361</v>
      </c>
      <c r="J42" s="17"/>
      <c r="K42" s="17"/>
      <c r="L42" s="17"/>
      <c r="M42" s="375" t="str">
        <f t="shared" si="11"/>
        <v xml:space="preserve">Millenium Technologies, S.A. de C.V.  </v>
      </c>
      <c r="N42" s="960" t="s">
        <v>656</v>
      </c>
      <c r="O42" s="1027" t="s">
        <v>209</v>
      </c>
      <c r="P42" s="959" t="s">
        <v>3467</v>
      </c>
      <c r="Q42" s="962">
        <v>11746383.300000001</v>
      </c>
      <c r="R42" s="383">
        <f t="shared" si="1"/>
        <v>1879421.3280000002</v>
      </c>
      <c r="S42" s="384">
        <f t="shared" si="12"/>
        <v>13625804.628</v>
      </c>
      <c r="T42" s="385">
        <v>0</v>
      </c>
      <c r="U42" s="386">
        <f t="shared" si="3"/>
        <v>0</v>
      </c>
      <c r="V42" s="383">
        <f t="shared" si="14"/>
        <v>13625804.628</v>
      </c>
      <c r="W42" s="963" t="s">
        <v>156</v>
      </c>
      <c r="X42" s="387">
        <v>44266</v>
      </c>
      <c r="Y42" s="3" t="s">
        <v>234</v>
      </c>
      <c r="Z42" s="387">
        <v>44266</v>
      </c>
      <c r="AA42" s="387">
        <v>44561</v>
      </c>
      <c r="AB42" s="4" t="s">
        <v>2033</v>
      </c>
      <c r="AC42" s="4"/>
      <c r="AD42" s="6" t="s">
        <v>3380</v>
      </c>
      <c r="AE42" s="6">
        <v>44309</v>
      </c>
      <c r="AF42" s="6" t="s">
        <v>161</v>
      </c>
      <c r="AG42" s="6" t="s">
        <v>161</v>
      </c>
      <c r="AH42" s="629" t="s">
        <v>3468</v>
      </c>
      <c r="AI42" s="4"/>
      <c r="AJ42" s="4"/>
      <c r="AK42" s="388"/>
      <c r="AL42" s="383"/>
      <c r="AM42" s="625" t="str">
        <f t="shared" ca="1" si="16"/>
        <v>MUERTO</v>
      </c>
      <c r="AN42" s="3">
        <v>31904</v>
      </c>
      <c r="AO42" s="3"/>
      <c r="AP42" s="3" t="s">
        <v>234</v>
      </c>
      <c r="AQ42" s="3"/>
      <c r="AR42" s="3" t="s">
        <v>234</v>
      </c>
      <c r="AS42" s="3"/>
      <c r="AT42" s="3"/>
      <c r="AU42" s="458"/>
      <c r="AV42" s="388"/>
      <c r="AW42" s="4"/>
      <c r="AX42" s="459"/>
      <c r="AY42" s="281" t="s">
        <v>3469</v>
      </c>
      <c r="AZ42" s="4"/>
      <c r="BA42" s="4" t="e">
        <f>VLOOKUP(I42,#REF!,2,0)</f>
        <v>#REF!</v>
      </c>
      <c r="BB42" s="5">
        <f t="shared" si="13"/>
        <v>31904</v>
      </c>
      <c r="BC42" s="461" t="s">
        <v>186</v>
      </c>
      <c r="BD42" s="6">
        <v>44260</v>
      </c>
      <c r="BE42" s="463">
        <v>44265</v>
      </c>
      <c r="BF42" s="6">
        <v>44267</v>
      </c>
      <c r="BG42" s="387">
        <v>44271</v>
      </c>
      <c r="BH42" s="415" t="str">
        <f t="shared" si="6"/>
        <v>Formalizado FC, C y PRC26/04/2021</v>
      </c>
      <c r="BI42" s="416">
        <v>44280</v>
      </c>
      <c r="BJ42" s="255">
        <v>44280</v>
      </c>
      <c r="BK42" s="415" t="str">
        <f t="shared" si="15"/>
        <v>Formalizado FC, C y PRC26/04/2021</v>
      </c>
      <c r="BL42" s="84"/>
      <c r="BM42" s="84"/>
      <c r="BN42" s="84"/>
      <c r="BO42" s="84"/>
      <c r="BP42" s="84"/>
    </row>
    <row r="43" spans="1:71" ht="120" x14ac:dyDescent="0.25">
      <c r="A43" s="417" t="s">
        <v>3470</v>
      </c>
      <c r="B43" s="3">
        <v>39</v>
      </c>
      <c r="C43" s="4" t="s">
        <v>225</v>
      </c>
      <c r="D43" s="18" t="s">
        <v>3460</v>
      </c>
      <c r="E43" s="3" t="s">
        <v>173</v>
      </c>
      <c r="F43" s="3" t="s">
        <v>326</v>
      </c>
      <c r="G43" s="3"/>
      <c r="H43" s="3" t="s">
        <v>173</v>
      </c>
      <c r="I43" s="275" t="s">
        <v>3471</v>
      </c>
      <c r="J43" s="17"/>
      <c r="K43" s="17"/>
      <c r="L43" s="17"/>
      <c r="M43" s="375" t="str">
        <f t="shared" si="11"/>
        <v xml:space="preserve">Equipos Carlin de Morelos, S.A. de C.V.  </v>
      </c>
      <c r="N43" s="960" t="s">
        <v>270</v>
      </c>
      <c r="O43" s="960" t="s">
        <v>270</v>
      </c>
      <c r="P43" s="959" t="s">
        <v>3472</v>
      </c>
      <c r="Q43" s="962">
        <v>238384.9</v>
      </c>
      <c r="R43" s="383">
        <f t="shared" si="1"/>
        <v>38141.584000000003</v>
      </c>
      <c r="S43" s="384">
        <f t="shared" si="12"/>
        <v>276526.484</v>
      </c>
      <c r="T43" s="385">
        <v>95353.95</v>
      </c>
      <c r="U43" s="386">
        <f t="shared" si="3"/>
        <v>110610.58199999999</v>
      </c>
      <c r="V43" s="383">
        <f t="shared" si="14"/>
        <v>276526.484</v>
      </c>
      <c r="W43" s="963" t="s">
        <v>156</v>
      </c>
      <c r="X43" s="387">
        <v>44265</v>
      </c>
      <c r="Y43" s="3" t="s">
        <v>234</v>
      </c>
      <c r="Z43" s="387">
        <v>44265</v>
      </c>
      <c r="AA43" s="387">
        <v>44561</v>
      </c>
      <c r="AB43" s="4" t="s">
        <v>372</v>
      </c>
      <c r="AC43" s="4"/>
      <c r="AD43" s="6" t="s">
        <v>3473</v>
      </c>
      <c r="AE43" s="6" t="s">
        <v>161</v>
      </c>
      <c r="AF43" s="6" t="s">
        <v>161</v>
      </c>
      <c r="AG43" s="6" t="s">
        <v>161</v>
      </c>
      <c r="AH43" s="629" t="s">
        <v>3474</v>
      </c>
      <c r="AI43" s="634" t="s">
        <v>1118</v>
      </c>
      <c r="AJ43" s="4" t="s">
        <v>3475</v>
      </c>
      <c r="AK43" s="388">
        <v>44561</v>
      </c>
      <c r="AL43" s="383">
        <v>0</v>
      </c>
      <c r="AM43" s="625" t="str">
        <f t="shared" ca="1" si="16"/>
        <v>MUERTO</v>
      </c>
      <c r="AN43" s="3" t="s">
        <v>3476</v>
      </c>
      <c r="AO43" s="3"/>
      <c r="AP43" s="3" t="s">
        <v>234</v>
      </c>
      <c r="AQ43" s="3"/>
      <c r="AR43" s="3" t="s">
        <v>234</v>
      </c>
      <c r="AS43" s="3"/>
      <c r="AT43" s="3"/>
      <c r="AU43" s="458"/>
      <c r="AV43" s="388"/>
      <c r="AW43" s="4"/>
      <c r="AX43" s="459"/>
      <c r="AY43" s="281" t="s">
        <v>3477</v>
      </c>
      <c r="AZ43" s="4"/>
      <c r="BA43" s="4" t="e">
        <f>VLOOKUP(I43,#REF!,2,0)</f>
        <v>#REF!</v>
      </c>
      <c r="BB43" s="5" t="str">
        <f t="shared" si="13"/>
        <v>21101
22301
24901</v>
      </c>
      <c r="BC43" s="461" t="s">
        <v>3478</v>
      </c>
      <c r="BD43" s="6">
        <v>44260</v>
      </c>
      <c r="BE43" s="463">
        <v>44265</v>
      </c>
      <c r="BF43" s="6" t="s">
        <v>3479</v>
      </c>
      <c r="BG43" s="463">
        <v>44271</v>
      </c>
      <c r="BH43" s="415">
        <v>44286</v>
      </c>
      <c r="BI43" s="416" t="s">
        <v>3480</v>
      </c>
      <c r="BJ43" s="255" t="s">
        <v>3481</v>
      </c>
      <c r="BK43" s="415" t="str">
        <f t="shared" si="15"/>
        <v>Formalizado C y FC 31/03/21
1er Modif formalizado en tesoreria 13/01/22</v>
      </c>
      <c r="BL43" s="84"/>
      <c r="BM43" s="84"/>
      <c r="BN43" s="84"/>
      <c r="BO43" s="84"/>
      <c r="BP43" s="84"/>
    </row>
    <row r="44" spans="1:71" ht="45" x14ac:dyDescent="0.25">
      <c r="A44" s="527" t="s">
        <v>3482</v>
      </c>
      <c r="B44" s="3">
        <v>40</v>
      </c>
      <c r="C44" s="4" t="s">
        <v>225</v>
      </c>
      <c r="D44" s="18" t="s">
        <v>3483</v>
      </c>
      <c r="E44" s="3" t="s">
        <v>151</v>
      </c>
      <c r="F44" s="3" t="s">
        <v>152</v>
      </c>
      <c r="G44" s="3"/>
      <c r="H44" s="3" t="s">
        <v>151</v>
      </c>
      <c r="I44" s="275" t="s">
        <v>3484</v>
      </c>
      <c r="J44" s="17"/>
      <c r="K44" s="17"/>
      <c r="L44" s="17"/>
      <c r="M44" s="375" t="str">
        <f t="shared" si="11"/>
        <v xml:space="preserve">Café 1810, S.A. de C. V.  </v>
      </c>
      <c r="N44" s="960" t="s">
        <v>270</v>
      </c>
      <c r="O44" s="960" t="s">
        <v>270</v>
      </c>
      <c r="P44" s="959" t="s">
        <v>3485</v>
      </c>
      <c r="Q44" s="962">
        <v>562176</v>
      </c>
      <c r="R44" s="383">
        <v>0</v>
      </c>
      <c r="S44" s="384">
        <f t="shared" si="12"/>
        <v>562176</v>
      </c>
      <c r="T44" s="385">
        <v>224870.39999999999</v>
      </c>
      <c r="U44" s="386">
        <v>224870.39999999999</v>
      </c>
      <c r="V44" s="383">
        <f t="shared" si="14"/>
        <v>562176</v>
      </c>
      <c r="W44" s="963" t="s">
        <v>156</v>
      </c>
      <c r="X44" s="387">
        <v>44266</v>
      </c>
      <c r="Y44" s="3" t="s">
        <v>234</v>
      </c>
      <c r="Z44" s="387">
        <v>44266</v>
      </c>
      <c r="AA44" s="387">
        <v>44561</v>
      </c>
      <c r="AB44" s="4" t="s">
        <v>372</v>
      </c>
      <c r="AC44" s="4"/>
      <c r="AD44" s="6">
        <v>44307</v>
      </c>
      <c r="AE44" s="6" t="s">
        <v>161</v>
      </c>
      <c r="AF44" s="6" t="s">
        <v>161</v>
      </c>
      <c r="AG44" s="6" t="s">
        <v>161</v>
      </c>
      <c r="AH44" s="629" t="s">
        <v>3486</v>
      </c>
      <c r="AI44" s="4"/>
      <c r="AJ44" s="4"/>
      <c r="AK44" s="388"/>
      <c r="AL44" s="383"/>
      <c r="AM44" s="625" t="str">
        <f t="shared" ca="1" si="16"/>
        <v>MUERTO</v>
      </c>
      <c r="AN44" s="3">
        <v>22104</v>
      </c>
      <c r="AO44" s="3"/>
      <c r="AP44" s="3" t="s">
        <v>234</v>
      </c>
      <c r="AQ44" s="3"/>
      <c r="AR44" s="3" t="s">
        <v>234</v>
      </c>
      <c r="AS44" s="3"/>
      <c r="AT44" s="3"/>
      <c r="AU44" s="458"/>
      <c r="AV44" s="388"/>
      <c r="AW44" s="4"/>
      <c r="AX44" s="459"/>
      <c r="AY44" s="281" t="s">
        <v>3487</v>
      </c>
      <c r="AZ44" s="4"/>
      <c r="BA44" s="4" t="e">
        <f>VLOOKUP(I44,#REF!,2,0)</f>
        <v>#REF!</v>
      </c>
      <c r="BB44" s="5">
        <f t="shared" si="13"/>
        <v>22104</v>
      </c>
      <c r="BC44" s="461" t="s">
        <v>3488</v>
      </c>
      <c r="BD44" s="6">
        <v>44263</v>
      </c>
      <c r="BE44" s="6">
        <v>44265</v>
      </c>
      <c r="BF44" s="463">
        <v>44272</v>
      </c>
      <c r="BG44" s="463">
        <v>44272</v>
      </c>
      <c r="BH44" s="415" t="str">
        <f t="shared" ref="BH44:BH75" si="17">AY44</f>
        <v>Formalizado C y FC 22/04/2021</v>
      </c>
      <c r="BI44" s="416">
        <v>44277</v>
      </c>
      <c r="BJ44" s="255">
        <v>44277</v>
      </c>
      <c r="BK44" s="415" t="str">
        <f t="shared" si="15"/>
        <v>Formalizado C y FC 22/04/2021</v>
      </c>
      <c r="BL44" s="84"/>
      <c r="BM44" s="84"/>
      <c r="BN44" s="84"/>
      <c r="BO44" s="84"/>
      <c r="BP44" s="84"/>
    </row>
    <row r="45" spans="1:71" s="468" customFormat="1" ht="75" x14ac:dyDescent="0.25">
      <c r="A45" s="527" t="s">
        <v>3489</v>
      </c>
      <c r="B45" s="3">
        <v>41</v>
      </c>
      <c r="C45" s="4" t="s">
        <v>225</v>
      </c>
      <c r="D45" s="18" t="s">
        <v>3460</v>
      </c>
      <c r="E45" s="3" t="s">
        <v>173</v>
      </c>
      <c r="F45" s="3" t="s">
        <v>326</v>
      </c>
      <c r="G45" s="3"/>
      <c r="H45" s="3" t="s">
        <v>173</v>
      </c>
      <c r="I45" s="275" t="s">
        <v>3484</v>
      </c>
      <c r="J45" s="17"/>
      <c r="K45" s="17"/>
      <c r="L45" s="635"/>
      <c r="M45" s="375" t="str">
        <f t="shared" si="11"/>
        <v xml:space="preserve">Café 1810, S.A. de C. V.  </v>
      </c>
      <c r="N45" s="960" t="s">
        <v>270</v>
      </c>
      <c r="O45" s="960" t="s">
        <v>270</v>
      </c>
      <c r="P45" s="959" t="s">
        <v>3490</v>
      </c>
      <c r="Q45" s="962">
        <v>647023.85</v>
      </c>
      <c r="R45" s="383">
        <v>103523.82</v>
      </c>
      <c r="S45" s="384">
        <f t="shared" si="12"/>
        <v>750547.66999999993</v>
      </c>
      <c r="T45" s="385">
        <v>258809.54</v>
      </c>
      <c r="U45" s="386">
        <f>T45*1.16</f>
        <v>300219.06640000001</v>
      </c>
      <c r="V45" s="383">
        <f t="shared" si="14"/>
        <v>750547.66999999993</v>
      </c>
      <c r="W45" s="963" t="s">
        <v>156</v>
      </c>
      <c r="X45" s="387">
        <v>44265</v>
      </c>
      <c r="Y45" s="3" t="s">
        <v>234</v>
      </c>
      <c r="Z45" s="387">
        <v>44265</v>
      </c>
      <c r="AA45" s="387">
        <v>44561</v>
      </c>
      <c r="AB45" s="4" t="s">
        <v>372</v>
      </c>
      <c r="AC45" s="4" t="s">
        <v>3491</v>
      </c>
      <c r="AD45" s="6">
        <v>44307</v>
      </c>
      <c r="AE45" s="6" t="s">
        <v>161</v>
      </c>
      <c r="AF45" s="6" t="s">
        <v>161</v>
      </c>
      <c r="AG45" s="6" t="s">
        <v>161</v>
      </c>
      <c r="AH45" s="629" t="s">
        <v>3492</v>
      </c>
      <c r="AI45" s="4"/>
      <c r="AJ45" s="4"/>
      <c r="AK45" s="388"/>
      <c r="AL45" s="383"/>
      <c r="AM45" s="625" t="str">
        <f t="shared" ca="1" si="16"/>
        <v>MUERTO</v>
      </c>
      <c r="AN45" s="3" t="s">
        <v>3493</v>
      </c>
      <c r="AO45" s="3"/>
      <c r="AP45" s="3" t="s">
        <v>234</v>
      </c>
      <c r="AQ45" s="3"/>
      <c r="AR45" s="3" t="s">
        <v>234</v>
      </c>
      <c r="AS45" s="3"/>
      <c r="AT45" s="3"/>
      <c r="AU45" s="458"/>
      <c r="AV45" s="388"/>
      <c r="AW45" s="4"/>
      <c r="AX45" s="459"/>
      <c r="AY45" s="281" t="s">
        <v>3494</v>
      </c>
      <c r="AZ45" s="4"/>
      <c r="BA45" s="4" t="e">
        <f>VLOOKUP(I45,#REF!,2,0)</f>
        <v>#REF!</v>
      </c>
      <c r="BB45" s="5" t="str">
        <f t="shared" si="13"/>
        <v>21101
22301
29301
29401
51901</v>
      </c>
      <c r="BC45" s="461">
        <v>48</v>
      </c>
      <c r="BD45" s="6">
        <v>44260</v>
      </c>
      <c r="BE45" s="6">
        <v>44265</v>
      </c>
      <c r="BF45" s="463" t="s">
        <v>3495</v>
      </c>
      <c r="BG45" s="463">
        <v>44274</v>
      </c>
      <c r="BH45" s="415" t="str">
        <f t="shared" si="17"/>
        <v>Formalizado C y FC 26/04/2021</v>
      </c>
      <c r="BI45" s="416">
        <v>44286</v>
      </c>
      <c r="BJ45" s="255">
        <v>44286</v>
      </c>
      <c r="BK45" s="415" t="str">
        <f t="shared" si="15"/>
        <v>Formalizado C y FC 26/04/2021</v>
      </c>
      <c r="BL45" s="84"/>
      <c r="BM45" s="84"/>
      <c r="BN45" s="84"/>
      <c r="BO45" s="84"/>
      <c r="BP45" s="84"/>
      <c r="BQ45"/>
      <c r="BR45"/>
      <c r="BS45"/>
    </row>
    <row r="46" spans="1:71" s="468" customFormat="1" ht="330" x14ac:dyDescent="0.25">
      <c r="A46" s="417" t="s">
        <v>3496</v>
      </c>
      <c r="B46" s="3">
        <v>42</v>
      </c>
      <c r="C46" s="4" t="s">
        <v>225</v>
      </c>
      <c r="D46" s="18" t="s">
        <v>3460</v>
      </c>
      <c r="E46" s="3" t="s">
        <v>173</v>
      </c>
      <c r="F46" s="3" t="s">
        <v>326</v>
      </c>
      <c r="G46" s="3"/>
      <c r="H46" s="3" t="s">
        <v>173</v>
      </c>
      <c r="I46" s="275" t="s">
        <v>446</v>
      </c>
      <c r="J46" s="17"/>
      <c r="K46" s="17"/>
      <c r="L46" s="17"/>
      <c r="M46" s="375" t="str">
        <f t="shared" si="11"/>
        <v xml:space="preserve">Internacional Proveedora de Industrias, S.A. de C.V.  </v>
      </c>
      <c r="N46" s="960" t="s">
        <v>270</v>
      </c>
      <c r="O46" s="960" t="s">
        <v>270</v>
      </c>
      <c r="P46" s="375" t="s">
        <v>3472</v>
      </c>
      <c r="Q46" s="962">
        <v>600760.53</v>
      </c>
      <c r="R46" s="383">
        <f t="shared" ref="R46:R54" si="18">Q46*0.16</f>
        <v>96121.684800000003</v>
      </c>
      <c r="S46" s="384">
        <f t="shared" si="12"/>
        <v>696882.21480000007</v>
      </c>
      <c r="T46" s="385">
        <v>240304.21</v>
      </c>
      <c r="U46" s="386">
        <f t="shared" ref="U46:U54" si="19">(T46*0.16)+(T46)</f>
        <v>278752.8836</v>
      </c>
      <c r="V46" s="383">
        <f t="shared" si="14"/>
        <v>717495.65480000002</v>
      </c>
      <c r="W46" s="963" t="s">
        <v>156</v>
      </c>
      <c r="X46" s="387">
        <v>44265</v>
      </c>
      <c r="Y46" s="3" t="s">
        <v>234</v>
      </c>
      <c r="Z46" s="387">
        <v>44265</v>
      </c>
      <c r="AA46" s="387">
        <v>44561</v>
      </c>
      <c r="AB46" s="4" t="s">
        <v>182</v>
      </c>
      <c r="AC46" s="4"/>
      <c r="AD46" s="6" t="s">
        <v>3497</v>
      </c>
      <c r="AE46" s="6" t="s">
        <v>161</v>
      </c>
      <c r="AF46" s="6" t="s">
        <v>161</v>
      </c>
      <c r="AG46" s="6" t="s">
        <v>161</v>
      </c>
      <c r="AH46" s="3" t="s">
        <v>183</v>
      </c>
      <c r="AI46" s="4" t="s">
        <v>3498</v>
      </c>
      <c r="AJ46" s="960" t="s">
        <v>3499</v>
      </c>
      <c r="AK46" s="388" t="s">
        <v>3500</v>
      </c>
      <c r="AL46" s="383">
        <v>20613.439999999999</v>
      </c>
      <c r="AM46" s="625" t="str">
        <f t="shared" ca="1" si="16"/>
        <v>MUERTO</v>
      </c>
      <c r="AN46" s="3">
        <v>21101</v>
      </c>
      <c r="AO46" s="3"/>
      <c r="AP46" s="3" t="s">
        <v>234</v>
      </c>
      <c r="AQ46" s="3" t="s">
        <v>881</v>
      </c>
      <c r="AR46" s="3" t="s">
        <v>234</v>
      </c>
      <c r="AS46" s="3"/>
      <c r="AT46" s="3"/>
      <c r="AU46" s="458"/>
      <c r="AV46" s="388"/>
      <c r="AW46" s="4"/>
      <c r="AX46" s="459"/>
      <c r="AY46" s="281" t="s">
        <v>3501</v>
      </c>
      <c r="AZ46" s="4"/>
      <c r="BA46" s="4" t="e">
        <f>VLOOKUP(I46,#REF!,2,0)</f>
        <v>#REF!</v>
      </c>
      <c r="BB46" s="5">
        <f t="shared" si="13"/>
        <v>21101</v>
      </c>
      <c r="BC46" s="461" t="s">
        <v>3502</v>
      </c>
      <c r="BD46" s="6">
        <v>44252</v>
      </c>
      <c r="BE46" s="6">
        <v>44265</v>
      </c>
      <c r="BF46" s="636" t="s">
        <v>3503</v>
      </c>
      <c r="BG46" s="636">
        <v>44267</v>
      </c>
      <c r="BH46" s="415" t="str">
        <f t="shared" si="17"/>
        <v>Formalizado 09/04
I.- Formalizado 11/05
II .- Formalizado 09/11</v>
      </c>
      <c r="BI46" s="416" t="s">
        <v>3504</v>
      </c>
      <c r="BJ46" s="255" t="s">
        <v>3505</v>
      </c>
      <c r="BK46" s="415" t="str">
        <f t="shared" si="15"/>
        <v>Formalizado 09/04
I.- Formalizado 11/05
II .- Formalizado 09/11</v>
      </c>
      <c r="BL46" s="84"/>
      <c r="BM46" s="84"/>
      <c r="BN46" s="84"/>
      <c r="BO46" s="84"/>
      <c r="BP46" s="84"/>
      <c r="BQ46"/>
      <c r="BR46"/>
      <c r="BS46"/>
    </row>
    <row r="47" spans="1:71" ht="75" x14ac:dyDescent="0.25">
      <c r="A47" s="527" t="s">
        <v>3506</v>
      </c>
      <c r="B47" s="3">
        <v>43</v>
      </c>
      <c r="C47" s="4" t="s">
        <v>149</v>
      </c>
      <c r="D47" s="18" t="s">
        <v>3507</v>
      </c>
      <c r="E47" s="3" t="s">
        <v>173</v>
      </c>
      <c r="F47" s="3" t="s">
        <v>326</v>
      </c>
      <c r="G47" s="3"/>
      <c r="H47" s="3" t="s">
        <v>173</v>
      </c>
      <c r="I47" s="275" t="s">
        <v>3508</v>
      </c>
      <c r="J47" s="17"/>
      <c r="K47" s="17"/>
      <c r="L47" s="17"/>
      <c r="M47" s="375" t="str">
        <f t="shared" si="11"/>
        <v xml:space="preserve">SR &amp; FRIENDS, S.A. DE C.V.  </v>
      </c>
      <c r="N47" s="960" t="s">
        <v>3509</v>
      </c>
      <c r="O47" s="960" t="s">
        <v>3510</v>
      </c>
      <c r="P47" s="959" t="s">
        <v>3511</v>
      </c>
      <c r="Q47" s="962">
        <v>950000</v>
      </c>
      <c r="R47" s="383">
        <f t="shared" si="18"/>
        <v>152000</v>
      </c>
      <c r="S47" s="384">
        <f t="shared" si="12"/>
        <v>1102000</v>
      </c>
      <c r="T47" s="385">
        <v>0</v>
      </c>
      <c r="U47" s="386">
        <f t="shared" si="19"/>
        <v>0</v>
      </c>
      <c r="V47" s="383">
        <f t="shared" si="14"/>
        <v>1102000</v>
      </c>
      <c r="W47" s="963" t="s">
        <v>156</v>
      </c>
      <c r="X47" s="387">
        <v>44267</v>
      </c>
      <c r="Y47" s="3" t="s">
        <v>234</v>
      </c>
      <c r="Z47" s="387">
        <v>44267</v>
      </c>
      <c r="AA47" s="387">
        <v>44561</v>
      </c>
      <c r="AB47" s="4" t="s">
        <v>372</v>
      </c>
      <c r="AC47" s="4"/>
      <c r="AD47" s="6">
        <v>44294</v>
      </c>
      <c r="AE47" s="6" t="s">
        <v>161</v>
      </c>
      <c r="AF47" s="6" t="s">
        <v>161</v>
      </c>
      <c r="AG47" s="6" t="s">
        <v>161</v>
      </c>
      <c r="AH47" s="629" t="s">
        <v>183</v>
      </c>
      <c r="AI47" s="4"/>
      <c r="AJ47" s="4"/>
      <c r="AK47" s="388"/>
      <c r="AL47" s="383"/>
      <c r="AM47" s="625" t="str">
        <f t="shared" ca="1" si="16"/>
        <v>MUERTO</v>
      </c>
      <c r="AN47" s="3">
        <v>36901</v>
      </c>
      <c r="AO47" s="3"/>
      <c r="AP47" s="3" t="s">
        <v>234</v>
      </c>
      <c r="AQ47" s="3"/>
      <c r="AR47" s="3" t="s">
        <v>234</v>
      </c>
      <c r="AS47" s="3"/>
      <c r="AT47" s="3"/>
      <c r="AU47" s="458"/>
      <c r="AV47" s="388"/>
      <c r="AW47" s="4"/>
      <c r="AX47" s="459"/>
      <c r="AY47" s="281" t="s">
        <v>3512</v>
      </c>
      <c r="AZ47" s="4"/>
      <c r="BA47" s="4" t="e">
        <f>VLOOKUP(I47,#REF!,2,0)</f>
        <v>#REF!</v>
      </c>
      <c r="BB47" s="3">
        <f t="shared" si="13"/>
        <v>36901</v>
      </c>
      <c r="BC47" s="461" t="s">
        <v>3513</v>
      </c>
      <c r="BD47" s="6">
        <v>44266</v>
      </c>
      <c r="BE47" s="463">
        <v>44267</v>
      </c>
      <c r="BF47" s="463">
        <v>44272</v>
      </c>
      <c r="BG47" s="463">
        <v>44272</v>
      </c>
      <c r="BH47" s="415" t="str">
        <f t="shared" si="17"/>
        <v>Formalizado C y FC 08/4/21</v>
      </c>
      <c r="BI47" s="416">
        <v>44277</v>
      </c>
      <c r="BJ47" s="255">
        <v>44277</v>
      </c>
      <c r="BK47" s="415" t="str">
        <f t="shared" si="15"/>
        <v>Formalizado C y FC 08/4/21</v>
      </c>
      <c r="BL47" s="84"/>
      <c r="BM47" s="84"/>
      <c r="BN47" s="84"/>
      <c r="BO47" s="84"/>
      <c r="BP47" s="84"/>
    </row>
    <row r="48" spans="1:71" ht="315" x14ac:dyDescent="0.25">
      <c r="A48" s="533" t="s">
        <v>3514</v>
      </c>
      <c r="B48" s="3">
        <v>44</v>
      </c>
      <c r="C48" s="4" t="s">
        <v>225</v>
      </c>
      <c r="D48" s="18" t="s">
        <v>3443</v>
      </c>
      <c r="E48" s="3" t="s">
        <v>173</v>
      </c>
      <c r="F48" s="3" t="s">
        <v>326</v>
      </c>
      <c r="G48" s="3"/>
      <c r="H48" s="3" t="s">
        <v>173</v>
      </c>
      <c r="I48" s="275"/>
      <c r="J48" s="17" t="s">
        <v>384</v>
      </c>
      <c r="K48" s="17" t="s">
        <v>259</v>
      </c>
      <c r="L48" s="17" t="s">
        <v>385</v>
      </c>
      <c r="M48" s="375" t="str">
        <f t="shared" si="11"/>
        <v>Mario Alberto Contreras García</v>
      </c>
      <c r="N48" s="960" t="s">
        <v>3509</v>
      </c>
      <c r="O48" s="960" t="s">
        <v>270</v>
      </c>
      <c r="P48" s="959" t="s">
        <v>3515</v>
      </c>
      <c r="Q48" s="962">
        <v>786757.55</v>
      </c>
      <c r="R48" s="383">
        <f t="shared" si="18"/>
        <v>125881.20800000001</v>
      </c>
      <c r="S48" s="384">
        <f t="shared" si="12"/>
        <v>912638.75800000003</v>
      </c>
      <c r="T48" s="385">
        <v>314703.02</v>
      </c>
      <c r="U48" s="386">
        <f t="shared" si="19"/>
        <v>365055.50320000004</v>
      </c>
      <c r="V48" s="383">
        <f t="shared" si="14"/>
        <v>1140798.4480000001</v>
      </c>
      <c r="W48" s="963" t="s">
        <v>156</v>
      </c>
      <c r="X48" s="387">
        <v>44271</v>
      </c>
      <c r="Y48" s="3" t="s">
        <v>234</v>
      </c>
      <c r="Z48" s="387">
        <v>44287</v>
      </c>
      <c r="AA48" s="387">
        <v>44561</v>
      </c>
      <c r="AB48" s="4" t="s">
        <v>182</v>
      </c>
      <c r="AC48" s="4"/>
      <c r="AD48" s="6">
        <v>44284</v>
      </c>
      <c r="AE48" s="6" t="s">
        <v>161</v>
      </c>
      <c r="AF48" s="6" t="s">
        <v>161</v>
      </c>
      <c r="AG48" s="6" t="s">
        <v>161</v>
      </c>
      <c r="AH48" s="632" t="s">
        <v>3516</v>
      </c>
      <c r="AI48" s="4" t="s">
        <v>3517</v>
      </c>
      <c r="AJ48" s="4" t="s">
        <v>3518</v>
      </c>
      <c r="AK48" s="637" t="s">
        <v>3448</v>
      </c>
      <c r="AL48" s="638">
        <v>228159.69</v>
      </c>
      <c r="AM48" s="625" t="str">
        <f t="shared" ca="1" si="16"/>
        <v>MUERTO</v>
      </c>
      <c r="AN48" s="3">
        <v>33603</v>
      </c>
      <c r="AO48" s="3"/>
      <c r="AP48" s="3" t="s">
        <v>333</v>
      </c>
      <c r="AQ48" s="3"/>
      <c r="AR48" s="3" t="s">
        <v>234</v>
      </c>
      <c r="AS48" s="3"/>
      <c r="AT48" s="3"/>
      <c r="AU48" s="458"/>
      <c r="AV48" s="388"/>
      <c r="AW48" s="4"/>
      <c r="AX48" s="459"/>
      <c r="AY48" s="281" t="s">
        <v>3519</v>
      </c>
      <c r="AZ48" s="4"/>
      <c r="BA48" s="4" t="s">
        <v>3520</v>
      </c>
      <c r="BB48" s="3">
        <f t="shared" si="13"/>
        <v>33603</v>
      </c>
      <c r="BC48" s="461" t="s">
        <v>3521</v>
      </c>
      <c r="BD48" s="6">
        <v>44259</v>
      </c>
      <c r="BE48" s="6" t="s">
        <v>3522</v>
      </c>
      <c r="BF48" s="463">
        <v>44274</v>
      </c>
      <c r="BG48" s="463">
        <v>44277</v>
      </c>
      <c r="BH48" s="415" t="str">
        <f t="shared" si="17"/>
        <v>Formalizado C y FC 31/03/21
Modif en tesorería 03/09/21
Terminación formalizada en tesorería 08/12/21</v>
      </c>
      <c r="BI48" s="416" t="s">
        <v>3523</v>
      </c>
      <c r="BJ48" s="255" t="s">
        <v>3524</v>
      </c>
      <c r="BK48" s="415" t="str">
        <f t="shared" si="15"/>
        <v>Formalizado C y FC 31/03/21
Modif en tesorería 03/09/21
Terminación formalizada en tesorería 08/12/21</v>
      </c>
      <c r="BL48" s="84"/>
      <c r="BM48" s="84"/>
      <c r="BN48" s="84"/>
      <c r="BO48" s="84"/>
      <c r="BP48" s="84"/>
    </row>
    <row r="49" spans="1:71" ht="210" x14ac:dyDescent="0.25">
      <c r="A49" s="417" t="s">
        <v>3525</v>
      </c>
      <c r="B49" s="3">
        <v>45</v>
      </c>
      <c r="C49" s="4" t="s">
        <v>149</v>
      </c>
      <c r="D49" s="18" t="s">
        <v>3526</v>
      </c>
      <c r="E49" s="3" t="s">
        <v>163</v>
      </c>
      <c r="F49" s="3" t="s">
        <v>237</v>
      </c>
      <c r="G49" s="3" t="s">
        <v>163</v>
      </c>
      <c r="H49" s="3" t="s">
        <v>1272</v>
      </c>
      <c r="I49" s="275" t="s">
        <v>3527</v>
      </c>
      <c r="J49" s="17"/>
      <c r="K49" s="17"/>
      <c r="L49" s="17"/>
      <c r="M49" s="375" t="str">
        <f t="shared" si="11"/>
        <v xml:space="preserve">Ambiente, Paisajismo y Ojo de Agua, S. de R.L. de C.V.  </v>
      </c>
      <c r="N49" s="559" t="s">
        <v>198</v>
      </c>
      <c r="O49" s="559" t="s">
        <v>198</v>
      </c>
      <c r="P49" s="959" t="s">
        <v>3528</v>
      </c>
      <c r="Q49" s="962">
        <v>756139.26</v>
      </c>
      <c r="R49" s="383">
        <f t="shared" si="18"/>
        <v>120982.2816</v>
      </c>
      <c r="S49" s="384">
        <f t="shared" si="12"/>
        <v>877121.5416</v>
      </c>
      <c r="T49" s="385">
        <v>383435.23</v>
      </c>
      <c r="U49" s="386">
        <f t="shared" si="19"/>
        <v>444784.86679999996</v>
      </c>
      <c r="V49" s="383">
        <f t="shared" si="14"/>
        <v>1096401.9316</v>
      </c>
      <c r="W49" s="963" t="s">
        <v>156</v>
      </c>
      <c r="X49" s="387">
        <v>44270</v>
      </c>
      <c r="Y49" s="3" t="s">
        <v>234</v>
      </c>
      <c r="Z49" s="387">
        <v>44270</v>
      </c>
      <c r="AA49" s="639">
        <v>44620</v>
      </c>
      <c r="AB49" s="4" t="s">
        <v>2033</v>
      </c>
      <c r="AC49" s="4"/>
      <c r="AD49" s="6">
        <v>44281</v>
      </c>
      <c r="AE49" s="6">
        <v>44284</v>
      </c>
      <c r="AF49" s="6" t="s">
        <v>161</v>
      </c>
      <c r="AG49" s="6" t="s">
        <v>161</v>
      </c>
      <c r="AH49" s="629" t="s">
        <v>3529</v>
      </c>
      <c r="AI49" s="4" t="s">
        <v>3530</v>
      </c>
      <c r="AJ49" s="4" t="s">
        <v>3531</v>
      </c>
      <c r="AK49" s="388" t="s">
        <v>3532</v>
      </c>
      <c r="AL49" s="383">
        <v>219280.39</v>
      </c>
      <c r="AM49" s="625" t="str">
        <f t="shared" ca="1" si="16"/>
        <v>MUERTO</v>
      </c>
      <c r="AN49" s="3">
        <v>35901</v>
      </c>
      <c r="AO49" s="3"/>
      <c r="AP49" s="3" t="s">
        <v>234</v>
      </c>
      <c r="AQ49" s="3"/>
      <c r="AR49" s="3" t="s">
        <v>234</v>
      </c>
      <c r="AS49" s="3"/>
      <c r="AT49" s="3"/>
      <c r="AU49" s="458"/>
      <c r="AV49" s="388"/>
      <c r="AW49" s="4"/>
      <c r="AX49" s="459"/>
      <c r="AY49" s="281" t="s">
        <v>3533</v>
      </c>
      <c r="AZ49" s="4"/>
      <c r="BA49" s="4" t="e">
        <f>VLOOKUP(I49,#REF!,2,0)</f>
        <v>#REF!</v>
      </c>
      <c r="BB49" s="5">
        <f t="shared" si="13"/>
        <v>35901</v>
      </c>
      <c r="BC49" s="461" t="s">
        <v>3534</v>
      </c>
      <c r="BD49" s="6">
        <v>44267</v>
      </c>
      <c r="BE49" s="6" t="s">
        <v>3535</v>
      </c>
      <c r="BF49" s="463" t="s">
        <v>3536</v>
      </c>
      <c r="BG49" s="463">
        <v>44273</v>
      </c>
      <c r="BH49" s="415" t="str">
        <f t="shared" si="17"/>
        <v>Formalizado C, FC y PRC  31/03
1er Modificatorio 15/12
2do Modif. Y ambos endosos formalizados 19/01/22</v>
      </c>
      <c r="BI49" s="416" t="s">
        <v>3537</v>
      </c>
      <c r="BJ49" s="255" t="s">
        <v>3538</v>
      </c>
      <c r="BK49" s="415" t="str">
        <f t="shared" si="15"/>
        <v>Formalizado C, FC y PRC  31/03
1er Modificatorio 15/12
2do Modif. Y ambos endosos formalizados 19/01/22</v>
      </c>
      <c r="BL49" s="84"/>
      <c r="BM49" s="84"/>
      <c r="BN49" s="84"/>
      <c r="BO49" s="84"/>
      <c r="BP49" s="84"/>
    </row>
    <row r="50" spans="1:71" ht="210" x14ac:dyDescent="0.25">
      <c r="A50" s="417" t="s">
        <v>3539</v>
      </c>
      <c r="B50" s="5">
        <v>46</v>
      </c>
      <c r="C50" s="4" t="s">
        <v>149</v>
      </c>
      <c r="D50" s="18" t="s">
        <v>3540</v>
      </c>
      <c r="E50" s="3" t="s">
        <v>173</v>
      </c>
      <c r="F50" s="3" t="s">
        <v>326</v>
      </c>
      <c r="G50" s="3"/>
      <c r="H50" s="3" t="s">
        <v>173</v>
      </c>
      <c r="I50" s="275" t="s">
        <v>1636</v>
      </c>
      <c r="J50" s="17"/>
      <c r="K50" s="17"/>
      <c r="L50" s="17"/>
      <c r="M50" s="375" t="str">
        <f t="shared" si="11"/>
        <v xml:space="preserve">Caja Electrónica, S.A.  </v>
      </c>
      <c r="N50" s="960" t="s">
        <v>3509</v>
      </c>
      <c r="O50" s="960" t="s">
        <v>3541</v>
      </c>
      <c r="P50" s="959" t="s">
        <v>3542</v>
      </c>
      <c r="Q50" s="962">
        <v>647102.59</v>
      </c>
      <c r="R50" s="383">
        <f t="shared" si="18"/>
        <v>103536.41439999999</v>
      </c>
      <c r="S50" s="384">
        <f t="shared" si="12"/>
        <v>750639.00439999998</v>
      </c>
      <c r="T50" s="385">
        <v>0</v>
      </c>
      <c r="U50" s="386">
        <f t="shared" si="19"/>
        <v>0</v>
      </c>
      <c r="V50" s="383">
        <f t="shared" si="14"/>
        <v>917447.6544</v>
      </c>
      <c r="W50" s="963" t="s">
        <v>156</v>
      </c>
      <c r="X50" s="387">
        <v>44272</v>
      </c>
      <c r="Y50" s="3" t="s">
        <v>234</v>
      </c>
      <c r="Z50" s="387">
        <v>44287</v>
      </c>
      <c r="AA50" s="531">
        <v>44620</v>
      </c>
      <c r="AB50" s="4" t="s">
        <v>2076</v>
      </c>
      <c r="AC50" s="4"/>
      <c r="AD50" s="6">
        <v>44292</v>
      </c>
      <c r="AE50" s="6">
        <v>44292</v>
      </c>
      <c r="AF50" s="6" t="s">
        <v>161</v>
      </c>
      <c r="AG50" s="6" t="s">
        <v>161</v>
      </c>
      <c r="AH50" s="632" t="s">
        <v>3543</v>
      </c>
      <c r="AI50" s="640" t="s">
        <v>3544</v>
      </c>
      <c r="AJ50" s="4" t="s">
        <v>3545</v>
      </c>
      <c r="AK50" s="521">
        <v>44561</v>
      </c>
      <c r="AL50" s="383">
        <v>166808.65</v>
      </c>
      <c r="AM50" s="625" t="str">
        <f t="shared" ca="1" si="16"/>
        <v>MUERTO</v>
      </c>
      <c r="AN50" s="3">
        <v>35201</v>
      </c>
      <c r="AO50" s="3"/>
      <c r="AP50" s="3" t="s">
        <v>333</v>
      </c>
      <c r="AQ50" s="3"/>
      <c r="AR50" s="3" t="s">
        <v>234</v>
      </c>
      <c r="AS50" s="3"/>
      <c r="AT50" s="3"/>
      <c r="AU50" s="458"/>
      <c r="AV50" s="388"/>
      <c r="AW50" s="4"/>
      <c r="AX50" s="459"/>
      <c r="AY50" s="281" t="s">
        <v>3546</v>
      </c>
      <c r="AZ50" s="4"/>
      <c r="BA50" s="4" t="e">
        <f>VLOOKUP(I50,#REF!,2,0)</f>
        <v>#REF!</v>
      </c>
      <c r="BB50" s="3">
        <v>35201</v>
      </c>
      <c r="BC50" s="461" t="s">
        <v>3547</v>
      </c>
      <c r="BD50" s="6">
        <v>44259</v>
      </c>
      <c r="BE50" s="463">
        <v>44271</v>
      </c>
      <c r="BF50" s="463">
        <v>44273</v>
      </c>
      <c r="BG50" s="463">
        <v>44274</v>
      </c>
      <c r="BH50" s="415" t="str">
        <f t="shared" si="17"/>
        <v>Formalizado C, FC y PRC 08/04
1er Modif con endosos de FC y PRC formalizado 26/01/22</v>
      </c>
      <c r="BI50" s="416" t="s">
        <v>3548</v>
      </c>
      <c r="BJ50" s="255" t="s">
        <v>3549</v>
      </c>
      <c r="BK50" s="415" t="str">
        <f t="shared" si="15"/>
        <v>Formalizado C, FC y PRC 08/04
1er Modif con endosos de FC y PRC formalizado 26/01/22</v>
      </c>
      <c r="BL50" s="84"/>
      <c r="BM50" s="84"/>
      <c r="BN50" s="84"/>
      <c r="BO50" s="84"/>
      <c r="BP50" s="84"/>
    </row>
    <row r="51" spans="1:71" ht="210" x14ac:dyDescent="0.25">
      <c r="A51" s="4" t="s">
        <v>3550</v>
      </c>
      <c r="B51" s="3">
        <v>47</v>
      </c>
      <c r="C51" s="4" t="s">
        <v>149</v>
      </c>
      <c r="D51" s="18" t="s">
        <v>3540</v>
      </c>
      <c r="E51" s="3" t="s">
        <v>173</v>
      </c>
      <c r="F51" s="3" t="s">
        <v>326</v>
      </c>
      <c r="G51" s="3"/>
      <c r="H51" s="3" t="s">
        <v>173</v>
      </c>
      <c r="I51" s="641"/>
      <c r="J51" s="17" t="s">
        <v>239</v>
      </c>
      <c r="K51" s="17" t="s">
        <v>240</v>
      </c>
      <c r="L51" s="17" t="s">
        <v>241</v>
      </c>
      <c r="M51" s="375" t="str">
        <f t="shared" si="11"/>
        <v>Alfredo Muñoz Herranz</v>
      </c>
      <c r="N51" s="960" t="s">
        <v>3509</v>
      </c>
      <c r="O51" s="960" t="s">
        <v>3541</v>
      </c>
      <c r="P51" s="959" t="s">
        <v>3551</v>
      </c>
      <c r="Q51" s="962">
        <v>710426.12</v>
      </c>
      <c r="R51" s="383">
        <f t="shared" si="18"/>
        <v>113668.1792</v>
      </c>
      <c r="S51" s="384">
        <f t="shared" si="12"/>
        <v>824094.29920000001</v>
      </c>
      <c r="T51" s="385">
        <v>660000</v>
      </c>
      <c r="U51" s="386">
        <f t="shared" si="19"/>
        <v>765600</v>
      </c>
      <c r="V51" s="383">
        <f t="shared" si="14"/>
        <v>824094.29920000001</v>
      </c>
      <c r="W51" s="963" t="s">
        <v>156</v>
      </c>
      <c r="X51" s="387">
        <v>44287</v>
      </c>
      <c r="Y51" s="3" t="s">
        <v>234</v>
      </c>
      <c r="Z51" s="387">
        <v>44287</v>
      </c>
      <c r="AA51" s="387">
        <v>44561</v>
      </c>
      <c r="AB51" s="4" t="s">
        <v>2076</v>
      </c>
      <c r="AC51" s="4"/>
      <c r="AD51" s="6">
        <v>44302</v>
      </c>
      <c r="AE51" s="6">
        <v>44294</v>
      </c>
      <c r="AF51" s="6" t="s">
        <v>161</v>
      </c>
      <c r="AG51" s="6" t="s">
        <v>161</v>
      </c>
      <c r="AH51" s="632" t="s">
        <v>3552</v>
      </c>
      <c r="AI51" s="4" t="s">
        <v>3553</v>
      </c>
      <c r="AJ51" s="4" t="s">
        <v>3554</v>
      </c>
      <c r="AK51" s="388"/>
      <c r="AL51" s="383"/>
      <c r="AM51" s="625" t="str">
        <f t="shared" ca="1" si="16"/>
        <v>MUERTO</v>
      </c>
      <c r="AN51" s="3">
        <v>35201</v>
      </c>
      <c r="AO51" s="3"/>
      <c r="AP51" s="3" t="s">
        <v>333</v>
      </c>
      <c r="AQ51" s="3"/>
      <c r="AR51" s="3" t="s">
        <v>234</v>
      </c>
      <c r="AS51" s="3"/>
      <c r="AT51" s="3"/>
      <c r="AU51" s="458"/>
      <c r="AV51" s="388"/>
      <c r="AW51" s="4"/>
      <c r="AX51" s="459"/>
      <c r="AY51" s="281" t="s">
        <v>3555</v>
      </c>
      <c r="AZ51" s="4"/>
      <c r="BA51" s="4" t="s">
        <v>3556</v>
      </c>
      <c r="BB51" s="5">
        <f t="shared" ref="BB51:BB61" si="20">AN51</f>
        <v>35201</v>
      </c>
      <c r="BC51" s="461" t="s">
        <v>3547</v>
      </c>
      <c r="BD51" s="6">
        <v>44259</v>
      </c>
      <c r="BE51" s="463">
        <v>44265</v>
      </c>
      <c r="BF51" s="463">
        <v>44271</v>
      </c>
      <c r="BG51" s="463">
        <v>44279</v>
      </c>
      <c r="BH51" s="415" t="str">
        <f t="shared" si="17"/>
        <v>Formalizado C, FC y PRC 19/04/2021</v>
      </c>
      <c r="BI51" s="416">
        <v>44279</v>
      </c>
      <c r="BJ51" s="255">
        <v>44277</v>
      </c>
      <c r="BK51" s="415" t="str">
        <f t="shared" si="15"/>
        <v>Formalizado C, FC y PRC 19/04/2021</v>
      </c>
      <c r="BL51" s="84"/>
      <c r="BM51" s="84"/>
      <c r="BN51" s="84"/>
      <c r="BO51" s="84"/>
      <c r="BP51" s="84"/>
    </row>
    <row r="52" spans="1:71" s="468" customFormat="1" ht="210" x14ac:dyDescent="0.25">
      <c r="A52" s="4" t="s">
        <v>3557</v>
      </c>
      <c r="B52" s="3">
        <v>48</v>
      </c>
      <c r="C52" s="4" t="s">
        <v>149</v>
      </c>
      <c r="D52" s="18" t="s">
        <v>3540</v>
      </c>
      <c r="E52" s="3" t="s">
        <v>173</v>
      </c>
      <c r="F52" s="3" t="s">
        <v>326</v>
      </c>
      <c r="G52" s="3"/>
      <c r="H52" s="3" t="s">
        <v>173</v>
      </c>
      <c r="I52" s="275"/>
      <c r="J52" s="17" t="s">
        <v>239</v>
      </c>
      <c r="K52" s="17" t="s">
        <v>240</v>
      </c>
      <c r="L52" s="17" t="s">
        <v>241</v>
      </c>
      <c r="M52" s="375" t="str">
        <f t="shared" si="11"/>
        <v>Alfredo Muñoz Herranz</v>
      </c>
      <c r="N52" s="959" t="s">
        <v>3509</v>
      </c>
      <c r="O52" s="959" t="s">
        <v>3541</v>
      </c>
      <c r="P52" s="959" t="s">
        <v>3558</v>
      </c>
      <c r="Q52" s="962">
        <v>373500</v>
      </c>
      <c r="R52" s="383">
        <f t="shared" si="18"/>
        <v>59760</v>
      </c>
      <c r="S52" s="384">
        <f t="shared" si="12"/>
        <v>433260</v>
      </c>
      <c r="T52" s="385">
        <v>0</v>
      </c>
      <c r="U52" s="386">
        <f t="shared" si="19"/>
        <v>0</v>
      </c>
      <c r="V52" s="383">
        <f t="shared" si="14"/>
        <v>433260</v>
      </c>
      <c r="W52" s="963" t="s">
        <v>156</v>
      </c>
      <c r="X52" s="387">
        <v>44273</v>
      </c>
      <c r="Y52" s="3" t="s">
        <v>234</v>
      </c>
      <c r="Z52" s="387">
        <v>44287</v>
      </c>
      <c r="AA52" s="387">
        <v>44561</v>
      </c>
      <c r="AB52" s="4" t="s">
        <v>2076</v>
      </c>
      <c r="AC52" s="4"/>
      <c r="AD52" s="6">
        <v>44286</v>
      </c>
      <c r="AE52" s="6">
        <v>44294</v>
      </c>
      <c r="AF52" s="6" t="s">
        <v>161</v>
      </c>
      <c r="AG52" s="6" t="s">
        <v>161</v>
      </c>
      <c r="AH52" s="632" t="s">
        <v>3559</v>
      </c>
      <c r="AI52" s="4" t="s">
        <v>3553</v>
      </c>
      <c r="AJ52" s="4" t="s">
        <v>3554</v>
      </c>
      <c r="AK52" s="388"/>
      <c r="AL52" s="383"/>
      <c r="AM52" s="625" t="str">
        <f t="shared" ca="1" si="16"/>
        <v>MUERTO</v>
      </c>
      <c r="AN52" s="3">
        <v>35201</v>
      </c>
      <c r="AO52" s="3"/>
      <c r="AP52" s="3" t="s">
        <v>333</v>
      </c>
      <c r="AQ52" s="3"/>
      <c r="AR52" s="3" t="s">
        <v>234</v>
      </c>
      <c r="AS52" s="3"/>
      <c r="AT52" s="3"/>
      <c r="AU52" s="458"/>
      <c r="AV52" s="388"/>
      <c r="AW52" s="4"/>
      <c r="AX52" s="459"/>
      <c r="AY52" s="281" t="s">
        <v>3560</v>
      </c>
      <c r="AZ52" s="4"/>
      <c r="BA52" s="4" t="s">
        <v>3556</v>
      </c>
      <c r="BB52" s="3">
        <f t="shared" si="20"/>
        <v>35201</v>
      </c>
      <c r="BC52" s="461" t="s">
        <v>3547</v>
      </c>
      <c r="BD52" s="6">
        <v>44259</v>
      </c>
      <c r="BE52" s="463">
        <v>44265</v>
      </c>
      <c r="BF52" s="463">
        <v>44271</v>
      </c>
      <c r="BG52" s="463">
        <v>44277</v>
      </c>
      <c r="BH52" s="415" t="str">
        <f t="shared" si="17"/>
        <v>Formalizado C, FC y PRC 22/04/2021</v>
      </c>
      <c r="BI52" s="416">
        <v>44279</v>
      </c>
      <c r="BJ52" s="255">
        <v>44277</v>
      </c>
      <c r="BK52" s="415" t="str">
        <f t="shared" si="15"/>
        <v>Formalizado C, FC y PRC 22/04/2021</v>
      </c>
      <c r="BL52" s="84"/>
      <c r="BM52" s="84"/>
      <c r="BN52" s="84"/>
      <c r="BO52" s="84"/>
      <c r="BP52" s="84"/>
      <c r="BQ52"/>
      <c r="BR52"/>
      <c r="BS52"/>
    </row>
    <row r="53" spans="1:71" ht="105" x14ac:dyDescent="0.25">
      <c r="A53" s="642" t="s">
        <v>3561</v>
      </c>
      <c r="B53" s="3">
        <v>49</v>
      </c>
      <c r="C53" s="4" t="s">
        <v>149</v>
      </c>
      <c r="D53" s="18" t="s">
        <v>3562</v>
      </c>
      <c r="E53" s="3" t="s">
        <v>163</v>
      </c>
      <c r="F53" s="3" t="s">
        <v>237</v>
      </c>
      <c r="G53" s="3" t="s">
        <v>163</v>
      </c>
      <c r="H53" s="3" t="s">
        <v>1272</v>
      </c>
      <c r="I53" s="275"/>
      <c r="J53" s="17" t="s">
        <v>3563</v>
      </c>
      <c r="K53" s="17" t="s">
        <v>3564</v>
      </c>
      <c r="L53" s="17" t="s">
        <v>3565</v>
      </c>
      <c r="M53" s="375" t="str">
        <f t="shared" si="11"/>
        <v>Andoni Sagües Zamora</v>
      </c>
      <c r="N53" s="959" t="s">
        <v>198</v>
      </c>
      <c r="O53" s="959" t="s">
        <v>198</v>
      </c>
      <c r="P53" s="375" t="s">
        <v>3566</v>
      </c>
      <c r="Q53" s="962">
        <v>1043653.34</v>
      </c>
      <c r="R53" s="383">
        <f t="shared" si="18"/>
        <v>166984.5344</v>
      </c>
      <c r="S53" s="384">
        <f t="shared" si="12"/>
        <v>1210637.8744000001</v>
      </c>
      <c r="T53" s="385">
        <v>486250</v>
      </c>
      <c r="U53" s="386">
        <f t="shared" si="19"/>
        <v>564050</v>
      </c>
      <c r="V53" s="383">
        <f t="shared" si="14"/>
        <v>1210637.8744000001</v>
      </c>
      <c r="W53" s="963" t="s">
        <v>156</v>
      </c>
      <c r="X53" s="387">
        <v>44274</v>
      </c>
      <c r="Y53" s="3" t="s">
        <v>234</v>
      </c>
      <c r="Z53" s="387">
        <v>44274</v>
      </c>
      <c r="AA53" s="387">
        <v>44561</v>
      </c>
      <c r="AB53" s="4" t="s">
        <v>2033</v>
      </c>
      <c r="AC53" s="4"/>
      <c r="AD53" s="6">
        <v>44319</v>
      </c>
      <c r="AE53" s="6">
        <v>44314</v>
      </c>
      <c r="AF53" s="6" t="s">
        <v>161</v>
      </c>
      <c r="AG53" s="6" t="s">
        <v>161</v>
      </c>
      <c r="AH53" s="629" t="s">
        <v>3567</v>
      </c>
      <c r="AI53" s="4" t="s">
        <v>3568</v>
      </c>
      <c r="AJ53" s="4" t="s">
        <v>3569</v>
      </c>
      <c r="AK53" s="388">
        <v>44545</v>
      </c>
      <c r="AL53" s="383">
        <v>0</v>
      </c>
      <c r="AM53" s="625" t="str">
        <f t="shared" ca="1" si="16"/>
        <v>MUERTO</v>
      </c>
      <c r="AN53" s="3">
        <v>35201</v>
      </c>
      <c r="AO53" s="3"/>
      <c r="AP53" s="3" t="s">
        <v>234</v>
      </c>
      <c r="AQ53" s="3"/>
      <c r="AR53" s="3" t="s">
        <v>234</v>
      </c>
      <c r="AS53" s="3"/>
      <c r="AT53" s="3"/>
      <c r="AU53" s="458"/>
      <c r="AV53" s="388"/>
      <c r="AW53" s="4"/>
      <c r="AX53" s="459"/>
      <c r="AY53" s="281" t="s">
        <v>3570</v>
      </c>
      <c r="AZ53" s="4"/>
      <c r="BA53" s="4" t="e">
        <f>VLOOKUP(I53,#REF!,2,0)</f>
        <v>#REF!</v>
      </c>
      <c r="BB53" s="5">
        <f t="shared" si="20"/>
        <v>35201</v>
      </c>
      <c r="BC53" s="461" t="s">
        <v>3571</v>
      </c>
      <c r="BD53" s="6">
        <v>44237</v>
      </c>
      <c r="BE53" s="636">
        <v>44271</v>
      </c>
      <c r="BF53" s="643" t="s">
        <v>3572</v>
      </c>
      <c r="BG53" s="636">
        <v>44280</v>
      </c>
      <c r="BH53" s="415" t="str">
        <f t="shared" si="17"/>
        <v>Formalizado C, FC y PRC 04/05
Terminación 23/12</v>
      </c>
      <c r="BI53" s="416" t="s">
        <v>3573</v>
      </c>
      <c r="BJ53" s="255" t="s">
        <v>3574</v>
      </c>
      <c r="BK53" s="415" t="str">
        <f t="shared" si="15"/>
        <v>Formalizado C, FC y PRC 04/05
Terminación 23/12</v>
      </c>
      <c r="BL53" s="84"/>
      <c r="BM53" s="84"/>
      <c r="BN53" s="84"/>
      <c r="BO53" s="84"/>
      <c r="BP53" s="84"/>
    </row>
    <row r="54" spans="1:71" ht="180" x14ac:dyDescent="0.25">
      <c r="A54" s="527" t="s">
        <v>3575</v>
      </c>
      <c r="B54" s="5">
        <v>50</v>
      </c>
      <c r="C54" s="4" t="s">
        <v>225</v>
      </c>
      <c r="D54" s="18" t="s">
        <v>3576</v>
      </c>
      <c r="E54" s="3" t="s">
        <v>163</v>
      </c>
      <c r="F54" s="3" t="s">
        <v>561</v>
      </c>
      <c r="G54" s="3" t="s">
        <v>163</v>
      </c>
      <c r="H54" s="3" t="s">
        <v>163</v>
      </c>
      <c r="I54" s="275" t="s">
        <v>3577</v>
      </c>
      <c r="J54" s="17"/>
      <c r="K54" s="17"/>
      <c r="L54" s="17"/>
      <c r="M54" s="375" t="str">
        <f t="shared" si="11"/>
        <v xml:space="preserve">ESEOTRES PHARMA, S.A.P.I. DE C.V.  </v>
      </c>
      <c r="N54" s="375" t="s">
        <v>763</v>
      </c>
      <c r="O54" s="375" t="s">
        <v>763</v>
      </c>
      <c r="P54" s="375" t="s">
        <v>3578</v>
      </c>
      <c r="Q54" s="962">
        <v>565000</v>
      </c>
      <c r="R54" s="383">
        <f t="shared" si="18"/>
        <v>90400</v>
      </c>
      <c r="S54" s="384">
        <f t="shared" si="12"/>
        <v>655400</v>
      </c>
      <c r="T54" s="385">
        <v>0</v>
      </c>
      <c r="U54" s="386">
        <f t="shared" si="19"/>
        <v>0</v>
      </c>
      <c r="V54" s="383">
        <f t="shared" si="14"/>
        <v>655400</v>
      </c>
      <c r="W54" s="963" t="s">
        <v>156</v>
      </c>
      <c r="X54" s="387">
        <v>44285</v>
      </c>
      <c r="Y54" s="3" t="s">
        <v>234</v>
      </c>
      <c r="Z54" s="387">
        <v>44285</v>
      </c>
      <c r="AA54" s="387">
        <v>44299</v>
      </c>
      <c r="AB54" s="4" t="s">
        <v>2050</v>
      </c>
      <c r="AC54" s="4"/>
      <c r="AD54" s="6" t="s">
        <v>161</v>
      </c>
      <c r="AE54" s="6" t="s">
        <v>161</v>
      </c>
      <c r="AF54" s="6" t="s">
        <v>161</v>
      </c>
      <c r="AG54" s="6" t="s">
        <v>161</v>
      </c>
      <c r="AH54" s="3" t="s">
        <v>2050</v>
      </c>
      <c r="AI54" s="644"/>
      <c r="AJ54" s="644"/>
      <c r="AK54" s="637"/>
      <c r="AL54" s="638"/>
      <c r="AM54" s="625" t="str">
        <f t="shared" ca="1" si="16"/>
        <v>MUERTO</v>
      </c>
      <c r="AN54" s="3">
        <v>25401</v>
      </c>
      <c r="AO54" s="3"/>
      <c r="AP54" s="3" t="s">
        <v>234</v>
      </c>
      <c r="AQ54" s="3"/>
      <c r="AR54" s="3" t="s">
        <v>234</v>
      </c>
      <c r="AS54" s="3"/>
      <c r="AT54" s="3"/>
      <c r="AU54" s="458"/>
      <c r="AV54" s="388"/>
      <c r="AW54" s="4"/>
      <c r="AX54" s="459"/>
      <c r="AY54" s="281" t="s">
        <v>3579</v>
      </c>
      <c r="AZ54" s="4"/>
      <c r="BA54" s="4" t="s">
        <v>3580</v>
      </c>
      <c r="BB54" s="3">
        <f t="shared" si="20"/>
        <v>25401</v>
      </c>
      <c r="BC54" s="461" t="s">
        <v>3581</v>
      </c>
      <c r="BD54" s="6">
        <v>44274</v>
      </c>
      <c r="BE54" s="645">
        <v>44280</v>
      </c>
      <c r="BF54" s="646">
        <v>44284</v>
      </c>
      <c r="BG54" s="647" t="s">
        <v>2050</v>
      </c>
      <c r="BH54" s="415" t="str">
        <f t="shared" si="17"/>
        <v>Formalizado C 09/04/2021</v>
      </c>
      <c r="BI54" s="416">
        <v>44294</v>
      </c>
      <c r="BJ54" s="255">
        <v>44294</v>
      </c>
      <c r="BK54" s="415" t="str">
        <f t="shared" si="15"/>
        <v>Formalizado C 09/04/2021</v>
      </c>
      <c r="BL54" s="84"/>
      <c r="BM54" s="84"/>
      <c r="BN54" s="84"/>
      <c r="BO54" s="84"/>
      <c r="BP54" s="84"/>
    </row>
    <row r="55" spans="1:71" s="468" customFormat="1" ht="105" x14ac:dyDescent="0.25">
      <c r="A55" s="527" t="s">
        <v>3582</v>
      </c>
      <c r="B55" s="3">
        <v>51</v>
      </c>
      <c r="C55" s="4" t="s">
        <v>225</v>
      </c>
      <c r="D55" s="18" t="s">
        <v>3583</v>
      </c>
      <c r="E55" s="3" t="s">
        <v>163</v>
      </c>
      <c r="F55" s="3" t="s">
        <v>237</v>
      </c>
      <c r="G55" s="3" t="s">
        <v>163</v>
      </c>
      <c r="H55" s="3" t="s">
        <v>1272</v>
      </c>
      <c r="I55" s="275" t="s">
        <v>3584</v>
      </c>
      <c r="J55" s="17"/>
      <c r="K55" s="17"/>
      <c r="L55" s="17"/>
      <c r="M55" s="375" t="str">
        <f t="shared" si="11"/>
        <v xml:space="preserve">Bebidas Purificadas, S. de R.L. de  C.V.  </v>
      </c>
      <c r="N55" s="959" t="s">
        <v>198</v>
      </c>
      <c r="O55" s="959" t="s">
        <v>198</v>
      </c>
      <c r="P55" s="959" t="s">
        <v>3585</v>
      </c>
      <c r="Q55" s="962">
        <v>673500</v>
      </c>
      <c r="R55" s="383">
        <v>0</v>
      </c>
      <c r="S55" s="384">
        <f t="shared" si="12"/>
        <v>673500</v>
      </c>
      <c r="T55" s="385">
        <v>223200</v>
      </c>
      <c r="U55" s="386">
        <v>223200</v>
      </c>
      <c r="V55" s="383">
        <f t="shared" si="14"/>
        <v>673500</v>
      </c>
      <c r="W55" s="963" t="s">
        <v>156</v>
      </c>
      <c r="X55" s="387">
        <v>44284</v>
      </c>
      <c r="Y55" s="3" t="s">
        <v>234</v>
      </c>
      <c r="Z55" s="387">
        <v>44284</v>
      </c>
      <c r="AA55" s="387">
        <v>44561</v>
      </c>
      <c r="AB55" s="4" t="s">
        <v>182</v>
      </c>
      <c r="AC55" s="4"/>
      <c r="AD55" s="6" t="s">
        <v>3586</v>
      </c>
      <c r="AE55" s="6" t="s">
        <v>161</v>
      </c>
      <c r="AF55" s="6" t="s">
        <v>161</v>
      </c>
      <c r="AG55" s="6" t="s">
        <v>161</v>
      </c>
      <c r="AH55" s="632" t="s">
        <v>3587</v>
      </c>
      <c r="AI55" s="4"/>
      <c r="AJ55" s="4"/>
      <c r="AK55" s="388"/>
      <c r="AL55" s="383"/>
      <c r="AM55" s="625" t="str">
        <f t="shared" ca="1" si="16"/>
        <v>MUERTO</v>
      </c>
      <c r="AN55" s="3">
        <v>22104</v>
      </c>
      <c r="AO55" s="3"/>
      <c r="AP55" s="3" t="s">
        <v>234</v>
      </c>
      <c r="AQ55" s="3"/>
      <c r="AR55" s="3" t="s">
        <v>234</v>
      </c>
      <c r="AS55" s="3"/>
      <c r="AT55" s="3"/>
      <c r="AU55" s="458"/>
      <c r="AV55" s="388"/>
      <c r="AW55" s="4"/>
      <c r="AX55" s="459"/>
      <c r="AY55" s="281" t="s">
        <v>3588</v>
      </c>
      <c r="AZ55" s="4"/>
      <c r="BA55" s="4" t="e">
        <f>VLOOKUP(I55,#REF!,2,0)</f>
        <v>#REF!</v>
      </c>
      <c r="BB55" s="3">
        <f t="shared" si="20"/>
        <v>22104</v>
      </c>
      <c r="BC55" s="461" t="s">
        <v>3589</v>
      </c>
      <c r="BD55" s="6">
        <v>44280</v>
      </c>
      <c r="BE55" s="6">
        <v>44281</v>
      </c>
      <c r="BF55" s="463">
        <v>44286</v>
      </c>
      <c r="BG55" s="463">
        <v>44294</v>
      </c>
      <c r="BH55" s="415" t="str">
        <f t="shared" si="17"/>
        <v>Formalizado C y FC 15/04/2021</v>
      </c>
      <c r="BI55" s="416">
        <v>44300</v>
      </c>
      <c r="BJ55" s="255">
        <f>BI55</f>
        <v>44300</v>
      </c>
      <c r="BK55" s="415" t="str">
        <f t="shared" si="15"/>
        <v>Formalizado C y FC 15/04/2021</v>
      </c>
      <c r="BL55" s="84"/>
      <c r="BM55" s="84"/>
      <c r="BN55" s="84"/>
      <c r="BO55" s="84"/>
      <c r="BP55" s="84"/>
      <c r="BQ55"/>
      <c r="BR55"/>
      <c r="BS55"/>
    </row>
    <row r="56" spans="1:71" ht="270" x14ac:dyDescent="0.25">
      <c r="A56" s="417" t="s">
        <v>3590</v>
      </c>
      <c r="B56" s="3">
        <v>52</v>
      </c>
      <c r="C56" s="4" t="s">
        <v>149</v>
      </c>
      <c r="D56" s="18" t="s">
        <v>3591</v>
      </c>
      <c r="E56" s="3" t="s">
        <v>163</v>
      </c>
      <c r="F56" s="3" t="s">
        <v>568</v>
      </c>
      <c r="G56" s="685" t="s">
        <v>546</v>
      </c>
      <c r="H56" s="3" t="s">
        <v>2237</v>
      </c>
      <c r="I56" s="275" t="s">
        <v>1844</v>
      </c>
      <c r="J56" s="17"/>
      <c r="K56" s="17"/>
      <c r="L56" s="17"/>
      <c r="M56" s="375" t="str">
        <f t="shared" si="11"/>
        <v xml:space="preserve">Estafeta Mexicana, S.A. de C.V.  </v>
      </c>
      <c r="N56" s="960" t="s">
        <v>301</v>
      </c>
      <c r="O56" s="960" t="s">
        <v>301</v>
      </c>
      <c r="P56" s="959" t="s">
        <v>3592</v>
      </c>
      <c r="Q56" s="962">
        <v>1714971.43</v>
      </c>
      <c r="R56" s="383">
        <f t="shared" ref="R56:R65" si="21">Q56*0.16</f>
        <v>274395.42879999999</v>
      </c>
      <c r="S56" s="384">
        <f t="shared" si="12"/>
        <v>1989366.8588</v>
      </c>
      <c r="T56" s="385">
        <v>685988.57</v>
      </c>
      <c r="U56" s="386">
        <f t="shared" ref="U56:U64" si="22">(T56*0.16)+(T56)</f>
        <v>795746.74119999993</v>
      </c>
      <c r="V56" s="383">
        <f t="shared" si="14"/>
        <v>1989366.8588</v>
      </c>
      <c r="W56" s="963" t="s">
        <v>156</v>
      </c>
      <c r="X56" s="387">
        <v>44285</v>
      </c>
      <c r="Y56" s="6" t="s">
        <v>234</v>
      </c>
      <c r="Z56" s="387">
        <v>44287</v>
      </c>
      <c r="AA56" s="531">
        <v>44620</v>
      </c>
      <c r="AB56" s="4" t="s">
        <v>3075</v>
      </c>
      <c r="AC56" s="4"/>
      <c r="AD56" s="6">
        <v>44314</v>
      </c>
      <c r="AE56" s="6" t="s">
        <v>3593</v>
      </c>
      <c r="AF56" s="6" t="s">
        <v>161</v>
      </c>
      <c r="AG56" s="6" t="s">
        <v>161</v>
      </c>
      <c r="AH56" s="629" t="s">
        <v>3594</v>
      </c>
      <c r="AI56" s="527" t="s">
        <v>3595</v>
      </c>
      <c r="AJ56" s="527" t="s">
        <v>3596</v>
      </c>
      <c r="AK56" s="521">
        <v>44558</v>
      </c>
      <c r="AL56" s="528">
        <v>0</v>
      </c>
      <c r="AM56" s="625" t="str">
        <f t="shared" ca="1" si="16"/>
        <v>MUERTO</v>
      </c>
      <c r="AN56" s="3">
        <v>31801</v>
      </c>
      <c r="AO56" s="3"/>
      <c r="AP56" s="3" t="s">
        <v>333</v>
      </c>
      <c r="AQ56" s="3"/>
      <c r="AR56" s="3" t="s">
        <v>234</v>
      </c>
      <c r="AS56" s="3"/>
      <c r="AT56" s="3"/>
      <c r="AU56" s="458"/>
      <c r="AV56" s="388"/>
      <c r="AW56" s="4"/>
      <c r="AX56" s="459"/>
      <c r="AY56" s="281" t="s">
        <v>3597</v>
      </c>
      <c r="AZ56" s="4" t="s">
        <v>3598</v>
      </c>
      <c r="BA56" s="4" t="e">
        <f>VLOOKUP(I56,#REF!,2,0)</f>
        <v>#REF!</v>
      </c>
      <c r="BB56" s="3">
        <f t="shared" si="20"/>
        <v>31801</v>
      </c>
      <c r="BC56" s="461">
        <v>108</v>
      </c>
      <c r="BD56" s="6">
        <v>44274</v>
      </c>
      <c r="BE56" s="463">
        <v>44284</v>
      </c>
      <c r="BF56" s="463">
        <v>44286</v>
      </c>
      <c r="BG56" s="463">
        <v>44305</v>
      </c>
      <c r="BH56" s="415" t="str">
        <f t="shared" si="17"/>
        <v>Formalizado C, FC y PRC  29/04</v>
      </c>
      <c r="BI56" s="416" t="s">
        <v>3599</v>
      </c>
      <c r="BJ56" s="255" t="s">
        <v>3600</v>
      </c>
      <c r="BK56" s="415" t="str">
        <f t="shared" si="15"/>
        <v>Formalizado C, FC y PRC  29/04</v>
      </c>
      <c r="BL56" s="84"/>
      <c r="BM56" s="84"/>
      <c r="BN56" s="84"/>
      <c r="BO56" s="84"/>
      <c r="BP56" s="84"/>
    </row>
    <row r="57" spans="1:71" s="468" customFormat="1" ht="120" x14ac:dyDescent="0.25">
      <c r="A57" s="417" t="s">
        <v>3601</v>
      </c>
      <c r="B57" s="3">
        <v>53</v>
      </c>
      <c r="C57" s="4" t="s">
        <v>149</v>
      </c>
      <c r="D57" s="18" t="s">
        <v>3591</v>
      </c>
      <c r="E57" s="3" t="s">
        <v>163</v>
      </c>
      <c r="F57" s="3" t="s">
        <v>312</v>
      </c>
      <c r="G57" s="685" t="s">
        <v>546</v>
      </c>
      <c r="H57" s="3" t="s">
        <v>2237</v>
      </c>
      <c r="I57" s="275"/>
      <c r="J57" s="17" t="s">
        <v>1980</v>
      </c>
      <c r="K57" s="17" t="s">
        <v>467</v>
      </c>
      <c r="L57" s="17" t="s">
        <v>1837</v>
      </c>
      <c r="M57" s="375" t="str">
        <f t="shared" si="11"/>
        <v>Víctor Enrique Gutiérrez Hernández</v>
      </c>
      <c r="N57" s="959" t="s">
        <v>3602</v>
      </c>
      <c r="O57" s="959" t="s">
        <v>220</v>
      </c>
      <c r="P57" s="959" t="s">
        <v>3603</v>
      </c>
      <c r="Q57" s="962">
        <v>1200000</v>
      </c>
      <c r="R57" s="383">
        <f t="shared" si="21"/>
        <v>192000</v>
      </c>
      <c r="S57" s="384">
        <f t="shared" si="12"/>
        <v>1392000</v>
      </c>
      <c r="T57" s="385">
        <v>0</v>
      </c>
      <c r="U57" s="386">
        <f t="shared" si="22"/>
        <v>0</v>
      </c>
      <c r="V57" s="383">
        <f t="shared" si="14"/>
        <v>1392000</v>
      </c>
      <c r="W57" s="963" t="s">
        <v>156</v>
      </c>
      <c r="X57" s="387">
        <v>44285</v>
      </c>
      <c r="Y57" s="3" t="s">
        <v>234</v>
      </c>
      <c r="Z57" s="387">
        <v>44291</v>
      </c>
      <c r="AA57" s="387">
        <v>44438</v>
      </c>
      <c r="AB57" s="4" t="s">
        <v>182</v>
      </c>
      <c r="AC57" s="4"/>
      <c r="AD57" s="6" t="s">
        <v>3604</v>
      </c>
      <c r="AE57" s="6" t="s">
        <v>161</v>
      </c>
      <c r="AF57" s="6" t="s">
        <v>161</v>
      </c>
      <c r="AG57" s="6" t="s">
        <v>161</v>
      </c>
      <c r="AH57" s="632" t="s">
        <v>3605</v>
      </c>
      <c r="AI57" s="4" t="s">
        <v>3606</v>
      </c>
      <c r="AJ57" s="4" t="s">
        <v>3607</v>
      </c>
      <c r="AK57" s="388">
        <v>44414</v>
      </c>
      <c r="AL57" s="383">
        <v>0</v>
      </c>
      <c r="AM57" s="625" t="str">
        <f t="shared" ca="1" si="16"/>
        <v>MUERTO</v>
      </c>
      <c r="AN57" s="3">
        <v>36301</v>
      </c>
      <c r="AO57" s="3"/>
      <c r="AP57" s="3" t="s">
        <v>333</v>
      </c>
      <c r="AQ57" s="3"/>
      <c r="AR57" s="3" t="s">
        <v>234</v>
      </c>
      <c r="AS57" s="3"/>
      <c r="AT57" s="3"/>
      <c r="AU57" s="458"/>
      <c r="AV57" s="388"/>
      <c r="AW57" s="4"/>
      <c r="AX57" s="459"/>
      <c r="AY57" s="281" t="s">
        <v>3608</v>
      </c>
      <c r="AZ57" s="4" t="s">
        <v>3609</v>
      </c>
      <c r="BA57" s="4" t="s">
        <v>3610</v>
      </c>
      <c r="BB57" s="5">
        <f t="shared" si="20"/>
        <v>36301</v>
      </c>
      <c r="BC57" s="461">
        <v>36</v>
      </c>
      <c r="BD57" s="6">
        <v>44272</v>
      </c>
      <c r="BE57" s="463" t="s">
        <v>3611</v>
      </c>
      <c r="BF57" s="463" t="s">
        <v>3612</v>
      </c>
      <c r="BG57" s="463">
        <v>44294</v>
      </c>
      <c r="BH57" s="415" t="str">
        <f t="shared" si="17"/>
        <v>Formalizado C y FC 19/04/2021
Modificatorio Formalizado  19/08</v>
      </c>
      <c r="BI57" s="416">
        <v>44305</v>
      </c>
      <c r="BJ57" s="255" t="s">
        <v>3613</v>
      </c>
      <c r="BK57" s="415" t="str">
        <f t="shared" si="15"/>
        <v>Formalizado C y FC 19/04/2021
Modificatorio Formalizado  19/08</v>
      </c>
      <c r="BL57" s="84"/>
      <c r="BM57" s="84"/>
      <c r="BN57" s="84"/>
      <c r="BO57" s="84"/>
      <c r="BP57" s="84"/>
      <c r="BQ57"/>
      <c r="BR57"/>
      <c r="BS57"/>
    </row>
    <row r="58" spans="1:71" ht="120" x14ac:dyDescent="0.25">
      <c r="A58" s="527" t="s">
        <v>3614</v>
      </c>
      <c r="B58" s="3">
        <v>54</v>
      </c>
      <c r="C58" s="648" t="s">
        <v>2410</v>
      </c>
      <c r="D58" s="649" t="s">
        <v>3591</v>
      </c>
      <c r="E58" s="3" t="s">
        <v>163</v>
      </c>
      <c r="F58" s="648" t="s">
        <v>312</v>
      </c>
      <c r="G58" s="685" t="s">
        <v>546</v>
      </c>
      <c r="H58" s="3" t="s">
        <v>2237</v>
      </c>
      <c r="I58" s="650"/>
      <c r="J58" s="651" t="s">
        <v>1992</v>
      </c>
      <c r="K58" s="651" t="s">
        <v>1993</v>
      </c>
      <c r="L58" s="651" t="s">
        <v>1994</v>
      </c>
      <c r="M58" s="652" t="str">
        <f t="shared" si="11"/>
        <v>César Marco Parra Olmedo</v>
      </c>
      <c r="N58" s="1028" t="s">
        <v>3602</v>
      </c>
      <c r="O58" s="1028" t="s">
        <v>220</v>
      </c>
      <c r="P58" s="959" t="s">
        <v>3615</v>
      </c>
      <c r="Q58" s="962">
        <v>1839750</v>
      </c>
      <c r="R58" s="383">
        <f t="shared" si="21"/>
        <v>294360</v>
      </c>
      <c r="S58" s="384">
        <f t="shared" si="12"/>
        <v>2134110</v>
      </c>
      <c r="T58" s="385">
        <v>0</v>
      </c>
      <c r="U58" s="386">
        <f t="shared" si="22"/>
        <v>0</v>
      </c>
      <c r="V58" s="383">
        <f t="shared" si="14"/>
        <v>2134110</v>
      </c>
      <c r="W58" s="963" t="s">
        <v>156</v>
      </c>
      <c r="X58" s="387">
        <v>44285</v>
      </c>
      <c r="Y58" s="3" t="s">
        <v>234</v>
      </c>
      <c r="Z58" s="387">
        <v>44291</v>
      </c>
      <c r="AA58" s="387">
        <v>44484</v>
      </c>
      <c r="AB58" s="4" t="s">
        <v>182</v>
      </c>
      <c r="AC58" s="4"/>
      <c r="AD58" s="520" t="s">
        <v>3604</v>
      </c>
      <c r="AE58" s="6" t="s">
        <v>161</v>
      </c>
      <c r="AF58" s="6" t="s">
        <v>161</v>
      </c>
      <c r="AG58" s="6" t="s">
        <v>161</v>
      </c>
      <c r="AH58" s="653" t="s">
        <v>3616</v>
      </c>
      <c r="AI58" s="4"/>
      <c r="AJ58" s="4"/>
      <c r="AK58" s="388"/>
      <c r="AL58" s="383"/>
      <c r="AM58" s="625" t="str">
        <f t="shared" ca="1" si="16"/>
        <v>MUERTO</v>
      </c>
      <c r="AN58" s="3">
        <v>32701</v>
      </c>
      <c r="AO58" s="3"/>
      <c r="AP58" s="3" t="s">
        <v>333</v>
      </c>
      <c r="AQ58" s="3"/>
      <c r="AR58" s="3" t="s">
        <v>234</v>
      </c>
      <c r="AS58" s="3"/>
      <c r="AT58" s="3"/>
      <c r="AU58" s="458"/>
      <c r="AV58" s="388"/>
      <c r="AW58" s="4"/>
      <c r="AX58" s="459"/>
      <c r="AY58" s="281" t="s">
        <v>3617</v>
      </c>
      <c r="AZ58" s="4"/>
      <c r="BA58" s="4" t="s">
        <v>3618</v>
      </c>
      <c r="BB58" s="3">
        <f t="shared" si="20"/>
        <v>32701</v>
      </c>
      <c r="BC58" s="461">
        <v>29</v>
      </c>
      <c r="BD58" s="6">
        <v>44272</v>
      </c>
      <c r="BE58" s="463">
        <v>44284</v>
      </c>
      <c r="BF58" s="463">
        <v>44286</v>
      </c>
      <c r="BG58" s="463">
        <v>44300</v>
      </c>
      <c r="BH58" s="415" t="str">
        <f t="shared" si="17"/>
        <v>Formalizado C y FC 19/04/2021</v>
      </c>
      <c r="BI58" s="416">
        <v>44300</v>
      </c>
      <c r="BJ58" s="255">
        <f>BI58</f>
        <v>44300</v>
      </c>
      <c r="BK58" s="415" t="str">
        <f t="shared" si="15"/>
        <v>Formalizado C y FC 19/04/2021</v>
      </c>
      <c r="BL58" s="84"/>
      <c r="BM58" s="84"/>
      <c r="BN58" s="84"/>
      <c r="BO58" s="84"/>
      <c r="BP58" s="84"/>
    </row>
    <row r="59" spans="1:71" s="468" customFormat="1" ht="105" x14ac:dyDescent="0.25">
      <c r="A59" s="527" t="s">
        <v>3619</v>
      </c>
      <c r="B59" s="3">
        <v>55</v>
      </c>
      <c r="C59" s="648" t="s">
        <v>2410</v>
      </c>
      <c r="D59" s="649" t="s">
        <v>3591</v>
      </c>
      <c r="E59" s="3" t="s">
        <v>163</v>
      </c>
      <c r="F59" s="648" t="s">
        <v>312</v>
      </c>
      <c r="G59" s="685" t="s">
        <v>546</v>
      </c>
      <c r="H59" s="3" t="s">
        <v>2237</v>
      </c>
      <c r="I59" s="650"/>
      <c r="J59" s="651" t="s">
        <v>1992</v>
      </c>
      <c r="K59" s="651" t="s">
        <v>1993</v>
      </c>
      <c r="L59" s="651" t="s">
        <v>1994</v>
      </c>
      <c r="M59" s="652" t="str">
        <f t="shared" si="11"/>
        <v>César Marco Parra Olmedo</v>
      </c>
      <c r="N59" s="1028" t="s">
        <v>3602</v>
      </c>
      <c r="O59" s="1028" t="s">
        <v>220</v>
      </c>
      <c r="P59" s="959" t="s">
        <v>3620</v>
      </c>
      <c r="Q59" s="962">
        <v>1700000</v>
      </c>
      <c r="R59" s="383">
        <f t="shared" si="21"/>
        <v>272000</v>
      </c>
      <c r="S59" s="384">
        <f t="shared" si="12"/>
        <v>1972000</v>
      </c>
      <c r="T59" s="385">
        <v>0</v>
      </c>
      <c r="U59" s="386">
        <f t="shared" si="22"/>
        <v>0</v>
      </c>
      <c r="V59" s="383">
        <f t="shared" si="14"/>
        <v>1972000</v>
      </c>
      <c r="W59" s="963" t="s">
        <v>156</v>
      </c>
      <c r="X59" s="387">
        <v>44285</v>
      </c>
      <c r="Y59" s="3" t="s">
        <v>234</v>
      </c>
      <c r="Z59" s="387">
        <v>44291</v>
      </c>
      <c r="AA59" s="387">
        <v>44346</v>
      </c>
      <c r="AB59" s="4" t="s">
        <v>182</v>
      </c>
      <c r="AC59" s="4"/>
      <c r="AD59" s="6" t="s">
        <v>3604</v>
      </c>
      <c r="AE59" s="6" t="s">
        <v>161</v>
      </c>
      <c r="AF59" s="6" t="s">
        <v>161</v>
      </c>
      <c r="AG59" s="6" t="s">
        <v>161</v>
      </c>
      <c r="AH59" s="632" t="s">
        <v>3621</v>
      </c>
      <c r="AI59" s="4"/>
      <c r="AJ59" s="4"/>
      <c r="AK59" s="388"/>
      <c r="AL59" s="383"/>
      <c r="AM59" s="625" t="str">
        <f t="shared" ca="1" si="16"/>
        <v>MUERTO</v>
      </c>
      <c r="AN59" s="3">
        <v>32701</v>
      </c>
      <c r="AO59" s="3"/>
      <c r="AP59" s="3" t="s">
        <v>333</v>
      </c>
      <c r="AQ59" s="3"/>
      <c r="AR59" s="3" t="s">
        <v>234</v>
      </c>
      <c r="AS59" s="3"/>
      <c r="AT59" s="3"/>
      <c r="AU59" s="458"/>
      <c r="AV59" s="388"/>
      <c r="AW59" s="4"/>
      <c r="AX59" s="459"/>
      <c r="AY59" s="281" t="s">
        <v>3617</v>
      </c>
      <c r="AZ59" s="4"/>
      <c r="BA59" s="4" t="s">
        <v>3618</v>
      </c>
      <c r="BB59" s="5">
        <f t="shared" si="20"/>
        <v>32701</v>
      </c>
      <c r="BC59" s="461">
        <v>28</v>
      </c>
      <c r="BD59" s="6">
        <v>44272</v>
      </c>
      <c r="BE59" s="463">
        <v>44284</v>
      </c>
      <c r="BF59" s="463">
        <v>44286</v>
      </c>
      <c r="BG59" s="463">
        <v>44300</v>
      </c>
      <c r="BH59" s="415" t="str">
        <f t="shared" si="17"/>
        <v>Formalizado C y FC 19/04/2021</v>
      </c>
      <c r="BI59" s="416">
        <v>44298</v>
      </c>
      <c r="BJ59" s="255">
        <f>BI59</f>
        <v>44298</v>
      </c>
      <c r="BK59" s="415" t="str">
        <f t="shared" si="15"/>
        <v>Formalizado C y FC 19/04/2021</v>
      </c>
      <c r="BL59" s="84"/>
      <c r="BM59" s="84"/>
      <c r="BN59" s="84"/>
      <c r="BO59" s="84"/>
      <c r="BP59" s="84"/>
      <c r="BQ59"/>
      <c r="BR59"/>
      <c r="BS59"/>
    </row>
    <row r="60" spans="1:71" ht="90" x14ac:dyDescent="0.25">
      <c r="A60" s="527" t="s">
        <v>3622</v>
      </c>
      <c r="B60" s="3">
        <v>56</v>
      </c>
      <c r="C60" s="4" t="s">
        <v>149</v>
      </c>
      <c r="D60" s="18" t="s">
        <v>3591</v>
      </c>
      <c r="E60" s="3" t="s">
        <v>163</v>
      </c>
      <c r="F60" s="3" t="s">
        <v>312</v>
      </c>
      <c r="G60" s="685" t="s">
        <v>546</v>
      </c>
      <c r="H60" s="3" t="s">
        <v>2237</v>
      </c>
      <c r="I60" s="275"/>
      <c r="J60" s="17" t="s">
        <v>3623</v>
      </c>
      <c r="K60" s="17" t="s">
        <v>1988</v>
      </c>
      <c r="L60" s="17" t="s">
        <v>3624</v>
      </c>
      <c r="M60" s="375" t="str">
        <f t="shared" si="11"/>
        <v>Gabriel De la Vega Mora</v>
      </c>
      <c r="N60" s="1028" t="s">
        <v>3602</v>
      </c>
      <c r="O60" s="1028" t="s">
        <v>220</v>
      </c>
      <c r="P60" s="959" t="s">
        <v>3625</v>
      </c>
      <c r="Q60" s="962">
        <v>504000</v>
      </c>
      <c r="R60" s="383">
        <f t="shared" si="21"/>
        <v>80640</v>
      </c>
      <c r="S60" s="384">
        <f t="shared" si="12"/>
        <v>584640</v>
      </c>
      <c r="T60" s="385">
        <v>0</v>
      </c>
      <c r="U60" s="386">
        <f t="shared" si="22"/>
        <v>0</v>
      </c>
      <c r="V60" s="383">
        <f t="shared" si="14"/>
        <v>584640</v>
      </c>
      <c r="W60" s="963" t="s">
        <v>156</v>
      </c>
      <c r="X60" s="387">
        <v>44285</v>
      </c>
      <c r="Y60" s="3" t="s">
        <v>234</v>
      </c>
      <c r="Z60" s="387">
        <v>44291</v>
      </c>
      <c r="AA60" s="387">
        <v>44438</v>
      </c>
      <c r="AB60" s="4" t="s">
        <v>182</v>
      </c>
      <c r="AC60" s="4"/>
      <c r="AD60" s="6" t="s">
        <v>3626</v>
      </c>
      <c r="AE60" s="6" t="s">
        <v>161</v>
      </c>
      <c r="AF60" s="6" t="s">
        <v>161</v>
      </c>
      <c r="AG60" s="6" t="s">
        <v>161</v>
      </c>
      <c r="AH60" s="632" t="s">
        <v>3627</v>
      </c>
      <c r="AI60" s="654"/>
      <c r="AJ60" s="644"/>
      <c r="AK60" s="637"/>
      <c r="AL60" s="655"/>
      <c r="AM60" s="625" t="str">
        <f t="shared" ca="1" si="16"/>
        <v>MUERTO</v>
      </c>
      <c r="AN60" s="3">
        <v>36301</v>
      </c>
      <c r="AO60" s="3"/>
      <c r="AP60" s="3" t="s">
        <v>333</v>
      </c>
      <c r="AQ60" s="3"/>
      <c r="AR60" s="3" t="s">
        <v>234</v>
      </c>
      <c r="AS60" s="3"/>
      <c r="AT60" s="3"/>
      <c r="AU60" s="458"/>
      <c r="AV60" s="388"/>
      <c r="AW60" s="4"/>
      <c r="AX60" s="459"/>
      <c r="AY60" s="281" t="s">
        <v>3487</v>
      </c>
      <c r="AZ60" s="4"/>
      <c r="BA60" s="4" t="s">
        <v>3628</v>
      </c>
      <c r="BB60" s="5">
        <f t="shared" si="20"/>
        <v>36301</v>
      </c>
      <c r="BC60" s="461">
        <v>34</v>
      </c>
      <c r="BD60" s="6">
        <v>44272</v>
      </c>
      <c r="BE60" s="463">
        <v>44284</v>
      </c>
      <c r="BF60" s="463">
        <v>44286</v>
      </c>
      <c r="BG60" s="463">
        <v>44298</v>
      </c>
      <c r="BH60" s="415" t="str">
        <f t="shared" si="17"/>
        <v>Formalizado C y FC 22/04/2021</v>
      </c>
      <c r="BI60" s="416">
        <v>44298</v>
      </c>
      <c r="BJ60" s="255">
        <v>44298</v>
      </c>
      <c r="BK60" s="415" t="str">
        <f t="shared" si="15"/>
        <v>Formalizado C y FC 22/04/2021</v>
      </c>
      <c r="BL60" s="84"/>
      <c r="BM60" s="84"/>
      <c r="BN60" s="84"/>
      <c r="BO60" s="84"/>
      <c r="BP60" s="84"/>
    </row>
    <row r="61" spans="1:71" ht="135" x14ac:dyDescent="0.25">
      <c r="A61" s="417" t="s">
        <v>3629</v>
      </c>
      <c r="B61" s="3">
        <v>57</v>
      </c>
      <c r="C61" s="4" t="s">
        <v>149</v>
      </c>
      <c r="D61" s="18" t="s">
        <v>3591</v>
      </c>
      <c r="E61" s="3" t="s">
        <v>163</v>
      </c>
      <c r="F61" s="3" t="s">
        <v>312</v>
      </c>
      <c r="G61" s="685" t="s">
        <v>546</v>
      </c>
      <c r="H61" s="3" t="s">
        <v>2237</v>
      </c>
      <c r="I61" s="275" t="s">
        <v>2602</v>
      </c>
      <c r="J61" s="17"/>
      <c r="K61" s="17"/>
      <c r="L61" s="17"/>
      <c r="M61" s="375" t="str">
        <f t="shared" si="11"/>
        <v xml:space="preserve">Rayuela Digital, S.A. de C.V.  </v>
      </c>
      <c r="N61" s="960" t="s">
        <v>3602</v>
      </c>
      <c r="O61" s="960" t="s">
        <v>220</v>
      </c>
      <c r="P61" s="959" t="s">
        <v>3630</v>
      </c>
      <c r="Q61" s="962">
        <v>1300000</v>
      </c>
      <c r="R61" s="383">
        <f t="shared" si="21"/>
        <v>208000</v>
      </c>
      <c r="S61" s="384">
        <f t="shared" si="12"/>
        <v>1508000</v>
      </c>
      <c r="T61" s="385">
        <v>0</v>
      </c>
      <c r="U61" s="386">
        <f t="shared" si="22"/>
        <v>0</v>
      </c>
      <c r="V61" s="383">
        <f t="shared" si="14"/>
        <v>1508000</v>
      </c>
      <c r="W61" s="963" t="s">
        <v>156</v>
      </c>
      <c r="X61" s="387">
        <v>44285</v>
      </c>
      <c r="Y61" s="3" t="s">
        <v>234</v>
      </c>
      <c r="Z61" s="387">
        <v>44291</v>
      </c>
      <c r="AA61" s="387">
        <v>44498</v>
      </c>
      <c r="AB61" s="4" t="s">
        <v>182</v>
      </c>
      <c r="AC61" s="4"/>
      <c r="AD61" s="6">
        <v>44326</v>
      </c>
      <c r="AE61" s="6" t="s">
        <v>161</v>
      </c>
      <c r="AF61" s="6" t="s">
        <v>161</v>
      </c>
      <c r="AG61" s="6" t="s">
        <v>161</v>
      </c>
      <c r="AH61" s="629" t="s">
        <v>3631</v>
      </c>
      <c r="AI61" s="4" t="s">
        <v>3632</v>
      </c>
      <c r="AJ61" s="4" t="s">
        <v>3633</v>
      </c>
      <c r="AK61" s="388">
        <v>44480</v>
      </c>
      <c r="AL61" s="383">
        <v>0</v>
      </c>
      <c r="AM61" s="625" t="str">
        <f t="shared" ca="1" si="16"/>
        <v>MUERTO</v>
      </c>
      <c r="AN61" s="3">
        <v>36301</v>
      </c>
      <c r="AO61" s="3"/>
      <c r="AP61" s="3" t="s">
        <v>333</v>
      </c>
      <c r="AQ61" s="3" t="s">
        <v>881</v>
      </c>
      <c r="AR61" s="3" t="s">
        <v>234</v>
      </c>
      <c r="AS61" s="3"/>
      <c r="AT61" s="3"/>
      <c r="AU61" s="458"/>
      <c r="AV61" s="388"/>
      <c r="AW61" s="4"/>
      <c r="AX61" s="459"/>
      <c r="AY61" s="281" t="s">
        <v>3634</v>
      </c>
      <c r="AZ61" s="4"/>
      <c r="BA61" s="4" t="e">
        <f>VLOOKUP(I61,#REF!,2,0)</f>
        <v>#REF!</v>
      </c>
      <c r="BB61" s="5">
        <f t="shared" si="20"/>
        <v>36301</v>
      </c>
      <c r="BC61" s="461">
        <v>30</v>
      </c>
      <c r="BD61" s="6">
        <v>44272</v>
      </c>
      <c r="BE61" s="463" t="s">
        <v>3635</v>
      </c>
      <c r="BF61" s="463" t="s">
        <v>3636</v>
      </c>
      <c r="BG61" s="463">
        <v>44305</v>
      </c>
      <c r="BH61" s="415" t="str">
        <f t="shared" si="17"/>
        <v>Formalizado C y FC 11/05
Modificatorio   19/10/21</v>
      </c>
      <c r="BI61" s="416" t="s">
        <v>3637</v>
      </c>
      <c r="BJ61" s="255" t="s">
        <v>3638</v>
      </c>
      <c r="BK61" s="415" t="str">
        <f t="shared" si="15"/>
        <v>Formalizado C y FC 11/05
Modificatorio   19/10/21</v>
      </c>
      <c r="BL61" s="84"/>
      <c r="BM61" s="84"/>
      <c r="BN61" s="84"/>
      <c r="BO61" s="84"/>
      <c r="BP61" s="84"/>
    </row>
    <row r="62" spans="1:71" s="468" customFormat="1" ht="105" x14ac:dyDescent="0.25">
      <c r="A62" s="417" t="s">
        <v>3639</v>
      </c>
      <c r="B62" s="3">
        <v>58</v>
      </c>
      <c r="C62" s="4" t="s">
        <v>225</v>
      </c>
      <c r="D62" s="18" t="s">
        <v>3640</v>
      </c>
      <c r="E62" s="3" t="s">
        <v>151</v>
      </c>
      <c r="F62" s="3" t="s">
        <v>152</v>
      </c>
      <c r="G62" s="3"/>
      <c r="H62" s="3" t="s">
        <v>151</v>
      </c>
      <c r="I62" s="275" t="s">
        <v>631</v>
      </c>
      <c r="J62" s="17"/>
      <c r="K62" s="17"/>
      <c r="L62" s="17"/>
      <c r="M62" s="375" t="str">
        <f t="shared" si="11"/>
        <v xml:space="preserve">Grupo Besh, S.A. de C.V.  </v>
      </c>
      <c r="N62" s="959" t="s">
        <v>3602</v>
      </c>
      <c r="O62" s="959" t="s">
        <v>220</v>
      </c>
      <c r="P62" s="375" t="s">
        <v>3641</v>
      </c>
      <c r="Q62" s="962">
        <v>727736</v>
      </c>
      <c r="R62" s="383">
        <f t="shared" si="21"/>
        <v>116437.76000000001</v>
      </c>
      <c r="S62" s="384">
        <f t="shared" si="12"/>
        <v>844173.76</v>
      </c>
      <c r="T62" s="385">
        <v>0</v>
      </c>
      <c r="U62" s="386">
        <f t="shared" si="22"/>
        <v>0</v>
      </c>
      <c r="V62" s="383">
        <f t="shared" si="14"/>
        <v>844173.76</v>
      </c>
      <c r="W62" s="963" t="s">
        <v>156</v>
      </c>
      <c r="X62" s="387">
        <v>44286</v>
      </c>
      <c r="Y62" s="3" t="s">
        <v>234</v>
      </c>
      <c r="Z62" s="387">
        <v>44286</v>
      </c>
      <c r="AA62" s="387">
        <v>44561</v>
      </c>
      <c r="AB62" s="4" t="s">
        <v>182</v>
      </c>
      <c r="AC62" s="4"/>
      <c r="AD62" s="6" t="s">
        <v>3604</v>
      </c>
      <c r="AE62" s="6" t="s">
        <v>161</v>
      </c>
      <c r="AF62" s="6" t="s">
        <v>161</v>
      </c>
      <c r="AG62" s="6" t="s">
        <v>161</v>
      </c>
      <c r="AH62" s="629" t="s">
        <v>3642</v>
      </c>
      <c r="AI62" s="4" t="s">
        <v>3643</v>
      </c>
      <c r="AJ62" s="4" t="s">
        <v>3644</v>
      </c>
      <c r="AK62" s="388">
        <v>44314</v>
      </c>
      <c r="AL62" s="383">
        <v>0</v>
      </c>
      <c r="AM62" s="625" t="str">
        <f t="shared" ca="1" si="16"/>
        <v>MUERTO</v>
      </c>
      <c r="AN62" s="3">
        <v>21401</v>
      </c>
      <c r="AO62" s="3"/>
      <c r="AP62" s="3" t="s">
        <v>234</v>
      </c>
      <c r="AQ62" s="3"/>
      <c r="AR62" s="3" t="s">
        <v>333</v>
      </c>
      <c r="AS62" s="3"/>
      <c r="AT62" s="3"/>
      <c r="AU62" s="458"/>
      <c r="AV62" s="388"/>
      <c r="AW62" s="4"/>
      <c r="AX62" s="459"/>
      <c r="AY62" s="281" t="s">
        <v>3645</v>
      </c>
      <c r="AZ62" s="4"/>
      <c r="BA62" s="4" t="e">
        <f>VLOOKUP(I62,#REF!,2,0)</f>
        <v>#REF!</v>
      </c>
      <c r="BB62" s="5">
        <v>21401</v>
      </c>
      <c r="BC62" s="461" t="s">
        <v>3646</v>
      </c>
      <c r="BD62" s="6">
        <v>44281</v>
      </c>
      <c r="BE62" s="645">
        <v>44285</v>
      </c>
      <c r="BF62" s="646">
        <v>44293</v>
      </c>
      <c r="BG62" s="646">
        <v>44300</v>
      </c>
      <c r="BH62" s="415" t="str">
        <f t="shared" si="17"/>
        <v xml:space="preserve">Formalizado C y FC 21/04/2021
Formalizado Modif 14/05
</v>
      </c>
      <c r="BI62" s="416" t="str">
        <f>AY62</f>
        <v xml:space="preserve">Formalizado C y FC 21/04/2021
Formalizado Modif 14/05
</v>
      </c>
      <c r="BJ62" s="255" t="s">
        <v>3647</v>
      </c>
      <c r="BK62" s="415" t="str">
        <f t="shared" si="15"/>
        <v xml:space="preserve">Formalizado C y FC 21/04/2021
Formalizado Modif 14/05
</v>
      </c>
      <c r="BL62" s="84"/>
      <c r="BM62" s="84"/>
      <c r="BN62" s="84"/>
      <c r="BO62" s="84"/>
      <c r="BP62" s="84"/>
      <c r="BQ62"/>
      <c r="BR62"/>
      <c r="BS62"/>
    </row>
    <row r="63" spans="1:71" ht="90" x14ac:dyDescent="0.25">
      <c r="A63" s="527" t="s">
        <v>3648</v>
      </c>
      <c r="B63" s="3">
        <v>59</v>
      </c>
      <c r="C63" s="4" t="s">
        <v>149</v>
      </c>
      <c r="D63" s="18" t="s">
        <v>3591</v>
      </c>
      <c r="E63" s="3" t="s">
        <v>163</v>
      </c>
      <c r="F63" s="3" t="s">
        <v>312</v>
      </c>
      <c r="G63" s="685" t="s">
        <v>546</v>
      </c>
      <c r="H63" s="3" t="s">
        <v>2237</v>
      </c>
      <c r="I63" s="275" t="s">
        <v>3649</v>
      </c>
      <c r="J63" s="17"/>
      <c r="K63" s="17"/>
      <c r="L63" s="17"/>
      <c r="M63" s="375" t="str">
        <f t="shared" si="11"/>
        <v xml:space="preserve">Crece y Actúa, S.A. de C.V.  </v>
      </c>
      <c r="N63" s="959" t="s">
        <v>3602</v>
      </c>
      <c r="O63" s="959" t="s">
        <v>220</v>
      </c>
      <c r="P63" s="959" t="s">
        <v>3650</v>
      </c>
      <c r="Q63" s="962">
        <v>1000000</v>
      </c>
      <c r="R63" s="383">
        <f t="shared" si="21"/>
        <v>160000</v>
      </c>
      <c r="S63" s="384">
        <f t="shared" si="12"/>
        <v>1160000</v>
      </c>
      <c r="T63" s="385">
        <v>0</v>
      </c>
      <c r="U63" s="386">
        <f t="shared" si="22"/>
        <v>0</v>
      </c>
      <c r="V63" s="383">
        <f t="shared" si="14"/>
        <v>1160000</v>
      </c>
      <c r="W63" s="963" t="s">
        <v>156</v>
      </c>
      <c r="X63" s="387">
        <v>44291</v>
      </c>
      <c r="Y63" s="3" t="s">
        <v>333</v>
      </c>
      <c r="Z63" s="387">
        <v>44291</v>
      </c>
      <c r="AA63" s="387">
        <v>44347</v>
      </c>
      <c r="AB63" s="4" t="s">
        <v>182</v>
      </c>
      <c r="AC63" s="4"/>
      <c r="AD63" s="6">
        <v>44309</v>
      </c>
      <c r="AE63" s="6" t="s">
        <v>161</v>
      </c>
      <c r="AF63" s="6" t="s">
        <v>161</v>
      </c>
      <c r="AG63" s="6" t="s">
        <v>161</v>
      </c>
      <c r="AH63" s="629" t="s">
        <v>3651</v>
      </c>
      <c r="AI63" s="4"/>
      <c r="AJ63" s="4"/>
      <c r="AK63" s="388"/>
      <c r="AL63" s="383"/>
      <c r="AM63" s="625" t="str">
        <f t="shared" ca="1" si="16"/>
        <v>MUERTO</v>
      </c>
      <c r="AN63" s="3">
        <v>36301</v>
      </c>
      <c r="AO63" s="3"/>
      <c r="AP63" s="3" t="s">
        <v>333</v>
      </c>
      <c r="AQ63" s="3"/>
      <c r="AR63" s="3" t="s">
        <v>333</v>
      </c>
      <c r="AS63" s="3"/>
      <c r="AT63" s="3"/>
      <c r="AU63" s="458"/>
      <c r="AV63" s="388"/>
      <c r="AW63" s="4"/>
      <c r="AX63" s="459"/>
      <c r="AY63" s="281" t="s">
        <v>3652</v>
      </c>
      <c r="AZ63" s="4"/>
      <c r="BA63" s="4" t="s">
        <v>3653</v>
      </c>
      <c r="BB63" s="5">
        <v>36301</v>
      </c>
      <c r="BC63" s="461">
        <v>33</v>
      </c>
      <c r="BD63" s="6">
        <v>44272</v>
      </c>
      <c r="BE63" s="984">
        <v>44286</v>
      </c>
      <c r="BF63" s="984">
        <v>44293</v>
      </c>
      <c r="BG63" s="984">
        <v>44305</v>
      </c>
      <c r="BH63" s="415" t="str">
        <f t="shared" si="17"/>
        <v>Formalizado C y FC  26/04/2021</v>
      </c>
      <c r="BI63" s="416">
        <f>BJ63</f>
        <v>44305</v>
      </c>
      <c r="BJ63" s="255">
        <v>44305</v>
      </c>
      <c r="BK63" s="415" t="str">
        <f t="shared" si="15"/>
        <v>Formalizado C y FC  26/04/2021</v>
      </c>
      <c r="BL63" s="84"/>
      <c r="BM63" s="84"/>
      <c r="BN63" s="84"/>
      <c r="BO63" s="84"/>
      <c r="BP63" s="84"/>
    </row>
    <row r="64" spans="1:71" ht="135" x14ac:dyDescent="0.25">
      <c r="A64" s="417" t="s">
        <v>3654</v>
      </c>
      <c r="B64" s="3">
        <v>60</v>
      </c>
      <c r="C64" s="4" t="s">
        <v>149</v>
      </c>
      <c r="D64" s="18" t="s">
        <v>3591</v>
      </c>
      <c r="E64" s="3" t="s">
        <v>163</v>
      </c>
      <c r="F64" s="3" t="s">
        <v>312</v>
      </c>
      <c r="G64" s="685" t="s">
        <v>546</v>
      </c>
      <c r="H64" s="3" t="s">
        <v>2237</v>
      </c>
      <c r="I64" s="275" t="s">
        <v>2622</v>
      </c>
      <c r="J64" s="17"/>
      <c r="K64" s="17"/>
      <c r="L64" s="17"/>
      <c r="M64" s="375" t="str">
        <f t="shared" si="11"/>
        <v xml:space="preserve">Programma Comunicación, S.A. de C.V.  </v>
      </c>
      <c r="N64" s="959" t="s">
        <v>3602</v>
      </c>
      <c r="O64" s="959" t="s">
        <v>220</v>
      </c>
      <c r="P64" s="375" t="s">
        <v>3655</v>
      </c>
      <c r="Q64" s="962">
        <v>4560000</v>
      </c>
      <c r="R64" s="383">
        <f t="shared" si="21"/>
        <v>729600</v>
      </c>
      <c r="S64" s="384">
        <f t="shared" si="12"/>
        <v>5289600</v>
      </c>
      <c r="T64" s="385">
        <v>0</v>
      </c>
      <c r="U64" s="386">
        <f t="shared" si="22"/>
        <v>0</v>
      </c>
      <c r="V64" s="383">
        <f t="shared" si="14"/>
        <v>6612000</v>
      </c>
      <c r="W64" s="963" t="s">
        <v>156</v>
      </c>
      <c r="X64" s="387">
        <v>44291</v>
      </c>
      <c r="Y64" s="6" t="s">
        <v>333</v>
      </c>
      <c r="Z64" s="387">
        <v>44291</v>
      </c>
      <c r="AA64" s="387">
        <v>44442</v>
      </c>
      <c r="AB64" s="4" t="s">
        <v>182</v>
      </c>
      <c r="AC64" s="4"/>
      <c r="AD64" s="6" t="s">
        <v>3604</v>
      </c>
      <c r="AE64" s="6" t="s">
        <v>161</v>
      </c>
      <c r="AF64" s="6" t="s">
        <v>161</v>
      </c>
      <c r="AG64" s="6" t="s">
        <v>161</v>
      </c>
      <c r="AH64" s="629" t="s">
        <v>3656</v>
      </c>
      <c r="AI64" s="4" t="s">
        <v>3657</v>
      </c>
      <c r="AJ64" s="4" t="s">
        <v>3658</v>
      </c>
      <c r="AK64" s="388">
        <v>44414</v>
      </c>
      <c r="AL64" s="383">
        <v>1322400</v>
      </c>
      <c r="AM64" s="625" t="str">
        <f t="shared" ca="1" si="16"/>
        <v>MUERTO</v>
      </c>
      <c r="AN64" s="3">
        <v>36301</v>
      </c>
      <c r="AO64" s="3"/>
      <c r="AP64" s="3" t="s">
        <v>333</v>
      </c>
      <c r="AQ64" s="3"/>
      <c r="AR64" s="3" t="s">
        <v>333</v>
      </c>
      <c r="AS64" s="3"/>
      <c r="AT64" s="3"/>
      <c r="AU64" s="458"/>
      <c r="AV64" s="388"/>
      <c r="AW64" s="4"/>
      <c r="AX64" s="459"/>
      <c r="AY64" s="281" t="s">
        <v>3659</v>
      </c>
      <c r="AZ64" s="4" t="s">
        <v>3660</v>
      </c>
      <c r="BA64" s="4" t="e">
        <f>VLOOKUP(I64,#REF!,2,0)</f>
        <v>#REF!</v>
      </c>
      <c r="BB64" s="5">
        <f t="shared" ref="BB64:BB102" si="23">AN64</f>
        <v>36301</v>
      </c>
      <c r="BC64" s="461">
        <v>31</v>
      </c>
      <c r="BD64" s="6">
        <v>44272</v>
      </c>
      <c r="BE64" s="646">
        <v>44284</v>
      </c>
      <c r="BF64" s="646">
        <v>44286</v>
      </c>
      <c r="BG64" s="646">
        <v>44300</v>
      </c>
      <c r="BH64" s="415" t="str">
        <f t="shared" si="17"/>
        <v>Formalizado C y FC 21/04/2021
Modificatorio Formalizado con endoso de FC 19/08</v>
      </c>
      <c r="BI64" s="416" t="s">
        <v>3661</v>
      </c>
      <c r="BJ64" s="255" t="s">
        <v>3662</v>
      </c>
      <c r="BK64" s="415" t="str">
        <f t="shared" si="15"/>
        <v>Formalizado C y FC 21/04/2021
Modificatorio Formalizado con endoso de FC 19/08</v>
      </c>
      <c r="BL64" s="84"/>
      <c r="BM64" s="84"/>
      <c r="BN64" s="84"/>
      <c r="BO64" s="84"/>
      <c r="BP64" s="84"/>
    </row>
    <row r="65" spans="1:71" ht="150" x14ac:dyDescent="0.25">
      <c r="A65" s="417" t="s">
        <v>3663</v>
      </c>
      <c r="B65" s="3">
        <v>61</v>
      </c>
      <c r="C65" s="4" t="s">
        <v>149</v>
      </c>
      <c r="D65" s="18" t="s">
        <v>3664</v>
      </c>
      <c r="E65" s="3" t="s">
        <v>151</v>
      </c>
      <c r="F65" s="3" t="s">
        <v>152</v>
      </c>
      <c r="G65" s="3"/>
      <c r="H65" s="3" t="s">
        <v>151</v>
      </c>
      <c r="I65" s="275" t="s">
        <v>3665</v>
      </c>
      <c r="J65" s="17"/>
      <c r="K65" s="17"/>
      <c r="L65" s="17"/>
      <c r="M65" s="375" t="str">
        <f t="shared" si="11"/>
        <v xml:space="preserve">Gas Licuado de México, S.A. de C.V.  </v>
      </c>
      <c r="N65" s="959" t="s">
        <v>198</v>
      </c>
      <c r="O65" s="959" t="s">
        <v>198</v>
      </c>
      <c r="P65" s="959" t="s">
        <v>3666</v>
      </c>
      <c r="Q65" s="962">
        <v>560705.31000000006</v>
      </c>
      <c r="R65" s="383">
        <f t="shared" si="21"/>
        <v>89712.849600000016</v>
      </c>
      <c r="S65" s="384">
        <f t="shared" si="12"/>
        <v>650418.15960000013</v>
      </c>
      <c r="T65" s="385">
        <v>168705.19</v>
      </c>
      <c r="U65" s="386">
        <v>195698.03</v>
      </c>
      <c r="V65" s="383">
        <f t="shared" si="14"/>
        <v>813022.69960000017</v>
      </c>
      <c r="W65" s="963" t="s">
        <v>156</v>
      </c>
      <c r="X65" s="387">
        <v>44294</v>
      </c>
      <c r="Y65" s="3" t="s">
        <v>333</v>
      </c>
      <c r="Z65" s="387">
        <v>44294</v>
      </c>
      <c r="AA65" s="639">
        <v>44620</v>
      </c>
      <c r="AB65" s="4" t="s">
        <v>2033</v>
      </c>
      <c r="AC65" s="4"/>
      <c r="AD65" s="6">
        <v>44309</v>
      </c>
      <c r="AE65" s="6" t="s">
        <v>3667</v>
      </c>
      <c r="AF65" s="6" t="s">
        <v>161</v>
      </c>
      <c r="AG65" s="6" t="s">
        <v>161</v>
      </c>
      <c r="AH65" s="629"/>
      <c r="AI65" s="4" t="s">
        <v>1118</v>
      </c>
      <c r="AJ65" s="4" t="s">
        <v>3668</v>
      </c>
      <c r="AK65" s="388">
        <v>44565</v>
      </c>
      <c r="AL65" s="383">
        <v>162604.54</v>
      </c>
      <c r="AM65" s="625" t="str">
        <f t="shared" ca="1" si="16"/>
        <v>MUERTO</v>
      </c>
      <c r="AN65" s="3">
        <v>31201</v>
      </c>
      <c r="AO65" s="3"/>
      <c r="AP65" s="3" t="s">
        <v>333</v>
      </c>
      <c r="AQ65" s="3"/>
      <c r="AR65" s="3" t="s">
        <v>333</v>
      </c>
      <c r="AS65" s="3"/>
      <c r="AT65" s="3"/>
      <c r="AU65" s="458"/>
      <c r="AV65" s="388"/>
      <c r="AW65" s="4"/>
      <c r="AX65" s="459"/>
      <c r="AY65" s="281" t="s">
        <v>3669</v>
      </c>
      <c r="AZ65" s="4"/>
      <c r="BA65" s="656" t="s">
        <v>3670</v>
      </c>
      <c r="BB65" s="5">
        <f t="shared" si="23"/>
        <v>31201</v>
      </c>
      <c r="BC65" s="461"/>
      <c r="BD65" s="6">
        <v>44291</v>
      </c>
      <c r="BE65" s="984">
        <v>44292</v>
      </c>
      <c r="BF65" s="984">
        <v>44299</v>
      </c>
      <c r="BG65" s="984">
        <v>44302</v>
      </c>
      <c r="BH65" s="415" t="str">
        <f t="shared" si="17"/>
        <v>FormalizadoC, FC y PRC en tesorería 17/05/2021</v>
      </c>
      <c r="BI65" s="416">
        <v>44302</v>
      </c>
      <c r="BJ65" s="255">
        <v>44302</v>
      </c>
      <c r="BK65" s="415" t="str">
        <f t="shared" si="15"/>
        <v>FormalizadoC, FC y PRC en tesorería 17/05/2021</v>
      </c>
      <c r="BL65" s="84"/>
      <c r="BM65" s="84"/>
      <c r="BN65" s="84"/>
      <c r="BO65" s="84"/>
      <c r="BP65" s="84"/>
    </row>
    <row r="66" spans="1:71" ht="60" x14ac:dyDescent="0.25">
      <c r="A66" s="527" t="s">
        <v>3671</v>
      </c>
      <c r="B66" s="5">
        <v>62</v>
      </c>
      <c r="C66" s="959" t="s">
        <v>149</v>
      </c>
      <c r="D66" s="18" t="s">
        <v>3672</v>
      </c>
      <c r="E66" s="3" t="s">
        <v>163</v>
      </c>
      <c r="F66" s="960" t="s">
        <v>3673</v>
      </c>
      <c r="G66" s="685" t="s">
        <v>546</v>
      </c>
      <c r="H66" s="3" t="s">
        <v>163</v>
      </c>
      <c r="I66" s="275" t="s">
        <v>3674</v>
      </c>
      <c r="J66" s="17"/>
      <c r="K66" s="17"/>
      <c r="L66" s="17"/>
      <c r="M66" s="375" t="str">
        <f t="shared" ref="M66:M97" si="24">I66&amp;J66&amp;" "&amp;K66&amp;" "&amp;L66</f>
        <v xml:space="preserve">C.T.C. DE MÉXICO, S.A. DE C.V.  </v>
      </c>
      <c r="N66" s="959" t="s">
        <v>3509</v>
      </c>
      <c r="O66" s="959" t="s">
        <v>3509</v>
      </c>
      <c r="P66" s="959" t="s">
        <v>1687</v>
      </c>
      <c r="Q66" s="962">
        <v>1162622</v>
      </c>
      <c r="R66" s="962">
        <v>0</v>
      </c>
      <c r="S66" s="384">
        <f t="shared" ref="S66:S97" si="25">Q66+R66</f>
        <v>1162622</v>
      </c>
      <c r="T66" s="385">
        <v>0</v>
      </c>
      <c r="U66" s="384">
        <f>(T66*0.16)+(T66)</f>
        <v>0</v>
      </c>
      <c r="V66" s="962">
        <f t="shared" si="14"/>
        <v>1162622</v>
      </c>
      <c r="W66" s="963" t="s">
        <v>156</v>
      </c>
      <c r="X66" s="964">
        <v>44299</v>
      </c>
      <c r="Y66" s="960" t="s">
        <v>234</v>
      </c>
      <c r="Z66" s="964">
        <v>44263</v>
      </c>
      <c r="AA66" s="964">
        <v>44347</v>
      </c>
      <c r="AB66" s="959" t="s">
        <v>3675</v>
      </c>
      <c r="AC66" s="959"/>
      <c r="AD66" s="970">
        <v>44322</v>
      </c>
      <c r="AE66" s="970">
        <v>44322</v>
      </c>
      <c r="AF66" s="970" t="s">
        <v>161</v>
      </c>
      <c r="AG66" s="970" t="s">
        <v>161</v>
      </c>
      <c r="AH66" s="1029" t="s">
        <v>3676</v>
      </c>
      <c r="AI66" s="959"/>
      <c r="AJ66" s="959"/>
      <c r="AK66" s="965"/>
      <c r="AL66" s="962"/>
      <c r="AM66" s="960" t="str">
        <f t="shared" ca="1" si="16"/>
        <v>MUERTO</v>
      </c>
      <c r="AN66" s="960" t="s">
        <v>3677</v>
      </c>
      <c r="AO66" s="960"/>
      <c r="AP66" s="960" t="s">
        <v>234</v>
      </c>
      <c r="AQ66" s="960"/>
      <c r="AR66" s="960" t="s">
        <v>333</v>
      </c>
      <c r="AS66" s="960"/>
      <c r="AT66" s="960"/>
      <c r="AU66" s="967"/>
      <c r="AV66" s="965"/>
      <c r="AW66" s="959"/>
      <c r="AX66" s="968"/>
      <c r="AY66" s="1030" t="s">
        <v>3678</v>
      </c>
      <c r="AZ66" s="959"/>
      <c r="BA66" s="959" t="e">
        <f>VLOOKUP(I66,#REF!,2,0)</f>
        <v>#REF!</v>
      </c>
      <c r="BB66" s="5" t="str">
        <f t="shared" si="23"/>
        <v>No hay en carpeta</v>
      </c>
      <c r="BC66" s="461" t="s">
        <v>186</v>
      </c>
      <c r="BD66" s="970">
        <v>44259</v>
      </c>
      <c r="BE66" s="984">
        <v>44260</v>
      </c>
      <c r="BF66" s="984">
        <v>44267</v>
      </c>
      <c r="BG66" s="984">
        <v>44301</v>
      </c>
      <c r="BH66" s="415" t="str">
        <f t="shared" si="17"/>
        <v>Formalizado C, FC y PRC 07/05</v>
      </c>
      <c r="BI66" s="1031">
        <v>44306</v>
      </c>
      <c r="BJ66" s="1032">
        <v>44301</v>
      </c>
      <c r="BK66" s="415" t="str">
        <f t="shared" si="15"/>
        <v>Formalizado C, FC y PRC 07/05</v>
      </c>
      <c r="BL66" s="1010"/>
      <c r="BM66" s="1010"/>
      <c r="BN66" s="1010"/>
      <c r="BO66" s="1010"/>
      <c r="BP66" s="1010"/>
    </row>
    <row r="67" spans="1:71" ht="120" x14ac:dyDescent="0.25">
      <c r="A67" s="527" t="s">
        <v>3679</v>
      </c>
      <c r="B67" s="3">
        <v>63</v>
      </c>
      <c r="C67" s="4" t="s">
        <v>149</v>
      </c>
      <c r="D67" s="18" t="s">
        <v>3680</v>
      </c>
      <c r="E67" s="3" t="s">
        <v>163</v>
      </c>
      <c r="F67" s="3" t="s">
        <v>188</v>
      </c>
      <c r="G67" s="3" t="s">
        <v>163</v>
      </c>
      <c r="H67" s="3" t="s">
        <v>163</v>
      </c>
      <c r="I67" s="275" t="s">
        <v>2797</v>
      </c>
      <c r="J67" s="17"/>
      <c r="K67" s="17"/>
      <c r="L67" s="17"/>
      <c r="M67" s="375" t="str">
        <f t="shared" si="24"/>
        <v xml:space="preserve">Distribución de Libros Miguel Ángel Porrúa, S.A. de C.V.  </v>
      </c>
      <c r="N67" s="960" t="s">
        <v>3681</v>
      </c>
      <c r="O67" s="960" t="s">
        <v>3681</v>
      </c>
      <c r="P67" s="959" t="s">
        <v>3682</v>
      </c>
      <c r="Q67" s="962">
        <v>819000</v>
      </c>
      <c r="R67" s="383">
        <f>Q67*0.16</f>
        <v>131040</v>
      </c>
      <c r="S67" s="384">
        <f t="shared" si="25"/>
        <v>950040</v>
      </c>
      <c r="T67" s="385">
        <v>0</v>
      </c>
      <c r="U67" s="386">
        <f>(T67*0.16)+(T67)</f>
        <v>0</v>
      </c>
      <c r="V67" s="383">
        <f t="shared" si="14"/>
        <v>950040</v>
      </c>
      <c r="W67" s="963" t="s">
        <v>156</v>
      </c>
      <c r="X67" s="387">
        <v>44301</v>
      </c>
      <c r="Y67" s="3" t="s">
        <v>333</v>
      </c>
      <c r="Z67" s="387">
        <v>44305</v>
      </c>
      <c r="AA67" s="387">
        <v>44377</v>
      </c>
      <c r="AB67" s="4" t="s">
        <v>2050</v>
      </c>
      <c r="AC67" s="4"/>
      <c r="AD67" s="6" t="s">
        <v>2050</v>
      </c>
      <c r="AE67" s="6" t="s">
        <v>161</v>
      </c>
      <c r="AF67" s="6" t="s">
        <v>161</v>
      </c>
      <c r="AG67" s="6" t="s">
        <v>161</v>
      </c>
      <c r="AH67" s="657" t="s">
        <v>2050</v>
      </c>
      <c r="AI67" s="4"/>
      <c r="AJ67" s="658"/>
      <c r="AK67" s="388"/>
      <c r="AL67" s="383"/>
      <c r="AM67" s="3" t="str">
        <f t="shared" ca="1" si="16"/>
        <v>MUERTO</v>
      </c>
      <c r="AN67" s="5">
        <v>33604</v>
      </c>
      <c r="AO67" s="3"/>
      <c r="AP67" s="3" t="s">
        <v>333</v>
      </c>
      <c r="AQ67" s="3"/>
      <c r="AR67" s="3" t="s">
        <v>333</v>
      </c>
      <c r="AS67" s="3"/>
      <c r="AT67" s="3"/>
      <c r="AU67" s="458"/>
      <c r="AV67" s="388"/>
      <c r="AW67" s="4"/>
      <c r="AX67" s="459"/>
      <c r="AY67" s="281" t="s">
        <v>3683</v>
      </c>
      <c r="AZ67" s="4"/>
      <c r="BA67" s="656" t="s">
        <v>3684</v>
      </c>
      <c r="BB67" s="5">
        <f t="shared" si="23"/>
        <v>33604</v>
      </c>
      <c r="BC67" s="544" t="s">
        <v>3685</v>
      </c>
      <c r="BD67" s="6">
        <v>44284</v>
      </c>
      <c r="BE67" s="463">
        <v>44299</v>
      </c>
      <c r="BF67" s="463">
        <v>44301</v>
      </c>
      <c r="BG67" s="3" t="s">
        <v>2050</v>
      </c>
      <c r="BH67" s="415" t="str">
        <f t="shared" si="17"/>
        <v>Formalizado 22/04
Corregido 15/06/21</v>
      </c>
      <c r="BI67" s="416" t="str">
        <f>BJ67</f>
        <v>C. 16/04/2021
Corregido 8/06/2021</v>
      </c>
      <c r="BJ67" s="255" t="s">
        <v>3686</v>
      </c>
      <c r="BK67" s="415" t="str">
        <f t="shared" si="15"/>
        <v>Formalizado 22/04
Corregido 15/06/21</v>
      </c>
      <c r="BL67" s="84"/>
      <c r="BM67" s="84"/>
      <c r="BN67" s="84"/>
      <c r="BO67" s="84"/>
      <c r="BP67" s="84"/>
    </row>
    <row r="68" spans="1:71" ht="255" x14ac:dyDescent="0.25">
      <c r="A68" s="417" t="s">
        <v>3687</v>
      </c>
      <c r="B68" s="3">
        <v>64</v>
      </c>
      <c r="C68" s="4" t="s">
        <v>225</v>
      </c>
      <c r="D68" s="18" t="s">
        <v>3688</v>
      </c>
      <c r="E68" s="3" t="s">
        <v>151</v>
      </c>
      <c r="F68" s="3" t="s">
        <v>152</v>
      </c>
      <c r="G68" s="3"/>
      <c r="H68" s="3" t="s">
        <v>151</v>
      </c>
      <c r="I68" s="275" t="s">
        <v>2505</v>
      </c>
      <c r="J68" s="17"/>
      <c r="K68" s="17"/>
      <c r="L68" s="17"/>
      <c r="M68" s="375" t="str">
        <f t="shared" si="24"/>
        <v xml:space="preserve">Grupo Antda, S.A. de C.V.  </v>
      </c>
      <c r="N68" s="960" t="s">
        <v>198</v>
      </c>
      <c r="O68" s="960" t="s">
        <v>198</v>
      </c>
      <c r="P68" s="959" t="s">
        <v>3689</v>
      </c>
      <c r="Q68" s="962">
        <v>830000</v>
      </c>
      <c r="R68" s="383">
        <f>Q68*0.16</f>
        <v>132800</v>
      </c>
      <c r="S68" s="384">
        <f t="shared" si="25"/>
        <v>962800</v>
      </c>
      <c r="T68" s="385">
        <v>295000</v>
      </c>
      <c r="U68" s="386">
        <f>(T68*0.16)+(T68)</f>
        <v>342200</v>
      </c>
      <c r="V68" s="383">
        <f t="shared" si="14"/>
        <v>1203500</v>
      </c>
      <c r="W68" s="963" t="s">
        <v>156</v>
      </c>
      <c r="X68" s="387">
        <v>44306</v>
      </c>
      <c r="Y68" s="3" t="s">
        <v>333</v>
      </c>
      <c r="Z68" s="387">
        <v>44306</v>
      </c>
      <c r="AA68" s="387" t="s">
        <v>3690</v>
      </c>
      <c r="AB68" s="4" t="s">
        <v>1622</v>
      </c>
      <c r="AC68" s="4"/>
      <c r="AD68" s="6">
        <v>44328</v>
      </c>
      <c r="AE68" s="6" t="s">
        <v>161</v>
      </c>
      <c r="AF68" s="6" t="s">
        <v>161</v>
      </c>
      <c r="AG68" s="6" t="s">
        <v>161</v>
      </c>
      <c r="AH68" s="629" t="s">
        <v>3691</v>
      </c>
      <c r="AI68" s="4" t="s">
        <v>3692</v>
      </c>
      <c r="AJ68" s="4" t="s">
        <v>3693</v>
      </c>
      <c r="AK68" s="388" t="s">
        <v>3694</v>
      </c>
      <c r="AL68" s="383">
        <f>29000+211700</f>
        <v>240700</v>
      </c>
      <c r="AM68" s="3" t="str">
        <f t="shared" ca="1" si="16"/>
        <v>VIGENTE</v>
      </c>
      <c r="AN68" s="5" t="s">
        <v>3695</v>
      </c>
      <c r="AO68" s="3"/>
      <c r="AP68" s="3" t="s">
        <v>333</v>
      </c>
      <c r="AQ68" s="3"/>
      <c r="AR68" s="3" t="s">
        <v>333</v>
      </c>
      <c r="AS68" s="3"/>
      <c r="AT68" s="3"/>
      <c r="AU68" s="458"/>
      <c r="AV68" s="388"/>
      <c r="AW68" s="4"/>
      <c r="AX68" s="459"/>
      <c r="AY68" s="281" t="s">
        <v>3696</v>
      </c>
      <c r="AZ68" s="4"/>
      <c r="BA68" s="4" t="e">
        <f>VLOOKUP(I68,#REF!,2,0)</f>
        <v>#REF!</v>
      </c>
      <c r="BB68" s="5" t="str">
        <f t="shared" si="23"/>
        <v>24601
24301
24401
24701
24901
29201</v>
      </c>
      <c r="BC68" s="544" t="s">
        <v>3697</v>
      </c>
      <c r="BD68" s="6">
        <v>44301</v>
      </c>
      <c r="BE68" s="463">
        <v>44301</v>
      </c>
      <c r="BF68" s="463" t="s">
        <v>3698</v>
      </c>
      <c r="BG68" s="463">
        <v>44309</v>
      </c>
      <c r="BH68" s="415" t="str">
        <f t="shared" si="17"/>
        <v>Formalizado C Y FC 13/05
Modif y endoso 13/09
II modificatorio formalizado y endoso en tesorería 10/12/21</v>
      </c>
      <c r="BI68" s="416" t="s">
        <v>3699</v>
      </c>
      <c r="BJ68" s="255" t="s">
        <v>3700</v>
      </c>
      <c r="BK68" s="415" t="str">
        <f t="shared" si="15"/>
        <v>Formalizado C Y FC 13/05
Modif y endoso 13/09
II modificatorio formalizado y endoso en tesorería 10/12/21</v>
      </c>
      <c r="BL68" s="84"/>
      <c r="BM68" s="84"/>
      <c r="BN68" s="84"/>
      <c r="BO68" s="84"/>
      <c r="BP68" s="84"/>
    </row>
    <row r="69" spans="1:71" ht="120" x14ac:dyDescent="0.25">
      <c r="A69" s="527" t="s">
        <v>3701</v>
      </c>
      <c r="B69" s="3">
        <v>65</v>
      </c>
      <c r="C69" s="4" t="s">
        <v>225</v>
      </c>
      <c r="D69" s="18" t="s">
        <v>3702</v>
      </c>
      <c r="E69" s="3" t="s">
        <v>173</v>
      </c>
      <c r="F69" s="3" t="s">
        <v>326</v>
      </c>
      <c r="G69" s="3"/>
      <c r="H69" s="3" t="s">
        <v>173</v>
      </c>
      <c r="I69" s="275" t="s">
        <v>3703</v>
      </c>
      <c r="J69" s="17"/>
      <c r="K69" s="17"/>
      <c r="L69" s="17"/>
      <c r="M69" s="375" t="str">
        <f t="shared" si="24"/>
        <v xml:space="preserve">Corporativo Giormar de México, S.A. de C.V.  </v>
      </c>
      <c r="N69" s="960" t="s">
        <v>763</v>
      </c>
      <c r="O69" s="960" t="s">
        <v>763</v>
      </c>
      <c r="P69" s="959" t="s">
        <v>3704</v>
      </c>
      <c r="Q69" s="962">
        <v>520000</v>
      </c>
      <c r="R69" s="383">
        <f>Q69*0.16</f>
        <v>83200</v>
      </c>
      <c r="S69" s="384">
        <f t="shared" si="25"/>
        <v>603200</v>
      </c>
      <c r="T69" s="385">
        <v>200000</v>
      </c>
      <c r="U69" s="386">
        <f>(T69*0.16)+(T69)</f>
        <v>232000</v>
      </c>
      <c r="V69" s="383">
        <f t="shared" ref="V69:V100" si="26">S69+AL69</f>
        <v>603200</v>
      </c>
      <c r="W69" s="963" t="s">
        <v>156</v>
      </c>
      <c r="X69" s="387">
        <v>44308</v>
      </c>
      <c r="Y69" s="3" t="s">
        <v>333</v>
      </c>
      <c r="Z69" s="387">
        <v>44308</v>
      </c>
      <c r="AA69" s="387">
        <v>44561</v>
      </c>
      <c r="AB69" s="4" t="s">
        <v>1622</v>
      </c>
      <c r="AC69" s="4"/>
      <c r="AD69" s="6">
        <v>44322</v>
      </c>
      <c r="AE69" s="6" t="s">
        <v>161</v>
      </c>
      <c r="AF69" s="6" t="s">
        <v>161</v>
      </c>
      <c r="AG69" s="6" t="s">
        <v>161</v>
      </c>
      <c r="AH69" s="629" t="s">
        <v>3705</v>
      </c>
      <c r="AI69" s="4"/>
      <c r="AJ69" s="4"/>
      <c r="AK69" s="388"/>
      <c r="AL69" s="383"/>
      <c r="AM69" s="414" t="str">
        <f t="shared" ca="1" si="16"/>
        <v>MUERTO</v>
      </c>
      <c r="AN69" s="3">
        <v>25401</v>
      </c>
      <c r="AO69" s="3"/>
      <c r="AP69" s="3" t="s">
        <v>333</v>
      </c>
      <c r="AQ69" s="3"/>
      <c r="AR69" s="3" t="s">
        <v>333</v>
      </c>
      <c r="AS69" s="3"/>
      <c r="AT69" s="3"/>
      <c r="AU69" s="458"/>
      <c r="AV69" s="388"/>
      <c r="AW69" s="4"/>
      <c r="AX69" s="459"/>
      <c r="AY69" s="1030" t="s">
        <v>3706</v>
      </c>
      <c r="AZ69" s="4"/>
      <c r="BA69" s="4" t="s">
        <v>3707</v>
      </c>
      <c r="BB69" s="5">
        <f t="shared" si="23"/>
        <v>25401</v>
      </c>
      <c r="BC69" s="544"/>
      <c r="BD69" s="6">
        <v>44306</v>
      </c>
      <c r="BE69" s="463">
        <v>44307</v>
      </c>
      <c r="BF69" s="463">
        <v>44308</v>
      </c>
      <c r="BG69" s="463">
        <v>44314</v>
      </c>
      <c r="BH69" s="415" t="str">
        <f t="shared" si="17"/>
        <v>Formalizado  C y FC 07/05</v>
      </c>
      <c r="BI69" s="416">
        <v>44319</v>
      </c>
      <c r="BJ69" s="255">
        <v>44314</v>
      </c>
      <c r="BK69" s="415" t="str">
        <f t="shared" ref="BK69:BK100" si="27">AY69</f>
        <v>Formalizado  C y FC 07/05</v>
      </c>
      <c r="BL69" s="84"/>
      <c r="BM69" s="84"/>
      <c r="BN69" s="84"/>
      <c r="BO69" s="84"/>
      <c r="BP69" s="84"/>
    </row>
    <row r="70" spans="1:71" ht="105" x14ac:dyDescent="0.25">
      <c r="A70" s="527" t="s">
        <v>3708</v>
      </c>
      <c r="B70" s="5">
        <v>66</v>
      </c>
      <c r="C70" s="4" t="s">
        <v>225</v>
      </c>
      <c r="D70" s="18" t="s">
        <v>3702</v>
      </c>
      <c r="E70" s="3" t="s">
        <v>173</v>
      </c>
      <c r="F70" s="3" t="s">
        <v>326</v>
      </c>
      <c r="G70" s="3"/>
      <c r="H70" s="3" t="s">
        <v>173</v>
      </c>
      <c r="I70" s="275" t="s">
        <v>3709</v>
      </c>
      <c r="J70" s="17"/>
      <c r="K70" s="17"/>
      <c r="L70" s="17"/>
      <c r="M70" s="375" t="str">
        <f t="shared" si="24"/>
        <v xml:space="preserve">Medisalud MLR,  S. de R.L. de C.V.  </v>
      </c>
      <c r="N70" s="960" t="s">
        <v>763</v>
      </c>
      <c r="O70" s="960" t="s">
        <v>763</v>
      </c>
      <c r="P70" s="959" t="s">
        <v>3710</v>
      </c>
      <c r="Q70" s="962">
        <v>800000</v>
      </c>
      <c r="R70" s="383">
        <v>0</v>
      </c>
      <c r="S70" s="384">
        <f t="shared" si="25"/>
        <v>800000</v>
      </c>
      <c r="T70" s="385">
        <v>200000</v>
      </c>
      <c r="U70" s="386">
        <v>200000</v>
      </c>
      <c r="V70" s="383">
        <f t="shared" si="26"/>
        <v>800000</v>
      </c>
      <c r="W70" s="963" t="s">
        <v>156</v>
      </c>
      <c r="X70" s="387">
        <v>44308</v>
      </c>
      <c r="Y70" s="3" t="s">
        <v>333</v>
      </c>
      <c r="Z70" s="387">
        <v>44308</v>
      </c>
      <c r="AA70" s="387">
        <v>44561</v>
      </c>
      <c r="AB70" s="4" t="s">
        <v>1622</v>
      </c>
      <c r="AC70" s="4"/>
      <c r="AD70" s="6">
        <v>44316</v>
      </c>
      <c r="AE70" s="6" t="s">
        <v>161</v>
      </c>
      <c r="AF70" s="6" t="s">
        <v>161</v>
      </c>
      <c r="AG70" s="6" t="s">
        <v>161</v>
      </c>
      <c r="AH70" s="629" t="s">
        <v>3711</v>
      </c>
      <c r="AI70" s="4"/>
      <c r="AJ70" s="4"/>
      <c r="AK70" s="388"/>
      <c r="AL70" s="383"/>
      <c r="AM70" s="3" t="str">
        <f t="shared" ca="1" si="16"/>
        <v>MUERTO</v>
      </c>
      <c r="AN70" s="3">
        <v>25301</v>
      </c>
      <c r="AO70" s="3"/>
      <c r="AP70" s="3" t="s">
        <v>333</v>
      </c>
      <c r="AQ70" s="3"/>
      <c r="AR70" s="3" t="s">
        <v>333</v>
      </c>
      <c r="AS70" s="3"/>
      <c r="AT70" s="3"/>
      <c r="AU70" s="458"/>
      <c r="AV70" s="388"/>
      <c r="AW70" s="4"/>
      <c r="AX70" s="459"/>
      <c r="AY70" s="281" t="s">
        <v>3712</v>
      </c>
      <c r="AZ70" s="4"/>
      <c r="BA70" s="4" t="s">
        <v>3713</v>
      </c>
      <c r="BB70" s="5">
        <f t="shared" si="23"/>
        <v>25301</v>
      </c>
      <c r="BC70" s="544"/>
      <c r="BD70" s="6">
        <v>44306</v>
      </c>
      <c r="BE70" s="463">
        <v>44307</v>
      </c>
      <c r="BF70" s="463">
        <v>44308</v>
      </c>
      <c r="BG70" s="6">
        <f t="shared" ref="BG70:BG75" si="28">BJ70</f>
        <v>44314</v>
      </c>
      <c r="BH70" s="415" t="str">
        <f t="shared" si="17"/>
        <v>Formalizado C y FC  04/05</v>
      </c>
      <c r="BI70" s="416">
        <v>44319</v>
      </c>
      <c r="BJ70" s="255">
        <v>44314</v>
      </c>
      <c r="BK70" s="415" t="str">
        <f t="shared" si="27"/>
        <v>Formalizado C y FC  04/05</v>
      </c>
      <c r="BL70" s="86"/>
      <c r="BM70" s="86"/>
      <c r="BN70" s="86"/>
      <c r="BO70" s="86"/>
      <c r="BP70" s="84"/>
    </row>
    <row r="71" spans="1:71" s="468" customFormat="1" ht="105" x14ac:dyDescent="0.25">
      <c r="A71" s="527" t="s">
        <v>3714</v>
      </c>
      <c r="B71" s="3">
        <v>67</v>
      </c>
      <c r="C71" s="4" t="s">
        <v>225</v>
      </c>
      <c r="D71" s="18" t="s">
        <v>3702</v>
      </c>
      <c r="E71" s="3" t="s">
        <v>173</v>
      </c>
      <c r="F71" s="3" t="s">
        <v>326</v>
      </c>
      <c r="G71" s="3"/>
      <c r="H71" s="3" t="s">
        <v>173</v>
      </c>
      <c r="I71" s="275" t="s">
        <v>1850</v>
      </c>
      <c r="J71" s="17"/>
      <c r="K71" s="17"/>
      <c r="L71" s="17"/>
      <c r="M71" s="375" t="str">
        <f t="shared" si="24"/>
        <v xml:space="preserve">Medingenium, S.A. de C.V.  </v>
      </c>
      <c r="N71" s="960" t="s">
        <v>763</v>
      </c>
      <c r="O71" s="960" t="s">
        <v>763</v>
      </c>
      <c r="P71" s="959" t="s">
        <v>3715</v>
      </c>
      <c r="Q71" s="962">
        <v>490000</v>
      </c>
      <c r="R71" s="383">
        <f t="shared" ref="R71:R84" si="29">Q71*0.16</f>
        <v>78400</v>
      </c>
      <c r="S71" s="384">
        <f t="shared" si="25"/>
        <v>568400</v>
      </c>
      <c r="T71" s="385">
        <v>100000</v>
      </c>
      <c r="U71" s="386">
        <f t="shared" ref="U71:U84" si="30">(T71*0.16)+(T71)</f>
        <v>116000</v>
      </c>
      <c r="V71" s="383">
        <f t="shared" si="26"/>
        <v>568400</v>
      </c>
      <c r="W71" s="963" t="s">
        <v>156</v>
      </c>
      <c r="X71" s="387">
        <v>44308</v>
      </c>
      <c r="Y71" s="3" t="s">
        <v>333</v>
      </c>
      <c r="Z71" s="387">
        <v>44308</v>
      </c>
      <c r="AA71" s="387">
        <v>44561</v>
      </c>
      <c r="AB71" s="4" t="s">
        <v>1622</v>
      </c>
      <c r="AC71" s="4"/>
      <c r="AD71" s="6">
        <v>44329</v>
      </c>
      <c r="AE71" s="6" t="s">
        <v>161</v>
      </c>
      <c r="AF71" s="6" t="s">
        <v>161</v>
      </c>
      <c r="AG71" s="6" t="s">
        <v>161</v>
      </c>
      <c r="AH71" s="629" t="s">
        <v>3716</v>
      </c>
      <c r="AI71" s="4"/>
      <c r="AJ71" s="4"/>
      <c r="AK71" s="388"/>
      <c r="AL71" s="383"/>
      <c r="AM71" s="414"/>
      <c r="AN71" s="3">
        <v>25501</v>
      </c>
      <c r="AO71" s="3"/>
      <c r="AP71" s="3" t="s">
        <v>333</v>
      </c>
      <c r="AQ71" s="3"/>
      <c r="AR71" s="3" t="s">
        <v>333</v>
      </c>
      <c r="AS71" s="3"/>
      <c r="AT71" s="3"/>
      <c r="AU71" s="458"/>
      <c r="AV71" s="388"/>
      <c r="AW71" s="4"/>
      <c r="AX71" s="459"/>
      <c r="AY71" s="281" t="s">
        <v>3717</v>
      </c>
      <c r="AZ71" s="4"/>
      <c r="BA71" s="4" t="e">
        <f>VLOOKUP(I71,#REF!,2,0)</f>
        <v>#REF!</v>
      </c>
      <c r="BB71" s="5">
        <f t="shared" si="23"/>
        <v>25501</v>
      </c>
      <c r="BC71" s="544"/>
      <c r="BD71" s="6">
        <v>44306</v>
      </c>
      <c r="BE71" s="463">
        <v>44307</v>
      </c>
      <c r="BF71" s="463">
        <v>44308</v>
      </c>
      <c r="BG71" s="6">
        <f t="shared" si="28"/>
        <v>44315</v>
      </c>
      <c r="BH71" s="415" t="str">
        <f t="shared" si="17"/>
        <v>Formalizado C y FC 13/05</v>
      </c>
      <c r="BI71" s="416">
        <v>44319</v>
      </c>
      <c r="BJ71" s="255">
        <v>44315</v>
      </c>
      <c r="BK71" s="415" t="str">
        <f t="shared" si="27"/>
        <v>Formalizado C y FC 13/05</v>
      </c>
      <c r="BL71" s="86"/>
      <c r="BM71" s="86"/>
      <c r="BN71" s="86"/>
      <c r="BO71" s="86"/>
      <c r="BP71" s="84"/>
      <c r="BQ71"/>
      <c r="BR71"/>
      <c r="BS71"/>
    </row>
    <row r="72" spans="1:71" ht="60" x14ac:dyDescent="0.25">
      <c r="A72" s="527" t="s">
        <v>3718</v>
      </c>
      <c r="B72" s="3">
        <v>68</v>
      </c>
      <c r="C72" s="4" t="s">
        <v>149</v>
      </c>
      <c r="D72" s="18" t="s">
        <v>3719</v>
      </c>
      <c r="E72" s="3" t="s">
        <v>163</v>
      </c>
      <c r="F72" s="3" t="s">
        <v>312</v>
      </c>
      <c r="G72" s="685" t="s">
        <v>546</v>
      </c>
      <c r="H72" s="3" t="s">
        <v>2237</v>
      </c>
      <c r="I72" s="275" t="s">
        <v>3720</v>
      </c>
      <c r="J72" s="17"/>
      <c r="K72" s="17"/>
      <c r="L72" s="17"/>
      <c r="M72" s="375" t="str">
        <f t="shared" si="24"/>
        <v xml:space="preserve">Imaginación y Mass, S. de RL. De C.V.  </v>
      </c>
      <c r="N72" s="959" t="s">
        <v>860</v>
      </c>
      <c r="O72" s="959" t="s">
        <v>860</v>
      </c>
      <c r="P72" s="959" t="s">
        <v>3721</v>
      </c>
      <c r="Q72" s="962">
        <v>1118000</v>
      </c>
      <c r="R72" s="383">
        <f t="shared" si="29"/>
        <v>178880</v>
      </c>
      <c r="S72" s="384">
        <f t="shared" si="25"/>
        <v>1296880</v>
      </c>
      <c r="T72" s="385">
        <v>0</v>
      </c>
      <c r="U72" s="386">
        <f t="shared" si="30"/>
        <v>0</v>
      </c>
      <c r="V72" s="383">
        <f t="shared" si="26"/>
        <v>1296880</v>
      </c>
      <c r="W72" s="963" t="s">
        <v>156</v>
      </c>
      <c r="X72" s="387">
        <v>44323</v>
      </c>
      <c r="Y72" s="3" t="s">
        <v>559</v>
      </c>
      <c r="Z72" s="387">
        <v>44323</v>
      </c>
      <c r="AA72" s="387">
        <v>44446</v>
      </c>
      <c r="AB72" s="4" t="s">
        <v>3113</v>
      </c>
      <c r="AC72" s="4"/>
      <c r="AD72" s="6">
        <v>44343</v>
      </c>
      <c r="AE72" s="6" t="s">
        <v>161</v>
      </c>
      <c r="AF72" s="6" t="s">
        <v>161</v>
      </c>
      <c r="AG72" s="6" t="s">
        <v>161</v>
      </c>
      <c r="AH72" s="3" t="s">
        <v>3722</v>
      </c>
      <c r="AI72" s="4"/>
      <c r="AJ72" s="4"/>
      <c r="AK72" s="388"/>
      <c r="AL72" s="383"/>
      <c r="AM72" s="414" t="str">
        <f t="shared" ref="AM72:AM91" ca="1" si="31">IF(ISBLANK(AA72),"",IF(AA72&gt;=TODAY(),"VIGENTE","MUERTO"))</f>
        <v>MUERTO</v>
      </c>
      <c r="AN72" s="3"/>
      <c r="AO72" s="3"/>
      <c r="AP72" s="3" t="s">
        <v>559</v>
      </c>
      <c r="AQ72" s="3"/>
      <c r="AR72" s="3" t="s">
        <v>559</v>
      </c>
      <c r="AS72" s="3"/>
      <c r="AT72" s="3"/>
      <c r="AU72" s="458"/>
      <c r="AV72" s="388"/>
      <c r="AW72" s="4"/>
      <c r="AX72" s="459"/>
      <c r="AY72" s="281" t="s">
        <v>3723</v>
      </c>
      <c r="AZ72" s="4"/>
      <c r="BA72" s="4" t="s">
        <v>3724</v>
      </c>
      <c r="BB72" s="5">
        <f t="shared" si="23"/>
        <v>0</v>
      </c>
      <c r="BC72" s="544"/>
      <c r="BD72" s="6">
        <v>44316</v>
      </c>
      <c r="BE72" s="463">
        <v>44320</v>
      </c>
      <c r="BF72" s="463">
        <v>44323</v>
      </c>
      <c r="BG72" s="6">
        <f t="shared" si="28"/>
        <v>44327</v>
      </c>
      <c r="BH72" s="415" t="str">
        <f t="shared" si="17"/>
        <v>Formalizado C y FC 31/05/21</v>
      </c>
      <c r="BI72" s="416">
        <f>BJ72</f>
        <v>44327</v>
      </c>
      <c r="BJ72" s="255">
        <v>44327</v>
      </c>
      <c r="BK72" s="415" t="str">
        <f t="shared" si="27"/>
        <v>Formalizado C y FC 31/05/21</v>
      </c>
      <c r="BL72" s="84"/>
      <c r="BM72" s="84"/>
      <c r="BN72" s="84"/>
      <c r="BO72" s="84"/>
      <c r="BP72" s="84"/>
    </row>
    <row r="73" spans="1:71" ht="60" x14ac:dyDescent="0.25">
      <c r="A73" s="527" t="s">
        <v>3725</v>
      </c>
      <c r="B73" s="3">
        <v>69</v>
      </c>
      <c r="C73" s="4" t="s">
        <v>149</v>
      </c>
      <c r="D73" s="18" t="s">
        <v>3719</v>
      </c>
      <c r="E73" s="3" t="s">
        <v>163</v>
      </c>
      <c r="F73" s="3" t="s">
        <v>312</v>
      </c>
      <c r="G73" s="685" t="s">
        <v>546</v>
      </c>
      <c r="H73" s="3" t="s">
        <v>2237</v>
      </c>
      <c r="I73" s="275"/>
      <c r="J73" s="17" t="s">
        <v>3726</v>
      </c>
      <c r="K73" s="17" t="s">
        <v>453</v>
      </c>
      <c r="L73" s="17" t="s">
        <v>385</v>
      </c>
      <c r="M73" s="375" t="str">
        <f t="shared" si="24"/>
        <v>Oscar Ricardo López García</v>
      </c>
      <c r="N73" s="959" t="s">
        <v>860</v>
      </c>
      <c r="O73" s="959" t="s">
        <v>860</v>
      </c>
      <c r="P73" s="959" t="s">
        <v>3727</v>
      </c>
      <c r="Q73" s="962">
        <v>1050000</v>
      </c>
      <c r="R73" s="383">
        <f t="shared" si="29"/>
        <v>168000</v>
      </c>
      <c r="S73" s="384">
        <f t="shared" si="25"/>
        <v>1218000</v>
      </c>
      <c r="T73" s="385">
        <v>0</v>
      </c>
      <c r="U73" s="386">
        <f t="shared" si="30"/>
        <v>0</v>
      </c>
      <c r="V73" s="383">
        <f t="shared" si="26"/>
        <v>1218000</v>
      </c>
      <c r="W73" s="963" t="s">
        <v>156</v>
      </c>
      <c r="X73" s="387">
        <v>44322</v>
      </c>
      <c r="Y73" s="3" t="s">
        <v>559</v>
      </c>
      <c r="Z73" s="387">
        <v>44323</v>
      </c>
      <c r="AA73" s="387">
        <v>44407</v>
      </c>
      <c r="AB73" s="4" t="s">
        <v>3113</v>
      </c>
      <c r="AC73" s="4"/>
      <c r="AD73" s="6">
        <v>44337</v>
      </c>
      <c r="AE73" s="6" t="s">
        <v>161</v>
      </c>
      <c r="AF73" s="6" t="s">
        <v>161</v>
      </c>
      <c r="AG73" s="6" t="s">
        <v>161</v>
      </c>
      <c r="AH73" s="629" t="s">
        <v>3728</v>
      </c>
      <c r="AI73" s="4"/>
      <c r="AJ73" s="4"/>
      <c r="AK73" s="388"/>
      <c r="AL73" s="383"/>
      <c r="AM73" s="414" t="str">
        <f t="shared" ca="1" si="31"/>
        <v>MUERTO</v>
      </c>
      <c r="AN73" s="3"/>
      <c r="AO73" s="3"/>
      <c r="AP73" s="3" t="s">
        <v>559</v>
      </c>
      <c r="AQ73" s="3"/>
      <c r="AR73" s="3" t="s">
        <v>559</v>
      </c>
      <c r="AS73" s="3"/>
      <c r="AT73" s="3"/>
      <c r="AU73" s="458"/>
      <c r="AV73" s="388"/>
      <c r="AW73" s="4"/>
      <c r="AX73" s="459"/>
      <c r="AY73" s="281" t="s">
        <v>3729</v>
      </c>
      <c r="AZ73" s="4"/>
      <c r="BA73" s="4" t="s">
        <v>3730</v>
      </c>
      <c r="BB73" s="5">
        <f t="shared" si="23"/>
        <v>0</v>
      </c>
      <c r="BC73" s="544"/>
      <c r="BD73" s="6">
        <v>44316</v>
      </c>
      <c r="BE73" s="463">
        <v>44320</v>
      </c>
      <c r="BF73" s="463">
        <v>44323</v>
      </c>
      <c r="BG73" s="6">
        <f t="shared" si="28"/>
        <v>44326</v>
      </c>
      <c r="BH73" s="415" t="str">
        <f t="shared" si="17"/>
        <v>Formalizado C y FC 21/05</v>
      </c>
      <c r="BI73" s="416">
        <f>BJ73</f>
        <v>44326</v>
      </c>
      <c r="BJ73" s="255">
        <v>44326</v>
      </c>
      <c r="BK73" s="415" t="str">
        <f t="shared" si="27"/>
        <v>Formalizado C y FC 21/05</v>
      </c>
      <c r="BL73" s="84"/>
      <c r="BM73" s="260"/>
      <c r="BN73" s="260"/>
      <c r="BO73" s="84"/>
      <c r="BP73" s="84"/>
    </row>
    <row r="74" spans="1:71" ht="90" x14ac:dyDescent="0.25">
      <c r="A74" s="417" t="s">
        <v>3731</v>
      </c>
      <c r="B74" s="3">
        <v>70</v>
      </c>
      <c r="C74" s="4" t="s">
        <v>149</v>
      </c>
      <c r="D74" s="18" t="s">
        <v>3719</v>
      </c>
      <c r="E74" s="3" t="s">
        <v>163</v>
      </c>
      <c r="F74" s="3" t="s">
        <v>312</v>
      </c>
      <c r="G74" s="685" t="s">
        <v>546</v>
      </c>
      <c r="H74" s="3" t="s">
        <v>2237</v>
      </c>
      <c r="I74" s="275"/>
      <c r="J74" s="17" t="s">
        <v>2823</v>
      </c>
      <c r="K74" s="17" t="s">
        <v>3732</v>
      </c>
      <c r="L74" s="17" t="s">
        <v>2825</v>
      </c>
      <c r="M74" s="375" t="str">
        <f t="shared" si="24"/>
        <v>Cristian Selene Briseño Rodríguez</v>
      </c>
      <c r="N74" s="959" t="s">
        <v>860</v>
      </c>
      <c r="O74" s="959" t="s">
        <v>860</v>
      </c>
      <c r="P74" s="959" t="s">
        <v>3733</v>
      </c>
      <c r="Q74" s="962">
        <v>1248000</v>
      </c>
      <c r="R74" s="383">
        <f t="shared" si="29"/>
        <v>199680</v>
      </c>
      <c r="S74" s="384">
        <f t="shared" si="25"/>
        <v>1447680</v>
      </c>
      <c r="T74" s="385">
        <v>0</v>
      </c>
      <c r="U74" s="386">
        <f t="shared" si="30"/>
        <v>0</v>
      </c>
      <c r="V74" s="383">
        <f t="shared" si="26"/>
        <v>1447680</v>
      </c>
      <c r="W74" s="963" t="s">
        <v>156</v>
      </c>
      <c r="X74" s="387">
        <v>44323</v>
      </c>
      <c r="Y74" s="3" t="s">
        <v>559</v>
      </c>
      <c r="Z74" s="387">
        <v>44323</v>
      </c>
      <c r="AA74" s="387">
        <v>44414</v>
      </c>
      <c r="AB74" s="4" t="s">
        <v>3113</v>
      </c>
      <c r="AC74" s="4"/>
      <c r="AD74" s="6">
        <v>44334</v>
      </c>
      <c r="AE74" s="6" t="s">
        <v>161</v>
      </c>
      <c r="AF74" s="6" t="s">
        <v>161</v>
      </c>
      <c r="AG74" s="6" t="s">
        <v>161</v>
      </c>
      <c r="AH74" s="629" t="s">
        <v>3734</v>
      </c>
      <c r="AI74" s="644" t="s">
        <v>3735</v>
      </c>
      <c r="AJ74" s="644" t="s">
        <v>3736</v>
      </c>
      <c r="AK74" s="637">
        <v>44379</v>
      </c>
      <c r="AL74" s="638">
        <v>0</v>
      </c>
      <c r="AM74" s="414" t="str">
        <f t="shared" ca="1" si="31"/>
        <v>MUERTO</v>
      </c>
      <c r="AN74" s="3"/>
      <c r="AO74" s="3"/>
      <c r="AP74" s="3" t="s">
        <v>559</v>
      </c>
      <c r="AQ74" s="3"/>
      <c r="AR74" s="3" t="s">
        <v>559</v>
      </c>
      <c r="AS74" s="3"/>
      <c r="AT74" s="3"/>
      <c r="AU74" s="458"/>
      <c r="AV74" s="388"/>
      <c r="AW74" s="4"/>
      <c r="AX74" s="459"/>
      <c r="AY74" s="281" t="s">
        <v>3737</v>
      </c>
      <c r="AZ74" s="4"/>
      <c r="BA74" s="4" t="s">
        <v>3738</v>
      </c>
      <c r="BB74" s="5">
        <f t="shared" si="23"/>
        <v>0</v>
      </c>
      <c r="BC74" s="544"/>
      <c r="BD74" s="6">
        <v>44316</v>
      </c>
      <c r="BE74" s="463">
        <v>44320</v>
      </c>
      <c r="BF74" s="463">
        <v>44323</v>
      </c>
      <c r="BG74" s="6" t="str">
        <f t="shared" si="28"/>
        <v>07/05/2021
08/07/21</v>
      </c>
      <c r="BH74" s="415" t="str">
        <f t="shared" si="17"/>
        <v>Formalizado C y FC 20/05
Formalizado Modif 13/07/21</v>
      </c>
      <c r="BI74" s="416" t="s">
        <v>3739</v>
      </c>
      <c r="BJ74" s="255" t="s">
        <v>3740</v>
      </c>
      <c r="BK74" s="415" t="str">
        <f t="shared" si="27"/>
        <v>Formalizado C y FC 20/05
Formalizado Modif 13/07/21</v>
      </c>
      <c r="BL74" s="84"/>
      <c r="BM74" s="84"/>
      <c r="BN74" s="84"/>
      <c r="BO74" s="84"/>
      <c r="BP74" s="84"/>
    </row>
    <row r="75" spans="1:71" ht="60" x14ac:dyDescent="0.25">
      <c r="A75" s="527" t="s">
        <v>3741</v>
      </c>
      <c r="B75" s="3">
        <v>71</v>
      </c>
      <c r="C75" s="4" t="s">
        <v>149</v>
      </c>
      <c r="D75" s="18" t="s">
        <v>3719</v>
      </c>
      <c r="E75" s="3" t="s">
        <v>163</v>
      </c>
      <c r="F75" s="3" t="s">
        <v>312</v>
      </c>
      <c r="G75" s="685" t="s">
        <v>546</v>
      </c>
      <c r="H75" s="3" t="s">
        <v>2237</v>
      </c>
      <c r="I75" s="275"/>
      <c r="J75" s="17" t="s">
        <v>3742</v>
      </c>
      <c r="K75" s="17" t="s">
        <v>3743</v>
      </c>
      <c r="L75" s="17" t="s">
        <v>2745</v>
      </c>
      <c r="M75" s="375" t="str">
        <f t="shared" si="24"/>
        <v>Jorge  Occelli Carranco</v>
      </c>
      <c r="N75" s="959" t="s">
        <v>860</v>
      </c>
      <c r="O75" s="959" t="s">
        <v>860</v>
      </c>
      <c r="P75" s="959" t="s">
        <v>3744</v>
      </c>
      <c r="Q75" s="962">
        <v>930000</v>
      </c>
      <c r="R75" s="383">
        <f t="shared" si="29"/>
        <v>148800</v>
      </c>
      <c r="S75" s="384">
        <f t="shared" si="25"/>
        <v>1078800</v>
      </c>
      <c r="T75" s="385">
        <v>0</v>
      </c>
      <c r="U75" s="386">
        <f t="shared" si="30"/>
        <v>0</v>
      </c>
      <c r="V75" s="383">
        <f t="shared" si="26"/>
        <v>1078800</v>
      </c>
      <c r="W75" s="963" t="s">
        <v>156</v>
      </c>
      <c r="X75" s="387">
        <v>44323</v>
      </c>
      <c r="Y75" s="3" t="s">
        <v>559</v>
      </c>
      <c r="Z75" s="387">
        <v>44323</v>
      </c>
      <c r="AA75" s="387">
        <v>44414</v>
      </c>
      <c r="AB75" s="4" t="s">
        <v>3113</v>
      </c>
      <c r="AC75" s="4"/>
      <c r="AD75" s="6">
        <v>44337</v>
      </c>
      <c r="AE75" s="6" t="s">
        <v>161</v>
      </c>
      <c r="AF75" s="6" t="s">
        <v>161</v>
      </c>
      <c r="AG75" s="6" t="s">
        <v>161</v>
      </c>
      <c r="AH75" s="629" t="s">
        <v>3745</v>
      </c>
      <c r="AI75" s="644"/>
      <c r="AJ75" s="644"/>
      <c r="AK75" s="637"/>
      <c r="AL75" s="638"/>
      <c r="AM75" s="414" t="str">
        <f t="shared" ca="1" si="31"/>
        <v>MUERTO</v>
      </c>
      <c r="AN75" s="3"/>
      <c r="AO75" s="3"/>
      <c r="AP75" s="3" t="s">
        <v>559</v>
      </c>
      <c r="AQ75" s="3"/>
      <c r="AR75" s="3" t="s">
        <v>559</v>
      </c>
      <c r="AS75" s="3"/>
      <c r="AT75" s="3"/>
      <c r="AU75" s="458"/>
      <c r="AV75" s="388"/>
      <c r="AW75" s="4"/>
      <c r="AX75" s="459"/>
      <c r="AY75" s="281" t="s">
        <v>3729</v>
      </c>
      <c r="AZ75" s="4"/>
      <c r="BA75" s="4" t="s">
        <v>3746</v>
      </c>
      <c r="BB75" s="5">
        <f t="shared" si="23"/>
        <v>0</v>
      </c>
      <c r="BC75" s="544"/>
      <c r="BD75" s="6">
        <v>44316</v>
      </c>
      <c r="BE75" s="463">
        <v>44320</v>
      </c>
      <c r="BF75" s="463">
        <v>44323</v>
      </c>
      <c r="BG75" s="6">
        <f t="shared" si="28"/>
        <v>44328</v>
      </c>
      <c r="BH75" s="415" t="str">
        <f t="shared" si="17"/>
        <v>Formalizado C y FC 21/05</v>
      </c>
      <c r="BI75" s="416">
        <f>BJ75</f>
        <v>44328</v>
      </c>
      <c r="BJ75" s="255">
        <v>44328</v>
      </c>
      <c r="BK75" s="415" t="str">
        <f t="shared" si="27"/>
        <v>Formalizado C y FC 21/05</v>
      </c>
      <c r="BL75" s="84"/>
      <c r="BM75" s="84"/>
      <c r="BN75" s="84"/>
      <c r="BO75" s="84"/>
      <c r="BP75" s="84"/>
    </row>
    <row r="76" spans="1:71" ht="120" x14ac:dyDescent="0.25">
      <c r="A76" s="527" t="s">
        <v>3747</v>
      </c>
      <c r="B76" s="3">
        <v>72</v>
      </c>
      <c r="C76" s="4" t="s">
        <v>225</v>
      </c>
      <c r="D76" s="18" t="s">
        <v>3748</v>
      </c>
      <c r="E76" s="3" t="s">
        <v>163</v>
      </c>
      <c r="F76" s="3" t="s">
        <v>568</v>
      </c>
      <c r="G76" s="685" t="s">
        <v>546</v>
      </c>
      <c r="H76" s="3" t="s">
        <v>2237</v>
      </c>
      <c r="I76" s="275" t="s">
        <v>2830</v>
      </c>
      <c r="J76" s="17"/>
      <c r="K76" s="17"/>
      <c r="L76" s="17"/>
      <c r="M76" s="375" t="str">
        <f t="shared" si="24"/>
        <v xml:space="preserve">Men´s International Collection, S.A. de C.V.  </v>
      </c>
      <c r="N76" s="959" t="s">
        <v>763</v>
      </c>
      <c r="O76" s="959" t="s">
        <v>763</v>
      </c>
      <c r="P76" s="959" t="s">
        <v>3749</v>
      </c>
      <c r="Q76" s="962">
        <v>2750000</v>
      </c>
      <c r="R76" s="383">
        <f t="shared" si="29"/>
        <v>440000</v>
      </c>
      <c r="S76" s="384">
        <f t="shared" si="25"/>
        <v>3190000</v>
      </c>
      <c r="T76" s="385">
        <v>0</v>
      </c>
      <c r="U76" s="386">
        <f t="shared" si="30"/>
        <v>0</v>
      </c>
      <c r="V76" s="383">
        <f t="shared" si="26"/>
        <v>3190000</v>
      </c>
      <c r="W76" s="963" t="s">
        <v>156</v>
      </c>
      <c r="X76" s="387">
        <v>44328</v>
      </c>
      <c r="Y76" s="3" t="s">
        <v>559</v>
      </c>
      <c r="Z76" s="387">
        <v>44328</v>
      </c>
      <c r="AA76" s="387">
        <v>44330</v>
      </c>
      <c r="AB76" s="4" t="s">
        <v>2050</v>
      </c>
      <c r="AC76" s="4"/>
      <c r="AD76" s="6" t="s">
        <v>2050</v>
      </c>
      <c r="AE76" s="6" t="s">
        <v>161</v>
      </c>
      <c r="AF76" s="6" t="s">
        <v>161</v>
      </c>
      <c r="AG76" s="6" t="s">
        <v>161</v>
      </c>
      <c r="AH76" s="629" t="s">
        <v>2050</v>
      </c>
      <c r="AI76" s="4"/>
      <c r="AJ76" s="4"/>
      <c r="AK76" s="388"/>
      <c r="AL76" s="383"/>
      <c r="AM76" s="414" t="str">
        <f t="shared" ca="1" si="31"/>
        <v>MUERTO</v>
      </c>
      <c r="AN76" s="3"/>
      <c r="AO76" s="3"/>
      <c r="AP76" s="3" t="s">
        <v>559</v>
      </c>
      <c r="AQ76" s="3"/>
      <c r="AR76" s="3" t="s">
        <v>559</v>
      </c>
      <c r="AS76" s="3"/>
      <c r="AT76" s="3"/>
      <c r="AU76" s="458"/>
      <c r="AV76" s="388"/>
      <c r="AW76" s="4"/>
      <c r="AX76" s="459"/>
      <c r="AY76" s="281" t="s">
        <v>3750</v>
      </c>
      <c r="AZ76" s="4"/>
      <c r="BA76" s="4" t="s">
        <v>3751</v>
      </c>
      <c r="BB76" s="5">
        <f t="shared" si="23"/>
        <v>0</v>
      </c>
      <c r="BC76" s="544"/>
      <c r="BD76" s="6">
        <v>44323</v>
      </c>
      <c r="BE76" s="463">
        <v>44326</v>
      </c>
      <c r="BF76" s="463">
        <v>44333</v>
      </c>
      <c r="BG76" s="6" t="s">
        <v>2050</v>
      </c>
      <c r="BH76" s="415" t="str">
        <f t="shared" ref="BH76:BH107" si="32">AY76</f>
        <v>Formalizado C y24/05/21</v>
      </c>
      <c r="BI76" s="416">
        <f>BJ76</f>
        <v>44334</v>
      </c>
      <c r="BJ76" s="255">
        <v>44334</v>
      </c>
      <c r="BK76" s="415" t="str">
        <f t="shared" si="27"/>
        <v>Formalizado C y24/05/21</v>
      </c>
      <c r="BL76" s="84"/>
      <c r="BM76" s="84"/>
      <c r="BN76" s="84"/>
      <c r="BO76" s="84"/>
      <c r="BP76" s="84"/>
    </row>
    <row r="77" spans="1:71" ht="270" x14ac:dyDescent="0.25">
      <c r="A77" s="417" t="s">
        <v>3752</v>
      </c>
      <c r="B77" s="3">
        <v>73</v>
      </c>
      <c r="C77" s="4" t="s">
        <v>225</v>
      </c>
      <c r="D77" s="18" t="s">
        <v>3753</v>
      </c>
      <c r="E77" s="3" t="s">
        <v>163</v>
      </c>
      <c r="F77" s="3" t="s">
        <v>607</v>
      </c>
      <c r="G77" s="3" t="s">
        <v>163</v>
      </c>
      <c r="H77" s="3" t="s">
        <v>163</v>
      </c>
      <c r="I77" s="275"/>
      <c r="J77" s="17" t="s">
        <v>407</v>
      </c>
      <c r="K77" s="17" t="s">
        <v>408</v>
      </c>
      <c r="L77" s="17" t="s">
        <v>409</v>
      </c>
      <c r="M77" s="375" t="str">
        <f t="shared" si="24"/>
        <v>Carolina Maldonado Sánchez</v>
      </c>
      <c r="N77" s="959" t="s">
        <v>301</v>
      </c>
      <c r="O77" s="959" t="s">
        <v>301</v>
      </c>
      <c r="P77" s="959" t="s">
        <v>3754</v>
      </c>
      <c r="Q77" s="962">
        <v>466226.69</v>
      </c>
      <c r="R77" s="383">
        <f t="shared" si="29"/>
        <v>74596.270400000009</v>
      </c>
      <c r="S77" s="384">
        <f t="shared" si="25"/>
        <v>540822.96039999998</v>
      </c>
      <c r="T77" s="385">
        <v>186490.68</v>
      </c>
      <c r="U77" s="386">
        <f t="shared" si="30"/>
        <v>216329.1888</v>
      </c>
      <c r="V77" s="383">
        <f t="shared" si="26"/>
        <v>676028.69039999996</v>
      </c>
      <c r="W77" s="963" t="s">
        <v>156</v>
      </c>
      <c r="X77" s="387">
        <v>44330</v>
      </c>
      <c r="Y77" s="3" t="s">
        <v>559</v>
      </c>
      <c r="Z77" s="387">
        <v>44330</v>
      </c>
      <c r="AA77" s="387">
        <v>44561</v>
      </c>
      <c r="AB77" s="4" t="s">
        <v>3113</v>
      </c>
      <c r="AC77" s="4"/>
      <c r="AD77" s="6">
        <v>44341</v>
      </c>
      <c r="AE77" s="6" t="s">
        <v>161</v>
      </c>
      <c r="AF77" s="6" t="s">
        <v>161</v>
      </c>
      <c r="AG77" s="6" t="s">
        <v>161</v>
      </c>
      <c r="AH77" s="629" t="s">
        <v>3755</v>
      </c>
      <c r="AI77" s="4" t="s">
        <v>3756</v>
      </c>
      <c r="AJ77" s="6" t="s">
        <v>3757</v>
      </c>
      <c r="AK77" s="388">
        <v>44431</v>
      </c>
      <c r="AL77" s="383">
        <v>135205.73000000001</v>
      </c>
      <c r="AM77" s="414" t="str">
        <f t="shared" ca="1" si="31"/>
        <v>MUERTO</v>
      </c>
      <c r="AN77" s="3"/>
      <c r="AO77" s="3"/>
      <c r="AP77" s="3" t="s">
        <v>559</v>
      </c>
      <c r="AQ77" s="3"/>
      <c r="AR77" s="3" t="s">
        <v>559</v>
      </c>
      <c r="AS77" s="3"/>
      <c r="AT77" s="3"/>
      <c r="AU77" s="458"/>
      <c r="AV77" s="388"/>
      <c r="AW77" s="4"/>
      <c r="AX77" s="459"/>
      <c r="AY77" s="281" t="s">
        <v>3758</v>
      </c>
      <c r="AZ77" s="4"/>
      <c r="BA77" s="4" t="s">
        <v>3759</v>
      </c>
      <c r="BB77" s="5">
        <f t="shared" si="23"/>
        <v>0</v>
      </c>
      <c r="BC77" s="544"/>
      <c r="BD77" s="6">
        <v>44323</v>
      </c>
      <c r="BE77" s="463" t="s">
        <v>3760</v>
      </c>
      <c r="BF77" s="463">
        <v>44333</v>
      </c>
      <c r="BG77" s="6">
        <v>44333</v>
      </c>
      <c r="BH77" s="415" t="str">
        <f t="shared" si="32"/>
        <v>Formalizado C y FC 28/05/21
Modif formalizado en tesorería y endoso 09/09/21</v>
      </c>
      <c r="BI77" s="416" t="s">
        <v>3761</v>
      </c>
      <c r="BJ77" s="255" t="s">
        <v>3762</v>
      </c>
      <c r="BK77" s="415" t="str">
        <f t="shared" si="27"/>
        <v>Formalizado C y FC 28/05/21
Modif formalizado en tesorería y endoso 09/09/21</v>
      </c>
      <c r="BL77" s="84"/>
      <c r="BM77" s="84"/>
      <c r="BN77" s="84"/>
      <c r="BO77" s="84"/>
      <c r="BP77" s="84"/>
    </row>
    <row r="78" spans="1:71" ht="105" x14ac:dyDescent="0.25">
      <c r="A78" s="527" t="s">
        <v>3763</v>
      </c>
      <c r="B78" s="3">
        <v>74</v>
      </c>
      <c r="C78" s="4" t="s">
        <v>225</v>
      </c>
      <c r="D78" s="18" t="s">
        <v>3748</v>
      </c>
      <c r="E78" s="3" t="s">
        <v>163</v>
      </c>
      <c r="F78" s="3" t="s">
        <v>3764</v>
      </c>
      <c r="G78" s="685" t="s">
        <v>546</v>
      </c>
      <c r="H78" s="3" t="s">
        <v>2237</v>
      </c>
      <c r="I78" s="275" t="s">
        <v>2859</v>
      </c>
      <c r="J78" s="17"/>
      <c r="K78" s="17"/>
      <c r="L78" s="17"/>
      <c r="M78" s="375" t="str">
        <f t="shared" si="24"/>
        <v xml:space="preserve">Merkatus Distribuidora, S.A. de C.V.  </v>
      </c>
      <c r="N78" s="959" t="s">
        <v>198</v>
      </c>
      <c r="O78" s="959" t="s">
        <v>198</v>
      </c>
      <c r="P78" s="959" t="s">
        <v>3765</v>
      </c>
      <c r="Q78" s="962">
        <v>1025000</v>
      </c>
      <c r="R78" s="383">
        <f t="shared" si="29"/>
        <v>164000</v>
      </c>
      <c r="S78" s="384">
        <f t="shared" si="25"/>
        <v>1189000</v>
      </c>
      <c r="T78" s="385">
        <v>0</v>
      </c>
      <c r="U78" s="386">
        <f t="shared" si="30"/>
        <v>0</v>
      </c>
      <c r="V78" s="383">
        <f t="shared" si="26"/>
        <v>1189000</v>
      </c>
      <c r="W78" s="963" t="s">
        <v>156</v>
      </c>
      <c r="X78" s="387">
        <v>44333</v>
      </c>
      <c r="Y78" s="3" t="s">
        <v>559</v>
      </c>
      <c r="Z78" s="387">
        <v>44333</v>
      </c>
      <c r="AA78" s="387">
        <v>44344</v>
      </c>
      <c r="AB78" s="4" t="s">
        <v>2050</v>
      </c>
      <c r="AC78" s="4"/>
      <c r="AD78" s="6" t="s">
        <v>2050</v>
      </c>
      <c r="AE78" s="6" t="s">
        <v>161</v>
      </c>
      <c r="AF78" s="6" t="s">
        <v>161</v>
      </c>
      <c r="AG78" s="6" t="s">
        <v>161</v>
      </c>
      <c r="AH78" s="3" t="s">
        <v>2050</v>
      </c>
      <c r="AI78" s="4"/>
      <c r="AJ78" s="4"/>
      <c r="AK78" s="388"/>
      <c r="AL78" s="383"/>
      <c r="AM78" s="414" t="str">
        <f t="shared" ca="1" si="31"/>
        <v>MUERTO</v>
      </c>
      <c r="AN78" s="3"/>
      <c r="AO78" s="3"/>
      <c r="AP78" s="3" t="s">
        <v>559</v>
      </c>
      <c r="AQ78" s="3"/>
      <c r="AR78" s="3" t="s">
        <v>559</v>
      </c>
      <c r="AS78" s="3"/>
      <c r="AT78" s="3"/>
      <c r="AU78" s="458"/>
      <c r="AV78" s="388"/>
      <c r="AW78" s="4"/>
      <c r="AX78" s="459"/>
      <c r="AY78" s="281" t="s">
        <v>3766</v>
      </c>
      <c r="AZ78" s="4"/>
      <c r="BA78" s="4" t="s">
        <v>3767</v>
      </c>
      <c r="BB78" s="5">
        <f t="shared" si="23"/>
        <v>0</v>
      </c>
      <c r="BC78" s="544"/>
      <c r="BD78" s="6">
        <v>44323</v>
      </c>
      <c r="BE78" s="463">
        <v>44326</v>
      </c>
      <c r="BF78" s="463">
        <v>44334</v>
      </c>
      <c r="BG78" s="6" t="s">
        <v>2050</v>
      </c>
      <c r="BH78" s="415" t="str">
        <f t="shared" si="32"/>
        <v>Formalizado C, 25/05/21</v>
      </c>
      <c r="BI78" s="416">
        <f>BJ78</f>
        <v>44335</v>
      </c>
      <c r="BJ78" s="255">
        <v>44335</v>
      </c>
      <c r="BK78" s="415" t="str">
        <f t="shared" si="27"/>
        <v>Formalizado C, 25/05/21</v>
      </c>
      <c r="BL78" s="84"/>
      <c r="BM78" s="84"/>
      <c r="BN78" s="84"/>
      <c r="BO78" s="84"/>
      <c r="BP78" s="84"/>
    </row>
    <row r="79" spans="1:71" ht="135" x14ac:dyDescent="0.25">
      <c r="A79" s="527" t="s">
        <v>3768</v>
      </c>
      <c r="B79" s="3">
        <v>75</v>
      </c>
      <c r="C79" s="4" t="s">
        <v>149</v>
      </c>
      <c r="D79" s="18" t="s">
        <v>3769</v>
      </c>
      <c r="E79" s="3" t="s">
        <v>163</v>
      </c>
      <c r="F79" s="3" t="s">
        <v>3770</v>
      </c>
      <c r="G79" s="3" t="s">
        <v>163</v>
      </c>
      <c r="H79" s="3" t="s">
        <v>163</v>
      </c>
      <c r="I79" s="275" t="s">
        <v>1365</v>
      </c>
      <c r="J79" s="17"/>
      <c r="K79" s="17"/>
      <c r="L79" s="17"/>
      <c r="M79" s="375" t="str">
        <f t="shared" si="24"/>
        <v xml:space="preserve">Aerovías de México, S.A. de C.V.  </v>
      </c>
      <c r="N79" s="959" t="s">
        <v>1366</v>
      </c>
      <c r="O79" s="959" t="s">
        <v>1367</v>
      </c>
      <c r="P79" s="959" t="s">
        <v>3771</v>
      </c>
      <c r="Q79" s="962">
        <v>0</v>
      </c>
      <c r="R79" s="383">
        <f t="shared" si="29"/>
        <v>0</v>
      </c>
      <c r="S79" s="384">
        <f t="shared" si="25"/>
        <v>0</v>
      </c>
      <c r="T79" s="385">
        <v>0</v>
      </c>
      <c r="U79" s="386">
        <f t="shared" si="30"/>
        <v>0</v>
      </c>
      <c r="V79" s="383">
        <f t="shared" si="26"/>
        <v>0</v>
      </c>
      <c r="W79" s="963"/>
      <c r="X79" s="387">
        <v>44348</v>
      </c>
      <c r="Y79" s="463" t="s">
        <v>496</v>
      </c>
      <c r="Z79" s="387">
        <v>44348</v>
      </c>
      <c r="AA79" s="387">
        <v>44561</v>
      </c>
      <c r="AB79" s="4" t="s">
        <v>2050</v>
      </c>
      <c r="AC79" s="4"/>
      <c r="AD79" s="6" t="s">
        <v>2050</v>
      </c>
      <c r="AE79" s="6" t="s">
        <v>161</v>
      </c>
      <c r="AF79" s="6" t="s">
        <v>161</v>
      </c>
      <c r="AG79" s="6" t="s">
        <v>161</v>
      </c>
      <c r="AH79" s="3" t="s">
        <v>2050</v>
      </c>
      <c r="AI79" s="4"/>
      <c r="AJ79" s="4"/>
      <c r="AK79" s="388"/>
      <c r="AL79" s="383"/>
      <c r="AM79" s="414" t="str">
        <f t="shared" ca="1" si="31"/>
        <v>MUERTO</v>
      </c>
      <c r="AN79" s="3" t="s">
        <v>3772</v>
      </c>
      <c r="AO79" s="3"/>
      <c r="AP79" s="3" t="s">
        <v>496</v>
      </c>
      <c r="AQ79" s="3"/>
      <c r="AR79" s="3" t="s">
        <v>559</v>
      </c>
      <c r="AS79" s="3"/>
      <c r="AT79" s="3"/>
      <c r="AU79" s="458"/>
      <c r="AV79" s="388"/>
      <c r="AW79" s="4"/>
      <c r="AX79" s="459"/>
      <c r="AY79" s="281" t="s">
        <v>3773</v>
      </c>
      <c r="AZ79" s="4"/>
      <c r="BA79" s="4" t="e">
        <f>VLOOKUP(I79,#REF!,2,0)</f>
        <v>#REF!</v>
      </c>
      <c r="BB79" s="5" t="str">
        <f t="shared" si="23"/>
        <v>37104
37106</v>
      </c>
      <c r="BC79" s="544"/>
      <c r="BD79" s="6">
        <v>44340</v>
      </c>
      <c r="BE79" s="463">
        <v>44341</v>
      </c>
      <c r="BF79" s="463">
        <v>44348</v>
      </c>
      <c r="BG79" s="6">
        <f>BJ79</f>
        <v>44356</v>
      </c>
      <c r="BH79" s="415" t="str">
        <f t="shared" si="32"/>
        <v>Formalizado en tesoreria 01/09/21</v>
      </c>
      <c r="BI79" s="416">
        <v>44440</v>
      </c>
      <c r="BJ79" s="255">
        <v>44356</v>
      </c>
      <c r="BK79" s="415" t="str">
        <f t="shared" si="27"/>
        <v>Formalizado en tesoreria 01/09/21</v>
      </c>
      <c r="BL79" s="84"/>
      <c r="BM79" s="84"/>
      <c r="BN79" s="84" t="s">
        <v>1377</v>
      </c>
      <c r="BO79" s="84"/>
      <c r="BP79" s="84"/>
    </row>
    <row r="80" spans="1:71" ht="120" x14ac:dyDescent="0.25">
      <c r="A80" s="527" t="s">
        <v>3774</v>
      </c>
      <c r="B80" s="3">
        <v>76</v>
      </c>
      <c r="C80" s="4" t="s">
        <v>149</v>
      </c>
      <c r="D80" s="18" t="s">
        <v>3769</v>
      </c>
      <c r="E80" s="3" t="s">
        <v>163</v>
      </c>
      <c r="F80" s="3" t="s">
        <v>3770</v>
      </c>
      <c r="G80" s="3" t="s">
        <v>163</v>
      </c>
      <c r="H80" s="3" t="s">
        <v>163</v>
      </c>
      <c r="I80" s="275" t="s">
        <v>1381</v>
      </c>
      <c r="J80" s="17"/>
      <c r="K80" s="17"/>
      <c r="L80" s="17"/>
      <c r="M80" s="375" t="str">
        <f t="shared" si="24"/>
        <v xml:space="preserve">Viajes Escalona, S.A.  </v>
      </c>
      <c r="N80" s="959" t="s">
        <v>1366</v>
      </c>
      <c r="O80" s="959" t="s">
        <v>1367</v>
      </c>
      <c r="P80" s="959" t="s">
        <v>3775</v>
      </c>
      <c r="Q80" s="962">
        <v>0</v>
      </c>
      <c r="R80" s="383">
        <f t="shared" si="29"/>
        <v>0</v>
      </c>
      <c r="S80" s="384">
        <f t="shared" si="25"/>
        <v>0</v>
      </c>
      <c r="T80" s="385">
        <v>0</v>
      </c>
      <c r="U80" s="386">
        <f t="shared" si="30"/>
        <v>0</v>
      </c>
      <c r="V80" s="383">
        <f t="shared" si="26"/>
        <v>0</v>
      </c>
      <c r="W80" s="963" t="s">
        <v>156</v>
      </c>
      <c r="X80" s="387">
        <v>44348</v>
      </c>
      <c r="Y80" s="463" t="s">
        <v>496</v>
      </c>
      <c r="Z80" s="387">
        <v>44348</v>
      </c>
      <c r="AA80" s="387">
        <v>44561</v>
      </c>
      <c r="AB80" s="4" t="s">
        <v>2050</v>
      </c>
      <c r="AC80" s="4"/>
      <c r="AD80" s="6" t="s">
        <v>2050</v>
      </c>
      <c r="AE80" s="6" t="s">
        <v>161</v>
      </c>
      <c r="AF80" s="6" t="s">
        <v>161</v>
      </c>
      <c r="AG80" s="6" t="s">
        <v>161</v>
      </c>
      <c r="AH80" s="3" t="s">
        <v>2050</v>
      </c>
      <c r="AI80" s="4"/>
      <c r="AJ80" s="4"/>
      <c r="AK80" s="388"/>
      <c r="AL80" s="383"/>
      <c r="AM80" s="414" t="str">
        <f t="shared" ca="1" si="31"/>
        <v>MUERTO</v>
      </c>
      <c r="AN80" s="3"/>
      <c r="AO80" s="3"/>
      <c r="AP80" s="3" t="s">
        <v>496</v>
      </c>
      <c r="AQ80" s="3"/>
      <c r="AR80" s="3" t="s">
        <v>559</v>
      </c>
      <c r="AS80" s="3"/>
      <c r="AT80" s="3"/>
      <c r="AU80" s="458"/>
      <c r="AV80" s="388"/>
      <c r="AW80" s="4"/>
      <c r="AX80" s="459"/>
      <c r="AY80" s="281" t="s">
        <v>3776</v>
      </c>
      <c r="AZ80" s="4"/>
      <c r="BA80" s="4" t="e">
        <f>VLOOKUP(I80,#REF!,2,0)</f>
        <v>#REF!</v>
      </c>
      <c r="BB80" s="5">
        <f t="shared" si="23"/>
        <v>0</v>
      </c>
      <c r="BC80" s="544"/>
      <c r="BD80" s="6">
        <v>44340</v>
      </c>
      <c r="BE80" s="463">
        <v>44341</v>
      </c>
      <c r="BF80" s="463">
        <v>44348</v>
      </c>
      <c r="BG80" s="6" t="s">
        <v>2050</v>
      </c>
      <c r="BH80" s="415" t="str">
        <f t="shared" si="32"/>
        <v>Formalizado en tesorería 14/06/21</v>
      </c>
      <c r="BI80" s="416">
        <v>44356</v>
      </c>
      <c r="BJ80" s="255">
        <v>44355</v>
      </c>
      <c r="BK80" s="415" t="str">
        <f t="shared" si="27"/>
        <v>Formalizado en tesorería 14/06/21</v>
      </c>
      <c r="BL80" s="84"/>
      <c r="BM80" s="84"/>
      <c r="BN80" s="84" t="s">
        <v>1377</v>
      </c>
      <c r="BO80" s="84"/>
      <c r="BP80" s="84"/>
    </row>
    <row r="81" spans="1:71" ht="120" x14ac:dyDescent="0.25">
      <c r="A81" s="527" t="s">
        <v>3777</v>
      </c>
      <c r="B81" s="3">
        <v>77</v>
      </c>
      <c r="C81" s="4" t="s">
        <v>149</v>
      </c>
      <c r="D81" s="18" t="s">
        <v>3769</v>
      </c>
      <c r="E81" s="3" t="s">
        <v>163</v>
      </c>
      <c r="F81" s="3" t="s">
        <v>3770</v>
      </c>
      <c r="G81" s="3" t="s">
        <v>163</v>
      </c>
      <c r="H81" s="3" t="s">
        <v>163</v>
      </c>
      <c r="I81" s="275" t="s">
        <v>1391</v>
      </c>
      <c r="J81" s="17"/>
      <c r="K81" s="17"/>
      <c r="L81" s="17"/>
      <c r="M81" s="375" t="str">
        <f t="shared" si="24"/>
        <v xml:space="preserve">Viajes Helvetia, S.A. de C.V.  </v>
      </c>
      <c r="N81" s="959" t="s">
        <v>1366</v>
      </c>
      <c r="O81" s="959" t="s">
        <v>1367</v>
      </c>
      <c r="P81" s="959" t="s">
        <v>3775</v>
      </c>
      <c r="Q81" s="962">
        <v>0</v>
      </c>
      <c r="R81" s="383">
        <f t="shared" si="29"/>
        <v>0</v>
      </c>
      <c r="S81" s="384">
        <f t="shared" si="25"/>
        <v>0</v>
      </c>
      <c r="T81" s="385">
        <v>0</v>
      </c>
      <c r="U81" s="386">
        <f t="shared" si="30"/>
        <v>0</v>
      </c>
      <c r="V81" s="383">
        <f t="shared" si="26"/>
        <v>0</v>
      </c>
      <c r="W81" s="963"/>
      <c r="X81" s="387">
        <v>44348</v>
      </c>
      <c r="Y81" s="463" t="s">
        <v>496</v>
      </c>
      <c r="Z81" s="387">
        <v>44348</v>
      </c>
      <c r="AA81" s="387">
        <v>44561</v>
      </c>
      <c r="AB81" s="4" t="s">
        <v>2050</v>
      </c>
      <c r="AC81" s="4"/>
      <c r="AD81" s="6" t="s">
        <v>2050</v>
      </c>
      <c r="AE81" s="6" t="s">
        <v>161</v>
      </c>
      <c r="AF81" s="6" t="s">
        <v>161</v>
      </c>
      <c r="AG81" s="6" t="s">
        <v>161</v>
      </c>
      <c r="AH81" s="3" t="s">
        <v>2050</v>
      </c>
      <c r="AI81" s="4"/>
      <c r="AJ81" s="4"/>
      <c r="AK81" s="388"/>
      <c r="AL81" s="383"/>
      <c r="AM81" s="414" t="str">
        <f t="shared" ca="1" si="31"/>
        <v>MUERTO</v>
      </c>
      <c r="AN81" s="3"/>
      <c r="AO81" s="3"/>
      <c r="AP81" s="3" t="s">
        <v>496</v>
      </c>
      <c r="AQ81" s="3"/>
      <c r="AR81" s="3" t="s">
        <v>559</v>
      </c>
      <c r="AS81" s="3"/>
      <c r="AT81" s="3"/>
      <c r="AU81" s="458"/>
      <c r="AV81" s="388"/>
      <c r="AW81" s="4"/>
      <c r="AX81" s="459"/>
      <c r="AY81" s="281" t="s">
        <v>3778</v>
      </c>
      <c r="AZ81" s="4"/>
      <c r="BA81" s="4" t="s">
        <v>3779</v>
      </c>
      <c r="BB81" s="5">
        <f t="shared" si="23"/>
        <v>0</v>
      </c>
      <c r="BC81" s="544"/>
      <c r="BD81" s="6">
        <v>44340</v>
      </c>
      <c r="BE81" s="463">
        <v>44341</v>
      </c>
      <c r="BF81" s="463">
        <v>44348</v>
      </c>
      <c r="BG81" s="6" t="s">
        <v>2050</v>
      </c>
      <c r="BH81" s="415" t="str">
        <f t="shared" si="32"/>
        <v>Formalizado en tesorería 9/6</v>
      </c>
      <c r="BI81" s="416">
        <v>44354</v>
      </c>
      <c r="BJ81" s="255">
        <v>44351</v>
      </c>
      <c r="BK81" s="415" t="str">
        <f t="shared" si="27"/>
        <v>Formalizado en tesorería 9/6</v>
      </c>
      <c r="BL81" s="84"/>
      <c r="BM81" s="84"/>
      <c r="BN81" s="84" t="s">
        <v>1377</v>
      </c>
      <c r="BO81" s="84"/>
      <c r="BP81" s="84"/>
    </row>
    <row r="82" spans="1:71" s="468" customFormat="1" ht="120" x14ac:dyDescent="0.25">
      <c r="A82" s="527" t="s">
        <v>3780</v>
      </c>
      <c r="B82" s="5">
        <v>78</v>
      </c>
      <c r="C82" s="4" t="s">
        <v>149</v>
      </c>
      <c r="D82" s="18" t="s">
        <v>3769</v>
      </c>
      <c r="E82" s="3" t="s">
        <v>163</v>
      </c>
      <c r="F82" s="3" t="s">
        <v>3770</v>
      </c>
      <c r="G82" s="3" t="s">
        <v>163</v>
      </c>
      <c r="H82" s="3" t="s">
        <v>163</v>
      </c>
      <c r="I82" s="275" t="s">
        <v>3781</v>
      </c>
      <c r="J82" s="17"/>
      <c r="K82" s="17"/>
      <c r="L82" s="17"/>
      <c r="M82" s="375" t="str">
        <f t="shared" si="24"/>
        <v xml:space="preserve">G-TRAVEL EXPRESS, S.A. DE C.V.  </v>
      </c>
      <c r="N82" s="959" t="s">
        <v>1366</v>
      </c>
      <c r="O82" s="959" t="s">
        <v>1367</v>
      </c>
      <c r="P82" s="959" t="s">
        <v>3775</v>
      </c>
      <c r="Q82" s="962">
        <v>0</v>
      </c>
      <c r="R82" s="383">
        <f t="shared" si="29"/>
        <v>0</v>
      </c>
      <c r="S82" s="384">
        <f t="shared" si="25"/>
        <v>0</v>
      </c>
      <c r="T82" s="385">
        <v>0</v>
      </c>
      <c r="U82" s="386">
        <f t="shared" si="30"/>
        <v>0</v>
      </c>
      <c r="V82" s="383">
        <f t="shared" si="26"/>
        <v>0</v>
      </c>
      <c r="W82" s="963"/>
      <c r="X82" s="387">
        <v>44348</v>
      </c>
      <c r="Y82" s="463" t="s">
        <v>496</v>
      </c>
      <c r="Z82" s="387">
        <v>44348</v>
      </c>
      <c r="AA82" s="387">
        <v>44561</v>
      </c>
      <c r="AB82" s="4" t="s">
        <v>2050</v>
      </c>
      <c r="AC82" s="4"/>
      <c r="AD82" s="6" t="s">
        <v>2050</v>
      </c>
      <c r="AE82" s="6" t="s">
        <v>161</v>
      </c>
      <c r="AF82" s="6" t="s">
        <v>161</v>
      </c>
      <c r="AG82" s="6" t="s">
        <v>161</v>
      </c>
      <c r="AH82" s="3" t="s">
        <v>2050</v>
      </c>
      <c r="AI82" s="4"/>
      <c r="AJ82" s="4"/>
      <c r="AK82" s="388"/>
      <c r="AL82" s="383"/>
      <c r="AM82" s="414" t="str">
        <f t="shared" ca="1" si="31"/>
        <v>MUERTO</v>
      </c>
      <c r="AN82" s="3"/>
      <c r="AO82" s="3"/>
      <c r="AP82" s="3" t="s">
        <v>496</v>
      </c>
      <c r="AQ82" s="3"/>
      <c r="AR82" s="3" t="s">
        <v>559</v>
      </c>
      <c r="AS82" s="3"/>
      <c r="AT82" s="3"/>
      <c r="AU82" s="458"/>
      <c r="AV82" s="388"/>
      <c r="AW82" s="4"/>
      <c r="AX82" s="459"/>
      <c r="AY82" s="281" t="s">
        <v>3778</v>
      </c>
      <c r="AZ82" s="4"/>
      <c r="BA82" s="4" t="s">
        <v>3782</v>
      </c>
      <c r="BB82" s="5">
        <f t="shared" si="23"/>
        <v>0</v>
      </c>
      <c r="BC82" s="544"/>
      <c r="BD82" s="6">
        <v>44340</v>
      </c>
      <c r="BE82" s="463">
        <v>44341</v>
      </c>
      <c r="BF82" s="463">
        <v>44348</v>
      </c>
      <c r="BG82" s="6" t="s">
        <v>2050</v>
      </c>
      <c r="BH82" s="415" t="str">
        <f t="shared" si="32"/>
        <v>Formalizado en tesorería 9/6</v>
      </c>
      <c r="BI82" s="416">
        <v>44354</v>
      </c>
      <c r="BJ82" s="255">
        <v>44351</v>
      </c>
      <c r="BK82" s="415" t="str">
        <f t="shared" si="27"/>
        <v>Formalizado en tesorería 9/6</v>
      </c>
      <c r="BL82" s="84"/>
      <c r="BM82" s="84"/>
      <c r="BN82" s="84" t="s">
        <v>1377</v>
      </c>
      <c r="BO82" s="84"/>
      <c r="BP82" s="84"/>
      <c r="BQ82"/>
      <c r="BR82"/>
      <c r="BS82"/>
    </row>
    <row r="83" spans="1:71" ht="120" x14ac:dyDescent="0.25">
      <c r="A83" s="527" t="s">
        <v>3783</v>
      </c>
      <c r="B83" s="3">
        <v>79</v>
      </c>
      <c r="C83" s="4" t="s">
        <v>149</v>
      </c>
      <c r="D83" s="18" t="s">
        <v>3784</v>
      </c>
      <c r="E83" s="3" t="s">
        <v>173</v>
      </c>
      <c r="F83" s="3" t="s">
        <v>3785</v>
      </c>
      <c r="G83" s="3"/>
      <c r="H83" s="3" t="s">
        <v>173</v>
      </c>
      <c r="I83" s="275" t="s">
        <v>3786</v>
      </c>
      <c r="J83" s="17"/>
      <c r="K83" s="17"/>
      <c r="L83" s="17"/>
      <c r="M83" s="375" t="str">
        <f t="shared" si="24"/>
        <v xml:space="preserve">Kertec Corporation, S.A. de C.V.  </v>
      </c>
      <c r="N83" s="959" t="s">
        <v>656</v>
      </c>
      <c r="O83" s="959" t="s">
        <v>209</v>
      </c>
      <c r="P83" s="959" t="s">
        <v>1230</v>
      </c>
      <c r="Q83" s="962">
        <v>2155172.41</v>
      </c>
      <c r="R83" s="383">
        <f t="shared" si="29"/>
        <v>344827.58560000005</v>
      </c>
      <c r="S83" s="384">
        <f t="shared" si="25"/>
        <v>2499999.9956</v>
      </c>
      <c r="T83" s="385">
        <v>640000</v>
      </c>
      <c r="U83" s="386">
        <f t="shared" si="30"/>
        <v>742400</v>
      </c>
      <c r="V83" s="383">
        <f t="shared" si="26"/>
        <v>2499999.9956</v>
      </c>
      <c r="W83" s="963" t="s">
        <v>156</v>
      </c>
      <c r="X83" s="387">
        <v>44348</v>
      </c>
      <c r="Y83" s="3" t="s">
        <v>496</v>
      </c>
      <c r="Z83" s="387">
        <v>44348</v>
      </c>
      <c r="AA83" s="387">
        <v>44561</v>
      </c>
      <c r="AB83" s="4" t="s">
        <v>3787</v>
      </c>
      <c r="AC83" s="4"/>
      <c r="AD83" s="6">
        <v>44363</v>
      </c>
      <c r="AE83" s="6">
        <v>44369</v>
      </c>
      <c r="AF83" s="6" t="s">
        <v>161</v>
      </c>
      <c r="AG83" s="6" t="s">
        <v>161</v>
      </c>
      <c r="AH83" s="3" t="s">
        <v>183</v>
      </c>
      <c r="AI83" s="4"/>
      <c r="AJ83" s="4"/>
      <c r="AK83" s="388"/>
      <c r="AL83" s="383"/>
      <c r="AM83" s="414" t="str">
        <f t="shared" ca="1" si="31"/>
        <v>MUERTO</v>
      </c>
      <c r="AN83" s="3" t="s">
        <v>3788</v>
      </c>
      <c r="AO83" s="3"/>
      <c r="AP83" s="3" t="s">
        <v>496</v>
      </c>
      <c r="AQ83" s="3"/>
      <c r="AR83" s="3" t="s">
        <v>559</v>
      </c>
      <c r="AS83" s="3"/>
      <c r="AT83" s="3"/>
      <c r="AU83" s="458"/>
      <c r="AV83" s="388"/>
      <c r="AW83" s="4"/>
      <c r="AX83" s="459"/>
      <c r="AY83" s="281" t="s">
        <v>3789</v>
      </c>
      <c r="AZ83" s="4"/>
      <c r="BA83" s="4" t="s">
        <v>3790</v>
      </c>
      <c r="BB83" s="5" t="str">
        <f t="shared" si="23"/>
        <v>35301
29401</v>
      </c>
      <c r="BC83" s="544">
        <v>32</v>
      </c>
      <c r="BD83" s="6">
        <v>44343</v>
      </c>
      <c r="BE83" s="463">
        <v>44347</v>
      </c>
      <c r="BF83" s="463">
        <v>44350</v>
      </c>
      <c r="BG83" s="6">
        <f>BJ83</f>
        <v>44351</v>
      </c>
      <c r="BH83" s="415" t="str">
        <f t="shared" si="32"/>
        <v>Formalizado en tesorería 28/6</v>
      </c>
      <c r="BI83" s="416">
        <v>44362</v>
      </c>
      <c r="BJ83" s="255">
        <v>44351</v>
      </c>
      <c r="BK83" s="415" t="str">
        <f t="shared" si="27"/>
        <v>Formalizado en tesorería 28/6</v>
      </c>
      <c r="BL83" s="84"/>
      <c r="BM83" s="84"/>
      <c r="BN83" s="84"/>
      <c r="BO83" s="84"/>
      <c r="BP83" s="84"/>
    </row>
    <row r="84" spans="1:71" ht="120" x14ac:dyDescent="0.25">
      <c r="A84" s="527" t="s">
        <v>3791</v>
      </c>
      <c r="B84" s="3">
        <v>80</v>
      </c>
      <c r="C84" s="4" t="s">
        <v>225</v>
      </c>
      <c r="D84" s="18" t="s">
        <v>3792</v>
      </c>
      <c r="E84" s="3" t="s">
        <v>151</v>
      </c>
      <c r="F84" s="3" t="s">
        <v>3793</v>
      </c>
      <c r="G84" s="3"/>
      <c r="H84" s="3" t="s">
        <v>151</v>
      </c>
      <c r="I84" s="275" t="s">
        <v>2079</v>
      </c>
      <c r="J84" s="17"/>
      <c r="K84" s="17"/>
      <c r="L84" s="17"/>
      <c r="M84" s="375" t="str">
        <f t="shared" si="24"/>
        <v xml:space="preserve">Unified Networks, S.A. de C.V.  </v>
      </c>
      <c r="N84" s="959" t="s">
        <v>656</v>
      </c>
      <c r="O84" s="959" t="s">
        <v>209</v>
      </c>
      <c r="P84" s="959" t="s">
        <v>3794</v>
      </c>
      <c r="Q84" s="962">
        <v>1227623.83</v>
      </c>
      <c r="R84" s="383">
        <f t="shared" si="29"/>
        <v>196419.81280000001</v>
      </c>
      <c r="S84" s="384">
        <f t="shared" si="25"/>
        <v>1424043.6428</v>
      </c>
      <c r="T84" s="385">
        <v>0</v>
      </c>
      <c r="U84" s="386">
        <f t="shared" si="30"/>
        <v>0</v>
      </c>
      <c r="V84" s="383">
        <f t="shared" si="26"/>
        <v>1424043.6428</v>
      </c>
      <c r="W84" s="963" t="s">
        <v>156</v>
      </c>
      <c r="X84" s="387">
        <v>44349</v>
      </c>
      <c r="Y84" s="3" t="s">
        <v>496</v>
      </c>
      <c r="Z84" s="387">
        <v>44349</v>
      </c>
      <c r="AA84" s="387">
        <v>44377</v>
      </c>
      <c r="AB84" s="4" t="s">
        <v>3787</v>
      </c>
      <c r="AC84" s="4"/>
      <c r="AD84" s="6">
        <v>44364</v>
      </c>
      <c r="AE84" s="6" t="s">
        <v>3795</v>
      </c>
      <c r="AF84" s="6" t="s">
        <v>161</v>
      </c>
      <c r="AG84" s="6" t="s">
        <v>161</v>
      </c>
      <c r="AH84" s="3" t="s">
        <v>183</v>
      </c>
      <c r="AI84" s="4"/>
      <c r="AJ84" s="4"/>
      <c r="AK84" s="388"/>
      <c r="AL84" s="383"/>
      <c r="AM84" s="414" t="str">
        <f t="shared" ca="1" si="31"/>
        <v>MUERTO</v>
      </c>
      <c r="AN84" s="3" t="s">
        <v>3796</v>
      </c>
      <c r="AO84" s="3"/>
      <c r="AP84" s="3" t="s">
        <v>496</v>
      </c>
      <c r="AQ84" s="3"/>
      <c r="AR84" s="3" t="s">
        <v>3797</v>
      </c>
      <c r="AS84" s="3"/>
      <c r="AT84" s="3"/>
      <c r="AU84" s="458"/>
      <c r="AV84" s="388"/>
      <c r="AW84" s="4"/>
      <c r="AX84" s="459"/>
      <c r="AY84" s="281" t="s">
        <v>3798</v>
      </c>
      <c r="AZ84" s="4"/>
      <c r="BA84" s="4" t="s">
        <v>3799</v>
      </c>
      <c r="BB84" s="5" t="str">
        <f t="shared" si="23"/>
        <v>51501
29401
35301</v>
      </c>
      <c r="BC84" s="544">
        <v>33</v>
      </c>
      <c r="BD84" s="6">
        <v>44344</v>
      </c>
      <c r="BE84" s="463">
        <v>44347</v>
      </c>
      <c r="BF84" s="463">
        <v>44350</v>
      </c>
      <c r="BG84" s="6">
        <v>44361</v>
      </c>
      <c r="BH84" s="415" t="str">
        <f t="shared" si="32"/>
        <v>Formalizado en tesorería 07/07/21</v>
      </c>
      <c r="BI84" s="416">
        <v>44362</v>
      </c>
      <c r="BJ84" s="255">
        <v>44361</v>
      </c>
      <c r="BK84" s="415" t="str">
        <f t="shared" si="27"/>
        <v>Formalizado en tesorería 07/07/21</v>
      </c>
      <c r="BL84" s="84"/>
      <c r="BM84" s="84"/>
      <c r="BN84" s="84"/>
      <c r="BO84" s="84"/>
      <c r="BP84" s="84"/>
    </row>
    <row r="85" spans="1:71" s="468" customFormat="1" ht="75" x14ac:dyDescent="0.25">
      <c r="A85" s="527" t="s">
        <v>3800</v>
      </c>
      <c r="B85" s="3">
        <v>81</v>
      </c>
      <c r="C85" s="4" t="s">
        <v>149</v>
      </c>
      <c r="D85" s="18" t="s">
        <v>3801</v>
      </c>
      <c r="E85" s="3" t="s">
        <v>173</v>
      </c>
      <c r="F85" s="3" t="s">
        <v>3785</v>
      </c>
      <c r="G85" s="3"/>
      <c r="H85" s="3" t="s">
        <v>173</v>
      </c>
      <c r="I85" s="275" t="s">
        <v>3802</v>
      </c>
      <c r="J85" s="17"/>
      <c r="K85" s="17"/>
      <c r="L85" s="17"/>
      <c r="M85" s="375" t="str">
        <f t="shared" si="24"/>
        <v xml:space="preserve">Comercializadora de Medios Escritos, S.A. de C.V.  </v>
      </c>
      <c r="N85" s="959" t="s">
        <v>3509</v>
      </c>
      <c r="O85" s="959" t="s">
        <v>3509</v>
      </c>
      <c r="P85" s="959" t="s">
        <v>3803</v>
      </c>
      <c r="Q85" s="962">
        <v>2937378</v>
      </c>
      <c r="R85" s="383">
        <v>0</v>
      </c>
      <c r="S85" s="384">
        <f t="shared" si="25"/>
        <v>2937378</v>
      </c>
      <c r="T85" s="385">
        <v>2277775</v>
      </c>
      <c r="U85" s="385">
        <v>2277775</v>
      </c>
      <c r="V85" s="383">
        <f t="shared" si="26"/>
        <v>2937378</v>
      </c>
      <c r="W85" s="963" t="s">
        <v>156</v>
      </c>
      <c r="X85" s="387">
        <v>44348</v>
      </c>
      <c r="Y85" s="3" t="s">
        <v>496</v>
      </c>
      <c r="Z85" s="387">
        <v>44348</v>
      </c>
      <c r="AA85" s="387">
        <v>44561</v>
      </c>
      <c r="AB85" s="4" t="s">
        <v>3804</v>
      </c>
      <c r="AC85" s="4"/>
      <c r="AD85" s="6">
        <v>44368</v>
      </c>
      <c r="AE85" s="6">
        <v>44370</v>
      </c>
      <c r="AF85" s="6" t="s">
        <v>161</v>
      </c>
      <c r="AG85" s="6" t="s">
        <v>161</v>
      </c>
      <c r="AH85" s="3" t="s">
        <v>183</v>
      </c>
      <c r="AI85" s="4"/>
      <c r="AJ85" s="4"/>
      <c r="AK85" s="388"/>
      <c r="AL85" s="383"/>
      <c r="AM85" s="414" t="str">
        <f t="shared" ca="1" si="31"/>
        <v>MUERTO</v>
      </c>
      <c r="AN85" s="659">
        <v>21501</v>
      </c>
      <c r="AO85" s="3"/>
      <c r="AP85" s="3" t="s">
        <v>496</v>
      </c>
      <c r="AQ85" s="3"/>
      <c r="AR85" s="3" t="s">
        <v>3797</v>
      </c>
      <c r="AS85" s="3"/>
      <c r="AT85" s="3"/>
      <c r="AU85" s="458"/>
      <c r="AV85" s="388"/>
      <c r="AW85" s="4"/>
      <c r="AX85" s="459"/>
      <c r="AY85" s="281" t="s">
        <v>3805</v>
      </c>
      <c r="AZ85" s="4"/>
      <c r="BA85" s="4" t="s">
        <v>3806</v>
      </c>
      <c r="BB85" s="5">
        <f t="shared" si="23"/>
        <v>21501</v>
      </c>
      <c r="BC85" s="544">
        <v>19</v>
      </c>
      <c r="BD85" s="6">
        <v>44343</v>
      </c>
      <c r="BE85" s="463">
        <v>44347</v>
      </c>
      <c r="BF85" s="463">
        <v>44355</v>
      </c>
      <c r="BG85" s="6">
        <f>BJ85</f>
        <v>44357</v>
      </c>
      <c r="BH85" s="415" t="str">
        <f t="shared" si="32"/>
        <v>Formalizado en tesorería 28/06/21</v>
      </c>
      <c r="BI85" s="416">
        <v>44363</v>
      </c>
      <c r="BJ85" s="255">
        <v>44357</v>
      </c>
      <c r="BK85" s="415" t="str">
        <f t="shared" si="27"/>
        <v>Formalizado en tesorería 28/06/21</v>
      </c>
      <c r="BL85" s="84"/>
      <c r="BM85" s="84"/>
      <c r="BN85" s="84"/>
      <c r="BO85" s="84"/>
      <c r="BP85" s="84"/>
      <c r="BQ85"/>
      <c r="BR85"/>
      <c r="BS85"/>
    </row>
    <row r="86" spans="1:71" ht="300" x14ac:dyDescent="0.25">
      <c r="A86" s="527" t="s">
        <v>3807</v>
      </c>
      <c r="B86" s="5">
        <v>82</v>
      </c>
      <c r="C86" s="4" t="s">
        <v>149</v>
      </c>
      <c r="D86" s="18" t="s">
        <v>3808</v>
      </c>
      <c r="E86" s="3" t="s">
        <v>151</v>
      </c>
      <c r="F86" s="3" t="s">
        <v>3793</v>
      </c>
      <c r="G86" s="3"/>
      <c r="H86" s="3" t="s">
        <v>151</v>
      </c>
      <c r="I86" s="275" t="s">
        <v>3809</v>
      </c>
      <c r="J86" s="17"/>
      <c r="K86" s="17"/>
      <c r="L86" s="17"/>
      <c r="M86" s="375" t="str">
        <f t="shared" si="24"/>
        <v xml:space="preserve">Vilo Arquitectos, S. de R.L. de C.V.  </v>
      </c>
      <c r="N86" s="959" t="s">
        <v>198</v>
      </c>
      <c r="O86" s="959" t="s">
        <v>198</v>
      </c>
      <c r="P86" s="959" t="s">
        <v>3810</v>
      </c>
      <c r="Q86" s="962">
        <v>550256.5</v>
      </c>
      <c r="R86" s="383">
        <f t="shared" ref="R86:R128" si="33">Q86*0.16</f>
        <v>88041.040000000008</v>
      </c>
      <c r="S86" s="384">
        <f t="shared" si="25"/>
        <v>638297.54</v>
      </c>
      <c r="T86" s="385">
        <v>0</v>
      </c>
      <c r="U86" s="386">
        <f t="shared" ref="U86:U129" si="34">(T86*0.16)+(T86)</f>
        <v>0</v>
      </c>
      <c r="V86" s="383">
        <f t="shared" si="26"/>
        <v>638297.54</v>
      </c>
      <c r="W86" s="963" t="s">
        <v>156</v>
      </c>
      <c r="X86" s="387">
        <v>44369</v>
      </c>
      <c r="Y86" s="3" t="s">
        <v>496</v>
      </c>
      <c r="Z86" s="387">
        <v>44369</v>
      </c>
      <c r="AA86" s="387">
        <v>44427</v>
      </c>
      <c r="AB86" s="4" t="s">
        <v>3811</v>
      </c>
      <c r="AC86" s="4"/>
      <c r="AD86" s="6">
        <v>44404</v>
      </c>
      <c r="AE86" s="6">
        <v>44404</v>
      </c>
      <c r="AF86" s="6" t="s">
        <v>161</v>
      </c>
      <c r="AG86" s="6" t="s">
        <v>161</v>
      </c>
      <c r="AH86" s="3" t="s">
        <v>183</v>
      </c>
      <c r="AI86" s="644"/>
      <c r="AJ86" s="644"/>
      <c r="AK86" s="637"/>
      <c r="AL86" s="638"/>
      <c r="AM86" s="414" t="str">
        <f t="shared" ca="1" si="31"/>
        <v>MUERTO</v>
      </c>
      <c r="AN86" s="3" t="s">
        <v>3812</v>
      </c>
      <c r="AO86" s="3"/>
      <c r="AP86" s="3" t="s">
        <v>496</v>
      </c>
      <c r="AQ86" s="3"/>
      <c r="AR86" s="3" t="s">
        <v>3813</v>
      </c>
      <c r="AS86" s="3"/>
      <c r="AT86" s="3"/>
      <c r="AU86" s="458"/>
      <c r="AV86" s="388"/>
      <c r="AW86" s="4"/>
      <c r="AX86" s="459"/>
      <c r="AY86" s="281" t="s">
        <v>3814</v>
      </c>
      <c r="AZ86" s="4"/>
      <c r="BA86" s="4" t="s">
        <v>3815</v>
      </c>
      <c r="BB86" s="5" t="str">
        <f t="shared" si="23"/>
        <v>35101
51101</v>
      </c>
      <c r="BC86" s="544">
        <v>129</v>
      </c>
      <c r="BD86" s="6">
        <v>44363</v>
      </c>
      <c r="BE86" s="463">
        <v>44364</v>
      </c>
      <c r="BF86" s="463">
        <v>44377</v>
      </c>
      <c r="BG86" s="6">
        <f>BJ86</f>
        <v>44384</v>
      </c>
      <c r="BH86" s="415" t="str">
        <f t="shared" si="32"/>
        <v>Formalizado en tesorería 27/07/21</v>
      </c>
      <c r="BI86" s="416">
        <v>44391</v>
      </c>
      <c r="BJ86" s="255">
        <v>44384</v>
      </c>
      <c r="BK86" s="415" t="str">
        <f t="shared" si="27"/>
        <v>Formalizado en tesorería 27/07/21</v>
      </c>
      <c r="BL86" s="84"/>
      <c r="BM86" s="84"/>
      <c r="BN86" s="84"/>
      <c r="BO86" s="84"/>
      <c r="BP86" s="84"/>
    </row>
    <row r="87" spans="1:71" s="468" customFormat="1" ht="90" x14ac:dyDescent="0.25">
      <c r="A87" s="527" t="s">
        <v>3816</v>
      </c>
      <c r="B87" s="3">
        <v>83</v>
      </c>
      <c r="C87" s="4" t="s">
        <v>225</v>
      </c>
      <c r="D87" s="18" t="s">
        <v>3817</v>
      </c>
      <c r="E87" s="3" t="s">
        <v>163</v>
      </c>
      <c r="F87" s="3" t="s">
        <v>3818</v>
      </c>
      <c r="G87" s="3" t="s">
        <v>163</v>
      </c>
      <c r="H87" s="3" t="s">
        <v>163</v>
      </c>
      <c r="I87" s="275" t="s">
        <v>3819</v>
      </c>
      <c r="J87" s="17"/>
      <c r="K87" s="17"/>
      <c r="L87" s="17"/>
      <c r="M87" s="375" t="str">
        <f t="shared" si="24"/>
        <v xml:space="preserve">Amarello Tecnologías de Información, S.A. de C.V  </v>
      </c>
      <c r="N87" s="959" t="s">
        <v>656</v>
      </c>
      <c r="O87" s="959" t="s">
        <v>656</v>
      </c>
      <c r="P87" s="959" t="s">
        <v>3820</v>
      </c>
      <c r="Q87" s="962">
        <v>750000</v>
      </c>
      <c r="R87" s="383">
        <f t="shared" si="33"/>
        <v>120000</v>
      </c>
      <c r="S87" s="384">
        <f t="shared" si="25"/>
        <v>870000</v>
      </c>
      <c r="T87" s="385">
        <v>0</v>
      </c>
      <c r="U87" s="386">
        <f t="shared" si="34"/>
        <v>0</v>
      </c>
      <c r="V87" s="383">
        <f t="shared" si="26"/>
        <v>870000</v>
      </c>
      <c r="W87" s="963" t="s">
        <v>156</v>
      </c>
      <c r="X87" s="387">
        <v>44376</v>
      </c>
      <c r="Y87" s="3" t="s">
        <v>496</v>
      </c>
      <c r="Z87" s="387">
        <v>44376</v>
      </c>
      <c r="AA87" s="387">
        <v>44408</v>
      </c>
      <c r="AB87" s="4" t="s">
        <v>3113</v>
      </c>
      <c r="AC87" s="4"/>
      <c r="AD87" s="6">
        <v>44382</v>
      </c>
      <c r="AE87" s="6" t="s">
        <v>161</v>
      </c>
      <c r="AF87" s="6" t="s">
        <v>161</v>
      </c>
      <c r="AG87" s="6" t="s">
        <v>161</v>
      </c>
      <c r="AH87" s="3" t="s">
        <v>183</v>
      </c>
      <c r="AI87" s="4"/>
      <c r="AJ87" s="4"/>
      <c r="AK87" s="388"/>
      <c r="AL87" s="383"/>
      <c r="AM87" s="414" t="str">
        <f t="shared" ca="1" si="31"/>
        <v>MUERTO</v>
      </c>
      <c r="AN87" s="3">
        <v>32701</v>
      </c>
      <c r="AO87" s="3"/>
      <c r="AP87" s="3" t="s">
        <v>496</v>
      </c>
      <c r="AQ87" s="3"/>
      <c r="AR87" s="3" t="s">
        <v>3813</v>
      </c>
      <c r="AS87" s="3"/>
      <c r="AT87" s="3"/>
      <c r="AU87" s="458"/>
      <c r="AV87" s="388"/>
      <c r="AW87" s="4"/>
      <c r="AX87" s="459"/>
      <c r="AY87" s="281" t="s">
        <v>3821</v>
      </c>
      <c r="AZ87" s="4"/>
      <c r="BA87" s="4" t="s">
        <v>3822</v>
      </c>
      <c r="BB87" s="5">
        <f t="shared" si="23"/>
        <v>32701</v>
      </c>
      <c r="BC87" s="544"/>
      <c r="BD87" s="6">
        <v>44368</v>
      </c>
      <c r="BE87" s="463">
        <v>44375</v>
      </c>
      <c r="BF87" s="463">
        <v>44377</v>
      </c>
      <c r="BG87" s="6">
        <v>44377</v>
      </c>
      <c r="BH87" s="415" t="str">
        <f t="shared" si="32"/>
        <v>Formalizado en tesoreria y FC 08/07/21</v>
      </c>
      <c r="BI87" s="416">
        <v>44383</v>
      </c>
      <c r="BJ87" s="255">
        <v>44379</v>
      </c>
      <c r="BK87" s="415" t="str">
        <f t="shared" si="27"/>
        <v>Formalizado en tesoreria y FC 08/07/21</v>
      </c>
      <c r="BL87" s="84"/>
      <c r="BM87" s="84"/>
      <c r="BN87" s="84"/>
      <c r="BO87" s="84"/>
      <c r="BP87" s="84"/>
      <c r="BQ87"/>
      <c r="BR87"/>
      <c r="BS87"/>
    </row>
    <row r="88" spans="1:71" ht="120" x14ac:dyDescent="0.25">
      <c r="A88" s="527" t="s">
        <v>3823</v>
      </c>
      <c r="B88" s="3">
        <v>84</v>
      </c>
      <c r="C88" s="4" t="s">
        <v>149</v>
      </c>
      <c r="D88" s="18" t="s">
        <v>3824</v>
      </c>
      <c r="E88" s="3" t="s">
        <v>151</v>
      </c>
      <c r="F88" s="3" t="s">
        <v>3793</v>
      </c>
      <c r="G88" s="3"/>
      <c r="H88" s="3" t="s">
        <v>151</v>
      </c>
      <c r="I88" s="375" t="s">
        <v>2473</v>
      </c>
      <c r="J88" s="17"/>
      <c r="K88" s="17"/>
      <c r="L88" s="17"/>
      <c r="M88" s="375" t="str">
        <f t="shared" si="24"/>
        <v xml:space="preserve">Cubyservicios Industriales, S.A. de C.V.  </v>
      </c>
      <c r="N88" s="959" t="s">
        <v>198</v>
      </c>
      <c r="O88" s="959" t="s">
        <v>198</v>
      </c>
      <c r="P88" s="959" t="s">
        <v>3825</v>
      </c>
      <c r="Q88" s="962">
        <v>1285728.48</v>
      </c>
      <c r="R88" s="383">
        <f t="shared" si="33"/>
        <v>205716.55679999999</v>
      </c>
      <c r="S88" s="384">
        <f t="shared" si="25"/>
        <v>1491445.0367999999</v>
      </c>
      <c r="T88" s="385">
        <v>0</v>
      </c>
      <c r="U88" s="386">
        <f t="shared" si="34"/>
        <v>0</v>
      </c>
      <c r="V88" s="383">
        <f t="shared" si="26"/>
        <v>1491445.0367999999</v>
      </c>
      <c r="W88" s="963" t="s">
        <v>156</v>
      </c>
      <c r="X88" s="387">
        <v>44378</v>
      </c>
      <c r="Y88" s="3" t="s">
        <v>496</v>
      </c>
      <c r="Z88" s="387">
        <v>44378</v>
      </c>
      <c r="AA88" s="387">
        <v>44483</v>
      </c>
      <c r="AB88" s="4" t="s">
        <v>3826</v>
      </c>
      <c r="AC88" s="4"/>
      <c r="AD88" s="6">
        <v>44391</v>
      </c>
      <c r="AE88" s="6">
        <v>44399</v>
      </c>
      <c r="AF88" s="6" t="s">
        <v>161</v>
      </c>
      <c r="AG88" s="6">
        <v>44462</v>
      </c>
      <c r="AH88" s="3" t="s">
        <v>183</v>
      </c>
      <c r="AI88" s="4"/>
      <c r="AJ88" s="4"/>
      <c r="AK88" s="388"/>
      <c r="AL88" s="383"/>
      <c r="AM88" s="414" t="str">
        <f t="shared" ca="1" si="31"/>
        <v>MUERTO</v>
      </c>
      <c r="AN88" s="3" t="s">
        <v>3827</v>
      </c>
      <c r="AO88" s="3"/>
      <c r="AP88" s="3" t="s">
        <v>696</v>
      </c>
      <c r="AQ88" s="3"/>
      <c r="AR88" s="3" t="s">
        <v>3813</v>
      </c>
      <c r="AS88" s="3"/>
      <c r="AT88" s="3"/>
      <c r="AU88" s="458"/>
      <c r="AV88" s="388"/>
      <c r="AW88" s="4"/>
      <c r="AX88" s="459"/>
      <c r="AY88" s="281" t="s">
        <v>3828</v>
      </c>
      <c r="AZ88" s="4"/>
      <c r="BA88" s="4" t="s">
        <v>3829</v>
      </c>
      <c r="BB88" s="5" t="str">
        <f t="shared" si="23"/>
        <v>35101
51901
51101
24101
24501
24601
24701
24801</v>
      </c>
      <c r="BC88" s="544">
        <v>130</v>
      </c>
      <c r="BD88" s="6">
        <v>44368</v>
      </c>
      <c r="BE88" s="463">
        <v>44375</v>
      </c>
      <c r="BF88" s="463">
        <v>44377</v>
      </c>
      <c r="BG88" s="6">
        <f>BJ88</f>
        <v>44383</v>
      </c>
      <c r="BH88" s="415" t="str">
        <f t="shared" si="32"/>
        <v>Formalizado en tesorería 26/07/21</v>
      </c>
      <c r="BI88" s="416">
        <v>44386</v>
      </c>
      <c r="BJ88" s="255">
        <v>44383</v>
      </c>
      <c r="BK88" s="415" t="str">
        <f t="shared" si="27"/>
        <v>Formalizado en tesorería 26/07/21</v>
      </c>
      <c r="BL88" s="84"/>
      <c r="BM88" s="84"/>
      <c r="BN88" s="84"/>
      <c r="BO88" s="84"/>
      <c r="BP88" s="84"/>
    </row>
    <row r="89" spans="1:71" s="468" customFormat="1" ht="120" x14ac:dyDescent="0.25">
      <c r="A89" s="527" t="s">
        <v>3830</v>
      </c>
      <c r="B89" s="3">
        <v>85</v>
      </c>
      <c r="C89" s="4" t="s">
        <v>149</v>
      </c>
      <c r="D89" s="4" t="s">
        <v>3831</v>
      </c>
      <c r="E89" s="3" t="s">
        <v>163</v>
      </c>
      <c r="F89" s="3" t="s">
        <v>188</v>
      </c>
      <c r="G89" s="3" t="s">
        <v>163</v>
      </c>
      <c r="H89" s="3" t="s">
        <v>163</v>
      </c>
      <c r="I89" s="275" t="s">
        <v>2797</v>
      </c>
      <c r="J89" s="17"/>
      <c r="K89" s="17"/>
      <c r="L89" s="17"/>
      <c r="M89" s="375" t="str">
        <f t="shared" si="24"/>
        <v xml:space="preserve">Distribución de Libros Miguel Ángel Porrúa, S.A. de C.V.  </v>
      </c>
      <c r="N89" s="959" t="s">
        <v>3832</v>
      </c>
      <c r="O89" s="959" t="s">
        <v>3832</v>
      </c>
      <c r="P89" s="959" t="s">
        <v>3833</v>
      </c>
      <c r="Q89" s="962">
        <v>561000</v>
      </c>
      <c r="R89" s="383">
        <f t="shared" si="33"/>
        <v>89760</v>
      </c>
      <c r="S89" s="384">
        <f t="shared" si="25"/>
        <v>650760</v>
      </c>
      <c r="T89" s="385">
        <v>0</v>
      </c>
      <c r="U89" s="386">
        <f t="shared" si="34"/>
        <v>0</v>
      </c>
      <c r="V89" s="383">
        <f t="shared" si="26"/>
        <v>650760</v>
      </c>
      <c r="W89" s="963" t="s">
        <v>156</v>
      </c>
      <c r="X89" s="387">
        <v>44384</v>
      </c>
      <c r="Y89" s="3" t="s">
        <v>696</v>
      </c>
      <c r="Z89" s="387">
        <v>44384</v>
      </c>
      <c r="AA89" s="387">
        <v>44407</v>
      </c>
      <c r="AB89" s="4" t="s">
        <v>2050</v>
      </c>
      <c r="AC89" s="4"/>
      <c r="AD89" s="6" t="s">
        <v>161</v>
      </c>
      <c r="AE89" s="6" t="s">
        <v>2547</v>
      </c>
      <c r="AF89" s="6" t="s">
        <v>161</v>
      </c>
      <c r="AG89" s="6" t="s">
        <v>161</v>
      </c>
      <c r="AH89" s="3" t="s">
        <v>2050</v>
      </c>
      <c r="AI89" s="4"/>
      <c r="AJ89" s="4"/>
      <c r="AK89" s="388"/>
      <c r="AL89" s="383"/>
      <c r="AM89" s="414" t="str">
        <f t="shared" ca="1" si="31"/>
        <v>MUERTO</v>
      </c>
      <c r="AN89" s="3">
        <v>33604</v>
      </c>
      <c r="AO89" s="3"/>
      <c r="AP89" s="3" t="s">
        <v>696</v>
      </c>
      <c r="AQ89" s="3"/>
      <c r="AR89" s="3" t="s">
        <v>3813</v>
      </c>
      <c r="AS89" s="3"/>
      <c r="AT89" s="3"/>
      <c r="AU89" s="458"/>
      <c r="AV89" s="388"/>
      <c r="AW89" s="4"/>
      <c r="AX89" s="459"/>
      <c r="AY89" s="281" t="s">
        <v>3798</v>
      </c>
      <c r="AZ89" s="4"/>
      <c r="BA89" s="4" t="s">
        <v>3684</v>
      </c>
      <c r="BB89" s="5">
        <f t="shared" si="23"/>
        <v>33604</v>
      </c>
      <c r="BC89" s="544">
        <v>194</v>
      </c>
      <c r="BD89" s="6">
        <v>44377</v>
      </c>
      <c r="BE89" s="463">
        <v>44379</v>
      </c>
      <c r="BF89" s="463">
        <v>44382</v>
      </c>
      <c r="BG89" s="6">
        <f>BJ89</f>
        <v>44383</v>
      </c>
      <c r="BH89" s="415" t="str">
        <f t="shared" si="32"/>
        <v>Formalizado en tesorería 07/07/21</v>
      </c>
      <c r="BI89" s="416">
        <f>BJ89</f>
        <v>44383</v>
      </c>
      <c r="BJ89" s="255">
        <v>44383</v>
      </c>
      <c r="BK89" s="415" t="str">
        <f t="shared" si="27"/>
        <v>Formalizado en tesorería 07/07/21</v>
      </c>
      <c r="BL89" s="84"/>
      <c r="BM89" s="84"/>
      <c r="BN89" s="84"/>
      <c r="BO89" s="84"/>
      <c r="BP89" s="84"/>
      <c r="BQ89"/>
      <c r="BR89"/>
      <c r="BS89"/>
    </row>
    <row r="90" spans="1:71" s="468" customFormat="1" ht="90" x14ac:dyDescent="0.25">
      <c r="A90" s="527" t="s">
        <v>3834</v>
      </c>
      <c r="B90" s="3">
        <v>86</v>
      </c>
      <c r="C90" s="4" t="s">
        <v>225</v>
      </c>
      <c r="D90" s="18" t="s">
        <v>3835</v>
      </c>
      <c r="E90" s="3" t="s">
        <v>163</v>
      </c>
      <c r="F90" s="3" t="s">
        <v>568</v>
      </c>
      <c r="G90" s="685" t="s">
        <v>546</v>
      </c>
      <c r="H90" s="3" t="s">
        <v>2237</v>
      </c>
      <c r="I90" s="275" t="s">
        <v>3577</v>
      </c>
      <c r="J90" s="17"/>
      <c r="K90" s="17"/>
      <c r="L90" s="17"/>
      <c r="M90" s="375" t="str">
        <f t="shared" si="24"/>
        <v xml:space="preserve">ESEOTRES PHARMA, S.A.P.I. DE C.V.  </v>
      </c>
      <c r="N90" s="959" t="s">
        <v>763</v>
      </c>
      <c r="O90" s="959" t="s">
        <v>763</v>
      </c>
      <c r="P90" s="959" t="s">
        <v>3836</v>
      </c>
      <c r="Q90" s="962">
        <v>2592000</v>
      </c>
      <c r="R90" s="383">
        <f t="shared" si="33"/>
        <v>414720</v>
      </c>
      <c r="S90" s="384">
        <f t="shared" si="25"/>
        <v>3006720</v>
      </c>
      <c r="T90" s="385">
        <v>0</v>
      </c>
      <c r="U90" s="386">
        <f t="shared" si="34"/>
        <v>0</v>
      </c>
      <c r="V90" s="383">
        <f t="shared" si="26"/>
        <v>3006720</v>
      </c>
      <c r="W90" s="963" t="s">
        <v>156</v>
      </c>
      <c r="X90" s="387">
        <v>44398</v>
      </c>
      <c r="Y90" s="3" t="s">
        <v>696</v>
      </c>
      <c r="Z90" s="387">
        <v>44398</v>
      </c>
      <c r="AA90" s="387">
        <v>44438</v>
      </c>
      <c r="AB90" s="4" t="s">
        <v>2050</v>
      </c>
      <c r="AC90" s="4"/>
      <c r="AD90" s="6" t="s">
        <v>161</v>
      </c>
      <c r="AE90" s="6" t="s">
        <v>2547</v>
      </c>
      <c r="AF90" s="6" t="s">
        <v>161</v>
      </c>
      <c r="AG90" s="6" t="s">
        <v>161</v>
      </c>
      <c r="AH90" s="3" t="s">
        <v>2050</v>
      </c>
      <c r="AI90" s="644"/>
      <c r="AJ90" s="644"/>
      <c r="AK90" s="637"/>
      <c r="AL90" s="638"/>
      <c r="AM90" s="414" t="str">
        <f t="shared" ca="1" si="31"/>
        <v>MUERTO</v>
      </c>
      <c r="AN90" s="3"/>
      <c r="AO90" s="3"/>
      <c r="AP90" s="3" t="s">
        <v>696</v>
      </c>
      <c r="AQ90" s="3"/>
      <c r="AR90" s="3" t="s">
        <v>3813</v>
      </c>
      <c r="AS90" s="3"/>
      <c r="AT90" s="3"/>
      <c r="AU90" s="458"/>
      <c r="AV90" s="388"/>
      <c r="AW90" s="4"/>
      <c r="AX90" s="459"/>
      <c r="AY90" s="281" t="s">
        <v>3837</v>
      </c>
      <c r="AZ90" s="4"/>
      <c r="BA90" s="4" t="s">
        <v>3580</v>
      </c>
      <c r="BB90" s="5">
        <f t="shared" si="23"/>
        <v>0</v>
      </c>
      <c r="BC90" s="544"/>
      <c r="BD90" s="6">
        <v>44391</v>
      </c>
      <c r="BE90" s="463">
        <v>44392</v>
      </c>
      <c r="BF90" s="463">
        <v>44397</v>
      </c>
      <c r="BG90" s="6">
        <f>BJ90</f>
        <v>44398</v>
      </c>
      <c r="BH90" s="415" t="str">
        <f t="shared" si="32"/>
        <v>Formalizado en Tesoreria 26/07/21</v>
      </c>
      <c r="BI90" s="416">
        <v>44400</v>
      </c>
      <c r="BJ90" s="255">
        <v>44398</v>
      </c>
      <c r="BK90" s="415" t="str">
        <f t="shared" si="27"/>
        <v>Formalizado en Tesoreria 26/07/21</v>
      </c>
      <c r="BL90" s="84"/>
      <c r="BM90" s="84"/>
      <c r="BN90" s="84"/>
      <c r="BO90" s="84"/>
      <c r="BP90" s="84"/>
      <c r="BQ90"/>
      <c r="BR90"/>
      <c r="BS90"/>
    </row>
    <row r="91" spans="1:71" ht="165" x14ac:dyDescent="0.25">
      <c r="A91" s="417" t="s">
        <v>3838</v>
      </c>
      <c r="B91" s="3">
        <v>87</v>
      </c>
      <c r="C91" s="4" t="s">
        <v>225</v>
      </c>
      <c r="D91" s="18" t="s">
        <v>3839</v>
      </c>
      <c r="E91" s="3" t="s">
        <v>173</v>
      </c>
      <c r="F91" s="3" t="s">
        <v>3785</v>
      </c>
      <c r="G91" s="3"/>
      <c r="H91" s="3" t="s">
        <v>173</v>
      </c>
      <c r="I91" s="275" t="s">
        <v>1761</v>
      </c>
      <c r="J91" s="17"/>
      <c r="K91" s="17"/>
      <c r="L91" s="17"/>
      <c r="M91" s="375" t="str">
        <f t="shared" si="24"/>
        <v xml:space="preserve">Interamericana CMH, S.A. de C.V.  </v>
      </c>
      <c r="N91" s="959" t="s">
        <v>198</v>
      </c>
      <c r="O91" s="959" t="s">
        <v>198</v>
      </c>
      <c r="P91" s="959" t="s">
        <v>3840</v>
      </c>
      <c r="Q91" s="962">
        <v>1894200</v>
      </c>
      <c r="R91" s="383">
        <f t="shared" si="33"/>
        <v>303072</v>
      </c>
      <c r="S91" s="384">
        <f t="shared" si="25"/>
        <v>2197272</v>
      </c>
      <c r="T91" s="385">
        <v>737800</v>
      </c>
      <c r="U91" s="386">
        <f t="shared" si="34"/>
        <v>855848</v>
      </c>
      <c r="V91" s="383">
        <f t="shared" si="26"/>
        <v>2746590</v>
      </c>
      <c r="W91" s="963" t="s">
        <v>156</v>
      </c>
      <c r="X91" s="387">
        <v>44396</v>
      </c>
      <c r="Y91" s="3" t="s">
        <v>696</v>
      </c>
      <c r="Z91" s="387">
        <v>44396</v>
      </c>
      <c r="AA91" s="531" t="s">
        <v>3841</v>
      </c>
      <c r="AB91" s="4" t="s">
        <v>3113</v>
      </c>
      <c r="AC91" s="4"/>
      <c r="AD91" s="6">
        <v>44419</v>
      </c>
      <c r="AE91" s="6" t="s">
        <v>2547</v>
      </c>
      <c r="AF91" s="6" t="s">
        <v>161</v>
      </c>
      <c r="AG91" s="6" t="s">
        <v>161</v>
      </c>
      <c r="AH91" s="3" t="s">
        <v>183</v>
      </c>
      <c r="AI91" s="644" t="s">
        <v>3842</v>
      </c>
      <c r="AJ91" s="644" t="s">
        <v>3843</v>
      </c>
      <c r="AK91" s="660">
        <v>44558</v>
      </c>
      <c r="AL91" s="638">
        <v>549318</v>
      </c>
      <c r="AM91" s="414" t="str">
        <f t="shared" ca="1" si="31"/>
        <v>VIGENTE</v>
      </c>
      <c r="AN91" s="3"/>
      <c r="AO91" s="3"/>
      <c r="AP91" s="3" t="s">
        <v>696</v>
      </c>
      <c r="AQ91" s="3"/>
      <c r="AR91" s="3" t="s">
        <v>3844</v>
      </c>
      <c r="AS91" s="3"/>
      <c r="AT91" s="3"/>
      <c r="AU91" s="458"/>
      <c r="AV91" s="388"/>
      <c r="AW91" s="4"/>
      <c r="AX91" s="459"/>
      <c r="AY91" s="281" t="s">
        <v>3845</v>
      </c>
      <c r="AZ91" s="4"/>
      <c r="BA91" s="4" t="e">
        <f>VLOOKUP(I91,#REF!,2,0)</f>
        <v>#REF!</v>
      </c>
      <c r="BB91" s="5">
        <f t="shared" si="23"/>
        <v>0</v>
      </c>
      <c r="BC91" s="544"/>
      <c r="BD91" s="6">
        <v>44392</v>
      </c>
      <c r="BE91" s="463">
        <v>44393</v>
      </c>
      <c r="BF91" s="463" t="s">
        <v>3846</v>
      </c>
      <c r="BG91" s="6">
        <v>44399</v>
      </c>
      <c r="BH91" s="415" t="str">
        <f t="shared" si="32"/>
        <v>Formalizado contrato y FC en tesoreria 13/08/21
Formalizado Convenio Modificatorio 28/01/22</v>
      </c>
      <c r="BI91" s="416" t="s">
        <v>3847</v>
      </c>
      <c r="BJ91" s="255" t="s">
        <v>3848</v>
      </c>
      <c r="BK91" s="415" t="str">
        <f t="shared" si="27"/>
        <v>Formalizado contrato y FC en tesoreria 13/08/21
Formalizado Convenio Modificatorio 28/01/22</v>
      </c>
      <c r="BL91" s="84"/>
      <c r="BM91" s="84"/>
      <c r="BN91" s="84"/>
      <c r="BO91" s="84"/>
      <c r="BP91" s="84"/>
    </row>
    <row r="92" spans="1:71" s="468" customFormat="1" ht="240" x14ac:dyDescent="0.25">
      <c r="A92" s="417" t="s">
        <v>3849</v>
      </c>
      <c r="B92" s="3">
        <v>88</v>
      </c>
      <c r="C92" s="4" t="s">
        <v>225</v>
      </c>
      <c r="D92" s="18" t="s">
        <v>3839</v>
      </c>
      <c r="E92" s="3" t="s">
        <v>173</v>
      </c>
      <c r="F92" s="3" t="s">
        <v>3785</v>
      </c>
      <c r="G92" s="3"/>
      <c r="H92" s="3" t="s">
        <v>173</v>
      </c>
      <c r="I92" s="275"/>
      <c r="J92" s="17" t="s">
        <v>3850</v>
      </c>
      <c r="K92" s="17" t="s">
        <v>3851</v>
      </c>
      <c r="L92" s="17" t="s">
        <v>3852</v>
      </c>
      <c r="M92" s="375" t="str">
        <f t="shared" si="24"/>
        <v>Roberto Carlos Blanco Senties</v>
      </c>
      <c r="N92" s="959" t="s">
        <v>198</v>
      </c>
      <c r="O92" s="959" t="s">
        <v>198</v>
      </c>
      <c r="P92" s="959" t="s">
        <v>3853</v>
      </c>
      <c r="Q92" s="962">
        <v>1064800</v>
      </c>
      <c r="R92" s="383">
        <f t="shared" si="33"/>
        <v>170368</v>
      </c>
      <c r="S92" s="384">
        <f t="shared" si="25"/>
        <v>1235168</v>
      </c>
      <c r="T92" s="385">
        <v>517750</v>
      </c>
      <c r="U92" s="386">
        <f t="shared" si="34"/>
        <v>600590</v>
      </c>
      <c r="V92" s="383">
        <f t="shared" si="26"/>
        <v>1543960</v>
      </c>
      <c r="W92" s="963" t="s">
        <v>156</v>
      </c>
      <c r="X92" s="387">
        <v>44396</v>
      </c>
      <c r="Y92" s="3" t="s">
        <v>696</v>
      </c>
      <c r="Z92" s="387">
        <v>44396</v>
      </c>
      <c r="AA92" s="531" t="s">
        <v>3044</v>
      </c>
      <c r="AB92" s="4" t="s">
        <v>3113</v>
      </c>
      <c r="AC92" s="4"/>
      <c r="AD92" s="6">
        <v>44412</v>
      </c>
      <c r="AE92" s="6" t="s">
        <v>2547</v>
      </c>
      <c r="AF92" s="6" t="s">
        <v>161</v>
      </c>
      <c r="AG92" s="6" t="s">
        <v>161</v>
      </c>
      <c r="AH92" s="3" t="s">
        <v>183</v>
      </c>
      <c r="AI92" s="527" t="s">
        <v>3854</v>
      </c>
      <c r="AJ92" s="4" t="s">
        <v>3855</v>
      </c>
      <c r="AK92" s="388">
        <v>44560</v>
      </c>
      <c r="AL92" s="383">
        <v>308792</v>
      </c>
      <c r="AM92" s="414"/>
      <c r="AN92" s="3"/>
      <c r="AO92" s="3"/>
      <c r="AP92" s="3" t="s">
        <v>696</v>
      </c>
      <c r="AQ92" s="3"/>
      <c r="AR92" s="3" t="s">
        <v>3844</v>
      </c>
      <c r="AS92" s="3"/>
      <c r="AT92" s="3"/>
      <c r="AU92" s="458"/>
      <c r="AV92" s="388"/>
      <c r="AW92" s="4"/>
      <c r="AX92" s="459"/>
      <c r="AY92" s="281" t="s">
        <v>3856</v>
      </c>
      <c r="AZ92" s="4"/>
      <c r="BA92" s="4"/>
      <c r="BB92" s="5">
        <f t="shared" si="23"/>
        <v>0</v>
      </c>
      <c r="BC92" s="544"/>
      <c r="BD92" s="6">
        <v>44392</v>
      </c>
      <c r="BE92" s="463">
        <v>44393</v>
      </c>
      <c r="BF92" s="463">
        <v>44397</v>
      </c>
      <c r="BG92" s="6">
        <v>44399</v>
      </c>
      <c r="BH92" s="415" t="str">
        <f t="shared" si="32"/>
        <v>Formalizado en tesoreria Contrato y FC 06/08/21
1ER MODIF. FORMALLIZADO CON ENDOSO DE FC EN TESORERÍA 19/01/22</v>
      </c>
      <c r="BI92" s="416" t="s">
        <v>3857</v>
      </c>
      <c r="BJ92" s="255" t="s">
        <v>3858</v>
      </c>
      <c r="BK92" s="415" t="str">
        <f t="shared" si="27"/>
        <v>Formalizado en tesoreria Contrato y FC 06/08/21
1ER MODIF. FORMALLIZADO CON ENDOSO DE FC EN TESORERÍA 19/01/22</v>
      </c>
      <c r="BL92" s="84"/>
      <c r="BM92" s="84"/>
      <c r="BN92" s="84"/>
      <c r="BO92" s="84"/>
      <c r="BP92" s="84"/>
      <c r="BQ92"/>
      <c r="BR92"/>
      <c r="BS92"/>
    </row>
    <row r="93" spans="1:71" ht="240" x14ac:dyDescent="0.25">
      <c r="A93" s="417" t="s">
        <v>3859</v>
      </c>
      <c r="B93" s="3">
        <v>89</v>
      </c>
      <c r="C93" s="4" t="s">
        <v>225</v>
      </c>
      <c r="D93" s="18" t="s">
        <v>3839</v>
      </c>
      <c r="E93" s="3" t="s">
        <v>173</v>
      </c>
      <c r="F93" s="3" t="s">
        <v>3785</v>
      </c>
      <c r="G93" s="3"/>
      <c r="H93" s="3" t="s">
        <v>173</v>
      </c>
      <c r="I93" s="275"/>
      <c r="J93" s="17" t="s">
        <v>3860</v>
      </c>
      <c r="K93" s="17" t="s">
        <v>2628</v>
      </c>
      <c r="L93" s="17" t="s">
        <v>3861</v>
      </c>
      <c r="M93" s="375" t="str">
        <f t="shared" si="24"/>
        <v>Brenda Rojas Aranda</v>
      </c>
      <c r="N93" s="959" t="s">
        <v>198</v>
      </c>
      <c r="O93" s="959" t="s">
        <v>198</v>
      </c>
      <c r="P93" s="959" t="s">
        <v>3862</v>
      </c>
      <c r="Q93" s="962">
        <v>495000</v>
      </c>
      <c r="R93" s="383">
        <f t="shared" si="33"/>
        <v>79200</v>
      </c>
      <c r="S93" s="384">
        <f t="shared" si="25"/>
        <v>574200</v>
      </c>
      <c r="T93" s="385">
        <v>244500</v>
      </c>
      <c r="U93" s="386">
        <f t="shared" si="34"/>
        <v>283620</v>
      </c>
      <c r="V93" s="383">
        <f t="shared" si="26"/>
        <v>717750</v>
      </c>
      <c r="W93" s="963" t="s">
        <v>156</v>
      </c>
      <c r="X93" s="387">
        <v>44396</v>
      </c>
      <c r="Y93" s="3" t="s">
        <v>696</v>
      </c>
      <c r="Z93" s="387">
        <v>44396</v>
      </c>
      <c r="AA93" s="531" t="s">
        <v>3044</v>
      </c>
      <c r="AB93" s="4" t="s">
        <v>3113</v>
      </c>
      <c r="AC93" s="4"/>
      <c r="AD93" s="6">
        <v>44404</v>
      </c>
      <c r="AE93" s="6" t="s">
        <v>2547</v>
      </c>
      <c r="AF93" s="6" t="s">
        <v>161</v>
      </c>
      <c r="AG93" s="6" t="s">
        <v>161</v>
      </c>
      <c r="AH93" s="3" t="s">
        <v>183</v>
      </c>
      <c r="AI93" s="527" t="s">
        <v>3854</v>
      </c>
      <c r="AJ93" s="4" t="s">
        <v>3863</v>
      </c>
      <c r="AK93" s="388">
        <v>44560</v>
      </c>
      <c r="AL93" s="383">
        <v>143550</v>
      </c>
      <c r="AM93" s="414" t="str">
        <f t="shared" ref="AM93:AM102" ca="1" si="35">IF(ISBLANK(AA93),"",IF(AA93&gt;=TODAY(),"VIGENTE","MUERTO"))</f>
        <v>VIGENTE</v>
      </c>
      <c r="AN93" s="3"/>
      <c r="AO93" s="3"/>
      <c r="AP93" s="3" t="s">
        <v>696</v>
      </c>
      <c r="AQ93" s="3"/>
      <c r="AR93" s="3" t="s">
        <v>3813</v>
      </c>
      <c r="AS93" s="3"/>
      <c r="AT93" s="3"/>
      <c r="AU93" s="458"/>
      <c r="AV93" s="388"/>
      <c r="AW93" s="4"/>
      <c r="AX93" s="459"/>
      <c r="AY93" s="281" t="s">
        <v>3864</v>
      </c>
      <c r="AZ93" s="4"/>
      <c r="BA93" s="4" t="s">
        <v>3865</v>
      </c>
      <c r="BB93" s="5">
        <f t="shared" si="23"/>
        <v>0</v>
      </c>
      <c r="BC93" s="544"/>
      <c r="BD93" s="6">
        <v>44392</v>
      </c>
      <c r="BE93" s="463">
        <v>44393</v>
      </c>
      <c r="BF93" s="463" t="s">
        <v>3866</v>
      </c>
      <c r="BG93" s="6">
        <v>44399</v>
      </c>
      <c r="BH93" s="415" t="str">
        <f t="shared" si="32"/>
        <v>Formalizado en tesorería 28/07/21
1er Modifi y endoso de FC 13/01/22</v>
      </c>
      <c r="BI93" s="416" t="s">
        <v>3867</v>
      </c>
      <c r="BJ93" s="255" t="s">
        <v>3858</v>
      </c>
      <c r="BK93" s="415" t="str">
        <f t="shared" si="27"/>
        <v>Formalizado en tesorería 28/07/21
1er Modifi y endoso de FC 13/01/22</v>
      </c>
      <c r="BL93" s="84"/>
      <c r="BM93" s="84"/>
      <c r="BN93" s="84"/>
      <c r="BO93" s="84"/>
      <c r="BP93" s="84"/>
    </row>
    <row r="94" spans="1:71" ht="135" x14ac:dyDescent="0.25">
      <c r="A94" s="527" t="s">
        <v>3868</v>
      </c>
      <c r="B94" s="3">
        <v>90</v>
      </c>
      <c r="C94" s="4" t="s">
        <v>225</v>
      </c>
      <c r="D94" s="18" t="s">
        <v>3835</v>
      </c>
      <c r="E94" s="3" t="s">
        <v>163</v>
      </c>
      <c r="F94" s="3" t="s">
        <v>568</v>
      </c>
      <c r="G94" s="685" t="s">
        <v>546</v>
      </c>
      <c r="H94" s="3" t="s">
        <v>2237</v>
      </c>
      <c r="I94" s="275"/>
      <c r="J94" s="17" t="s">
        <v>3869</v>
      </c>
      <c r="K94" s="17" t="s">
        <v>393</v>
      </c>
      <c r="L94" s="17" t="s">
        <v>3870</v>
      </c>
      <c r="M94" s="375" t="str">
        <f t="shared" si="24"/>
        <v>Juan Antonio Martínez Cruz</v>
      </c>
      <c r="N94" s="959" t="s">
        <v>198</v>
      </c>
      <c r="O94" s="959" t="s">
        <v>198</v>
      </c>
      <c r="P94" s="959" t="s">
        <v>3871</v>
      </c>
      <c r="Q94" s="962">
        <v>967500</v>
      </c>
      <c r="R94" s="383">
        <f t="shared" si="33"/>
        <v>154800</v>
      </c>
      <c r="S94" s="384">
        <f t="shared" si="25"/>
        <v>1122300</v>
      </c>
      <c r="T94" s="385">
        <v>0</v>
      </c>
      <c r="U94" s="386">
        <f t="shared" si="34"/>
        <v>0</v>
      </c>
      <c r="V94" s="383">
        <f t="shared" si="26"/>
        <v>1122300</v>
      </c>
      <c r="W94" s="963" t="s">
        <v>156</v>
      </c>
      <c r="X94" s="387">
        <v>44398</v>
      </c>
      <c r="Y94" s="3" t="s">
        <v>696</v>
      </c>
      <c r="Z94" s="387">
        <v>44398</v>
      </c>
      <c r="AA94" s="387">
        <v>44438</v>
      </c>
      <c r="AB94" s="4" t="s">
        <v>2050</v>
      </c>
      <c r="AC94" s="4"/>
      <c r="AD94" s="6" t="s">
        <v>161</v>
      </c>
      <c r="AE94" s="6" t="s">
        <v>2547</v>
      </c>
      <c r="AF94" s="6" t="s">
        <v>161</v>
      </c>
      <c r="AG94" s="6" t="s">
        <v>161</v>
      </c>
      <c r="AH94" s="3" t="s">
        <v>2050</v>
      </c>
      <c r="AI94" s="4"/>
      <c r="AJ94" s="4"/>
      <c r="AK94" s="388"/>
      <c r="AL94" s="383"/>
      <c r="AM94" s="414" t="str">
        <f t="shared" ca="1" si="35"/>
        <v>MUERTO</v>
      </c>
      <c r="AN94" s="3"/>
      <c r="AO94" s="3"/>
      <c r="AP94" s="3" t="s">
        <v>696</v>
      </c>
      <c r="AQ94" s="3"/>
      <c r="AR94" s="3" t="s">
        <v>3813</v>
      </c>
      <c r="AS94" s="3"/>
      <c r="AT94" s="3"/>
      <c r="AU94" s="458"/>
      <c r="AV94" s="388"/>
      <c r="AW94" s="4"/>
      <c r="AX94" s="459"/>
      <c r="AY94" s="281" t="s">
        <v>3837</v>
      </c>
      <c r="AZ94" s="4"/>
      <c r="BA94" s="4" t="e">
        <f>VLOOKUP(I94,#REF!,2,0)</f>
        <v>#REF!</v>
      </c>
      <c r="BB94" s="5">
        <f t="shared" si="23"/>
        <v>0</v>
      </c>
      <c r="BC94" s="544"/>
      <c r="BD94" s="6">
        <v>44391</v>
      </c>
      <c r="BE94" s="463">
        <v>44392</v>
      </c>
      <c r="BF94" s="463">
        <v>44398</v>
      </c>
      <c r="BG94" s="6">
        <f>BJ94</f>
        <v>44400</v>
      </c>
      <c r="BH94" s="415" t="str">
        <f t="shared" si="32"/>
        <v>Formalizado en Tesoreria 26/07/21</v>
      </c>
      <c r="BI94" s="416">
        <f>BJ94</f>
        <v>44400</v>
      </c>
      <c r="BJ94" s="255">
        <v>44400</v>
      </c>
      <c r="BK94" s="415" t="str">
        <f t="shared" si="27"/>
        <v>Formalizado en Tesoreria 26/07/21</v>
      </c>
      <c r="BL94" s="84"/>
      <c r="BM94" s="84"/>
      <c r="BN94" s="84"/>
      <c r="BO94" s="84"/>
      <c r="BP94" s="84"/>
    </row>
    <row r="95" spans="1:71" ht="120" x14ac:dyDescent="0.25">
      <c r="A95" s="527" t="s">
        <v>3872</v>
      </c>
      <c r="B95" s="3">
        <v>91</v>
      </c>
      <c r="C95" s="4" t="s">
        <v>149</v>
      </c>
      <c r="D95" s="18" t="s">
        <v>3873</v>
      </c>
      <c r="E95" s="3" t="s">
        <v>163</v>
      </c>
      <c r="F95" s="3" t="s">
        <v>3874</v>
      </c>
      <c r="G95" s="3" t="s">
        <v>163</v>
      </c>
      <c r="H95" s="3" t="s">
        <v>163</v>
      </c>
      <c r="I95" s="275" t="s">
        <v>2797</v>
      </c>
      <c r="J95" s="17"/>
      <c r="K95" s="17"/>
      <c r="L95" s="17"/>
      <c r="M95" s="375" t="str">
        <f t="shared" si="24"/>
        <v xml:space="preserve">Distribución de Libros Miguel Ángel Porrúa, S.A. de C.V.  </v>
      </c>
      <c r="N95" s="959" t="s">
        <v>3832</v>
      </c>
      <c r="O95" s="959" t="s">
        <v>3681</v>
      </c>
      <c r="P95" s="959" t="s">
        <v>3875</v>
      </c>
      <c r="Q95" s="962">
        <v>1074000</v>
      </c>
      <c r="R95" s="383">
        <f t="shared" si="33"/>
        <v>171840</v>
      </c>
      <c r="S95" s="384">
        <f t="shared" si="25"/>
        <v>1245840</v>
      </c>
      <c r="T95" s="385">
        <v>0</v>
      </c>
      <c r="U95" s="386">
        <f t="shared" si="34"/>
        <v>0</v>
      </c>
      <c r="V95" s="383">
        <f t="shared" si="26"/>
        <v>1245840</v>
      </c>
      <c r="W95" s="963" t="s">
        <v>156</v>
      </c>
      <c r="X95" s="387">
        <v>44398</v>
      </c>
      <c r="Y95" s="3" t="s">
        <v>696</v>
      </c>
      <c r="Z95" s="387">
        <v>44398</v>
      </c>
      <c r="AA95" s="387">
        <v>44407</v>
      </c>
      <c r="AB95" s="4" t="s">
        <v>2050</v>
      </c>
      <c r="AC95" s="4"/>
      <c r="AD95" s="6" t="s">
        <v>161</v>
      </c>
      <c r="AE95" s="6" t="s">
        <v>2547</v>
      </c>
      <c r="AF95" s="6" t="s">
        <v>161</v>
      </c>
      <c r="AG95" s="6" t="s">
        <v>161</v>
      </c>
      <c r="AH95" s="3" t="s">
        <v>2050</v>
      </c>
      <c r="AI95" s="4"/>
      <c r="AJ95" s="4"/>
      <c r="AK95" s="388"/>
      <c r="AL95" s="383"/>
      <c r="AM95" s="414" t="str">
        <f t="shared" ca="1" si="35"/>
        <v>MUERTO</v>
      </c>
      <c r="AN95" s="3"/>
      <c r="AO95" s="3"/>
      <c r="AP95" s="3" t="s">
        <v>696</v>
      </c>
      <c r="AQ95" s="3"/>
      <c r="AR95" s="3" t="s">
        <v>3813</v>
      </c>
      <c r="AS95" s="3"/>
      <c r="AT95" s="3"/>
      <c r="AU95" s="458"/>
      <c r="AV95" s="388"/>
      <c r="AW95" s="4"/>
      <c r="AX95" s="459"/>
      <c r="AY95" s="281" t="s">
        <v>3876</v>
      </c>
      <c r="AZ95" s="4"/>
      <c r="BA95" s="4" t="s">
        <v>3684</v>
      </c>
      <c r="BB95" s="5">
        <f t="shared" si="23"/>
        <v>0</v>
      </c>
      <c r="BC95" s="544"/>
      <c r="BD95" s="6">
        <v>44396</v>
      </c>
      <c r="BE95" s="463">
        <v>44396</v>
      </c>
      <c r="BF95" s="463">
        <v>44398</v>
      </c>
      <c r="BG95" s="6">
        <f>BJ95</f>
        <v>44399</v>
      </c>
      <c r="BH95" s="415" t="str">
        <f t="shared" si="32"/>
        <v>Formalizado en Tesoreria 27/07/21</v>
      </c>
      <c r="BI95" s="416">
        <v>44400</v>
      </c>
      <c r="BJ95" s="255">
        <v>44399</v>
      </c>
      <c r="BK95" s="415" t="str">
        <f t="shared" si="27"/>
        <v>Formalizado en Tesoreria 27/07/21</v>
      </c>
      <c r="BL95" s="84"/>
      <c r="BM95" s="84"/>
      <c r="BN95" s="84"/>
      <c r="BO95" s="84"/>
      <c r="BP95" s="84"/>
    </row>
    <row r="96" spans="1:71" s="468" customFormat="1" ht="240" x14ac:dyDescent="0.25">
      <c r="A96" s="527" t="s">
        <v>3877</v>
      </c>
      <c r="B96" s="3">
        <v>92</v>
      </c>
      <c r="C96" s="4" t="s">
        <v>3878</v>
      </c>
      <c r="D96" s="18" t="s">
        <v>3835</v>
      </c>
      <c r="E96" s="3" t="s">
        <v>163</v>
      </c>
      <c r="F96" s="3" t="s">
        <v>3874</v>
      </c>
      <c r="G96" s="3" t="s">
        <v>163</v>
      </c>
      <c r="H96" s="3" t="s">
        <v>2237</v>
      </c>
      <c r="I96" s="275" t="s">
        <v>2877</v>
      </c>
      <c r="J96" s="17"/>
      <c r="K96" s="17"/>
      <c r="L96" s="17"/>
      <c r="M96" s="375" t="str">
        <f t="shared" si="24"/>
        <v xml:space="preserve">Megarquitectos, S.A. de C.V.  </v>
      </c>
      <c r="N96" s="959" t="s">
        <v>198</v>
      </c>
      <c r="O96" s="959" t="s">
        <v>198</v>
      </c>
      <c r="P96" s="959" t="s">
        <v>3879</v>
      </c>
      <c r="Q96" s="962">
        <v>7241372.5899999999</v>
      </c>
      <c r="R96" s="383">
        <f t="shared" si="33"/>
        <v>1158619.6144000001</v>
      </c>
      <c r="S96" s="384">
        <f t="shared" si="25"/>
        <v>8399992.2043999992</v>
      </c>
      <c r="T96" s="385">
        <v>0</v>
      </c>
      <c r="U96" s="386">
        <f t="shared" si="34"/>
        <v>0</v>
      </c>
      <c r="V96" s="383">
        <f t="shared" si="26"/>
        <v>8399992.2043999992</v>
      </c>
      <c r="W96" s="963" t="s">
        <v>156</v>
      </c>
      <c r="X96" s="387">
        <v>44407</v>
      </c>
      <c r="Y96" s="3" t="s">
        <v>696</v>
      </c>
      <c r="Z96" s="387">
        <v>44407</v>
      </c>
      <c r="AA96" s="387">
        <v>44560</v>
      </c>
      <c r="AB96" s="4" t="s">
        <v>3880</v>
      </c>
      <c r="AC96" s="4" t="s">
        <v>3881</v>
      </c>
      <c r="AD96" s="6">
        <v>44420</v>
      </c>
      <c r="AE96" s="6">
        <v>44421</v>
      </c>
      <c r="AF96" s="6">
        <v>44421</v>
      </c>
      <c r="AG96" s="6">
        <v>44565</v>
      </c>
      <c r="AH96" s="3" t="s">
        <v>183</v>
      </c>
      <c r="AI96" s="4"/>
      <c r="AJ96" s="4"/>
      <c r="AK96" s="388"/>
      <c r="AL96" s="383"/>
      <c r="AM96" s="414" t="str">
        <f t="shared" ca="1" si="35"/>
        <v>MUERTO</v>
      </c>
      <c r="AN96" s="3"/>
      <c r="AO96" s="3"/>
      <c r="AP96" s="3" t="s">
        <v>696</v>
      </c>
      <c r="AQ96" s="3"/>
      <c r="AR96" s="3" t="s">
        <v>3844</v>
      </c>
      <c r="AS96" s="3"/>
      <c r="AT96" s="3"/>
      <c r="AU96" s="458"/>
      <c r="AV96" s="388"/>
      <c r="AW96" s="4"/>
      <c r="AX96" s="459"/>
      <c r="AY96" s="281" t="s">
        <v>3882</v>
      </c>
      <c r="AZ96" s="4"/>
      <c r="BA96" s="4" t="s">
        <v>3883</v>
      </c>
      <c r="BB96" s="5">
        <f t="shared" si="23"/>
        <v>0</v>
      </c>
      <c r="BC96" s="544"/>
      <c r="BD96" s="6">
        <v>44397</v>
      </c>
      <c r="BE96" s="463">
        <v>44398</v>
      </c>
      <c r="BF96" s="463">
        <v>44400</v>
      </c>
      <c r="BG96" s="6">
        <v>44400</v>
      </c>
      <c r="BH96" s="415" t="str">
        <f t="shared" si="32"/>
        <v>Formalizado contrato y f anticipo en tesoreria 13/08/21</v>
      </c>
      <c r="BI96" s="416">
        <v>44413</v>
      </c>
      <c r="BJ96" s="255">
        <v>44406</v>
      </c>
      <c r="BK96" s="415" t="str">
        <f t="shared" si="27"/>
        <v>Formalizado contrato y f anticipo en tesoreria 13/08/21</v>
      </c>
      <c r="BL96" s="84"/>
      <c r="BM96" s="84"/>
      <c r="BN96" s="84"/>
      <c r="BO96" s="84"/>
      <c r="BP96" s="84"/>
      <c r="BQ96"/>
      <c r="BR96"/>
      <c r="BS96"/>
    </row>
    <row r="97" spans="1:71" ht="195" x14ac:dyDescent="0.25">
      <c r="A97" s="417" t="s">
        <v>3884</v>
      </c>
      <c r="B97" s="3">
        <v>93</v>
      </c>
      <c r="C97" s="4" t="s">
        <v>3878</v>
      </c>
      <c r="D97" s="18" t="s">
        <v>3835</v>
      </c>
      <c r="E97" s="3" t="s">
        <v>163</v>
      </c>
      <c r="F97" s="3" t="s">
        <v>3874</v>
      </c>
      <c r="G97" s="3" t="s">
        <v>163</v>
      </c>
      <c r="H97" s="3" t="s">
        <v>2237</v>
      </c>
      <c r="I97" s="275" t="s">
        <v>3885</v>
      </c>
      <c r="J97" s="17"/>
      <c r="K97" s="17"/>
      <c r="L97" s="17"/>
      <c r="M97" s="375" t="str">
        <f t="shared" si="24"/>
        <v xml:space="preserve">Sackbé, S.A. de C.V.  </v>
      </c>
      <c r="N97" s="959" t="s">
        <v>198</v>
      </c>
      <c r="O97" s="959" t="s">
        <v>198</v>
      </c>
      <c r="P97" s="959" t="s">
        <v>3886</v>
      </c>
      <c r="Q97" s="962">
        <v>3703373.84</v>
      </c>
      <c r="R97" s="383">
        <f t="shared" si="33"/>
        <v>592539.81440000003</v>
      </c>
      <c r="S97" s="384">
        <f t="shared" si="25"/>
        <v>4295913.6544000003</v>
      </c>
      <c r="T97" s="385">
        <v>0</v>
      </c>
      <c r="U97" s="386">
        <f t="shared" si="34"/>
        <v>0</v>
      </c>
      <c r="V97" s="383">
        <f t="shared" si="26"/>
        <v>4295913.6544000003</v>
      </c>
      <c r="W97" s="963" t="s">
        <v>156</v>
      </c>
      <c r="X97" s="387">
        <v>44407</v>
      </c>
      <c r="Y97" s="3" t="s">
        <v>696</v>
      </c>
      <c r="Z97" s="387">
        <v>44407</v>
      </c>
      <c r="AA97" s="387">
        <v>44887</v>
      </c>
      <c r="AB97" s="4" t="s">
        <v>3880</v>
      </c>
      <c r="AC97" s="4" t="s">
        <v>3887</v>
      </c>
      <c r="AD97" s="6">
        <v>44421</v>
      </c>
      <c r="AE97" s="6">
        <v>44425</v>
      </c>
      <c r="AF97" s="6">
        <v>44417</v>
      </c>
      <c r="AG97" s="6">
        <v>44532</v>
      </c>
      <c r="AH97" s="3" t="s">
        <v>183</v>
      </c>
      <c r="AI97" s="4" t="s">
        <v>3888</v>
      </c>
      <c r="AJ97" s="4" t="s">
        <v>3889</v>
      </c>
      <c r="AK97" s="388">
        <v>44499</v>
      </c>
      <c r="AL97" s="383">
        <v>0</v>
      </c>
      <c r="AM97" s="414" t="str">
        <f t="shared" ca="1" si="35"/>
        <v>MUERTO</v>
      </c>
      <c r="AN97" s="3"/>
      <c r="AO97" s="3"/>
      <c r="AP97" s="3" t="s">
        <v>696</v>
      </c>
      <c r="AQ97" s="3" t="s">
        <v>881</v>
      </c>
      <c r="AR97" s="3" t="s">
        <v>3844</v>
      </c>
      <c r="AS97" s="3"/>
      <c r="AT97" s="3"/>
      <c r="AU97" s="458"/>
      <c r="AV97" s="388"/>
      <c r="AW97" s="4"/>
      <c r="AX97" s="459"/>
      <c r="AY97" s="281" t="s">
        <v>3890</v>
      </c>
      <c r="AZ97" s="4"/>
      <c r="BA97" s="4" t="s">
        <v>3891</v>
      </c>
      <c r="BB97" s="5">
        <f t="shared" si="23"/>
        <v>0</v>
      </c>
      <c r="BC97" s="544"/>
      <c r="BD97" s="6">
        <v>44397</v>
      </c>
      <c r="BE97" s="463">
        <v>44398</v>
      </c>
      <c r="BF97" s="463">
        <v>44400</v>
      </c>
      <c r="BG97" s="6" t="str">
        <f>BJ97</f>
        <v>29/07/2021
05/11/2021</v>
      </c>
      <c r="BH97" s="415" t="str">
        <f t="shared" si="32"/>
        <v>Formalizado Contrato y Fianza de Anticipo 05/08/21
FC y PRC 17/08
1er Modif con endoso de FC y PRC en tesorería 19/11</v>
      </c>
      <c r="BI97" s="416" t="s">
        <v>3892</v>
      </c>
      <c r="BJ97" s="255" t="s">
        <v>3893</v>
      </c>
      <c r="BK97" s="415" t="str">
        <f t="shared" si="27"/>
        <v>Formalizado Contrato y Fianza de Anticipo 05/08/21
FC y PRC 17/08
1er Modif con endoso de FC y PRC en tesorería 19/11</v>
      </c>
      <c r="BL97" s="84"/>
      <c r="BM97" s="84"/>
      <c r="BN97" s="84"/>
      <c r="BO97" s="84"/>
      <c r="BP97" s="84"/>
    </row>
    <row r="98" spans="1:71" s="468" customFormat="1" ht="105" x14ac:dyDescent="0.25">
      <c r="A98" s="527" t="s">
        <v>3894</v>
      </c>
      <c r="B98" s="5">
        <v>94</v>
      </c>
      <c r="C98" s="4" t="s">
        <v>149</v>
      </c>
      <c r="D98" s="18" t="s">
        <v>3895</v>
      </c>
      <c r="E98" s="3" t="s">
        <v>163</v>
      </c>
      <c r="F98" s="3" t="s">
        <v>3896</v>
      </c>
      <c r="G98" s="3" t="s">
        <v>163</v>
      </c>
      <c r="H98" s="3" t="s">
        <v>2237</v>
      </c>
      <c r="I98" s="17" t="s">
        <v>3897</v>
      </c>
      <c r="J98" s="17"/>
      <c r="K98" s="17"/>
      <c r="L98" s="17"/>
      <c r="M98" s="375" t="str">
        <f t="shared" ref="M98:M129" si="36">I98&amp;J98&amp;" "&amp;K98&amp;" "&amp;L98</f>
        <v xml:space="preserve">Cristales, Aluminios y Herrajes de Iguala, S.A. de C.V.  </v>
      </c>
      <c r="N98" s="959" t="s">
        <v>198</v>
      </c>
      <c r="O98" s="959" t="s">
        <v>198</v>
      </c>
      <c r="P98" s="959" t="s">
        <v>3898</v>
      </c>
      <c r="Q98" s="962">
        <v>2069390.76</v>
      </c>
      <c r="R98" s="383">
        <f t="shared" si="33"/>
        <v>331102.52160000004</v>
      </c>
      <c r="S98" s="384">
        <f t="shared" ref="S98:S128" si="37">Q98+R98</f>
        <v>2400493.2815999999</v>
      </c>
      <c r="T98" s="385">
        <v>0</v>
      </c>
      <c r="U98" s="386">
        <f t="shared" si="34"/>
        <v>0</v>
      </c>
      <c r="V98" s="383">
        <f t="shared" si="26"/>
        <v>2400493.2815999999</v>
      </c>
      <c r="W98" s="963" t="s">
        <v>156</v>
      </c>
      <c r="X98" s="387">
        <v>44409</v>
      </c>
      <c r="Y98" s="3" t="s">
        <v>815</v>
      </c>
      <c r="Z98" s="387">
        <v>44409</v>
      </c>
      <c r="AA98" s="387">
        <v>44530</v>
      </c>
      <c r="AB98" s="4" t="s">
        <v>3899</v>
      </c>
      <c r="AC98" s="4"/>
      <c r="AD98" s="6">
        <v>44428</v>
      </c>
      <c r="AE98" s="6">
        <v>44428</v>
      </c>
      <c r="AF98" s="6" t="s">
        <v>159</v>
      </c>
      <c r="AG98" s="6">
        <v>44545</v>
      </c>
      <c r="AH98" s="3" t="s">
        <v>183</v>
      </c>
      <c r="AI98" s="4"/>
      <c r="AJ98" s="4"/>
      <c r="AK98" s="388"/>
      <c r="AL98" s="383"/>
      <c r="AM98" s="414" t="str">
        <f t="shared" ca="1" si="35"/>
        <v>MUERTO</v>
      </c>
      <c r="AN98" s="3"/>
      <c r="AO98" s="3"/>
      <c r="AP98" s="3" t="s">
        <v>815</v>
      </c>
      <c r="AQ98" s="3"/>
      <c r="AR98" s="3" t="s">
        <v>3844</v>
      </c>
      <c r="AS98" s="3"/>
      <c r="AT98" s="3"/>
      <c r="AU98" s="458"/>
      <c r="AV98" s="388"/>
      <c r="AW98" s="4"/>
      <c r="AX98" s="459"/>
      <c r="AY98" s="281" t="s">
        <v>3900</v>
      </c>
      <c r="AZ98" s="4"/>
      <c r="BA98" s="4" t="s">
        <v>3901</v>
      </c>
      <c r="BB98" s="5">
        <f t="shared" si="23"/>
        <v>0</v>
      </c>
      <c r="BC98" s="544"/>
      <c r="BD98" s="6">
        <v>44405</v>
      </c>
      <c r="BE98" s="463">
        <v>44405</v>
      </c>
      <c r="BF98" s="463">
        <v>44410</v>
      </c>
      <c r="BG98" s="6">
        <v>44412</v>
      </c>
      <c r="BH98" s="415" t="str">
        <f t="shared" si="32"/>
        <v>Formalizado en tesoreria 20/08</v>
      </c>
      <c r="BI98" s="416">
        <v>44419</v>
      </c>
      <c r="BJ98" s="255">
        <v>44413</v>
      </c>
      <c r="BK98" s="415" t="str">
        <f t="shared" si="27"/>
        <v>Formalizado en tesoreria 20/08</v>
      </c>
      <c r="BL98" s="84"/>
      <c r="BM98" s="84"/>
      <c r="BN98" s="84"/>
      <c r="BO98" s="84"/>
      <c r="BP98" s="84"/>
      <c r="BQ98"/>
      <c r="BR98"/>
      <c r="BS98"/>
    </row>
    <row r="99" spans="1:71" ht="204" x14ac:dyDescent="0.25">
      <c r="A99" s="417" t="s">
        <v>3902</v>
      </c>
      <c r="B99" s="3">
        <v>95</v>
      </c>
      <c r="C99" s="4" t="s">
        <v>3878</v>
      </c>
      <c r="D99" s="18" t="s">
        <v>3903</v>
      </c>
      <c r="E99" s="3" t="s">
        <v>163</v>
      </c>
      <c r="F99" s="3" t="s">
        <v>3904</v>
      </c>
      <c r="G99" s="3" t="s">
        <v>163</v>
      </c>
      <c r="H99" s="3" t="s">
        <v>427</v>
      </c>
      <c r="I99" s="275" t="s">
        <v>1962</v>
      </c>
      <c r="J99" s="17"/>
      <c r="K99" s="17"/>
      <c r="L99" s="17"/>
      <c r="M99" s="375" t="str">
        <f t="shared" si="36"/>
        <v xml:space="preserve">VF Ingeniería, S.A. de C.V.  </v>
      </c>
      <c r="N99" s="959" t="s">
        <v>198</v>
      </c>
      <c r="O99" s="959" t="s">
        <v>3905</v>
      </c>
      <c r="P99" s="959" t="s">
        <v>3906</v>
      </c>
      <c r="Q99" s="962">
        <v>44806710.82</v>
      </c>
      <c r="R99" s="383">
        <f t="shared" si="33"/>
        <v>7169073.7312000003</v>
      </c>
      <c r="S99" s="384">
        <f t="shared" si="37"/>
        <v>51975784.551200002</v>
      </c>
      <c r="T99" s="385">
        <v>0</v>
      </c>
      <c r="U99" s="386">
        <f t="shared" si="34"/>
        <v>0</v>
      </c>
      <c r="V99" s="383">
        <f t="shared" si="26"/>
        <v>51975784.551200002</v>
      </c>
      <c r="W99" s="963" t="s">
        <v>183</v>
      </c>
      <c r="X99" s="387">
        <v>44424</v>
      </c>
      <c r="Y99" s="463" t="s">
        <v>815</v>
      </c>
      <c r="Z99" s="387">
        <v>44424</v>
      </c>
      <c r="AA99" s="387">
        <v>44592</v>
      </c>
      <c r="AB99" s="4" t="s">
        <v>3907</v>
      </c>
      <c r="AC99" s="4" t="s">
        <v>3908</v>
      </c>
      <c r="AD99" s="6">
        <v>44432</v>
      </c>
      <c r="AE99" s="6">
        <v>44432</v>
      </c>
      <c r="AF99" s="6">
        <v>44427</v>
      </c>
      <c r="AG99" s="6" t="s">
        <v>159</v>
      </c>
      <c r="AH99" s="3" t="s">
        <v>183</v>
      </c>
      <c r="AI99" s="661" t="s">
        <v>3909</v>
      </c>
      <c r="AJ99" s="4" t="s">
        <v>3910</v>
      </c>
      <c r="AK99" s="388">
        <v>44530</v>
      </c>
      <c r="AL99" s="383">
        <v>0</v>
      </c>
      <c r="AM99" s="414" t="str">
        <f t="shared" ca="1" si="35"/>
        <v>MUERTO</v>
      </c>
      <c r="AN99" s="3"/>
      <c r="AO99" s="3"/>
      <c r="AP99" s="3" t="s">
        <v>815</v>
      </c>
      <c r="AQ99" s="3"/>
      <c r="AR99" s="3" t="s">
        <v>3844</v>
      </c>
      <c r="AS99" s="3"/>
      <c r="AT99" s="3"/>
      <c r="AU99" s="458"/>
      <c r="AV99" s="388"/>
      <c r="AW99" s="4"/>
      <c r="AX99" s="459"/>
      <c r="AY99" s="281" t="s">
        <v>3911</v>
      </c>
      <c r="AZ99" s="4"/>
      <c r="BA99" s="4" t="s">
        <v>3912</v>
      </c>
      <c r="BB99" s="5">
        <f t="shared" si="23"/>
        <v>0</v>
      </c>
      <c r="BC99" s="544"/>
      <c r="BD99" s="6">
        <v>44413</v>
      </c>
      <c r="BE99" s="463">
        <v>44414</v>
      </c>
      <c r="BF99" s="463" t="s">
        <v>3913</v>
      </c>
      <c r="BG99" s="6" t="str">
        <f>BF99</f>
        <v>11/08/2021
01/12/2021</v>
      </c>
      <c r="BH99" s="415" t="str">
        <f t="shared" si="32"/>
        <v>Formalizado en tesoreria con F.A. 19/08
Modificatorio, Endoso de FC y PRC 27/12/21</v>
      </c>
      <c r="BI99" s="416" t="s">
        <v>3914</v>
      </c>
      <c r="BJ99" s="255" t="s">
        <v>3915</v>
      </c>
      <c r="BK99" s="415" t="str">
        <f t="shared" si="27"/>
        <v>Formalizado en tesoreria con F.A. 19/08
Modificatorio, Endoso de FC y PRC 27/12/21</v>
      </c>
      <c r="BL99" s="84"/>
      <c r="BM99" s="988">
        <f>38209857.87*1.16</f>
        <v>44323435.129199997</v>
      </c>
      <c r="BN99" s="206">
        <v>7652349.4199999999</v>
      </c>
      <c r="BO99" s="84"/>
      <c r="BP99" s="239"/>
    </row>
    <row r="100" spans="1:71" s="468" customFormat="1" ht="135" x14ac:dyDescent="0.25">
      <c r="A100" s="527" t="s">
        <v>3916</v>
      </c>
      <c r="B100" s="3">
        <v>96</v>
      </c>
      <c r="C100" s="4" t="s">
        <v>149</v>
      </c>
      <c r="D100" s="18" t="s">
        <v>3917</v>
      </c>
      <c r="E100" s="3" t="s">
        <v>173</v>
      </c>
      <c r="F100" s="3" t="s">
        <v>3785</v>
      </c>
      <c r="G100" s="3"/>
      <c r="H100" s="3" t="s">
        <v>173</v>
      </c>
      <c r="I100" s="275" t="s">
        <v>3323</v>
      </c>
      <c r="J100" s="17"/>
      <c r="K100" s="17"/>
      <c r="L100" s="17"/>
      <c r="M100" s="375" t="str">
        <f t="shared" si="36"/>
        <v xml:space="preserve">Dhimex Ciudad de México, S.A. de C.V.    </v>
      </c>
      <c r="N100" s="959" t="s">
        <v>315</v>
      </c>
      <c r="O100" s="959" t="s">
        <v>315</v>
      </c>
      <c r="P100" s="959" t="s">
        <v>3918</v>
      </c>
      <c r="Q100" s="962">
        <v>6995402.9699999997</v>
      </c>
      <c r="R100" s="383">
        <f t="shared" si="33"/>
        <v>1119264.4752</v>
      </c>
      <c r="S100" s="384">
        <f t="shared" si="37"/>
        <v>8114667.4452</v>
      </c>
      <c r="T100" s="385">
        <v>0</v>
      </c>
      <c r="U100" s="386">
        <f t="shared" si="34"/>
        <v>0</v>
      </c>
      <c r="V100" s="383">
        <f t="shared" si="26"/>
        <v>8114667.4452</v>
      </c>
      <c r="W100" s="963" t="s">
        <v>156</v>
      </c>
      <c r="X100" s="387">
        <v>44421</v>
      </c>
      <c r="Y100" s="3" t="s">
        <v>815</v>
      </c>
      <c r="Z100" s="387">
        <v>44421</v>
      </c>
      <c r="AA100" s="387">
        <v>44561</v>
      </c>
      <c r="AB100" s="4" t="s">
        <v>3919</v>
      </c>
      <c r="AC100" s="4"/>
      <c r="AD100" s="6">
        <v>44461</v>
      </c>
      <c r="AE100" s="6">
        <v>44461</v>
      </c>
      <c r="AF100" s="6" t="s">
        <v>159</v>
      </c>
      <c r="AG100" s="6">
        <v>44567</v>
      </c>
      <c r="AH100" s="3" t="s">
        <v>183</v>
      </c>
      <c r="AI100" s="4"/>
      <c r="AJ100" s="4"/>
      <c r="AK100" s="388"/>
      <c r="AL100" s="383"/>
      <c r="AM100" s="414" t="str">
        <f t="shared" ca="1" si="35"/>
        <v>MUERTO</v>
      </c>
      <c r="AN100" s="3"/>
      <c r="AO100" s="3"/>
      <c r="AP100" s="3" t="s">
        <v>815</v>
      </c>
      <c r="AQ100" s="3"/>
      <c r="AR100" s="3" t="s">
        <v>863</v>
      </c>
      <c r="AS100" s="3"/>
      <c r="AT100" s="3"/>
      <c r="AU100" s="458"/>
      <c r="AV100" s="388"/>
      <c r="AW100" s="4"/>
      <c r="AX100" s="459"/>
      <c r="AY100" s="281" t="s">
        <v>3920</v>
      </c>
      <c r="AZ100" s="4"/>
      <c r="BA100" s="4" t="s">
        <v>3921</v>
      </c>
      <c r="BB100" s="5">
        <f t="shared" si="23"/>
        <v>0</v>
      </c>
      <c r="BC100" s="544"/>
      <c r="BD100" s="6">
        <v>44418</v>
      </c>
      <c r="BE100" s="463">
        <v>44419</v>
      </c>
      <c r="BF100" s="463">
        <v>44421</v>
      </c>
      <c r="BG100" s="6">
        <f>BF100</f>
        <v>44421</v>
      </c>
      <c r="BH100" s="415" t="str">
        <f t="shared" si="32"/>
        <v>Formalizado contrato, PRC y FC en tesorería 22/09/21</v>
      </c>
      <c r="BI100" s="416">
        <v>44431</v>
      </c>
      <c r="BJ100" s="255">
        <v>44425</v>
      </c>
      <c r="BK100" s="415" t="str">
        <f t="shared" si="27"/>
        <v>Formalizado contrato, PRC y FC en tesorería 22/09/21</v>
      </c>
      <c r="BL100" s="84"/>
      <c r="BM100" s="84"/>
      <c r="BN100" s="84"/>
      <c r="BO100" s="84"/>
      <c r="BP100" s="84"/>
      <c r="BQ100"/>
      <c r="BR100"/>
      <c r="BS100"/>
    </row>
    <row r="101" spans="1:71" ht="405" x14ac:dyDescent="0.25">
      <c r="A101" s="417" t="s">
        <v>3922</v>
      </c>
      <c r="B101" s="3">
        <v>97</v>
      </c>
      <c r="C101" s="4" t="s">
        <v>149</v>
      </c>
      <c r="D101" s="18" t="s">
        <v>3923</v>
      </c>
      <c r="E101" s="3" t="s">
        <v>163</v>
      </c>
      <c r="F101" s="3" t="s">
        <v>3924</v>
      </c>
      <c r="G101" s="685" t="s">
        <v>546</v>
      </c>
      <c r="H101" s="3" t="s">
        <v>2237</v>
      </c>
      <c r="I101" s="275" t="s">
        <v>711</v>
      </c>
      <c r="J101" s="17"/>
      <c r="K101" s="17"/>
      <c r="L101" s="17"/>
      <c r="M101" s="375" t="str">
        <f t="shared" si="36"/>
        <v xml:space="preserve">Carlos Corral y Asociados, S.C.  </v>
      </c>
      <c r="N101" s="959" t="s">
        <v>3925</v>
      </c>
      <c r="O101" s="959" t="s">
        <v>712</v>
      </c>
      <c r="P101" s="959" t="s">
        <v>3926</v>
      </c>
      <c r="Q101" s="962">
        <v>948623</v>
      </c>
      <c r="R101" s="383">
        <f t="shared" si="33"/>
        <v>151779.68</v>
      </c>
      <c r="S101" s="384">
        <f t="shared" si="37"/>
        <v>1100402.68</v>
      </c>
      <c r="T101" s="385">
        <v>0</v>
      </c>
      <c r="U101" s="386">
        <f t="shared" si="34"/>
        <v>0</v>
      </c>
      <c r="V101" s="383">
        <f t="shared" ref="V101:V132" si="38">S101+AL101</f>
        <v>1100402.68</v>
      </c>
      <c r="W101" s="963" t="s">
        <v>156</v>
      </c>
      <c r="X101" s="387">
        <v>44421</v>
      </c>
      <c r="Y101" s="3" t="s">
        <v>815</v>
      </c>
      <c r="Z101" s="387">
        <v>44421</v>
      </c>
      <c r="AA101" s="387">
        <v>44561</v>
      </c>
      <c r="AB101" s="4" t="s">
        <v>3113</v>
      </c>
      <c r="AC101" s="4"/>
      <c r="AD101" s="6">
        <v>44440</v>
      </c>
      <c r="AE101" s="6" t="s">
        <v>159</v>
      </c>
      <c r="AF101" s="6" t="s">
        <v>159</v>
      </c>
      <c r="AG101" s="6" t="s">
        <v>159</v>
      </c>
      <c r="AH101" s="3" t="s">
        <v>183</v>
      </c>
      <c r="AI101" s="4" t="s">
        <v>3927</v>
      </c>
      <c r="AJ101" s="4" t="s">
        <v>3928</v>
      </c>
      <c r="AK101" s="388" t="s">
        <v>3929</v>
      </c>
      <c r="AL101" s="383">
        <v>0</v>
      </c>
      <c r="AM101" s="414" t="str">
        <f t="shared" ca="1" si="35"/>
        <v>MUERTO</v>
      </c>
      <c r="AN101" s="3">
        <v>33201</v>
      </c>
      <c r="AO101" s="3"/>
      <c r="AP101" s="3" t="s">
        <v>815</v>
      </c>
      <c r="AQ101" s="3" t="s">
        <v>881</v>
      </c>
      <c r="AR101" s="3" t="s">
        <v>863</v>
      </c>
      <c r="AS101" s="3"/>
      <c r="AT101" s="3"/>
      <c r="AU101" s="458"/>
      <c r="AV101" s="388"/>
      <c r="AW101" s="4"/>
      <c r="AX101" s="459"/>
      <c r="AY101" s="281" t="s">
        <v>3930</v>
      </c>
      <c r="AZ101" s="4"/>
      <c r="BA101" s="4" t="e">
        <f>VLOOKUP(I101,#REF!,2,0)</f>
        <v>#REF!</v>
      </c>
      <c r="BB101" s="5">
        <f t="shared" si="23"/>
        <v>33201</v>
      </c>
      <c r="BC101" s="544">
        <v>217</v>
      </c>
      <c r="BD101" s="6">
        <v>44420</v>
      </c>
      <c r="BE101" s="463">
        <v>44420</v>
      </c>
      <c r="BF101" s="463">
        <v>44421</v>
      </c>
      <c r="BG101" s="6">
        <v>44421</v>
      </c>
      <c r="BH101" s="415" t="str">
        <f t="shared" si="32"/>
        <v>Formalizado contrato y FC en tesorería 02/09
2do Modif con endoso de FC en tesorería 19/11  
22/11 SE FORMALIZA EN TESORERÍA  ENDOSO DE LA FC DEL 1ER Y 2DO MODIFICATORIO</v>
      </c>
      <c r="BI101" s="416" t="s">
        <v>3931</v>
      </c>
      <c r="BJ101" s="255" t="s">
        <v>3932</v>
      </c>
      <c r="BK101" s="415" t="str">
        <f t="shared" ref="BK101:BK132" si="39">AY101</f>
        <v>Formalizado contrato y FC en tesorería 02/09
2do Modif con endoso de FC en tesorería 19/11  
22/11 SE FORMALIZA EN TESORERÍA  ENDOSO DE LA FC DEL 1ER Y 2DO MODIFICATORIO</v>
      </c>
      <c r="BL101" s="84"/>
      <c r="BM101" s="84"/>
      <c r="BN101" s="84"/>
      <c r="BO101" s="84"/>
      <c r="BP101" s="84"/>
    </row>
    <row r="102" spans="1:71" s="468" customFormat="1" ht="105" x14ac:dyDescent="0.25">
      <c r="A102" s="527" t="s">
        <v>3933</v>
      </c>
      <c r="B102" s="5">
        <v>98</v>
      </c>
      <c r="C102" s="4" t="s">
        <v>149</v>
      </c>
      <c r="D102" s="18" t="s">
        <v>3934</v>
      </c>
      <c r="E102" s="3" t="s">
        <v>163</v>
      </c>
      <c r="F102" s="3" t="s">
        <v>3935</v>
      </c>
      <c r="G102" s="3" t="s">
        <v>163</v>
      </c>
      <c r="H102" s="3" t="s">
        <v>163</v>
      </c>
      <c r="I102" s="275" t="s">
        <v>3358</v>
      </c>
      <c r="J102" s="17"/>
      <c r="K102" s="17"/>
      <c r="L102" s="17"/>
      <c r="M102" s="375" t="str">
        <f t="shared" si="36"/>
        <v xml:space="preserve">IDIOMAS IZTAPALAPA, S.C.  </v>
      </c>
      <c r="N102" s="959" t="s">
        <v>2528</v>
      </c>
      <c r="O102" s="959" t="s">
        <v>2528</v>
      </c>
      <c r="P102" s="959" t="s">
        <v>3936</v>
      </c>
      <c r="Q102" s="962">
        <v>1980000</v>
      </c>
      <c r="R102" s="383">
        <f t="shared" si="33"/>
        <v>316800</v>
      </c>
      <c r="S102" s="384">
        <f t="shared" si="37"/>
        <v>2296800</v>
      </c>
      <c r="T102" s="385">
        <v>0</v>
      </c>
      <c r="U102" s="386">
        <f t="shared" si="34"/>
        <v>0</v>
      </c>
      <c r="V102" s="383">
        <f t="shared" si="38"/>
        <v>2296800</v>
      </c>
      <c r="W102" s="963" t="s">
        <v>156</v>
      </c>
      <c r="X102" s="387">
        <v>44431</v>
      </c>
      <c r="Y102" s="3" t="s">
        <v>815</v>
      </c>
      <c r="Z102" s="387">
        <v>44431</v>
      </c>
      <c r="AA102" s="387">
        <v>44561</v>
      </c>
      <c r="AB102" s="4" t="s">
        <v>3113</v>
      </c>
      <c r="AC102" s="4"/>
      <c r="AD102" s="6">
        <v>44459</v>
      </c>
      <c r="AE102" s="6" t="s">
        <v>159</v>
      </c>
      <c r="AF102" s="6" t="s">
        <v>159</v>
      </c>
      <c r="AG102" s="6" t="s">
        <v>159</v>
      </c>
      <c r="AH102" s="3" t="s">
        <v>183</v>
      </c>
      <c r="AI102" s="4"/>
      <c r="AJ102" s="4"/>
      <c r="AK102" s="388"/>
      <c r="AL102" s="383"/>
      <c r="AM102" s="414" t="str">
        <f t="shared" ca="1" si="35"/>
        <v>MUERTO</v>
      </c>
      <c r="AN102" s="3">
        <v>33401</v>
      </c>
      <c r="AO102" s="3"/>
      <c r="AP102" s="3" t="s">
        <v>815</v>
      </c>
      <c r="AQ102" s="3"/>
      <c r="AR102" s="3" t="s">
        <v>863</v>
      </c>
      <c r="AS102" s="3"/>
      <c r="AT102" s="3"/>
      <c r="AU102" s="458"/>
      <c r="AV102" s="388"/>
      <c r="AW102" s="4"/>
      <c r="AX102" s="459"/>
      <c r="AY102" s="281" t="s">
        <v>3937</v>
      </c>
      <c r="AZ102" s="4"/>
      <c r="BA102" s="4" t="e">
        <f>VLOOKUP(I102,#REF!,2,0)</f>
        <v>#REF!</v>
      </c>
      <c r="BB102" s="5">
        <f t="shared" si="23"/>
        <v>33401</v>
      </c>
      <c r="BC102" s="544">
        <v>30</v>
      </c>
      <c r="BD102" s="6">
        <v>44418</v>
      </c>
      <c r="BE102" s="463">
        <v>44427</v>
      </c>
      <c r="BF102" s="463">
        <v>44431</v>
      </c>
      <c r="BG102" s="6">
        <f>BJ102</f>
        <v>44431</v>
      </c>
      <c r="BH102" s="415" t="str">
        <f t="shared" si="32"/>
        <v>Formalizado Contrato y FC en tesorería 20/09</v>
      </c>
      <c r="BI102" s="416">
        <v>44432</v>
      </c>
      <c r="BJ102" s="255">
        <v>44431</v>
      </c>
      <c r="BK102" s="415" t="str">
        <f t="shared" si="39"/>
        <v>Formalizado Contrato y FC en tesorería 20/09</v>
      </c>
      <c r="BL102" s="84"/>
      <c r="BM102" s="84"/>
      <c r="BN102" s="84"/>
      <c r="BO102" s="84"/>
      <c r="BP102" s="84"/>
      <c r="BQ102"/>
      <c r="BR102"/>
      <c r="BS102"/>
    </row>
    <row r="103" spans="1:71" ht="240" x14ac:dyDescent="0.25">
      <c r="A103" s="527" t="s">
        <v>3938</v>
      </c>
      <c r="B103" s="3">
        <v>99</v>
      </c>
      <c r="C103" s="4" t="s">
        <v>149</v>
      </c>
      <c r="D103" s="18" t="s">
        <v>3939</v>
      </c>
      <c r="E103" s="3" t="s">
        <v>163</v>
      </c>
      <c r="F103" s="3" t="s">
        <v>2064</v>
      </c>
      <c r="G103" s="3" t="s">
        <v>163</v>
      </c>
      <c r="H103" s="3" t="s">
        <v>163</v>
      </c>
      <c r="I103" s="275" t="s">
        <v>3940</v>
      </c>
      <c r="J103" s="17"/>
      <c r="K103" s="17"/>
      <c r="L103" s="17"/>
      <c r="M103" s="375" t="str">
        <f t="shared" si="36"/>
        <v xml:space="preserve">Centro de Estudios para un Proyecto Nacional Alternativo, S.C  </v>
      </c>
      <c r="N103" s="959" t="s">
        <v>3941</v>
      </c>
      <c r="O103" s="959" t="s">
        <v>3941</v>
      </c>
      <c r="P103" s="959" t="s">
        <v>3942</v>
      </c>
      <c r="Q103" s="962">
        <v>1150000</v>
      </c>
      <c r="R103" s="383">
        <f t="shared" si="33"/>
        <v>184000</v>
      </c>
      <c r="S103" s="384">
        <f t="shared" si="37"/>
        <v>1334000</v>
      </c>
      <c r="T103" s="385">
        <v>0</v>
      </c>
      <c r="U103" s="386">
        <f t="shared" si="34"/>
        <v>0</v>
      </c>
      <c r="V103" s="383">
        <f t="shared" si="38"/>
        <v>1334000</v>
      </c>
      <c r="W103" s="963" t="s">
        <v>156</v>
      </c>
      <c r="X103" s="387">
        <v>44424</v>
      </c>
      <c r="Y103" s="3" t="s">
        <v>815</v>
      </c>
      <c r="Z103" s="387">
        <v>44424</v>
      </c>
      <c r="AA103" s="387">
        <v>44561</v>
      </c>
      <c r="AB103" s="4" t="s">
        <v>3113</v>
      </c>
      <c r="AC103" s="4"/>
      <c r="AD103" s="6">
        <v>44461</v>
      </c>
      <c r="AE103" s="6" t="s">
        <v>159</v>
      </c>
      <c r="AF103" s="6" t="s">
        <v>159</v>
      </c>
      <c r="AG103" s="6" t="s">
        <v>159</v>
      </c>
      <c r="AH103" s="3" t="s">
        <v>183</v>
      </c>
      <c r="AI103" s="4"/>
      <c r="AJ103" s="4"/>
      <c r="AK103" s="388"/>
      <c r="AL103" s="383"/>
      <c r="AM103" s="414"/>
      <c r="AN103" s="3"/>
      <c r="AO103" s="3"/>
      <c r="AP103" s="3" t="s">
        <v>815</v>
      </c>
      <c r="AQ103" s="3"/>
      <c r="AR103" s="3" t="s">
        <v>863</v>
      </c>
      <c r="AS103" s="3"/>
      <c r="AT103" s="3"/>
      <c r="AU103" s="458"/>
      <c r="AV103" s="388"/>
      <c r="AW103" s="4"/>
      <c r="AX103" s="459"/>
      <c r="AY103" s="281" t="s">
        <v>3943</v>
      </c>
      <c r="AZ103" s="4" t="s">
        <v>3944</v>
      </c>
      <c r="BA103" s="4"/>
      <c r="BB103" s="5"/>
      <c r="BC103" s="544"/>
      <c r="BD103" s="6">
        <v>44424</v>
      </c>
      <c r="BE103" s="463">
        <v>44424</v>
      </c>
      <c r="BF103" s="463">
        <v>44424</v>
      </c>
      <c r="BG103" s="6">
        <v>44424</v>
      </c>
      <c r="BH103" s="415" t="str">
        <f t="shared" si="32"/>
        <v>Formalizado en tesorería con FC 22/09/21</v>
      </c>
      <c r="BI103" s="416">
        <v>44446</v>
      </c>
      <c r="BJ103" s="255">
        <v>44446</v>
      </c>
      <c r="BK103" s="415" t="str">
        <f t="shared" si="39"/>
        <v>Formalizado en tesorería con FC 22/09/21</v>
      </c>
      <c r="BL103" s="84"/>
      <c r="BM103" s="84"/>
      <c r="BN103" s="84"/>
      <c r="BO103" s="84"/>
      <c r="BP103" s="84"/>
    </row>
    <row r="104" spans="1:71" ht="195" x14ac:dyDescent="0.25">
      <c r="A104" s="527" t="s">
        <v>3945</v>
      </c>
      <c r="B104" s="3">
        <v>100</v>
      </c>
      <c r="C104" s="4" t="s">
        <v>149</v>
      </c>
      <c r="D104" s="18" t="s">
        <v>3946</v>
      </c>
      <c r="E104" s="3" t="s">
        <v>173</v>
      </c>
      <c r="F104" s="3" t="s">
        <v>3785</v>
      </c>
      <c r="G104" s="3"/>
      <c r="H104" s="3" t="s">
        <v>173</v>
      </c>
      <c r="I104" s="275" t="s">
        <v>2039</v>
      </c>
      <c r="J104" s="17"/>
      <c r="K104" s="17"/>
      <c r="L104" s="17"/>
      <c r="M104" s="375" t="str">
        <f t="shared" si="36"/>
        <v xml:space="preserve">Desarrollo de Proyectos Especializados, S.A. de C.V.  </v>
      </c>
      <c r="N104" s="959" t="s">
        <v>198</v>
      </c>
      <c r="O104" s="959" t="s">
        <v>198</v>
      </c>
      <c r="P104" s="959" t="s">
        <v>3947</v>
      </c>
      <c r="Q104" s="962">
        <v>15525100</v>
      </c>
      <c r="R104" s="383">
        <f t="shared" si="33"/>
        <v>2484016</v>
      </c>
      <c r="S104" s="384">
        <f t="shared" si="37"/>
        <v>18009116</v>
      </c>
      <c r="T104" s="385">
        <v>0</v>
      </c>
      <c r="U104" s="386">
        <f t="shared" si="34"/>
        <v>0</v>
      </c>
      <c r="V104" s="383">
        <f t="shared" si="38"/>
        <v>18009116</v>
      </c>
      <c r="W104" s="963" t="s">
        <v>156</v>
      </c>
      <c r="X104" s="387">
        <v>44432</v>
      </c>
      <c r="Y104" s="463" t="s">
        <v>815</v>
      </c>
      <c r="Z104" s="387">
        <v>44432</v>
      </c>
      <c r="AA104" s="387">
        <v>44515</v>
      </c>
      <c r="AB104" s="4" t="s">
        <v>3948</v>
      </c>
      <c r="AC104" s="4"/>
      <c r="AD104" s="6">
        <v>44449</v>
      </c>
      <c r="AE104" s="6">
        <v>44449</v>
      </c>
      <c r="AF104" s="6" t="s">
        <v>159</v>
      </c>
      <c r="AG104" s="6">
        <v>44553</v>
      </c>
      <c r="AH104" s="3" t="s">
        <v>183</v>
      </c>
      <c r="AI104" s="4"/>
      <c r="AJ104" s="4"/>
      <c r="AK104" s="388"/>
      <c r="AL104" s="383"/>
      <c r="AM104" s="414" t="str">
        <f t="shared" ref="AM104:AM135" ca="1" si="40">IF(ISBLANK(AA104),"",IF(AA104&gt;=TODAY(),"VIGENTE","MUERTO"))</f>
        <v>MUERTO</v>
      </c>
      <c r="AN104" s="3"/>
      <c r="AO104" s="3"/>
      <c r="AP104" s="3" t="s">
        <v>815</v>
      </c>
      <c r="AQ104" s="3"/>
      <c r="AR104" s="3" t="s">
        <v>863</v>
      </c>
      <c r="AS104" s="3"/>
      <c r="AT104" s="3"/>
      <c r="AU104" s="458"/>
      <c r="AV104" s="388"/>
      <c r="AW104" s="4"/>
      <c r="AX104" s="459"/>
      <c r="AY104" s="281" t="s">
        <v>3949</v>
      </c>
      <c r="AZ104" s="4"/>
      <c r="BA104" s="4" t="s">
        <v>3950</v>
      </c>
      <c r="BB104" s="5">
        <f>AN104</f>
        <v>0</v>
      </c>
      <c r="BC104" s="544"/>
      <c r="BD104" s="6">
        <v>44427</v>
      </c>
      <c r="BE104" s="463">
        <v>44428</v>
      </c>
      <c r="BF104" s="463">
        <v>44433</v>
      </c>
      <c r="BG104" s="6">
        <f>BJ104</f>
        <v>44434</v>
      </c>
      <c r="BH104" s="415" t="str">
        <f t="shared" si="32"/>
        <v>Formalizado en tesorería 10/09/21</v>
      </c>
      <c r="BI104" s="416">
        <v>44439</v>
      </c>
      <c r="BJ104" s="255">
        <v>44434</v>
      </c>
      <c r="BK104" s="415" t="str">
        <f t="shared" si="39"/>
        <v>Formalizado en tesorería 10/09/21</v>
      </c>
      <c r="BL104" s="84"/>
      <c r="BM104" s="84"/>
      <c r="BN104" s="84"/>
      <c r="BO104" s="84"/>
      <c r="BP104" s="84"/>
    </row>
    <row r="105" spans="1:71" s="468" customFormat="1" ht="120" x14ac:dyDescent="0.25">
      <c r="A105" s="527" t="s">
        <v>3951</v>
      </c>
      <c r="B105" s="3">
        <v>101</v>
      </c>
      <c r="C105" s="4" t="s">
        <v>149</v>
      </c>
      <c r="D105" s="18" t="s">
        <v>3952</v>
      </c>
      <c r="E105" s="3" t="s">
        <v>163</v>
      </c>
      <c r="F105" s="3" t="s">
        <v>2064</v>
      </c>
      <c r="G105" s="3" t="s">
        <v>163</v>
      </c>
      <c r="H105" s="3" t="s">
        <v>427</v>
      </c>
      <c r="I105" s="275" t="s">
        <v>3953</v>
      </c>
      <c r="J105" s="17"/>
      <c r="K105" s="17"/>
      <c r="L105" s="17"/>
      <c r="M105" s="375" t="str">
        <f t="shared" si="36"/>
        <v xml:space="preserve">Nuevo Horizonte Editores, S.A. de C.V.  </v>
      </c>
      <c r="N105" s="959" t="s">
        <v>3832</v>
      </c>
      <c r="O105" s="959" t="s">
        <v>198</v>
      </c>
      <c r="P105" s="959" t="s">
        <v>3954</v>
      </c>
      <c r="Q105" s="962">
        <v>520000</v>
      </c>
      <c r="R105" s="383">
        <f t="shared" si="33"/>
        <v>83200</v>
      </c>
      <c r="S105" s="384">
        <f t="shared" si="37"/>
        <v>603200</v>
      </c>
      <c r="T105" s="385">
        <v>0</v>
      </c>
      <c r="U105" s="386">
        <f t="shared" si="34"/>
        <v>0</v>
      </c>
      <c r="V105" s="383">
        <f t="shared" si="38"/>
        <v>603200</v>
      </c>
      <c r="W105" s="963" t="s">
        <v>156</v>
      </c>
      <c r="X105" s="387">
        <v>44440</v>
      </c>
      <c r="Y105" s="3" t="s">
        <v>815</v>
      </c>
      <c r="Z105" s="387">
        <v>44440</v>
      </c>
      <c r="AA105" s="387">
        <v>44561</v>
      </c>
      <c r="AB105" s="4" t="s">
        <v>2050</v>
      </c>
      <c r="AC105" s="4"/>
      <c r="AD105" s="6" t="s">
        <v>159</v>
      </c>
      <c r="AE105" s="6" t="s">
        <v>159</v>
      </c>
      <c r="AF105" s="6" t="s">
        <v>159</v>
      </c>
      <c r="AG105" s="6" t="s">
        <v>159</v>
      </c>
      <c r="AH105" s="3" t="s">
        <v>2050</v>
      </c>
      <c r="AI105" s="644"/>
      <c r="AJ105" s="644"/>
      <c r="AK105" s="637"/>
      <c r="AL105" s="638"/>
      <c r="AM105" s="414" t="str">
        <f t="shared" ca="1" si="40"/>
        <v>MUERTO</v>
      </c>
      <c r="AN105" s="3">
        <v>33604</v>
      </c>
      <c r="AO105" s="3"/>
      <c r="AP105" s="3" t="s">
        <v>863</v>
      </c>
      <c r="AQ105" s="3"/>
      <c r="AR105" s="3" t="s">
        <v>863</v>
      </c>
      <c r="AS105" s="3"/>
      <c r="AT105" s="3"/>
      <c r="AU105" s="458"/>
      <c r="AV105" s="388"/>
      <c r="AW105" s="4"/>
      <c r="AX105" s="459"/>
      <c r="AY105" s="281" t="s">
        <v>3955</v>
      </c>
      <c r="AZ105" s="4"/>
      <c r="BA105" s="4" t="e">
        <f>VLOOKUP(I105,#REF!,2,0)</f>
        <v>#REF!</v>
      </c>
      <c r="BB105" s="5">
        <v>33604</v>
      </c>
      <c r="BC105" s="544"/>
      <c r="BD105" s="6">
        <v>44427</v>
      </c>
      <c r="BE105" s="463">
        <v>44428</v>
      </c>
      <c r="BF105" s="463">
        <v>44433</v>
      </c>
      <c r="BG105" s="6">
        <f>BJ105</f>
        <v>44438</v>
      </c>
      <c r="BH105" s="415" t="str">
        <f t="shared" si="32"/>
        <v>Formalizado contrato en tesoreria 02/09/21</v>
      </c>
      <c r="BI105" s="416">
        <v>44440</v>
      </c>
      <c r="BJ105" s="255">
        <v>44438</v>
      </c>
      <c r="BK105" s="415" t="str">
        <f t="shared" si="39"/>
        <v>Formalizado contrato en tesoreria 02/09/21</v>
      </c>
      <c r="BL105" s="84"/>
      <c r="BM105" s="84"/>
      <c r="BN105" s="84"/>
      <c r="BO105" s="84"/>
      <c r="BP105" s="84"/>
      <c r="BQ105"/>
      <c r="BR105"/>
      <c r="BS105"/>
    </row>
    <row r="106" spans="1:71" ht="135" x14ac:dyDescent="0.25">
      <c r="A106" s="527" t="s">
        <v>3956</v>
      </c>
      <c r="B106" s="3">
        <v>102</v>
      </c>
      <c r="C106" s="4" t="s">
        <v>225</v>
      </c>
      <c r="D106" s="18" t="s">
        <v>3957</v>
      </c>
      <c r="E106" s="3" t="s">
        <v>173</v>
      </c>
      <c r="F106" s="3" t="s">
        <v>3785</v>
      </c>
      <c r="G106" s="3"/>
      <c r="H106" s="3" t="s">
        <v>173</v>
      </c>
      <c r="I106" s="275" t="s">
        <v>2436</v>
      </c>
      <c r="J106" s="17"/>
      <c r="K106" s="17"/>
      <c r="L106" s="17"/>
      <c r="M106" s="375" t="str">
        <f t="shared" si="36"/>
        <v xml:space="preserve">Teletec de México, S.A.P.I. de C.V.  </v>
      </c>
      <c r="N106" s="959" t="s">
        <v>198</v>
      </c>
      <c r="O106" s="959" t="s">
        <v>198</v>
      </c>
      <c r="P106" s="959" t="s">
        <v>3958</v>
      </c>
      <c r="Q106" s="962">
        <v>1843122</v>
      </c>
      <c r="R106" s="383">
        <f t="shared" si="33"/>
        <v>294899.52</v>
      </c>
      <c r="S106" s="384">
        <f t="shared" si="37"/>
        <v>2138021.52</v>
      </c>
      <c r="T106" s="385">
        <v>0</v>
      </c>
      <c r="U106" s="386">
        <f t="shared" si="34"/>
        <v>0</v>
      </c>
      <c r="V106" s="383">
        <f t="shared" si="38"/>
        <v>2138021.52</v>
      </c>
      <c r="W106" s="963" t="s">
        <v>156</v>
      </c>
      <c r="X106" s="387">
        <v>44439</v>
      </c>
      <c r="Y106" s="3" t="s">
        <v>815</v>
      </c>
      <c r="Z106" s="387">
        <v>44439</v>
      </c>
      <c r="AA106" s="387">
        <v>44479</v>
      </c>
      <c r="AB106" s="4" t="s">
        <v>3948</v>
      </c>
      <c r="AC106" s="4"/>
      <c r="AD106" s="6">
        <v>44495</v>
      </c>
      <c r="AE106" s="6">
        <v>44495</v>
      </c>
      <c r="AF106" s="6" t="s">
        <v>159</v>
      </c>
      <c r="AG106" s="6">
        <v>44537</v>
      </c>
      <c r="AH106" s="3" t="s">
        <v>183</v>
      </c>
      <c r="AI106" s="4"/>
      <c r="AJ106" s="4"/>
      <c r="AK106" s="388"/>
      <c r="AL106" s="383"/>
      <c r="AM106" s="414" t="str">
        <f t="shared" ca="1" si="40"/>
        <v>MUERTO</v>
      </c>
      <c r="AN106" s="3"/>
      <c r="AO106" s="3"/>
      <c r="AP106" s="3" t="s">
        <v>815</v>
      </c>
      <c r="AQ106" s="3"/>
      <c r="AR106" s="3" t="s">
        <v>863</v>
      </c>
      <c r="AS106" s="3"/>
      <c r="AT106" s="3"/>
      <c r="AU106" s="458"/>
      <c r="AV106" s="388"/>
      <c r="AW106" s="4"/>
      <c r="AX106" s="459"/>
      <c r="AY106" s="281" t="s">
        <v>3959</v>
      </c>
      <c r="AZ106" s="4"/>
      <c r="BA106" s="4" t="e">
        <f>VLOOKUP(I106,#REF!,2,0)</f>
        <v>#REF!</v>
      </c>
      <c r="BB106" s="5">
        <f t="shared" ref="BB106:BB137" si="41">AN106</f>
        <v>0</v>
      </c>
      <c r="BC106" s="544"/>
      <c r="BD106" s="6">
        <v>44434</v>
      </c>
      <c r="BE106" s="463">
        <v>44435</v>
      </c>
      <c r="BF106" s="463">
        <v>44439</v>
      </c>
      <c r="BG106" s="463">
        <v>44439</v>
      </c>
      <c r="BH106" s="415" t="str">
        <f t="shared" si="32"/>
        <v>Formalizado contrato, FC y PRC 26/10/21
Formaliza V.O. 07/12/21</v>
      </c>
      <c r="BI106" s="416">
        <v>44449</v>
      </c>
      <c r="BJ106" s="255">
        <v>44442</v>
      </c>
      <c r="BK106" s="415" t="str">
        <f t="shared" si="39"/>
        <v>Formalizado contrato, FC y PRC 26/10/21
Formaliza V.O. 07/12/21</v>
      </c>
      <c r="BL106" s="84"/>
      <c r="BM106" s="84"/>
      <c r="BN106" s="84"/>
      <c r="BO106" s="84"/>
      <c r="BP106" s="84"/>
    </row>
    <row r="107" spans="1:71" s="468" customFormat="1" ht="120" x14ac:dyDescent="0.25">
      <c r="A107" s="527" t="s">
        <v>3960</v>
      </c>
      <c r="B107" s="3">
        <v>103</v>
      </c>
      <c r="C107" s="4" t="s">
        <v>149</v>
      </c>
      <c r="D107" s="18" t="s">
        <v>3961</v>
      </c>
      <c r="E107" s="3" t="s">
        <v>163</v>
      </c>
      <c r="F107" s="3" t="s">
        <v>312</v>
      </c>
      <c r="G107" s="685" t="s">
        <v>546</v>
      </c>
      <c r="H107" s="3" t="s">
        <v>2237</v>
      </c>
      <c r="I107" s="275" t="s">
        <v>2622</v>
      </c>
      <c r="J107" s="17"/>
      <c r="K107" s="17"/>
      <c r="L107" s="17"/>
      <c r="M107" s="375" t="str">
        <f t="shared" si="36"/>
        <v xml:space="preserve">Programma Comunicación, S.A. de C.V.  </v>
      </c>
      <c r="N107" s="959" t="s">
        <v>860</v>
      </c>
      <c r="O107" s="959" t="s">
        <v>1946</v>
      </c>
      <c r="P107" s="959" t="s">
        <v>3962</v>
      </c>
      <c r="Q107" s="962">
        <v>2850000</v>
      </c>
      <c r="R107" s="383">
        <f t="shared" si="33"/>
        <v>456000</v>
      </c>
      <c r="S107" s="384">
        <f t="shared" si="37"/>
        <v>3306000</v>
      </c>
      <c r="T107" s="385">
        <v>0</v>
      </c>
      <c r="U107" s="386">
        <f t="shared" si="34"/>
        <v>0</v>
      </c>
      <c r="V107" s="383">
        <f t="shared" si="38"/>
        <v>3306000</v>
      </c>
      <c r="W107" s="963" t="s">
        <v>156</v>
      </c>
      <c r="X107" s="387">
        <v>44445</v>
      </c>
      <c r="Y107" s="463" t="s">
        <v>863</v>
      </c>
      <c r="Z107" s="387">
        <v>44445</v>
      </c>
      <c r="AA107" s="387">
        <v>44550</v>
      </c>
      <c r="AB107" s="4" t="s">
        <v>3113</v>
      </c>
      <c r="AC107" s="4"/>
      <c r="AD107" s="6">
        <v>44449</v>
      </c>
      <c r="AE107" s="6" t="s">
        <v>159</v>
      </c>
      <c r="AF107" s="6" t="s">
        <v>159</v>
      </c>
      <c r="AG107" s="6" t="s">
        <v>159</v>
      </c>
      <c r="AH107" s="3" t="s">
        <v>183</v>
      </c>
      <c r="AI107" s="644"/>
      <c r="AJ107" s="644"/>
      <c r="AK107" s="637"/>
      <c r="AL107" s="638"/>
      <c r="AM107" s="414" t="str">
        <f t="shared" ca="1" si="40"/>
        <v>MUERTO</v>
      </c>
      <c r="AN107" s="3">
        <v>36301</v>
      </c>
      <c r="AO107" s="3"/>
      <c r="AP107" s="3" t="s">
        <v>863</v>
      </c>
      <c r="AQ107" s="3"/>
      <c r="AR107" s="3" t="s">
        <v>863</v>
      </c>
      <c r="AS107" s="3"/>
      <c r="AT107" s="3"/>
      <c r="AU107" s="458"/>
      <c r="AV107" s="388"/>
      <c r="AW107" s="4"/>
      <c r="AX107" s="459"/>
      <c r="AY107" s="281" t="s">
        <v>3963</v>
      </c>
      <c r="AZ107" s="4"/>
      <c r="BA107" s="4" t="e">
        <f>VLOOKUP(I107,#REF!,2,0)</f>
        <v>#REF!</v>
      </c>
      <c r="BB107" s="5">
        <f t="shared" si="41"/>
        <v>36301</v>
      </c>
      <c r="BC107" s="544"/>
      <c r="BD107" s="6">
        <v>44434</v>
      </c>
      <c r="BE107" s="463">
        <v>44435</v>
      </c>
      <c r="BF107" s="463">
        <v>44439</v>
      </c>
      <c r="BG107" s="463">
        <v>44439</v>
      </c>
      <c r="BH107" s="415" t="str">
        <f t="shared" si="32"/>
        <v>Formalizado contrato en tesorería 10/09/21</v>
      </c>
      <c r="BI107" s="416">
        <v>44445</v>
      </c>
      <c r="BJ107" s="255">
        <v>44440</v>
      </c>
      <c r="BK107" s="415" t="str">
        <f t="shared" si="39"/>
        <v>Formalizado contrato en tesorería 10/09/21</v>
      </c>
      <c r="BL107" s="84"/>
      <c r="BM107" s="84"/>
      <c r="BN107" s="84"/>
      <c r="BO107" s="84"/>
      <c r="BP107" s="84"/>
      <c r="BQ107"/>
      <c r="BR107"/>
      <c r="BS107"/>
    </row>
    <row r="108" spans="1:71" ht="180" x14ac:dyDescent="0.25">
      <c r="A108" s="527" t="s">
        <v>3964</v>
      </c>
      <c r="B108" s="3">
        <v>104</v>
      </c>
      <c r="C108" s="4" t="s">
        <v>149</v>
      </c>
      <c r="D108" s="18" t="s">
        <v>3961</v>
      </c>
      <c r="E108" s="3" t="s">
        <v>163</v>
      </c>
      <c r="F108" s="3" t="s">
        <v>3965</v>
      </c>
      <c r="G108" s="685" t="s">
        <v>546</v>
      </c>
      <c r="H108" s="3" t="s">
        <v>2237</v>
      </c>
      <c r="I108" s="275" t="s">
        <v>3966</v>
      </c>
      <c r="J108" s="17"/>
      <c r="K108" s="17"/>
      <c r="L108" s="17"/>
      <c r="M108" s="375" t="str">
        <f t="shared" si="36"/>
        <v xml:space="preserve">Ultrasist, S.A. de C.V.  </v>
      </c>
      <c r="N108" s="959" t="s">
        <v>656</v>
      </c>
      <c r="O108" s="959" t="s">
        <v>656</v>
      </c>
      <c r="P108" s="959" t="s">
        <v>3967</v>
      </c>
      <c r="Q108" s="962">
        <v>20896000</v>
      </c>
      <c r="R108" s="383">
        <f t="shared" si="33"/>
        <v>3343360</v>
      </c>
      <c r="S108" s="384">
        <f t="shared" si="37"/>
        <v>24239360</v>
      </c>
      <c r="T108" s="385">
        <v>0</v>
      </c>
      <c r="U108" s="386">
        <f t="shared" si="34"/>
        <v>0</v>
      </c>
      <c r="V108" s="525">
        <f t="shared" si="38"/>
        <v>24239360</v>
      </c>
      <c r="W108" s="963" t="s">
        <v>183</v>
      </c>
      <c r="X108" s="387">
        <v>44440</v>
      </c>
      <c r="Y108" s="3" t="s">
        <v>863</v>
      </c>
      <c r="Z108" s="387">
        <v>44440</v>
      </c>
      <c r="AA108" s="387" t="s">
        <v>3968</v>
      </c>
      <c r="AB108" s="4" t="s">
        <v>3787</v>
      </c>
      <c r="AC108" s="4"/>
      <c r="AD108" s="6">
        <v>44481</v>
      </c>
      <c r="AE108" s="6">
        <v>44481</v>
      </c>
      <c r="AF108" s="6" t="s">
        <v>159</v>
      </c>
      <c r="AG108" s="6" t="s">
        <v>159</v>
      </c>
      <c r="AH108" s="3" t="s">
        <v>183</v>
      </c>
      <c r="AI108" s="417" t="s">
        <v>3969</v>
      </c>
      <c r="AJ108" s="4"/>
      <c r="AK108" s="388"/>
      <c r="AL108" s="383"/>
      <c r="AM108" s="414" t="str">
        <f t="shared" ca="1" si="40"/>
        <v>VIGENTE</v>
      </c>
      <c r="AN108" s="3">
        <v>31701</v>
      </c>
      <c r="AO108" s="3"/>
      <c r="AP108" s="3" t="s">
        <v>863</v>
      </c>
      <c r="AQ108" s="3"/>
      <c r="AR108" s="3" t="s">
        <v>863</v>
      </c>
      <c r="AS108" s="3"/>
      <c r="AT108" s="3"/>
      <c r="AU108" s="458"/>
      <c r="AV108" s="388"/>
      <c r="AW108" s="4"/>
      <c r="AX108" s="459"/>
      <c r="AY108" s="281" t="s">
        <v>3970</v>
      </c>
      <c r="AZ108" s="4"/>
      <c r="BA108" s="4" t="s">
        <v>3971</v>
      </c>
      <c r="BB108" s="5">
        <f t="shared" si="41"/>
        <v>31701</v>
      </c>
      <c r="BC108" s="544"/>
      <c r="BD108" s="6">
        <v>44435</v>
      </c>
      <c r="BE108" s="463">
        <v>44438</v>
      </c>
      <c r="BF108" s="463">
        <v>44441</v>
      </c>
      <c r="BG108" s="6">
        <f>BJ108</f>
        <v>44441</v>
      </c>
      <c r="BH108" s="415" t="str">
        <f t="shared" ref="BH108:BH139" si="42">AY108</f>
        <v>Formalizado contrato, FC y PrC en tesorería 13/10/21</v>
      </c>
      <c r="BI108" s="416">
        <v>44449</v>
      </c>
      <c r="BJ108" s="255">
        <v>44441</v>
      </c>
      <c r="BK108" s="415" t="str">
        <f t="shared" si="39"/>
        <v>Formalizado contrato, FC y PrC en tesorería 13/10/21</v>
      </c>
      <c r="BL108" s="84"/>
      <c r="BM108" s="242">
        <f>5224000*1.16</f>
        <v>6059840</v>
      </c>
      <c r="BN108" s="242">
        <f>15672000*1.16</f>
        <v>18179520</v>
      </c>
      <c r="BO108" s="242"/>
      <c r="BP108" s="84"/>
    </row>
    <row r="109" spans="1:71" ht="195" x14ac:dyDescent="0.25">
      <c r="A109" s="417" t="s">
        <v>3972</v>
      </c>
      <c r="B109" s="3">
        <v>105</v>
      </c>
      <c r="C109" s="4" t="s">
        <v>149</v>
      </c>
      <c r="D109" s="18" t="s">
        <v>3973</v>
      </c>
      <c r="E109" s="3" t="s">
        <v>173</v>
      </c>
      <c r="F109" s="3" t="s">
        <v>3785</v>
      </c>
      <c r="G109" s="3"/>
      <c r="H109" s="3" t="s">
        <v>173</v>
      </c>
      <c r="I109" s="275" t="s">
        <v>3974</v>
      </c>
      <c r="J109" s="17"/>
      <c r="K109" s="17"/>
      <c r="L109" s="17"/>
      <c r="M109" s="375" t="str">
        <f t="shared" si="36"/>
        <v xml:space="preserve">Diseño e Innovación Tecnológica Sustentable, S. de RL. De C.V.  </v>
      </c>
      <c r="N109" s="959" t="s">
        <v>198</v>
      </c>
      <c r="O109" s="959" t="s">
        <v>198</v>
      </c>
      <c r="P109" s="959" t="s">
        <v>3975</v>
      </c>
      <c r="Q109" s="962">
        <v>11679560.789999999</v>
      </c>
      <c r="R109" s="383">
        <f t="shared" si="33"/>
        <v>1868729.7263999998</v>
      </c>
      <c r="S109" s="384">
        <f t="shared" si="37"/>
        <v>13548290.516399998</v>
      </c>
      <c r="T109" s="385">
        <v>4672085.82</v>
      </c>
      <c r="U109" s="386">
        <f t="shared" si="34"/>
        <v>5419619.5512000006</v>
      </c>
      <c r="V109" s="383">
        <f t="shared" si="38"/>
        <v>16935363.146399997</v>
      </c>
      <c r="W109" s="963" t="s">
        <v>156</v>
      </c>
      <c r="X109" s="387">
        <v>44440</v>
      </c>
      <c r="Y109" s="3" t="s">
        <v>863</v>
      </c>
      <c r="Z109" s="387">
        <v>44440</v>
      </c>
      <c r="AA109" s="387">
        <v>44550</v>
      </c>
      <c r="AB109" s="4" t="s">
        <v>3880</v>
      </c>
      <c r="AC109" s="4"/>
      <c r="AD109" s="6">
        <v>44459</v>
      </c>
      <c r="AE109" s="6">
        <v>44459</v>
      </c>
      <c r="AF109" s="6" t="s">
        <v>3976</v>
      </c>
      <c r="AG109" s="6">
        <v>44566</v>
      </c>
      <c r="AH109" s="3" t="s">
        <v>183</v>
      </c>
      <c r="AI109" s="4" t="s">
        <v>3977</v>
      </c>
      <c r="AJ109" s="4" t="s">
        <v>3978</v>
      </c>
      <c r="AK109" s="388">
        <v>44531</v>
      </c>
      <c r="AL109" s="383">
        <v>3387072.63</v>
      </c>
      <c r="AM109" s="414" t="str">
        <f t="shared" ca="1" si="40"/>
        <v>MUERTO</v>
      </c>
      <c r="AN109" s="3"/>
      <c r="AO109" s="3"/>
      <c r="AP109" s="3" t="s">
        <v>863</v>
      </c>
      <c r="AQ109" s="3"/>
      <c r="AR109" s="3" t="s">
        <v>863</v>
      </c>
      <c r="AS109" s="3"/>
      <c r="AT109" s="3"/>
      <c r="AU109" s="458"/>
      <c r="AV109" s="388"/>
      <c r="AW109" s="4"/>
      <c r="AX109" s="459"/>
      <c r="AY109" s="662" t="s">
        <v>3979</v>
      </c>
      <c r="AZ109" s="4"/>
      <c r="BA109" s="4" t="s">
        <v>3980</v>
      </c>
      <c r="BB109" s="5">
        <f t="shared" si="41"/>
        <v>0</v>
      </c>
      <c r="BC109" s="544"/>
      <c r="BD109" s="6">
        <v>44435</v>
      </c>
      <c r="BE109" s="463">
        <v>44438</v>
      </c>
      <c r="BF109" s="463">
        <v>44440</v>
      </c>
      <c r="BG109" s="6" t="s">
        <v>3981</v>
      </c>
      <c r="BH109" s="415" t="str">
        <f t="shared" si="42"/>
        <v>Formalizado contrato y F.Anticipo        13/09
20/09 FC y PRC
1er Modificatorio formalizado con endoso de PRC 20/12</v>
      </c>
      <c r="BI109" s="416" t="s">
        <v>3982</v>
      </c>
      <c r="BJ109" s="255" t="s">
        <v>3983</v>
      </c>
      <c r="BK109" s="415" t="str">
        <f t="shared" si="39"/>
        <v>Formalizado contrato y F.Anticipo        13/09
20/09 FC y PRC
1er Modificatorio formalizado con endoso de PRC 20/12</v>
      </c>
      <c r="BL109" s="84"/>
      <c r="BM109" s="84"/>
      <c r="BN109" s="84"/>
      <c r="BO109" s="84"/>
      <c r="BP109" s="84"/>
    </row>
    <row r="110" spans="1:71" ht="195" x14ac:dyDescent="0.25">
      <c r="A110" s="417" t="s">
        <v>3984</v>
      </c>
      <c r="B110" s="3">
        <v>106</v>
      </c>
      <c r="C110" s="4" t="s">
        <v>149</v>
      </c>
      <c r="D110" s="18" t="s">
        <v>3985</v>
      </c>
      <c r="E110" s="3" t="s">
        <v>163</v>
      </c>
      <c r="F110" s="3" t="s">
        <v>3986</v>
      </c>
      <c r="G110" s="3" t="s">
        <v>163</v>
      </c>
      <c r="H110" s="3" t="s">
        <v>163</v>
      </c>
      <c r="I110" s="275" t="s">
        <v>3323</v>
      </c>
      <c r="J110" s="17"/>
      <c r="K110" s="17"/>
      <c r="L110" s="17"/>
      <c r="M110" s="375" t="str">
        <f t="shared" si="36"/>
        <v xml:space="preserve">Dhimex Ciudad de México, S.A. de C.V.    </v>
      </c>
      <c r="N110" s="959" t="s">
        <v>198</v>
      </c>
      <c r="O110" s="959" t="s">
        <v>198</v>
      </c>
      <c r="P110" s="959" t="s">
        <v>3987</v>
      </c>
      <c r="Q110" s="962">
        <v>9699858.5700000003</v>
      </c>
      <c r="R110" s="383">
        <f t="shared" si="33"/>
        <v>1551977.3712000002</v>
      </c>
      <c r="S110" s="384">
        <f t="shared" si="37"/>
        <v>11251835.941200001</v>
      </c>
      <c r="T110" s="385">
        <v>0</v>
      </c>
      <c r="U110" s="386">
        <f t="shared" si="34"/>
        <v>0</v>
      </c>
      <c r="V110" s="383">
        <f t="shared" si="38"/>
        <v>14064794.921200002</v>
      </c>
      <c r="W110" s="963" t="s">
        <v>156</v>
      </c>
      <c r="X110" s="387">
        <v>44447</v>
      </c>
      <c r="Y110" s="3" t="s">
        <v>863</v>
      </c>
      <c r="Z110" s="387">
        <v>44447</v>
      </c>
      <c r="AA110" s="387">
        <v>44561</v>
      </c>
      <c r="AB110" s="4" t="s">
        <v>3907</v>
      </c>
      <c r="AC110" s="4"/>
      <c r="AD110" s="6">
        <v>44467</v>
      </c>
      <c r="AE110" s="6">
        <v>44467</v>
      </c>
      <c r="AF110" s="663">
        <v>3375550.78</v>
      </c>
      <c r="AG110" s="6">
        <v>44593</v>
      </c>
      <c r="AH110" s="3" t="s">
        <v>183</v>
      </c>
      <c r="AI110" s="527" t="s">
        <v>3988</v>
      </c>
      <c r="AJ110" s="4" t="s">
        <v>3989</v>
      </c>
      <c r="AK110" s="521">
        <v>44560</v>
      </c>
      <c r="AL110" s="383">
        <v>2812958.98</v>
      </c>
      <c r="AM110" s="414" t="str">
        <f t="shared" ca="1" si="40"/>
        <v>MUERTO</v>
      </c>
      <c r="AN110" s="3" t="s">
        <v>3990</v>
      </c>
      <c r="AO110" s="457">
        <f>AL110/1.16</f>
        <v>2424964.6379310344</v>
      </c>
      <c r="AP110" s="3" t="s">
        <v>863</v>
      </c>
      <c r="AQ110" s="3"/>
      <c r="AR110" s="3" t="s">
        <v>863</v>
      </c>
      <c r="AS110" s="3"/>
      <c r="AT110" s="3"/>
      <c r="AU110" s="458"/>
      <c r="AV110" s="388"/>
      <c r="AW110" s="4"/>
      <c r="AX110" s="459"/>
      <c r="AY110" s="281" t="s">
        <v>3991</v>
      </c>
      <c r="AZ110" s="4"/>
      <c r="BA110" s="4" t="s">
        <v>3921</v>
      </c>
      <c r="BB110" s="5" t="str">
        <f t="shared" si="41"/>
        <v xml:space="preserve">35101
56601
59701
</v>
      </c>
      <c r="BC110" s="544"/>
      <c r="BD110" s="6">
        <v>44440</v>
      </c>
      <c r="BE110" s="463">
        <v>44441</v>
      </c>
      <c r="BF110" s="463" t="s">
        <v>3992</v>
      </c>
      <c r="BG110" s="6" t="str">
        <f t="shared" ref="BG110:BG131" si="43">BF110</f>
        <v>07/09/2021
31/12/2021</v>
      </c>
      <c r="BH110" s="415" t="str">
        <f t="shared" si="42"/>
        <v>Formalizado en tesorería, contrato, FC, FA y PRC 28/09/21
1ER Modif y endosos formalizados en tesoreria 27/01/22</v>
      </c>
      <c r="BI110" s="416" t="s">
        <v>3993</v>
      </c>
      <c r="BJ110" s="255" t="s">
        <v>3994</v>
      </c>
      <c r="BK110" s="415" t="str">
        <f t="shared" si="39"/>
        <v>Formalizado en tesorería, contrato, FC, FA y PRC 28/09/21
1ER Modif y endosos formalizados en tesoreria 27/01/22</v>
      </c>
      <c r="BL110" s="84"/>
      <c r="BM110" s="84"/>
      <c r="BN110" s="84"/>
      <c r="BO110" s="84"/>
      <c r="BP110" s="84"/>
    </row>
    <row r="111" spans="1:71" s="468" customFormat="1" ht="165" x14ac:dyDescent="0.25">
      <c r="A111" s="527" t="s">
        <v>3995</v>
      </c>
      <c r="B111" s="3">
        <v>107</v>
      </c>
      <c r="C111" s="4" t="s">
        <v>811</v>
      </c>
      <c r="D111" s="18" t="s">
        <v>3996</v>
      </c>
      <c r="E111" s="3" t="s">
        <v>173</v>
      </c>
      <c r="F111" s="3" t="s">
        <v>3785</v>
      </c>
      <c r="G111" s="3"/>
      <c r="H111" s="3" t="s">
        <v>173</v>
      </c>
      <c r="I111" s="275" t="s">
        <v>3997</v>
      </c>
      <c r="J111" s="17"/>
      <c r="K111" s="17"/>
      <c r="L111" s="17"/>
      <c r="M111" s="375" t="str">
        <f t="shared" si="36"/>
        <v xml:space="preserve">Corporación de Servicios Nacionales, S.A. de C.V.  </v>
      </c>
      <c r="N111" s="959" t="s">
        <v>198</v>
      </c>
      <c r="O111" s="959" t="s">
        <v>198</v>
      </c>
      <c r="P111" s="959" t="s">
        <v>3998</v>
      </c>
      <c r="Q111" s="962">
        <v>4237522.2</v>
      </c>
      <c r="R111" s="383">
        <f t="shared" si="33"/>
        <v>678003.55200000003</v>
      </c>
      <c r="S111" s="384">
        <f t="shared" si="37"/>
        <v>4915525.7520000003</v>
      </c>
      <c r="T111" s="385">
        <v>0</v>
      </c>
      <c r="U111" s="386">
        <f t="shared" si="34"/>
        <v>0</v>
      </c>
      <c r="V111" s="383">
        <f t="shared" si="38"/>
        <v>4915525.7520000003</v>
      </c>
      <c r="W111" s="963" t="s">
        <v>156</v>
      </c>
      <c r="X111" s="387">
        <v>44446</v>
      </c>
      <c r="Y111" s="3" t="s">
        <v>863</v>
      </c>
      <c r="Z111" s="387">
        <v>44446</v>
      </c>
      <c r="AA111" s="387">
        <v>44560</v>
      </c>
      <c r="AB111" s="4" t="s">
        <v>3999</v>
      </c>
      <c r="AC111" s="4"/>
      <c r="AD111" s="6">
        <v>44463</v>
      </c>
      <c r="AE111" s="6">
        <v>44463</v>
      </c>
      <c r="AF111" s="6" t="s">
        <v>159</v>
      </c>
      <c r="AG111" s="6">
        <v>44587</v>
      </c>
      <c r="AH111" s="3" t="s">
        <v>183</v>
      </c>
      <c r="AI111" s="4"/>
      <c r="AJ111" s="4"/>
      <c r="AK111" s="388"/>
      <c r="AL111" s="383"/>
      <c r="AM111" s="414" t="str">
        <f t="shared" ca="1" si="40"/>
        <v>MUERTO</v>
      </c>
      <c r="AN111" s="3"/>
      <c r="AO111" s="3"/>
      <c r="AP111" s="3" t="s">
        <v>863</v>
      </c>
      <c r="AQ111" s="3"/>
      <c r="AR111" s="3" t="s">
        <v>863</v>
      </c>
      <c r="AS111" s="3"/>
      <c r="AT111" s="3"/>
      <c r="AU111" s="458"/>
      <c r="AV111" s="388"/>
      <c r="AW111" s="4"/>
      <c r="AX111" s="459"/>
      <c r="AY111" s="281" t="s">
        <v>4000</v>
      </c>
      <c r="AZ111" s="4"/>
      <c r="BA111" s="4" t="s">
        <v>4001</v>
      </c>
      <c r="BB111" s="5">
        <f t="shared" si="41"/>
        <v>0</v>
      </c>
      <c r="BC111" s="544"/>
      <c r="BD111" s="6">
        <v>44441</v>
      </c>
      <c r="BE111" s="463">
        <v>44442</v>
      </c>
      <c r="BF111" s="463">
        <v>44454</v>
      </c>
      <c r="BG111" s="6">
        <f t="shared" si="43"/>
        <v>44454</v>
      </c>
      <c r="BH111" s="415" t="str">
        <f t="shared" si="42"/>
        <v>Formalizado contrato, FC y PRC en tesorería 24/09</v>
      </c>
      <c r="BI111" s="416">
        <v>44461</v>
      </c>
      <c r="BJ111" s="255">
        <v>44454</v>
      </c>
      <c r="BK111" s="415" t="str">
        <f t="shared" si="39"/>
        <v>Formalizado contrato, FC y PRC en tesorería 24/09</v>
      </c>
      <c r="BL111" s="84"/>
      <c r="BM111" s="84"/>
      <c r="BN111" s="84"/>
      <c r="BO111" s="84"/>
      <c r="BP111" s="84"/>
      <c r="BQ111"/>
      <c r="BR111"/>
      <c r="BS111"/>
    </row>
    <row r="112" spans="1:71" ht="120" x14ac:dyDescent="0.25">
      <c r="A112" s="527" t="s">
        <v>4002</v>
      </c>
      <c r="B112" s="3">
        <v>108</v>
      </c>
      <c r="C112" s="4" t="s">
        <v>149</v>
      </c>
      <c r="D112" s="18" t="s">
        <v>4003</v>
      </c>
      <c r="E112" s="3" t="s">
        <v>163</v>
      </c>
      <c r="F112" s="3" t="s">
        <v>4004</v>
      </c>
      <c r="G112" s="3" t="s">
        <v>163</v>
      </c>
      <c r="H112" s="3" t="s">
        <v>1272</v>
      </c>
      <c r="I112" s="275" t="s">
        <v>4005</v>
      </c>
      <c r="J112" s="17"/>
      <c r="K112" s="17"/>
      <c r="L112" s="17"/>
      <c r="M112" s="375" t="str">
        <f t="shared" si="36"/>
        <v xml:space="preserve">Palmersa Solutions, S.A. de C.V.  </v>
      </c>
      <c r="N112" s="959" t="s">
        <v>301</v>
      </c>
      <c r="O112" s="959" t="s">
        <v>301</v>
      </c>
      <c r="P112" s="959" t="s">
        <v>4006</v>
      </c>
      <c r="Q112" s="962">
        <v>1486750</v>
      </c>
      <c r="R112" s="383">
        <f t="shared" si="33"/>
        <v>237880</v>
      </c>
      <c r="S112" s="384">
        <f t="shared" si="37"/>
        <v>1724630</v>
      </c>
      <c r="T112" s="385">
        <v>0</v>
      </c>
      <c r="U112" s="386">
        <f t="shared" si="34"/>
        <v>0</v>
      </c>
      <c r="V112" s="383">
        <f t="shared" si="38"/>
        <v>1724630</v>
      </c>
      <c r="W112" s="963" t="s">
        <v>156</v>
      </c>
      <c r="X112" s="387">
        <v>44454</v>
      </c>
      <c r="Y112" s="3" t="s">
        <v>863</v>
      </c>
      <c r="Z112" s="387">
        <v>44454</v>
      </c>
      <c r="AA112" s="387">
        <v>44545</v>
      </c>
      <c r="AB112" s="4" t="s">
        <v>4007</v>
      </c>
      <c r="AC112" s="4"/>
      <c r="AD112" s="6">
        <v>44474</v>
      </c>
      <c r="AE112" s="6">
        <v>44474</v>
      </c>
      <c r="AF112" s="6" t="s">
        <v>159</v>
      </c>
      <c r="AG112" s="6" t="s">
        <v>159</v>
      </c>
      <c r="AH112" s="3" t="s">
        <v>183</v>
      </c>
      <c r="AI112" s="4"/>
      <c r="AJ112" s="4"/>
      <c r="AK112" s="388"/>
      <c r="AL112" s="383"/>
      <c r="AM112" s="414" t="str">
        <f t="shared" ca="1" si="40"/>
        <v>MUERTO</v>
      </c>
      <c r="AN112" s="3"/>
      <c r="AO112" s="3"/>
      <c r="AP112" s="3" t="s">
        <v>863</v>
      </c>
      <c r="AQ112" s="3"/>
      <c r="AR112" s="3" t="s">
        <v>863</v>
      </c>
      <c r="AS112" s="3"/>
      <c r="AT112" s="3"/>
      <c r="AU112" s="458"/>
      <c r="AV112" s="388"/>
      <c r="AW112" s="4"/>
      <c r="AX112" s="459"/>
      <c r="AY112" s="281" t="s">
        <v>4008</v>
      </c>
      <c r="AZ112" s="4"/>
      <c r="BA112" s="4" t="s">
        <v>4009</v>
      </c>
      <c r="BB112" s="5">
        <f t="shared" si="41"/>
        <v>0</v>
      </c>
      <c r="BC112" s="544"/>
      <c r="BD112" s="6">
        <v>44447</v>
      </c>
      <c r="BE112" s="463">
        <v>44447</v>
      </c>
      <c r="BF112" s="463">
        <v>44453</v>
      </c>
      <c r="BG112" s="6">
        <f t="shared" si="43"/>
        <v>44453</v>
      </c>
      <c r="BH112" s="415" t="str">
        <f t="shared" si="42"/>
        <v>Formalizado en tesoreria con FC y PRC 05/10</v>
      </c>
      <c r="BI112" s="416">
        <v>44462</v>
      </c>
      <c r="BJ112" s="255">
        <v>44454</v>
      </c>
      <c r="BK112" s="415" t="str">
        <f t="shared" si="39"/>
        <v>Formalizado en tesoreria con FC y PRC 05/10</v>
      </c>
      <c r="BL112" s="84"/>
      <c r="BM112" s="84"/>
      <c r="BN112" s="84"/>
      <c r="BO112" s="84"/>
      <c r="BP112" s="84"/>
    </row>
    <row r="113" spans="1:71" ht="90" x14ac:dyDescent="0.25">
      <c r="A113" s="527" t="s">
        <v>4010</v>
      </c>
      <c r="B113" s="3">
        <v>109</v>
      </c>
      <c r="C113" s="4" t="s">
        <v>149</v>
      </c>
      <c r="D113" s="18" t="s">
        <v>4011</v>
      </c>
      <c r="E113" s="3" t="s">
        <v>151</v>
      </c>
      <c r="F113" s="3" t="s">
        <v>3793</v>
      </c>
      <c r="G113" s="3"/>
      <c r="H113" s="3" t="s">
        <v>151</v>
      </c>
      <c r="I113" s="275" t="s">
        <v>4012</v>
      </c>
      <c r="J113" s="17"/>
      <c r="K113" s="17"/>
      <c r="L113" s="17"/>
      <c r="M113" s="375" t="str">
        <f t="shared" si="36"/>
        <v xml:space="preserve">Publi Premier México, S.A. de C.V.  </v>
      </c>
      <c r="N113" s="959" t="s">
        <v>2528</v>
      </c>
      <c r="O113" s="959" t="s">
        <v>2528</v>
      </c>
      <c r="P113" s="959" t="s">
        <v>4013</v>
      </c>
      <c r="Q113" s="962">
        <v>797413.79</v>
      </c>
      <c r="R113" s="383">
        <f t="shared" si="33"/>
        <v>127586.20640000001</v>
      </c>
      <c r="S113" s="384">
        <f t="shared" si="37"/>
        <v>924999.99640000006</v>
      </c>
      <c r="T113" s="385">
        <v>0</v>
      </c>
      <c r="U113" s="386">
        <f t="shared" si="34"/>
        <v>0</v>
      </c>
      <c r="V113" s="383">
        <f t="shared" si="38"/>
        <v>924999.99640000006</v>
      </c>
      <c r="W113" s="963" t="s">
        <v>156</v>
      </c>
      <c r="X113" s="387">
        <v>44459</v>
      </c>
      <c r="Y113" s="3" t="s">
        <v>863</v>
      </c>
      <c r="Z113" s="387">
        <v>44459</v>
      </c>
      <c r="AA113" s="387">
        <v>44545</v>
      </c>
      <c r="AB113" s="4" t="s">
        <v>4007</v>
      </c>
      <c r="AC113" s="4"/>
      <c r="AD113" s="6">
        <v>44481</v>
      </c>
      <c r="AE113" s="6">
        <v>44481</v>
      </c>
      <c r="AF113" s="6" t="s">
        <v>159</v>
      </c>
      <c r="AG113" s="6" t="s">
        <v>159</v>
      </c>
      <c r="AH113" s="3" t="s">
        <v>1146</v>
      </c>
      <c r="AI113" s="4"/>
      <c r="AJ113" s="4"/>
      <c r="AK113" s="388"/>
      <c r="AL113" s="383"/>
      <c r="AM113" s="414" t="str">
        <f t="shared" ca="1" si="40"/>
        <v>MUERTO</v>
      </c>
      <c r="AN113" s="3"/>
      <c r="AO113" s="3"/>
      <c r="AP113" s="3" t="s">
        <v>863</v>
      </c>
      <c r="AQ113" s="3"/>
      <c r="AR113" s="3" t="s">
        <v>863</v>
      </c>
      <c r="AS113" s="3"/>
      <c r="AT113" s="3"/>
      <c r="AU113" s="458"/>
      <c r="AV113" s="388"/>
      <c r="AW113" s="4"/>
      <c r="AX113" s="459"/>
      <c r="AY113" s="281" t="s">
        <v>4014</v>
      </c>
      <c r="AZ113" s="4"/>
      <c r="BA113" s="4" t="s">
        <v>4015</v>
      </c>
      <c r="BB113" s="5">
        <f t="shared" si="41"/>
        <v>0</v>
      </c>
      <c r="BC113" s="544"/>
      <c r="BD113" s="6">
        <v>44453</v>
      </c>
      <c r="BE113" s="463">
        <v>44454</v>
      </c>
      <c r="BF113" s="463">
        <v>44460</v>
      </c>
      <c r="BG113" s="6">
        <f t="shared" si="43"/>
        <v>44460</v>
      </c>
      <c r="BH113" s="415" t="str">
        <f t="shared" si="42"/>
        <v>Formalizado en Tesorería, FC Y PRC 12/10/21</v>
      </c>
      <c r="BI113" s="416">
        <v>44463</v>
      </c>
      <c r="BJ113" s="255">
        <v>44461</v>
      </c>
      <c r="BK113" s="415" t="str">
        <f t="shared" si="39"/>
        <v>Formalizado en Tesorería, FC Y PRC 12/10/21</v>
      </c>
      <c r="BL113" s="84"/>
      <c r="BM113" s="84"/>
      <c r="BN113" s="84"/>
      <c r="BO113" s="84"/>
      <c r="BP113" s="84"/>
    </row>
    <row r="114" spans="1:71" ht="75" x14ac:dyDescent="0.25">
      <c r="A114" s="527" t="s">
        <v>4016</v>
      </c>
      <c r="B114" s="5">
        <v>110</v>
      </c>
      <c r="C114" s="4" t="s">
        <v>225</v>
      </c>
      <c r="D114" s="18" t="s">
        <v>4017</v>
      </c>
      <c r="E114" s="3" t="s">
        <v>151</v>
      </c>
      <c r="F114" s="3" t="s">
        <v>3793</v>
      </c>
      <c r="G114" s="3"/>
      <c r="H114" s="3" t="s">
        <v>151</v>
      </c>
      <c r="I114" s="275" t="s">
        <v>4018</v>
      </c>
      <c r="J114" s="17"/>
      <c r="K114" s="17"/>
      <c r="L114" s="17"/>
      <c r="M114" s="375" t="str">
        <f t="shared" si="36"/>
        <v xml:space="preserve">Asesores de Negocios SYB, S.A. de C.V.  </v>
      </c>
      <c r="N114" s="959" t="s">
        <v>3202</v>
      </c>
      <c r="O114" s="959" t="s">
        <v>3202</v>
      </c>
      <c r="P114" s="959" t="s">
        <v>4019</v>
      </c>
      <c r="Q114" s="962">
        <v>404104</v>
      </c>
      <c r="R114" s="383">
        <f t="shared" si="33"/>
        <v>64656.639999999999</v>
      </c>
      <c r="S114" s="384">
        <f t="shared" si="37"/>
        <v>468760.64</v>
      </c>
      <c r="T114" s="385">
        <v>0</v>
      </c>
      <c r="U114" s="386">
        <f t="shared" si="34"/>
        <v>0</v>
      </c>
      <c r="V114" s="383">
        <f t="shared" si="38"/>
        <v>468760.64</v>
      </c>
      <c r="W114" s="963" t="s">
        <v>156</v>
      </c>
      <c r="X114" s="387">
        <v>44460</v>
      </c>
      <c r="Y114" s="3" t="s">
        <v>863</v>
      </c>
      <c r="Z114" s="387">
        <v>44460</v>
      </c>
      <c r="AA114" s="387">
        <v>44484</v>
      </c>
      <c r="AB114" s="4" t="s">
        <v>4020</v>
      </c>
      <c r="AC114" s="4"/>
      <c r="AD114" s="6">
        <v>44483</v>
      </c>
      <c r="AE114" s="6" t="s">
        <v>159</v>
      </c>
      <c r="AF114" s="6" t="s">
        <v>159</v>
      </c>
      <c r="AG114" s="6" t="s">
        <v>159</v>
      </c>
      <c r="AH114" s="3" t="s">
        <v>1146</v>
      </c>
      <c r="AI114" s="4"/>
      <c r="AJ114" s="4"/>
      <c r="AK114" s="388"/>
      <c r="AL114" s="383"/>
      <c r="AM114" s="414" t="str">
        <f t="shared" ca="1" si="40"/>
        <v>MUERTO</v>
      </c>
      <c r="AN114" s="3"/>
      <c r="AO114" s="3"/>
      <c r="AP114" s="3" t="s">
        <v>863</v>
      </c>
      <c r="AQ114" s="3"/>
      <c r="AR114" s="3" t="s">
        <v>863</v>
      </c>
      <c r="AS114" s="3"/>
      <c r="AT114" s="3"/>
      <c r="AU114" s="458"/>
      <c r="AV114" s="388"/>
      <c r="AW114" s="4"/>
      <c r="AX114" s="459"/>
      <c r="AY114" s="664" t="s">
        <v>4021</v>
      </c>
      <c r="AZ114" s="4"/>
      <c r="BA114" s="4" t="s">
        <v>4022</v>
      </c>
      <c r="BB114" s="5">
        <f t="shared" si="41"/>
        <v>0</v>
      </c>
      <c r="BC114" s="544"/>
      <c r="BD114" s="6">
        <v>44454</v>
      </c>
      <c r="BE114" s="463">
        <v>44454</v>
      </c>
      <c r="BF114" s="463">
        <v>44462</v>
      </c>
      <c r="BG114" s="6">
        <f t="shared" si="43"/>
        <v>44462</v>
      </c>
      <c r="BH114" s="415" t="str">
        <f t="shared" si="42"/>
        <v>Formalizado en tesorería y FC 14/10/21</v>
      </c>
      <c r="BI114" s="416">
        <v>44467</v>
      </c>
      <c r="BJ114" s="255">
        <v>44466</v>
      </c>
      <c r="BK114" s="415" t="str">
        <f t="shared" si="39"/>
        <v>Formalizado en tesorería y FC 14/10/21</v>
      </c>
      <c r="BL114" s="84"/>
      <c r="BM114" s="84"/>
      <c r="BN114" s="84"/>
      <c r="BO114" s="84"/>
      <c r="BP114" s="84"/>
    </row>
    <row r="115" spans="1:71" ht="135" x14ac:dyDescent="0.25">
      <c r="A115" s="527" t="s">
        <v>4023</v>
      </c>
      <c r="B115" s="3">
        <v>111</v>
      </c>
      <c r="C115" s="4" t="s">
        <v>225</v>
      </c>
      <c r="D115" s="18" t="s">
        <v>4024</v>
      </c>
      <c r="E115" s="3" t="s">
        <v>173</v>
      </c>
      <c r="F115" s="3" t="s">
        <v>3785</v>
      </c>
      <c r="G115" s="3"/>
      <c r="H115" s="3" t="s">
        <v>173</v>
      </c>
      <c r="I115" s="275" t="s">
        <v>4025</v>
      </c>
      <c r="J115" s="17"/>
      <c r="K115" s="17"/>
      <c r="L115" s="17"/>
      <c r="M115" s="375" t="str">
        <f t="shared" si="36"/>
        <v xml:space="preserve">Power Systems Service, S.A. de C.V.  </v>
      </c>
      <c r="N115" s="959" t="s">
        <v>198</v>
      </c>
      <c r="O115" s="959" t="s">
        <v>198</v>
      </c>
      <c r="P115" s="959" t="s">
        <v>4026</v>
      </c>
      <c r="Q115" s="962">
        <v>3286916.8</v>
      </c>
      <c r="R115" s="383">
        <f t="shared" si="33"/>
        <v>525906.68799999997</v>
      </c>
      <c r="S115" s="384">
        <f t="shared" si="37"/>
        <v>3812823.4879999999</v>
      </c>
      <c r="T115" s="385">
        <v>0</v>
      </c>
      <c r="U115" s="386">
        <f t="shared" si="34"/>
        <v>0</v>
      </c>
      <c r="V115" s="383">
        <f t="shared" si="38"/>
        <v>3812823.4879999999</v>
      </c>
      <c r="W115" s="963" t="s">
        <v>156</v>
      </c>
      <c r="X115" s="387">
        <v>44460</v>
      </c>
      <c r="Y115" s="3" t="s">
        <v>863</v>
      </c>
      <c r="Z115" s="387">
        <v>44460</v>
      </c>
      <c r="AA115" s="387">
        <v>44561</v>
      </c>
      <c r="AB115" s="4" t="s">
        <v>3907</v>
      </c>
      <c r="AC115" s="4"/>
      <c r="AD115" s="6">
        <v>44496</v>
      </c>
      <c r="AE115" s="6">
        <v>44496</v>
      </c>
      <c r="AF115" s="665">
        <v>953205.87</v>
      </c>
      <c r="AG115" s="6"/>
      <c r="AH115" s="3" t="s">
        <v>183</v>
      </c>
      <c r="AI115" s="4"/>
      <c r="AJ115" s="4"/>
      <c r="AK115" s="388"/>
      <c r="AL115" s="383"/>
      <c r="AM115" s="414" t="str">
        <f t="shared" ca="1" si="40"/>
        <v>MUERTO</v>
      </c>
      <c r="AN115" s="3"/>
      <c r="AO115" s="3"/>
      <c r="AP115" s="3" t="s">
        <v>863</v>
      </c>
      <c r="AQ115" s="3"/>
      <c r="AR115" s="3" t="s">
        <v>863</v>
      </c>
      <c r="AS115" s="3"/>
      <c r="AT115" s="3"/>
      <c r="AU115" s="458"/>
      <c r="AV115" s="388"/>
      <c r="AW115" s="4"/>
      <c r="AX115" s="459"/>
      <c r="AY115" s="281" t="s">
        <v>4027</v>
      </c>
      <c r="AZ115" s="4"/>
      <c r="BA115" s="4" t="e">
        <f>VLOOKUP(I115,#REF!,2,0)</f>
        <v>#REF!</v>
      </c>
      <c r="BB115" s="5">
        <f t="shared" si="41"/>
        <v>0</v>
      </c>
      <c r="BC115" s="544"/>
      <c r="BD115" s="6">
        <v>44456</v>
      </c>
      <c r="BE115" s="463">
        <v>44456</v>
      </c>
      <c r="BF115" s="463">
        <v>44466</v>
      </c>
      <c r="BG115" s="6">
        <f t="shared" si="43"/>
        <v>44466</v>
      </c>
      <c r="BH115" s="415" t="str">
        <f t="shared" si="42"/>
        <v>Formalizado en tesorería con fianza de anticipo 05/10
FC y PRC en Tesoreria 27/10/21</v>
      </c>
      <c r="BI115" s="416">
        <v>44470</v>
      </c>
      <c r="BJ115" s="255">
        <v>44466</v>
      </c>
      <c r="BK115" s="415" t="str">
        <f t="shared" si="39"/>
        <v>Formalizado en tesorería con fianza de anticipo 05/10
FC y PRC en Tesoreria 27/10/21</v>
      </c>
      <c r="BL115" s="84"/>
      <c r="BM115" s="84"/>
      <c r="BN115" s="84"/>
      <c r="BO115" s="84"/>
      <c r="BP115" s="84"/>
    </row>
    <row r="116" spans="1:71" ht="105" x14ac:dyDescent="0.25">
      <c r="A116" s="527" t="s">
        <v>4028</v>
      </c>
      <c r="B116" s="3">
        <v>112</v>
      </c>
      <c r="C116" s="4" t="s">
        <v>225</v>
      </c>
      <c r="D116" s="18" t="s">
        <v>4029</v>
      </c>
      <c r="E116" s="3" t="s">
        <v>163</v>
      </c>
      <c r="F116" s="3" t="s">
        <v>4030</v>
      </c>
      <c r="G116" s="685" t="s">
        <v>546</v>
      </c>
      <c r="H116" s="3" t="s">
        <v>2237</v>
      </c>
      <c r="I116" s="275" t="s">
        <v>1254</v>
      </c>
      <c r="J116" s="17"/>
      <c r="K116" s="17"/>
      <c r="L116" s="17"/>
      <c r="M116" s="375" t="str">
        <f t="shared" si="36"/>
        <v xml:space="preserve">Intercomza, S.A. de C.V.  </v>
      </c>
      <c r="N116" s="959" t="s">
        <v>198</v>
      </c>
      <c r="O116" s="959" t="s">
        <v>198</v>
      </c>
      <c r="P116" s="959" t="s">
        <v>4031</v>
      </c>
      <c r="Q116" s="962">
        <v>604800</v>
      </c>
      <c r="R116" s="383">
        <f t="shared" si="33"/>
        <v>96768</v>
      </c>
      <c r="S116" s="384">
        <f t="shared" si="37"/>
        <v>701568</v>
      </c>
      <c r="T116" s="385">
        <v>0</v>
      </c>
      <c r="U116" s="386">
        <f t="shared" si="34"/>
        <v>0</v>
      </c>
      <c r="V116" s="383">
        <f t="shared" si="38"/>
        <v>701568</v>
      </c>
      <c r="W116" s="963" t="s">
        <v>156</v>
      </c>
      <c r="X116" s="387">
        <v>44469</v>
      </c>
      <c r="Y116" s="3" t="s">
        <v>863</v>
      </c>
      <c r="Z116" s="387">
        <v>44469</v>
      </c>
      <c r="AA116" s="387">
        <v>44482</v>
      </c>
      <c r="AB116" s="4" t="s">
        <v>2050</v>
      </c>
      <c r="AC116" s="4"/>
      <c r="AD116" s="6" t="s">
        <v>4032</v>
      </c>
      <c r="AE116" s="6" t="s">
        <v>159</v>
      </c>
      <c r="AF116" s="6" t="s">
        <v>159</v>
      </c>
      <c r="AG116" s="6" t="s">
        <v>159</v>
      </c>
      <c r="AH116" s="3" t="s">
        <v>2050</v>
      </c>
      <c r="AI116" s="4"/>
      <c r="AJ116" s="4"/>
      <c r="AK116" s="388"/>
      <c r="AL116" s="383"/>
      <c r="AM116" s="414" t="str">
        <f t="shared" ca="1" si="40"/>
        <v>MUERTO</v>
      </c>
      <c r="AN116" s="3"/>
      <c r="AO116" s="3"/>
      <c r="AP116" s="3" t="s">
        <v>863</v>
      </c>
      <c r="AQ116" s="3"/>
      <c r="AR116" s="3" t="s">
        <v>863</v>
      </c>
      <c r="AS116" s="3"/>
      <c r="AT116" s="3"/>
      <c r="AU116" s="458"/>
      <c r="AV116" s="388"/>
      <c r="AW116" s="4"/>
      <c r="AX116" s="459"/>
      <c r="AY116" s="281" t="s">
        <v>4033</v>
      </c>
      <c r="AZ116" s="4"/>
      <c r="BA116" s="4" t="s">
        <v>4034</v>
      </c>
      <c r="BB116" s="5">
        <f t="shared" si="41"/>
        <v>0</v>
      </c>
      <c r="BC116" s="544"/>
      <c r="BD116" s="6">
        <v>44463</v>
      </c>
      <c r="BE116" s="463">
        <v>44463</v>
      </c>
      <c r="BF116" s="463">
        <v>44469</v>
      </c>
      <c r="BG116" s="6">
        <f t="shared" si="43"/>
        <v>44469</v>
      </c>
      <c r="BH116" s="415" t="str">
        <f t="shared" si="42"/>
        <v>Formalizado en tesorería 05/10</v>
      </c>
      <c r="BI116" s="416">
        <v>44473</v>
      </c>
      <c r="BJ116" s="255">
        <v>44470</v>
      </c>
      <c r="BK116" s="415" t="str">
        <f t="shared" si="39"/>
        <v>Formalizado en tesorería 05/10</v>
      </c>
      <c r="BL116" s="84"/>
      <c r="BM116" s="84"/>
      <c r="BN116" s="84"/>
      <c r="BO116" s="84"/>
      <c r="BP116" s="84"/>
    </row>
    <row r="117" spans="1:71" ht="135" x14ac:dyDescent="0.25">
      <c r="A117" s="527" t="s">
        <v>4035</v>
      </c>
      <c r="B117" s="3">
        <v>113</v>
      </c>
      <c r="C117" s="4" t="s">
        <v>225</v>
      </c>
      <c r="D117" s="18" t="s">
        <v>4036</v>
      </c>
      <c r="E117" s="3" t="s">
        <v>173</v>
      </c>
      <c r="F117" s="3" t="s">
        <v>3785</v>
      </c>
      <c r="G117" s="3"/>
      <c r="H117" s="3" t="s">
        <v>173</v>
      </c>
      <c r="I117" s="275" t="s">
        <v>2039</v>
      </c>
      <c r="J117" s="17"/>
      <c r="K117" s="17"/>
      <c r="L117" s="17"/>
      <c r="M117" s="375" t="str">
        <f t="shared" si="36"/>
        <v xml:space="preserve">Desarrollo de Proyectos Especializados, S.A. de C.V.  </v>
      </c>
      <c r="N117" s="959" t="s">
        <v>198</v>
      </c>
      <c r="O117" s="959" t="s">
        <v>198</v>
      </c>
      <c r="P117" s="959" t="s">
        <v>4037</v>
      </c>
      <c r="Q117" s="962">
        <v>3429025</v>
      </c>
      <c r="R117" s="383">
        <f t="shared" si="33"/>
        <v>548644</v>
      </c>
      <c r="S117" s="384">
        <f t="shared" si="37"/>
        <v>3977669</v>
      </c>
      <c r="T117" s="385">
        <v>0</v>
      </c>
      <c r="U117" s="386">
        <f t="shared" si="34"/>
        <v>0</v>
      </c>
      <c r="V117" s="383">
        <f t="shared" si="38"/>
        <v>3977669</v>
      </c>
      <c r="W117" s="963" t="s">
        <v>156</v>
      </c>
      <c r="X117" s="387">
        <v>44470</v>
      </c>
      <c r="Y117" s="3" t="s">
        <v>881</v>
      </c>
      <c r="Z117" s="387">
        <v>44470</v>
      </c>
      <c r="AA117" s="387">
        <v>44545</v>
      </c>
      <c r="AB117" s="4" t="s">
        <v>4038</v>
      </c>
      <c r="AC117" s="4"/>
      <c r="AD117" s="6">
        <v>44498</v>
      </c>
      <c r="AE117" s="6">
        <v>44498</v>
      </c>
      <c r="AF117" s="6" t="s">
        <v>159</v>
      </c>
      <c r="AG117" s="6">
        <v>44574</v>
      </c>
      <c r="AH117" s="3"/>
      <c r="AI117" s="4"/>
      <c r="AJ117" s="4"/>
      <c r="AK117" s="388"/>
      <c r="AL117" s="383"/>
      <c r="AM117" s="414" t="str">
        <f t="shared" ca="1" si="40"/>
        <v>MUERTO</v>
      </c>
      <c r="AN117" s="3"/>
      <c r="AO117" s="3"/>
      <c r="AP117" s="3" t="s">
        <v>881</v>
      </c>
      <c r="AQ117" s="3"/>
      <c r="AR117" s="3" t="s">
        <v>881</v>
      </c>
      <c r="AS117" s="3"/>
      <c r="AT117" s="3"/>
      <c r="AU117" s="458"/>
      <c r="AV117" s="388"/>
      <c r="AW117" s="4"/>
      <c r="AX117" s="459"/>
      <c r="AY117" s="281" t="s">
        <v>4039</v>
      </c>
      <c r="AZ117" s="4"/>
      <c r="BA117" s="4" t="e">
        <f>VLOOKUP(I117,#REF!,2,0)</f>
        <v>#REF!</v>
      </c>
      <c r="BB117" s="5">
        <f t="shared" si="41"/>
        <v>0</v>
      </c>
      <c r="BC117" s="544"/>
      <c r="BD117" s="6">
        <v>44467</v>
      </c>
      <c r="BE117" s="463">
        <v>44468</v>
      </c>
      <c r="BF117" s="463">
        <v>44474</v>
      </c>
      <c r="BG117" s="6">
        <f t="shared" si="43"/>
        <v>44474</v>
      </c>
      <c r="BH117" s="415" t="str">
        <f t="shared" si="42"/>
        <v>Formalizado contrato, FC y PRC 03/11/21</v>
      </c>
      <c r="BI117" s="416">
        <v>44497</v>
      </c>
      <c r="BJ117" s="255">
        <v>44474</v>
      </c>
      <c r="BK117" s="415" t="str">
        <f t="shared" si="39"/>
        <v>Formalizado contrato, FC y PRC 03/11/21</v>
      </c>
      <c r="BL117" s="84"/>
      <c r="BM117" s="84"/>
      <c r="BN117" s="84"/>
      <c r="BO117" s="84"/>
      <c r="BP117" s="84"/>
    </row>
    <row r="118" spans="1:71" ht="120" x14ac:dyDescent="0.25">
      <c r="A118" s="527" t="s">
        <v>4040</v>
      </c>
      <c r="B118" s="5">
        <v>114</v>
      </c>
      <c r="C118" s="4" t="s">
        <v>149</v>
      </c>
      <c r="D118" s="18" t="s">
        <v>4041</v>
      </c>
      <c r="E118" s="3" t="s">
        <v>173</v>
      </c>
      <c r="F118" s="3" t="s">
        <v>3785</v>
      </c>
      <c r="G118" s="3"/>
      <c r="H118" s="3" t="s">
        <v>173</v>
      </c>
      <c r="I118" s="275" t="s">
        <v>4042</v>
      </c>
      <c r="J118" s="17"/>
      <c r="K118" s="17"/>
      <c r="L118" s="17"/>
      <c r="M118" s="375" t="str">
        <f t="shared" si="36"/>
        <v xml:space="preserve">Software Express, S.A. de C.V.  </v>
      </c>
      <c r="N118" s="959" t="s">
        <v>656</v>
      </c>
      <c r="O118" s="959" t="s">
        <v>209</v>
      </c>
      <c r="P118" s="959" t="s">
        <v>4043</v>
      </c>
      <c r="Q118" s="962">
        <v>1868541</v>
      </c>
      <c r="R118" s="383">
        <f t="shared" si="33"/>
        <v>298966.56</v>
      </c>
      <c r="S118" s="384">
        <f t="shared" si="37"/>
        <v>2167507.56</v>
      </c>
      <c r="T118" s="385">
        <v>0</v>
      </c>
      <c r="U118" s="386">
        <f t="shared" si="34"/>
        <v>0</v>
      </c>
      <c r="V118" s="383">
        <f t="shared" si="38"/>
        <v>2167507.56</v>
      </c>
      <c r="W118" s="963" t="s">
        <v>183</v>
      </c>
      <c r="X118" s="387">
        <v>44476</v>
      </c>
      <c r="Y118" s="3" t="s">
        <v>881</v>
      </c>
      <c r="Z118" s="387">
        <v>44476</v>
      </c>
      <c r="AA118" s="387">
        <v>44926</v>
      </c>
      <c r="AB118" s="4" t="s">
        <v>4044</v>
      </c>
      <c r="AC118" s="4"/>
      <c r="AD118" s="6">
        <v>44503</v>
      </c>
      <c r="AE118" s="6">
        <v>44503</v>
      </c>
      <c r="AF118" s="6" t="s">
        <v>159</v>
      </c>
      <c r="AG118" s="6" t="s">
        <v>159</v>
      </c>
      <c r="AH118" s="3" t="s">
        <v>183</v>
      </c>
      <c r="AI118" s="644"/>
      <c r="AJ118" s="644"/>
      <c r="AK118" s="637"/>
      <c r="AL118" s="638"/>
      <c r="AM118" s="414" t="str">
        <f t="shared" ca="1" si="40"/>
        <v>MUERTO</v>
      </c>
      <c r="AN118" s="3" t="s">
        <v>4045</v>
      </c>
      <c r="AO118" s="3"/>
      <c r="AP118" s="3" t="s">
        <v>881</v>
      </c>
      <c r="AQ118" s="3"/>
      <c r="AR118" s="3" t="s">
        <v>881</v>
      </c>
      <c r="AS118" s="3"/>
      <c r="AT118" s="3"/>
      <c r="AU118" s="458"/>
      <c r="AV118" s="388"/>
      <c r="AW118" s="4"/>
      <c r="AX118" s="459"/>
      <c r="AY118" s="281" t="s">
        <v>4046</v>
      </c>
      <c r="AZ118" s="4"/>
      <c r="BA118" s="4" t="s">
        <v>4047</v>
      </c>
      <c r="BB118" s="5" t="str">
        <f t="shared" si="41"/>
        <v>32701
33304</v>
      </c>
      <c r="BC118" s="544"/>
      <c r="BD118" s="6">
        <v>44473</v>
      </c>
      <c r="BE118" s="463">
        <v>44473</v>
      </c>
      <c r="BF118" s="463">
        <v>44477</v>
      </c>
      <c r="BG118" s="6">
        <f t="shared" si="43"/>
        <v>44477</v>
      </c>
      <c r="BH118" s="415" t="str">
        <f t="shared" si="42"/>
        <v>Formalizado en tesorería, Contrato, FC y PRC  04/11/21</v>
      </c>
      <c r="BI118" s="416">
        <v>44483</v>
      </c>
      <c r="BJ118" s="255">
        <v>44480</v>
      </c>
      <c r="BK118" s="415" t="str">
        <f t="shared" si="39"/>
        <v>Formalizado en tesorería, Contrato, FC y PRC  04/11/21</v>
      </c>
      <c r="BL118" s="84"/>
      <c r="BM118" s="84">
        <f>1684131.41*1.16</f>
        <v>1953592.4355999997</v>
      </c>
      <c r="BN118" s="84">
        <f>184409.41*1.16</f>
        <v>213914.91559999998</v>
      </c>
      <c r="BO118" s="84"/>
      <c r="BP118" s="84"/>
    </row>
    <row r="119" spans="1:71" ht="90" x14ac:dyDescent="0.25">
      <c r="A119" s="527" t="s">
        <v>4048</v>
      </c>
      <c r="B119" s="3">
        <v>115</v>
      </c>
      <c r="C119" s="4" t="s">
        <v>149</v>
      </c>
      <c r="D119" s="18" t="s">
        <v>4049</v>
      </c>
      <c r="E119" s="3" t="s">
        <v>163</v>
      </c>
      <c r="F119" s="3" t="s">
        <v>4030</v>
      </c>
      <c r="G119" s="685" t="s">
        <v>546</v>
      </c>
      <c r="H119" s="3" t="s">
        <v>2237</v>
      </c>
      <c r="I119" s="275"/>
      <c r="J119" s="17" t="s">
        <v>2823</v>
      </c>
      <c r="K119" s="17" t="s">
        <v>3732</v>
      </c>
      <c r="L119" s="17" t="s">
        <v>2825</v>
      </c>
      <c r="M119" s="375" t="str">
        <f t="shared" si="36"/>
        <v>Cristian Selene Briseño Rodríguez</v>
      </c>
      <c r="N119" s="959" t="s">
        <v>860</v>
      </c>
      <c r="O119" s="959" t="s">
        <v>220</v>
      </c>
      <c r="P119" s="959" t="s">
        <v>4050</v>
      </c>
      <c r="Q119" s="962">
        <v>1352000</v>
      </c>
      <c r="R119" s="383">
        <f t="shared" si="33"/>
        <v>216320</v>
      </c>
      <c r="S119" s="384">
        <f t="shared" si="37"/>
        <v>1568320</v>
      </c>
      <c r="T119" s="385">
        <v>0</v>
      </c>
      <c r="U119" s="386">
        <f t="shared" si="34"/>
        <v>0</v>
      </c>
      <c r="V119" s="383">
        <f t="shared" si="38"/>
        <v>1568320</v>
      </c>
      <c r="W119" s="963" t="s">
        <v>156</v>
      </c>
      <c r="X119" s="387">
        <v>44487</v>
      </c>
      <c r="Y119" s="3" t="s">
        <v>881</v>
      </c>
      <c r="Z119" s="387">
        <v>44487</v>
      </c>
      <c r="AA119" s="387">
        <v>44530</v>
      </c>
      <c r="AB119" s="4" t="s">
        <v>3113</v>
      </c>
      <c r="AC119" s="4"/>
      <c r="AD119" s="6">
        <v>44496</v>
      </c>
      <c r="AE119" s="6" t="s">
        <v>159</v>
      </c>
      <c r="AF119" s="6" t="s">
        <v>159</v>
      </c>
      <c r="AG119" s="6" t="s">
        <v>159</v>
      </c>
      <c r="AH119" s="3"/>
      <c r="AI119" s="4"/>
      <c r="AJ119" s="4"/>
      <c r="AK119" s="388"/>
      <c r="AL119" s="383"/>
      <c r="AM119" s="414" t="str">
        <f t="shared" ca="1" si="40"/>
        <v>MUERTO</v>
      </c>
      <c r="AN119" s="3"/>
      <c r="AO119" s="3"/>
      <c r="AP119" s="3" t="s">
        <v>881</v>
      </c>
      <c r="AQ119" s="3"/>
      <c r="AR119" s="3" t="s">
        <v>881</v>
      </c>
      <c r="AS119" s="3"/>
      <c r="AT119" s="3"/>
      <c r="AU119" s="458"/>
      <c r="AV119" s="388"/>
      <c r="AW119" s="4"/>
      <c r="AX119" s="459"/>
      <c r="AY119" s="281" t="s">
        <v>4051</v>
      </c>
      <c r="AZ119" s="4"/>
      <c r="BA119" s="4" t="s">
        <v>4052</v>
      </c>
      <c r="BB119" s="5">
        <f t="shared" si="41"/>
        <v>0</v>
      </c>
      <c r="BC119" s="544"/>
      <c r="BD119" s="6">
        <v>44481</v>
      </c>
      <c r="BE119" s="463">
        <v>44482</v>
      </c>
      <c r="BF119" s="463">
        <v>44487</v>
      </c>
      <c r="BG119" s="6">
        <f t="shared" si="43"/>
        <v>44487</v>
      </c>
      <c r="BH119" s="415" t="str">
        <f t="shared" si="42"/>
        <v>Formalizado en tesorería Contrato y FC 27/10/21</v>
      </c>
      <c r="BI119" s="416">
        <f>BJ119</f>
        <v>44490</v>
      </c>
      <c r="BJ119" s="255">
        <v>44490</v>
      </c>
      <c r="BK119" s="415" t="str">
        <f t="shared" si="39"/>
        <v>Formalizado en tesorería Contrato y FC 27/10/21</v>
      </c>
      <c r="BL119" s="84"/>
      <c r="BM119" s="84"/>
      <c r="BN119" s="84"/>
      <c r="BO119" s="84"/>
      <c r="BP119" s="84"/>
    </row>
    <row r="120" spans="1:71" ht="90" x14ac:dyDescent="0.25">
      <c r="A120" s="527" t="s">
        <v>4053</v>
      </c>
      <c r="B120" s="3">
        <v>116</v>
      </c>
      <c r="C120" s="4" t="s">
        <v>225</v>
      </c>
      <c r="D120" s="18" t="s">
        <v>4049</v>
      </c>
      <c r="E120" s="3" t="s">
        <v>163</v>
      </c>
      <c r="F120" s="3" t="s">
        <v>4054</v>
      </c>
      <c r="G120" s="3" t="s">
        <v>163</v>
      </c>
      <c r="H120" s="3" t="s">
        <v>2237</v>
      </c>
      <c r="I120" s="275" t="s">
        <v>4055</v>
      </c>
      <c r="J120" s="17"/>
      <c r="K120" s="17"/>
      <c r="L120" s="17"/>
      <c r="M120" s="375" t="str">
        <f t="shared" si="36"/>
        <v xml:space="preserve">Provetecnia, S.A. de C.V.  </v>
      </c>
      <c r="N120" s="959" t="s">
        <v>166</v>
      </c>
      <c r="O120" s="959" t="s">
        <v>2116</v>
      </c>
      <c r="P120" s="959" t="s">
        <v>4056</v>
      </c>
      <c r="Q120" s="962">
        <v>1605332.08</v>
      </c>
      <c r="R120" s="383">
        <f t="shared" si="33"/>
        <v>256853.13280000002</v>
      </c>
      <c r="S120" s="384">
        <f t="shared" si="37"/>
        <v>1862185.2128000001</v>
      </c>
      <c r="T120" s="385">
        <v>0</v>
      </c>
      <c r="U120" s="386">
        <f t="shared" si="34"/>
        <v>0</v>
      </c>
      <c r="V120" s="383">
        <f t="shared" si="38"/>
        <v>1862185.2128000001</v>
      </c>
      <c r="W120" s="963" t="s">
        <v>156</v>
      </c>
      <c r="X120" s="387">
        <v>44484</v>
      </c>
      <c r="Y120" s="3" t="s">
        <v>881</v>
      </c>
      <c r="Z120" s="387">
        <v>44484</v>
      </c>
      <c r="AA120" s="387">
        <v>44497</v>
      </c>
      <c r="AB120" s="4" t="s">
        <v>4057</v>
      </c>
      <c r="AC120" s="4"/>
      <c r="AD120" s="6" t="s">
        <v>159</v>
      </c>
      <c r="AE120" s="6" t="s">
        <v>159</v>
      </c>
      <c r="AF120" s="6" t="s">
        <v>159</v>
      </c>
      <c r="AG120" s="6">
        <v>44509</v>
      </c>
      <c r="AH120" s="3" t="s">
        <v>4058</v>
      </c>
      <c r="AI120" s="4"/>
      <c r="AJ120" s="4"/>
      <c r="AK120" s="388"/>
      <c r="AL120" s="383"/>
      <c r="AM120" s="414" t="str">
        <f t="shared" ca="1" si="40"/>
        <v>MUERTO</v>
      </c>
      <c r="AN120" s="3"/>
      <c r="AO120" s="3"/>
      <c r="AP120" s="3" t="s">
        <v>881</v>
      </c>
      <c r="AQ120" s="3"/>
      <c r="AR120" s="3" t="s">
        <v>881</v>
      </c>
      <c r="AS120" s="3"/>
      <c r="AT120" s="3"/>
      <c r="AU120" s="458"/>
      <c r="AV120" s="388"/>
      <c r="AW120" s="4"/>
      <c r="AX120" s="459"/>
      <c r="AY120" s="281" t="s">
        <v>4059</v>
      </c>
      <c r="AZ120" s="4"/>
      <c r="BA120" s="4" t="s">
        <v>4060</v>
      </c>
      <c r="BB120" s="5">
        <f t="shared" si="41"/>
        <v>0</v>
      </c>
      <c r="BC120" s="544"/>
      <c r="BD120" s="6">
        <v>44481</v>
      </c>
      <c r="BE120" s="463">
        <v>44482</v>
      </c>
      <c r="BF120" s="463">
        <v>44490</v>
      </c>
      <c r="BG120" s="6">
        <f t="shared" si="43"/>
        <v>44490</v>
      </c>
      <c r="BH120" s="415" t="str">
        <f t="shared" si="42"/>
        <v>Formalizado en Tesorería 26/10/21
V.O. 09/11/21</v>
      </c>
      <c r="BI120" s="416">
        <f>BJ120</f>
        <v>44495</v>
      </c>
      <c r="BJ120" s="255">
        <v>44495</v>
      </c>
      <c r="BK120" s="415" t="str">
        <f t="shared" si="39"/>
        <v>Formalizado en Tesorería 26/10/21
V.O. 09/11/21</v>
      </c>
      <c r="BL120" s="84"/>
      <c r="BM120" s="84"/>
      <c r="BN120" s="84"/>
      <c r="BO120" s="84"/>
      <c r="BP120" s="84"/>
    </row>
    <row r="121" spans="1:71" ht="165" x14ac:dyDescent="0.25">
      <c r="A121" s="527" t="s">
        <v>4061</v>
      </c>
      <c r="B121" s="3">
        <v>117</v>
      </c>
      <c r="C121" s="4" t="s">
        <v>225</v>
      </c>
      <c r="D121" s="18" t="s">
        <v>4062</v>
      </c>
      <c r="E121" s="3" t="s">
        <v>173</v>
      </c>
      <c r="F121" s="3" t="s">
        <v>3785</v>
      </c>
      <c r="G121" s="3"/>
      <c r="H121" s="3" t="s">
        <v>173</v>
      </c>
      <c r="I121" s="275" t="s">
        <v>1738</v>
      </c>
      <c r="J121" s="17"/>
      <c r="K121" s="17"/>
      <c r="L121" s="17"/>
      <c r="M121" s="375" t="str">
        <f t="shared" si="36"/>
        <v xml:space="preserve">Equipos y Climas de México, S.A. de C.V.  </v>
      </c>
      <c r="N121" s="959" t="s">
        <v>198</v>
      </c>
      <c r="O121" s="959" t="s">
        <v>198</v>
      </c>
      <c r="P121" s="959" t="s">
        <v>4063</v>
      </c>
      <c r="Q121" s="962">
        <v>5507757.7400000002</v>
      </c>
      <c r="R121" s="383">
        <f t="shared" si="33"/>
        <v>881241.23840000003</v>
      </c>
      <c r="S121" s="384">
        <f t="shared" si="37"/>
        <v>6388998.9784000004</v>
      </c>
      <c r="T121" s="385">
        <v>0</v>
      </c>
      <c r="U121" s="386">
        <f t="shared" si="34"/>
        <v>0</v>
      </c>
      <c r="V121" s="383">
        <f t="shared" si="38"/>
        <v>6388998.9784000004</v>
      </c>
      <c r="W121" s="963" t="s">
        <v>156</v>
      </c>
      <c r="X121" s="387">
        <v>44490</v>
      </c>
      <c r="Y121" s="3" t="s">
        <v>881</v>
      </c>
      <c r="Z121" s="387">
        <v>44490</v>
      </c>
      <c r="AA121" s="387">
        <v>44561</v>
      </c>
      <c r="AB121" s="4" t="s">
        <v>3880</v>
      </c>
      <c r="AC121" s="4"/>
      <c r="AD121" s="6">
        <v>44509</v>
      </c>
      <c r="AE121" s="6">
        <v>44509</v>
      </c>
      <c r="AF121" s="666">
        <v>1597249.75</v>
      </c>
      <c r="AG121" s="6">
        <v>44587</v>
      </c>
      <c r="AH121" s="3" t="s">
        <v>183</v>
      </c>
      <c r="AI121" s="4"/>
      <c r="AJ121" s="4"/>
      <c r="AK121" s="388"/>
      <c r="AL121" s="383"/>
      <c r="AM121" s="414" t="str">
        <f t="shared" ca="1" si="40"/>
        <v>MUERTO</v>
      </c>
      <c r="AN121" s="3"/>
      <c r="AO121" s="3"/>
      <c r="AP121" s="3" t="s">
        <v>881</v>
      </c>
      <c r="AQ121" s="3"/>
      <c r="AR121" s="3" t="s">
        <v>881</v>
      </c>
      <c r="AS121" s="3"/>
      <c r="AT121" s="3"/>
      <c r="AU121" s="458"/>
      <c r="AV121" s="388"/>
      <c r="AW121" s="4"/>
      <c r="AX121" s="459"/>
      <c r="AY121" s="281" t="s">
        <v>4064</v>
      </c>
      <c r="AZ121" s="4"/>
      <c r="BA121" s="4" t="e">
        <f>VLOOKUP(I121,#REF!,2,0)</f>
        <v>#REF!</v>
      </c>
      <c r="BB121" s="5">
        <f t="shared" si="41"/>
        <v>0</v>
      </c>
      <c r="BC121" s="544"/>
      <c r="BD121" s="6">
        <v>44487</v>
      </c>
      <c r="BE121" s="463">
        <v>44488</v>
      </c>
      <c r="BF121" s="463">
        <v>44490</v>
      </c>
      <c r="BG121" s="6">
        <f t="shared" si="43"/>
        <v>44490</v>
      </c>
      <c r="BH121" s="415" t="str">
        <f t="shared" si="42"/>
        <v>Formalizado contrato y fianza de anticipo en tesorería 03/11/21
FC y PRC formalizados en tesorería 09/11/21</v>
      </c>
      <c r="BI121" s="416">
        <v>44494</v>
      </c>
      <c r="BJ121" s="255">
        <v>44491</v>
      </c>
      <c r="BK121" s="415" t="str">
        <f t="shared" si="39"/>
        <v>Formalizado contrato y fianza de anticipo en tesorería 03/11/21
FC y PRC formalizados en tesorería 09/11/21</v>
      </c>
      <c r="BL121" s="84"/>
      <c r="BM121" s="84"/>
      <c r="BN121" s="84"/>
      <c r="BO121" s="84"/>
      <c r="BP121" s="84"/>
    </row>
    <row r="122" spans="1:71" ht="195" x14ac:dyDescent="0.25">
      <c r="A122" s="527" t="s">
        <v>4065</v>
      </c>
      <c r="B122" s="3">
        <v>118</v>
      </c>
      <c r="C122" s="4" t="s">
        <v>149</v>
      </c>
      <c r="D122" s="18" t="s">
        <v>4066</v>
      </c>
      <c r="E122" s="3" t="s">
        <v>151</v>
      </c>
      <c r="F122" s="3" t="s">
        <v>3793</v>
      </c>
      <c r="G122" s="3"/>
      <c r="H122" s="3" t="s">
        <v>151</v>
      </c>
      <c r="I122" s="275" t="s">
        <v>1761</v>
      </c>
      <c r="J122" s="17"/>
      <c r="K122" s="17"/>
      <c r="L122" s="17"/>
      <c r="M122" s="375" t="str">
        <f t="shared" si="36"/>
        <v xml:space="preserve">Interamericana CMH, S.A. de C.V.  </v>
      </c>
      <c r="N122" s="959" t="s">
        <v>198</v>
      </c>
      <c r="O122" s="959" t="s">
        <v>198</v>
      </c>
      <c r="P122" s="959" t="s">
        <v>4067</v>
      </c>
      <c r="Q122" s="962">
        <v>1194931.49</v>
      </c>
      <c r="R122" s="383">
        <f t="shared" si="33"/>
        <v>191189.03839999999</v>
      </c>
      <c r="S122" s="384">
        <f t="shared" si="37"/>
        <v>1386120.5284</v>
      </c>
      <c r="T122" s="385">
        <v>0</v>
      </c>
      <c r="U122" s="386">
        <f t="shared" si="34"/>
        <v>0</v>
      </c>
      <c r="V122" s="383">
        <f t="shared" si="38"/>
        <v>1386120.5284</v>
      </c>
      <c r="W122" s="963" t="s">
        <v>156</v>
      </c>
      <c r="X122" s="387">
        <v>44504</v>
      </c>
      <c r="Y122" s="3" t="s">
        <v>892</v>
      </c>
      <c r="Z122" s="387">
        <v>44504</v>
      </c>
      <c r="AA122" s="387">
        <v>44561</v>
      </c>
      <c r="AB122" s="4" t="s">
        <v>3787</v>
      </c>
      <c r="AC122" s="4"/>
      <c r="AD122" s="6"/>
      <c r="AE122" s="6"/>
      <c r="AF122" s="6" t="s">
        <v>159</v>
      </c>
      <c r="AG122" s="6" t="s">
        <v>159</v>
      </c>
      <c r="AH122" s="3"/>
      <c r="AI122" s="4"/>
      <c r="AJ122" s="4"/>
      <c r="AK122" s="388"/>
      <c r="AL122" s="383"/>
      <c r="AM122" s="414" t="str">
        <f t="shared" ca="1" si="40"/>
        <v>MUERTO</v>
      </c>
      <c r="AN122" s="3"/>
      <c r="AO122" s="3"/>
      <c r="AP122" s="3" t="s">
        <v>892</v>
      </c>
      <c r="AQ122" s="3"/>
      <c r="AR122" s="3" t="s">
        <v>892</v>
      </c>
      <c r="AS122" s="3"/>
      <c r="AT122" s="3"/>
      <c r="AU122" s="458"/>
      <c r="AV122" s="388"/>
      <c r="AW122" s="4"/>
      <c r="AX122" s="459"/>
      <c r="AY122" s="281" t="s">
        <v>4068</v>
      </c>
      <c r="AZ122" s="4"/>
      <c r="BA122" s="4" t="e">
        <f>VLOOKUP(I122,#REF!,2,0)</f>
        <v>#REF!</v>
      </c>
      <c r="BB122" s="5">
        <f t="shared" si="41"/>
        <v>0</v>
      </c>
      <c r="BC122" s="544"/>
      <c r="BD122" s="6">
        <v>44498</v>
      </c>
      <c r="BE122" s="463">
        <v>44501</v>
      </c>
      <c r="BF122" s="463">
        <v>44504</v>
      </c>
      <c r="BG122" s="6">
        <f t="shared" si="43"/>
        <v>44504</v>
      </c>
      <c r="BH122" s="415" t="str">
        <f t="shared" si="42"/>
        <v>Formalizado contrato , FC y PRC en tesorería 30/11</v>
      </c>
      <c r="BI122" s="416">
        <v>44509</v>
      </c>
      <c r="BJ122" s="255">
        <v>44505</v>
      </c>
      <c r="BK122" s="415" t="str">
        <f t="shared" si="39"/>
        <v>Formalizado contrato , FC y PRC en tesorería 30/11</v>
      </c>
      <c r="BL122" s="84"/>
      <c r="BM122" s="84"/>
      <c r="BN122" s="84"/>
      <c r="BO122" s="84"/>
      <c r="BP122" s="84"/>
    </row>
    <row r="123" spans="1:71" ht="195" x14ac:dyDescent="0.25">
      <c r="A123" s="527" t="s">
        <v>4069</v>
      </c>
      <c r="B123" s="3">
        <v>119</v>
      </c>
      <c r="C123" s="4" t="s">
        <v>149</v>
      </c>
      <c r="D123" s="18" t="s">
        <v>4070</v>
      </c>
      <c r="E123" s="3" t="s">
        <v>163</v>
      </c>
      <c r="F123" s="3" t="s">
        <v>4004</v>
      </c>
      <c r="G123" s="3" t="s">
        <v>163</v>
      </c>
      <c r="H123" s="3" t="s">
        <v>1272</v>
      </c>
      <c r="I123" s="275" t="s">
        <v>4071</v>
      </c>
      <c r="J123" s="17"/>
      <c r="K123" s="17"/>
      <c r="L123" s="17"/>
      <c r="M123" s="375" t="str">
        <f t="shared" si="36"/>
        <v xml:space="preserve">Enforcer Units Fire Pluse México, S.A. de C.V.  </v>
      </c>
      <c r="N123" s="959" t="s">
        <v>4072</v>
      </c>
      <c r="O123" s="959" t="s">
        <v>4072</v>
      </c>
      <c r="P123" s="959" t="s">
        <v>4073</v>
      </c>
      <c r="Q123" s="962">
        <v>617372</v>
      </c>
      <c r="R123" s="383">
        <f t="shared" si="33"/>
        <v>98779.520000000004</v>
      </c>
      <c r="S123" s="384">
        <f t="shared" si="37"/>
        <v>716151.52</v>
      </c>
      <c r="T123" s="385">
        <v>0</v>
      </c>
      <c r="U123" s="386">
        <f t="shared" si="34"/>
        <v>0</v>
      </c>
      <c r="V123" s="383">
        <f t="shared" si="38"/>
        <v>716151.52</v>
      </c>
      <c r="W123" s="963" t="s">
        <v>156</v>
      </c>
      <c r="X123" s="387">
        <v>44505</v>
      </c>
      <c r="Y123" s="3" t="s">
        <v>892</v>
      </c>
      <c r="Z123" s="387">
        <v>44505</v>
      </c>
      <c r="AA123" s="387">
        <v>44561</v>
      </c>
      <c r="AB123" s="4" t="s">
        <v>3787</v>
      </c>
      <c r="AC123" s="4"/>
      <c r="AD123" s="6">
        <v>44524</v>
      </c>
      <c r="AE123" s="6">
        <v>44524</v>
      </c>
      <c r="AF123" s="6"/>
      <c r="AG123" s="6"/>
      <c r="AH123" s="3"/>
      <c r="AI123" s="4"/>
      <c r="AJ123" s="4"/>
      <c r="AK123" s="388"/>
      <c r="AL123" s="383"/>
      <c r="AM123" s="414" t="str">
        <f t="shared" ca="1" si="40"/>
        <v>MUERTO</v>
      </c>
      <c r="AN123" s="3"/>
      <c r="AO123" s="3"/>
      <c r="AP123" s="3" t="s">
        <v>892</v>
      </c>
      <c r="AQ123" s="3"/>
      <c r="AR123" s="3" t="s">
        <v>892</v>
      </c>
      <c r="AS123" s="3"/>
      <c r="AT123" s="3"/>
      <c r="AU123" s="458"/>
      <c r="AV123" s="388"/>
      <c r="AW123" s="4"/>
      <c r="AX123" s="459"/>
      <c r="AY123" s="281" t="s">
        <v>4074</v>
      </c>
      <c r="AZ123" s="4"/>
      <c r="BA123" s="4" t="s">
        <v>4075</v>
      </c>
      <c r="BB123" s="5">
        <f t="shared" si="41"/>
        <v>0</v>
      </c>
      <c r="BC123" s="544"/>
      <c r="BD123" s="6">
        <v>44498</v>
      </c>
      <c r="BE123" s="463">
        <v>44501</v>
      </c>
      <c r="BF123" s="463">
        <v>44505</v>
      </c>
      <c r="BG123" s="6">
        <f t="shared" si="43"/>
        <v>44505</v>
      </c>
      <c r="BH123" s="415" t="str">
        <f t="shared" si="42"/>
        <v>Contrato formalizado en tesorería con FC y PRC 24/11</v>
      </c>
      <c r="BI123" s="416">
        <v>44509</v>
      </c>
      <c r="BJ123" s="255">
        <v>44505</v>
      </c>
      <c r="BK123" s="415" t="str">
        <f t="shared" si="39"/>
        <v>Contrato formalizado en tesorería con FC y PRC 24/11</v>
      </c>
      <c r="BL123" s="84"/>
      <c r="BM123" s="84"/>
      <c r="BN123" s="84"/>
      <c r="BO123" s="84"/>
      <c r="BP123" s="84"/>
    </row>
    <row r="124" spans="1:71" s="468" customFormat="1" ht="120" x14ac:dyDescent="0.25">
      <c r="A124" s="527" t="s">
        <v>4076</v>
      </c>
      <c r="B124" s="3">
        <v>120</v>
      </c>
      <c r="C124" s="4" t="s">
        <v>149</v>
      </c>
      <c r="D124" s="18" t="s">
        <v>4077</v>
      </c>
      <c r="E124" s="3" t="s">
        <v>173</v>
      </c>
      <c r="F124" s="3" t="s">
        <v>3785</v>
      </c>
      <c r="G124" s="3"/>
      <c r="H124" s="3" t="s">
        <v>173</v>
      </c>
      <c r="I124" s="275" t="s">
        <v>4078</v>
      </c>
      <c r="J124" s="17"/>
      <c r="K124" s="17"/>
      <c r="L124" s="17"/>
      <c r="M124" s="375" t="str">
        <f t="shared" si="36"/>
        <v xml:space="preserve">Cen Systems, S,A, de C.V.  </v>
      </c>
      <c r="N124" s="959" t="s">
        <v>656</v>
      </c>
      <c r="O124" s="959" t="s">
        <v>209</v>
      </c>
      <c r="P124" s="959" t="s">
        <v>4079</v>
      </c>
      <c r="Q124" s="962">
        <v>6302859.5800000001</v>
      </c>
      <c r="R124" s="383">
        <f t="shared" si="33"/>
        <v>1008457.5328</v>
      </c>
      <c r="S124" s="384">
        <f t="shared" si="37"/>
        <v>7311317.1128000002</v>
      </c>
      <c r="T124" s="385">
        <v>0</v>
      </c>
      <c r="U124" s="386">
        <f t="shared" si="34"/>
        <v>0</v>
      </c>
      <c r="V124" s="383">
        <f t="shared" si="38"/>
        <v>7311317.1128000002</v>
      </c>
      <c r="W124" s="963" t="s">
        <v>183</v>
      </c>
      <c r="X124" s="387">
        <v>44508</v>
      </c>
      <c r="Y124" s="6" t="s">
        <v>892</v>
      </c>
      <c r="Z124" s="387">
        <v>44508</v>
      </c>
      <c r="AA124" s="387">
        <v>44926</v>
      </c>
      <c r="AB124" s="4" t="s">
        <v>3787</v>
      </c>
      <c r="AC124" s="4"/>
      <c r="AD124" s="6"/>
      <c r="AE124" s="6"/>
      <c r="AF124" s="6" t="s">
        <v>159</v>
      </c>
      <c r="AG124" s="6" t="s">
        <v>159</v>
      </c>
      <c r="AH124" s="3"/>
      <c r="AI124" s="4"/>
      <c r="AJ124" s="4"/>
      <c r="AK124" s="388"/>
      <c r="AL124" s="383"/>
      <c r="AM124" s="414" t="str">
        <f t="shared" ca="1" si="40"/>
        <v>MUERTO</v>
      </c>
      <c r="AN124" s="3"/>
      <c r="AO124" s="3"/>
      <c r="AP124" s="3" t="s">
        <v>892</v>
      </c>
      <c r="AQ124" s="3"/>
      <c r="AR124" s="3" t="s">
        <v>892</v>
      </c>
      <c r="AS124" s="3"/>
      <c r="AT124" s="3"/>
      <c r="AU124" s="458"/>
      <c r="AV124" s="388"/>
      <c r="AW124" s="4"/>
      <c r="AX124" s="459"/>
      <c r="AY124" s="281"/>
      <c r="AZ124" s="4"/>
      <c r="BA124" s="4" t="s">
        <v>4080</v>
      </c>
      <c r="BB124" s="5">
        <f t="shared" si="41"/>
        <v>0</v>
      </c>
      <c r="BC124" s="544"/>
      <c r="BD124" s="6">
        <v>44503</v>
      </c>
      <c r="BE124" s="463">
        <v>44504</v>
      </c>
      <c r="BF124" s="463">
        <v>44512</v>
      </c>
      <c r="BG124" s="6">
        <f t="shared" si="43"/>
        <v>44512</v>
      </c>
      <c r="BH124" s="415">
        <f t="shared" si="42"/>
        <v>0</v>
      </c>
      <c r="BI124" s="416">
        <v>44522</v>
      </c>
      <c r="BJ124" s="255">
        <v>44512</v>
      </c>
      <c r="BK124" s="415">
        <f t="shared" si="39"/>
        <v>0</v>
      </c>
      <c r="BL124" s="84"/>
      <c r="BM124" s="84">
        <f>6246175.21*1.16</f>
        <v>7245563.2435999997</v>
      </c>
      <c r="BN124" s="84">
        <f>56684.37*1.16</f>
        <v>65753.869200000001</v>
      </c>
      <c r="BO124" s="84"/>
      <c r="BP124" s="84"/>
      <c r="BQ124"/>
      <c r="BR124"/>
      <c r="BS124"/>
    </row>
    <row r="125" spans="1:71" s="468" customFormat="1" ht="229.5" x14ac:dyDescent="0.25">
      <c r="A125" s="527" t="s">
        <v>4081</v>
      </c>
      <c r="B125" s="3">
        <v>121</v>
      </c>
      <c r="C125" s="4" t="s">
        <v>149</v>
      </c>
      <c r="D125" s="18" t="s">
        <v>4082</v>
      </c>
      <c r="E125" s="3" t="s">
        <v>173</v>
      </c>
      <c r="F125" s="3" t="s">
        <v>3785</v>
      </c>
      <c r="G125" s="3"/>
      <c r="H125" s="3" t="s">
        <v>173</v>
      </c>
      <c r="I125" s="275" t="s">
        <v>636</v>
      </c>
      <c r="J125" s="17"/>
      <c r="K125" s="17"/>
      <c r="L125" s="17"/>
      <c r="M125" s="375" t="str">
        <f t="shared" si="36"/>
        <v xml:space="preserve">Full Service de México, S.A. de C.V.  </v>
      </c>
      <c r="N125" s="959" t="s">
        <v>656</v>
      </c>
      <c r="O125" s="959" t="s">
        <v>656</v>
      </c>
      <c r="P125" s="959" t="s">
        <v>4083</v>
      </c>
      <c r="Q125" s="962">
        <v>34482758.619999997</v>
      </c>
      <c r="R125" s="383">
        <f t="shared" si="33"/>
        <v>5517241.3791999994</v>
      </c>
      <c r="S125" s="384">
        <f t="shared" si="37"/>
        <v>39999999.999199994</v>
      </c>
      <c r="T125" s="385">
        <v>12068965.5</v>
      </c>
      <c r="U125" s="386">
        <f t="shared" si="34"/>
        <v>13999999.98</v>
      </c>
      <c r="V125" s="383">
        <f t="shared" si="38"/>
        <v>39999999.999199994</v>
      </c>
      <c r="W125" s="963" t="s">
        <v>183</v>
      </c>
      <c r="X125" s="387">
        <v>44516</v>
      </c>
      <c r="Y125" s="3" t="s">
        <v>892</v>
      </c>
      <c r="Z125" s="387">
        <v>44516</v>
      </c>
      <c r="AA125" s="387">
        <v>44926</v>
      </c>
      <c r="AB125" s="4" t="s">
        <v>4084</v>
      </c>
      <c r="AC125" s="667" t="s">
        <v>4085</v>
      </c>
      <c r="AD125" s="6"/>
      <c r="AE125" s="6"/>
      <c r="AF125" s="6"/>
      <c r="AG125" s="6"/>
      <c r="AH125" s="3"/>
      <c r="AI125" s="4"/>
      <c r="AJ125" s="4"/>
      <c r="AK125" s="388"/>
      <c r="AL125" s="383"/>
      <c r="AM125" s="414" t="str">
        <f t="shared" ca="1" si="40"/>
        <v>MUERTO</v>
      </c>
      <c r="AN125" s="3"/>
      <c r="AO125" s="3"/>
      <c r="AP125" s="3" t="s">
        <v>892</v>
      </c>
      <c r="AQ125" s="3"/>
      <c r="AR125" s="3" t="s">
        <v>1668</v>
      </c>
      <c r="AS125" s="3"/>
      <c r="AT125" s="3"/>
      <c r="AU125" s="458"/>
      <c r="AV125" s="388"/>
      <c r="AW125" s="4"/>
      <c r="AX125" s="459"/>
      <c r="AY125" s="668" t="s">
        <v>4086</v>
      </c>
      <c r="AZ125" s="4"/>
      <c r="BA125" s="4" t="e">
        <f>VLOOKUP(I125,#REF!,2,0)</f>
        <v>#REF!</v>
      </c>
      <c r="BB125" s="5">
        <f t="shared" si="41"/>
        <v>0</v>
      </c>
      <c r="BC125" s="544"/>
      <c r="BD125" s="6">
        <v>44511</v>
      </c>
      <c r="BE125" s="463">
        <v>44518</v>
      </c>
      <c r="BF125" s="463">
        <v>44524</v>
      </c>
      <c r="BG125" s="6">
        <f t="shared" si="43"/>
        <v>44524</v>
      </c>
      <c r="BH125" s="415" t="str">
        <f t="shared" si="42"/>
        <v xml:space="preserve">Formaización de contraato con FC y PRC en tesorería 08/12
</v>
      </c>
      <c r="BI125" s="416">
        <v>44531</v>
      </c>
      <c r="BJ125" s="255">
        <v>44525</v>
      </c>
      <c r="BK125" s="415" t="str">
        <f t="shared" si="39"/>
        <v xml:space="preserve">Formaización de contraato con FC y PRC en tesorería 08/12
</v>
      </c>
      <c r="BL125" s="84"/>
      <c r="BM125" s="84">
        <f>12931034.5*1.16</f>
        <v>15000000.02</v>
      </c>
      <c r="BN125" s="84">
        <f>21551724.1*1.16</f>
        <v>24999999.956</v>
      </c>
      <c r="BO125" s="84"/>
      <c r="BP125" s="84"/>
      <c r="BQ125"/>
      <c r="BR125"/>
      <c r="BS125"/>
    </row>
    <row r="126" spans="1:71" ht="120" x14ac:dyDescent="0.25">
      <c r="A126" s="527" t="s">
        <v>4087</v>
      </c>
      <c r="B126" s="3">
        <v>122</v>
      </c>
      <c r="C126" s="4" t="s">
        <v>149</v>
      </c>
      <c r="D126" s="18" t="s">
        <v>4088</v>
      </c>
      <c r="E126" s="3" t="s">
        <v>163</v>
      </c>
      <c r="F126" s="3" t="s">
        <v>3986</v>
      </c>
      <c r="G126" s="3" t="s">
        <v>163</v>
      </c>
      <c r="H126" s="3" t="s">
        <v>163</v>
      </c>
      <c r="I126" s="275" t="s">
        <v>4089</v>
      </c>
      <c r="J126" s="17"/>
      <c r="K126" s="17"/>
      <c r="L126" s="17"/>
      <c r="M126" s="375" t="str">
        <f t="shared" si="36"/>
        <v xml:space="preserve">Optimiti Network, S.A. de C.V.  </v>
      </c>
      <c r="N126" s="959" t="s">
        <v>656</v>
      </c>
      <c r="O126" s="959" t="s">
        <v>209</v>
      </c>
      <c r="P126" s="959" t="s">
        <v>4090</v>
      </c>
      <c r="Q126" s="962">
        <v>15733689.640000001</v>
      </c>
      <c r="R126" s="383">
        <f t="shared" si="33"/>
        <v>2517390.3424</v>
      </c>
      <c r="S126" s="384">
        <f t="shared" si="37"/>
        <v>18251079.9824</v>
      </c>
      <c r="T126" s="385">
        <v>0</v>
      </c>
      <c r="U126" s="386">
        <f t="shared" si="34"/>
        <v>0</v>
      </c>
      <c r="V126" s="383">
        <f t="shared" si="38"/>
        <v>18251079.9824</v>
      </c>
      <c r="W126" s="963" t="s">
        <v>183</v>
      </c>
      <c r="X126" s="387">
        <v>44522</v>
      </c>
      <c r="Y126" s="3" t="s">
        <v>892</v>
      </c>
      <c r="Z126" s="387">
        <v>44522</v>
      </c>
      <c r="AA126" s="387">
        <v>44926</v>
      </c>
      <c r="AB126" s="4" t="s">
        <v>3787</v>
      </c>
      <c r="AC126" s="4"/>
      <c r="AD126" s="6"/>
      <c r="AE126" s="6">
        <v>44683</v>
      </c>
      <c r="AF126" s="6"/>
      <c r="AG126" s="6"/>
      <c r="AH126" s="3"/>
      <c r="AI126" s="4"/>
      <c r="AJ126" s="4"/>
      <c r="AK126" s="388"/>
      <c r="AL126" s="383"/>
      <c r="AM126" s="414" t="str">
        <f t="shared" ca="1" si="40"/>
        <v>MUERTO</v>
      </c>
      <c r="AN126" s="3" t="s">
        <v>4091</v>
      </c>
      <c r="AO126" s="3"/>
      <c r="AP126" s="3" t="s">
        <v>892</v>
      </c>
      <c r="AQ126" s="3"/>
      <c r="AR126" s="3" t="s">
        <v>1668</v>
      </c>
      <c r="AS126" s="3"/>
      <c r="AT126" s="3"/>
      <c r="AU126" s="458"/>
      <c r="AV126" s="388"/>
      <c r="AW126" s="4"/>
      <c r="AX126" s="459"/>
      <c r="AY126" s="281" t="s">
        <v>4092</v>
      </c>
      <c r="AZ126" s="4"/>
      <c r="BA126" s="4" t="s">
        <v>4093</v>
      </c>
      <c r="BB126" s="5" t="str">
        <f t="shared" si="41"/>
        <v>32701
33303</v>
      </c>
      <c r="BC126" s="544"/>
      <c r="BD126" s="6">
        <v>44517</v>
      </c>
      <c r="BE126" s="463">
        <v>44518</v>
      </c>
      <c r="BF126" s="463">
        <v>44524</v>
      </c>
      <c r="BG126" s="6">
        <f t="shared" si="43"/>
        <v>44524</v>
      </c>
      <c r="BH126" s="415" t="str">
        <f t="shared" si="42"/>
        <v xml:space="preserve">Formalizado en tesorería con FC y PRC 09/12/21
</v>
      </c>
      <c r="BI126" s="416">
        <v>44536</v>
      </c>
      <c r="BJ126" s="255">
        <v>44525</v>
      </c>
      <c r="BK126" s="415" t="str">
        <f t="shared" si="39"/>
        <v xml:space="preserve">Formalizado en tesorería con FC y PRC 09/12/21
</v>
      </c>
      <c r="BL126" s="84"/>
      <c r="BM126" s="84">
        <f>8454118.56*1.16</f>
        <v>9806777.5296</v>
      </c>
      <c r="BN126" s="84">
        <f>7279571.08*1.16</f>
        <v>8444302.4528000001</v>
      </c>
      <c r="BO126" s="84"/>
      <c r="BP126" s="84"/>
    </row>
    <row r="127" spans="1:71" ht="165" x14ac:dyDescent="0.25">
      <c r="A127" s="417" t="s">
        <v>4094</v>
      </c>
      <c r="B127" s="3">
        <v>123</v>
      </c>
      <c r="C127" s="4" t="s">
        <v>811</v>
      </c>
      <c r="D127" s="18" t="s">
        <v>4095</v>
      </c>
      <c r="E127" s="3" t="s">
        <v>173</v>
      </c>
      <c r="F127" s="3" t="s">
        <v>3785</v>
      </c>
      <c r="G127" s="3"/>
      <c r="H127" s="3" t="s">
        <v>173</v>
      </c>
      <c r="I127" s="375" t="s">
        <v>1927</v>
      </c>
      <c r="J127" s="17"/>
      <c r="K127" s="17"/>
      <c r="L127" s="17"/>
      <c r="M127" s="375" t="str">
        <f t="shared" si="36"/>
        <v xml:space="preserve">J+C Mexicana de Comercio y Construcción, S.A. de C.V.  </v>
      </c>
      <c r="N127" s="959" t="s">
        <v>198</v>
      </c>
      <c r="O127" s="959" t="s">
        <v>198</v>
      </c>
      <c r="P127" s="959" t="s">
        <v>4096</v>
      </c>
      <c r="Q127" s="962">
        <v>2845879.91</v>
      </c>
      <c r="R127" s="383">
        <f t="shared" si="33"/>
        <v>455340.78560000006</v>
      </c>
      <c r="S127" s="384">
        <f t="shared" si="37"/>
        <v>3301220.6956000002</v>
      </c>
      <c r="T127" s="385">
        <v>0</v>
      </c>
      <c r="U127" s="386">
        <f t="shared" si="34"/>
        <v>0</v>
      </c>
      <c r="V127" s="383">
        <f t="shared" si="38"/>
        <v>3405094.7516000001</v>
      </c>
      <c r="W127" s="963" t="s">
        <v>156</v>
      </c>
      <c r="X127" s="387">
        <v>44522</v>
      </c>
      <c r="Y127" s="3" t="s">
        <v>892</v>
      </c>
      <c r="Z127" s="387">
        <v>44522</v>
      </c>
      <c r="AA127" s="387">
        <v>44561</v>
      </c>
      <c r="AB127" s="4" t="s">
        <v>4097</v>
      </c>
      <c r="AC127" s="4"/>
      <c r="AD127" s="6"/>
      <c r="AE127" s="6"/>
      <c r="AF127" s="6"/>
      <c r="AG127" s="6">
        <v>44589</v>
      </c>
      <c r="AH127" s="3"/>
      <c r="AI127" s="4" t="s">
        <v>4098</v>
      </c>
      <c r="AJ127" s="4" t="s">
        <v>4099</v>
      </c>
      <c r="AK127" s="388">
        <v>44557</v>
      </c>
      <c r="AL127" s="383">
        <v>103874.056</v>
      </c>
      <c r="AM127" s="414" t="str">
        <f t="shared" ca="1" si="40"/>
        <v>MUERTO</v>
      </c>
      <c r="AN127" s="3"/>
      <c r="AO127" s="457">
        <f>9699858.57+AO99</f>
        <v>9699858.5700000003</v>
      </c>
      <c r="AP127" s="3" t="s">
        <v>892</v>
      </c>
      <c r="AQ127" s="3"/>
      <c r="AR127" s="3" t="s">
        <v>924</v>
      </c>
      <c r="AS127" s="3"/>
      <c r="AT127" s="3"/>
      <c r="AU127" s="458"/>
      <c r="AV127" s="388"/>
      <c r="AW127" s="4"/>
      <c r="AX127" s="459"/>
      <c r="AY127" s="281" t="s">
        <v>4100</v>
      </c>
      <c r="AZ127" s="4"/>
      <c r="BA127" s="4" t="s">
        <v>4101</v>
      </c>
      <c r="BB127" s="5">
        <f t="shared" si="41"/>
        <v>0</v>
      </c>
      <c r="BC127" s="544"/>
      <c r="BD127" s="6">
        <v>44518</v>
      </c>
      <c r="BE127" s="463">
        <v>44518</v>
      </c>
      <c r="BF127" s="463" t="s">
        <v>4102</v>
      </c>
      <c r="BG127" s="6" t="str">
        <f t="shared" si="43"/>
        <v>24/11/2021
28/12/2021</v>
      </c>
      <c r="BH127" s="415" t="str">
        <f t="shared" si="42"/>
        <v>Formalizado contrato, FC y PRC 28/12
1ER Modif y ambos endosos 18/01/22</v>
      </c>
      <c r="BI127" s="416" t="s">
        <v>4103</v>
      </c>
      <c r="BJ127" s="255" t="s">
        <v>4104</v>
      </c>
      <c r="BK127" s="415" t="str">
        <f t="shared" si="39"/>
        <v>Formalizado contrato, FC y PRC 28/12
1ER Modif y ambos endosos 18/01/22</v>
      </c>
      <c r="BL127" s="84"/>
      <c r="BM127" s="84"/>
      <c r="BN127" s="84"/>
      <c r="BO127" s="84"/>
      <c r="BP127" s="84"/>
    </row>
    <row r="128" spans="1:71" ht="210" x14ac:dyDescent="0.25">
      <c r="A128" s="527" t="s">
        <v>4105</v>
      </c>
      <c r="B128" s="3">
        <v>124</v>
      </c>
      <c r="C128" s="4" t="s">
        <v>149</v>
      </c>
      <c r="D128" s="18" t="s">
        <v>4106</v>
      </c>
      <c r="E128" s="3" t="s">
        <v>173</v>
      </c>
      <c r="F128" s="3" t="s">
        <v>3785</v>
      </c>
      <c r="G128" s="3"/>
      <c r="H128" s="3" t="s">
        <v>173</v>
      </c>
      <c r="I128" s="275" t="s">
        <v>636</v>
      </c>
      <c r="J128" s="17"/>
      <c r="K128" s="17"/>
      <c r="L128" s="17"/>
      <c r="M128" s="375" t="str">
        <f t="shared" si="36"/>
        <v xml:space="preserve">Full Service de México, S.A. de C.V.  </v>
      </c>
      <c r="N128" s="959" t="s">
        <v>638</v>
      </c>
      <c r="O128" s="959" t="s">
        <v>637</v>
      </c>
      <c r="P128" s="959" t="s">
        <v>4107</v>
      </c>
      <c r="Q128" s="962">
        <v>2683296</v>
      </c>
      <c r="R128" s="383">
        <f t="shared" si="33"/>
        <v>429327.35999999999</v>
      </c>
      <c r="S128" s="384">
        <f t="shared" si="37"/>
        <v>3112623.36</v>
      </c>
      <c r="T128" s="385">
        <v>0</v>
      </c>
      <c r="U128" s="386">
        <f t="shared" si="34"/>
        <v>0</v>
      </c>
      <c r="V128" s="383">
        <f t="shared" si="38"/>
        <v>3112623.36</v>
      </c>
      <c r="W128" s="963" t="s">
        <v>156</v>
      </c>
      <c r="X128" s="387">
        <v>44524</v>
      </c>
      <c r="Y128" s="3" t="s">
        <v>892</v>
      </c>
      <c r="Z128" s="387">
        <v>44562</v>
      </c>
      <c r="AA128" s="387">
        <v>44926</v>
      </c>
      <c r="AB128" s="4" t="s">
        <v>3787</v>
      </c>
      <c r="AC128" s="4"/>
      <c r="AD128" s="6"/>
      <c r="AE128" s="6"/>
      <c r="AF128" s="6"/>
      <c r="AG128" s="6"/>
      <c r="AH128" s="3"/>
      <c r="AI128" s="4"/>
      <c r="AJ128" s="4"/>
      <c r="AK128" s="388"/>
      <c r="AL128" s="383"/>
      <c r="AM128" s="414" t="str">
        <f t="shared" ca="1" si="40"/>
        <v>MUERTO</v>
      </c>
      <c r="AN128" s="3"/>
      <c r="AO128" s="3"/>
      <c r="AP128" s="3" t="s">
        <v>892</v>
      </c>
      <c r="AQ128" s="3"/>
      <c r="AR128" s="3" t="s">
        <v>924</v>
      </c>
      <c r="AS128" s="3" t="s">
        <v>4108</v>
      </c>
      <c r="AT128" s="3"/>
      <c r="AU128" s="458"/>
      <c r="AV128" s="388"/>
      <c r="AW128" s="4"/>
      <c r="AX128" s="459"/>
      <c r="AY128" s="668" t="s">
        <v>4109</v>
      </c>
      <c r="AZ128" s="4"/>
      <c r="BA128" s="4" t="e">
        <f>VLOOKUP(I128,#REF!,2,0)</f>
        <v>#REF!</v>
      </c>
      <c r="BB128" s="5">
        <f t="shared" si="41"/>
        <v>0</v>
      </c>
      <c r="BC128" s="544"/>
      <c r="BD128" s="6">
        <v>44517</v>
      </c>
      <c r="BE128" s="463">
        <v>44517</v>
      </c>
      <c r="BF128" s="463">
        <v>44526</v>
      </c>
      <c r="BG128" s="6">
        <f t="shared" si="43"/>
        <v>44526</v>
      </c>
      <c r="BH128" s="415" t="str">
        <f t="shared" si="42"/>
        <v>Formalizado contrato, FC y PRC 15/12</v>
      </c>
      <c r="BI128" s="416">
        <v>44537</v>
      </c>
      <c r="BJ128" s="255">
        <v>44529</v>
      </c>
      <c r="BK128" s="415" t="str">
        <f t="shared" si="39"/>
        <v>Formalizado contrato, FC y PRC 15/12</v>
      </c>
      <c r="BL128" s="84"/>
      <c r="BM128" s="84"/>
      <c r="BN128" s="84"/>
      <c r="BO128" s="84"/>
      <c r="BP128" s="84"/>
    </row>
    <row r="129" spans="1:71" ht="375" x14ac:dyDescent="0.25">
      <c r="A129" s="371" t="s">
        <v>4110</v>
      </c>
      <c r="B129" s="3">
        <v>125</v>
      </c>
      <c r="C129" s="4" t="s">
        <v>225</v>
      </c>
      <c r="D129" s="18" t="s">
        <v>4111</v>
      </c>
      <c r="E129" s="3" t="s">
        <v>163</v>
      </c>
      <c r="F129" s="3" t="s">
        <v>4112</v>
      </c>
      <c r="G129" s="685" t="s">
        <v>546</v>
      </c>
      <c r="H129" s="3" t="s">
        <v>2237</v>
      </c>
      <c r="I129" s="275" t="s">
        <v>4113</v>
      </c>
      <c r="J129" s="17"/>
      <c r="K129" s="17"/>
      <c r="L129" s="17"/>
      <c r="M129" s="375" t="str">
        <f t="shared" si="36"/>
        <v xml:space="preserve">Microsoft México, S. de R.L. de C.V.  </v>
      </c>
      <c r="N129" s="959" t="s">
        <v>656</v>
      </c>
      <c r="O129" s="959" t="s">
        <v>667</v>
      </c>
      <c r="P129" s="959" t="s">
        <v>4114</v>
      </c>
      <c r="Q129" s="962">
        <v>0</v>
      </c>
      <c r="R129" s="962">
        <f>+Q129*0.16</f>
        <v>0</v>
      </c>
      <c r="S129" s="962">
        <f>+Q129+R129</f>
        <v>0</v>
      </c>
      <c r="T129" s="962">
        <v>0</v>
      </c>
      <c r="U129" s="962">
        <f t="shared" si="34"/>
        <v>0</v>
      </c>
      <c r="V129" s="962">
        <f t="shared" si="38"/>
        <v>0</v>
      </c>
      <c r="W129" s="963" t="s">
        <v>183</v>
      </c>
      <c r="X129" s="387">
        <v>44524</v>
      </c>
      <c r="Y129" s="3" t="s">
        <v>892</v>
      </c>
      <c r="Z129" s="387">
        <v>44531</v>
      </c>
      <c r="AA129" s="387">
        <v>45626</v>
      </c>
      <c r="AB129" s="4" t="s">
        <v>3113</v>
      </c>
      <c r="AC129" s="4"/>
      <c r="AD129" s="6"/>
      <c r="AE129" s="6" t="s">
        <v>159</v>
      </c>
      <c r="AF129" s="6" t="s">
        <v>159</v>
      </c>
      <c r="AG129" s="6" t="s">
        <v>159</v>
      </c>
      <c r="AH129" s="3"/>
      <c r="AI129" s="4" t="s">
        <v>4115</v>
      </c>
      <c r="AJ129" s="4" t="s">
        <v>4116</v>
      </c>
      <c r="AK129" s="521">
        <v>44552</v>
      </c>
      <c r="AL129" s="383">
        <v>0</v>
      </c>
      <c r="AM129" s="414" t="str">
        <f t="shared" ca="1" si="40"/>
        <v>MUERTO</v>
      </c>
      <c r="AN129" s="3"/>
      <c r="AO129" s="3"/>
      <c r="AP129" s="3" t="s">
        <v>924</v>
      </c>
      <c r="AQ129" s="3"/>
      <c r="AR129" s="3" t="s">
        <v>924</v>
      </c>
      <c r="AS129" s="3"/>
      <c r="AT129" s="3"/>
      <c r="AU129" s="458"/>
      <c r="AV129" s="388"/>
      <c r="AW129" s="4"/>
      <c r="AX129" s="459"/>
      <c r="AY129" s="281" t="s">
        <v>4117</v>
      </c>
      <c r="AZ129" s="4"/>
      <c r="BA129" s="4" t="s">
        <v>4118</v>
      </c>
      <c r="BB129" s="5">
        <f t="shared" si="41"/>
        <v>0</v>
      </c>
      <c r="BC129" s="544"/>
      <c r="BD129" s="6">
        <v>44504</v>
      </c>
      <c r="BE129" s="463">
        <v>44505</v>
      </c>
      <c r="BF129" s="463" t="s">
        <v>4119</v>
      </c>
      <c r="BG129" s="6" t="str">
        <f t="shared" si="43"/>
        <v>22/12/2021
24/12/2021</v>
      </c>
      <c r="BH129" s="415" t="str">
        <f t="shared" si="42"/>
        <v>Contrato y 1er Mod. Formalizado en  tesoreria con endoso deFC  17/01/22</v>
      </c>
      <c r="BI129" s="416">
        <v>44558</v>
      </c>
      <c r="BJ129" s="255" t="s">
        <v>4120</v>
      </c>
      <c r="BK129" s="415" t="str">
        <f t="shared" si="39"/>
        <v>Contrato y 1er Mod. Formalizado en  tesoreria con endoso deFC  17/01/22</v>
      </c>
      <c r="BL129" s="84"/>
      <c r="BM129" s="84"/>
      <c r="BN129" s="210">
        <v>1119047.6000000001</v>
      </c>
      <c r="BO129" s="210">
        <v>1119047.6000000001</v>
      </c>
      <c r="BP129" s="210">
        <v>1119047.6000000001</v>
      </c>
    </row>
    <row r="130" spans="1:71" ht="141" x14ac:dyDescent="0.25">
      <c r="A130" s="527" t="s">
        <v>4121</v>
      </c>
      <c r="B130" s="5">
        <v>126</v>
      </c>
      <c r="C130" s="4" t="s">
        <v>149</v>
      </c>
      <c r="D130" s="18" t="s">
        <v>4122</v>
      </c>
      <c r="E130" s="3" t="s">
        <v>163</v>
      </c>
      <c r="F130" s="3" t="s">
        <v>4123</v>
      </c>
      <c r="G130" s="3" t="s">
        <v>163</v>
      </c>
      <c r="H130" s="3" t="s">
        <v>163</v>
      </c>
      <c r="I130" s="275" t="s">
        <v>2484</v>
      </c>
      <c r="J130" s="17"/>
      <c r="K130" s="17"/>
      <c r="L130" s="17"/>
      <c r="M130" s="375" t="str">
        <f t="shared" ref="M130:M157" si="44">I130&amp;J130&amp;" "&amp;K130&amp;" "&amp;L130</f>
        <v xml:space="preserve">RCM Seguridad Privada, S.A. de C.V.  </v>
      </c>
      <c r="N130" s="959" t="s">
        <v>166</v>
      </c>
      <c r="O130" s="959" t="s">
        <v>166</v>
      </c>
      <c r="P130" s="959" t="s">
        <v>4124</v>
      </c>
      <c r="Q130" s="962">
        <v>1748240.5</v>
      </c>
      <c r="R130" s="383">
        <f>Q130*0.16</f>
        <v>279718.48</v>
      </c>
      <c r="S130" s="384">
        <f t="shared" ref="S130:S157" si="45">Q130+R130</f>
        <v>2027958.98</v>
      </c>
      <c r="T130" s="385">
        <v>0</v>
      </c>
      <c r="U130" s="386">
        <v>0</v>
      </c>
      <c r="V130" s="383">
        <f t="shared" si="38"/>
        <v>2027958.98</v>
      </c>
      <c r="W130" s="963" t="s">
        <v>156</v>
      </c>
      <c r="X130" s="387">
        <v>44523</v>
      </c>
      <c r="Y130" s="3" t="s">
        <v>892</v>
      </c>
      <c r="Z130" s="387">
        <v>44562</v>
      </c>
      <c r="AA130" s="387">
        <v>44926</v>
      </c>
      <c r="AB130" s="4" t="s">
        <v>3787</v>
      </c>
      <c r="AC130" s="669" t="s">
        <v>4125</v>
      </c>
      <c r="AD130" s="6"/>
      <c r="AE130" s="6"/>
      <c r="AF130" s="6" t="s">
        <v>159</v>
      </c>
      <c r="AG130" s="6" t="s">
        <v>159</v>
      </c>
      <c r="AH130" s="3"/>
      <c r="AI130" s="4"/>
      <c r="AJ130" s="4"/>
      <c r="AK130" s="388"/>
      <c r="AL130" s="383"/>
      <c r="AM130" s="414" t="str">
        <f t="shared" ca="1" si="40"/>
        <v>MUERTO</v>
      </c>
      <c r="AN130" s="3"/>
      <c r="AO130" s="3"/>
      <c r="AP130" s="3" t="s">
        <v>892</v>
      </c>
      <c r="AQ130" s="3"/>
      <c r="AR130" s="3" t="s">
        <v>892</v>
      </c>
      <c r="AS130" s="3" t="s">
        <v>4108</v>
      </c>
      <c r="AT130" s="3"/>
      <c r="AU130" s="458"/>
      <c r="AV130" s="388"/>
      <c r="AW130" s="4"/>
      <c r="AX130" s="459"/>
      <c r="AY130" s="281" t="s">
        <v>4126</v>
      </c>
      <c r="AZ130" s="4"/>
      <c r="BA130" s="4" t="s">
        <v>3244</v>
      </c>
      <c r="BB130" s="5">
        <f t="shared" si="41"/>
        <v>0</v>
      </c>
      <c r="BC130" s="544"/>
      <c r="BD130" s="6">
        <v>44498</v>
      </c>
      <c r="BE130" s="463" t="s">
        <v>4127</v>
      </c>
      <c r="BF130" s="463">
        <v>44525</v>
      </c>
      <c r="BG130" s="6">
        <f t="shared" si="43"/>
        <v>44525</v>
      </c>
      <c r="BH130" s="415" t="str">
        <f t="shared" si="42"/>
        <v>Formalizado en tesorería contrato, FC y PRC 15/12/21</v>
      </c>
      <c r="BI130" s="416">
        <v>44536</v>
      </c>
      <c r="BJ130" s="255">
        <v>44526</v>
      </c>
      <c r="BK130" s="415" t="str">
        <f t="shared" si="39"/>
        <v>Formalizado en tesorería contrato, FC y PRC 15/12/21</v>
      </c>
      <c r="BL130" s="84"/>
      <c r="BM130" s="84"/>
      <c r="BN130" s="84"/>
      <c r="BO130" s="85"/>
      <c r="BP130" s="84"/>
    </row>
    <row r="131" spans="1:71" ht="105" x14ac:dyDescent="0.25">
      <c r="A131" s="527" t="s">
        <v>4128</v>
      </c>
      <c r="B131" s="3">
        <v>127</v>
      </c>
      <c r="C131" s="4" t="s">
        <v>225</v>
      </c>
      <c r="D131" s="18" t="s">
        <v>4129</v>
      </c>
      <c r="E131" s="3" t="s">
        <v>173</v>
      </c>
      <c r="F131" s="3" t="s">
        <v>3785</v>
      </c>
      <c r="G131" s="3"/>
      <c r="H131" s="3" t="s">
        <v>173</v>
      </c>
      <c r="I131" s="275" t="s">
        <v>719</v>
      </c>
      <c r="J131" s="17"/>
      <c r="K131" s="17"/>
      <c r="L131" s="17"/>
      <c r="M131" s="375" t="str">
        <f t="shared" si="44"/>
        <v xml:space="preserve">Sí Vale México, S.A. de C.V.  </v>
      </c>
      <c r="N131" s="959" t="s">
        <v>198</v>
      </c>
      <c r="O131" s="959" t="s">
        <v>198</v>
      </c>
      <c r="P131" s="959" t="s">
        <v>4130</v>
      </c>
      <c r="Q131" s="962">
        <v>600000</v>
      </c>
      <c r="R131" s="383">
        <f>Q131*0.16</f>
        <v>96000</v>
      </c>
      <c r="S131" s="384">
        <f t="shared" si="45"/>
        <v>696000</v>
      </c>
      <c r="T131" s="385">
        <v>240000</v>
      </c>
      <c r="U131" s="386">
        <f>(T131*0.16)+(T131)</f>
        <v>278400</v>
      </c>
      <c r="V131" s="383">
        <f t="shared" si="38"/>
        <v>696000</v>
      </c>
      <c r="W131" s="963" t="s">
        <v>156</v>
      </c>
      <c r="X131" s="387">
        <v>44524</v>
      </c>
      <c r="Y131" s="3" t="s">
        <v>892</v>
      </c>
      <c r="Z131" s="387">
        <v>44562</v>
      </c>
      <c r="AA131" s="387">
        <v>44926</v>
      </c>
      <c r="AB131" s="4" t="s">
        <v>3113</v>
      </c>
      <c r="AC131" s="4"/>
      <c r="AD131" s="6"/>
      <c r="AE131" s="6"/>
      <c r="AF131" s="6"/>
      <c r="AG131" s="6"/>
      <c r="AH131" s="3"/>
      <c r="AI131" s="4"/>
      <c r="AJ131" s="647"/>
      <c r="AK131" s="388"/>
      <c r="AL131" s="383"/>
      <c r="AM131" s="414" t="str">
        <f t="shared" ca="1" si="40"/>
        <v>MUERTO</v>
      </c>
      <c r="AN131" s="3"/>
      <c r="AO131" s="3"/>
      <c r="AP131" s="3" t="s">
        <v>892</v>
      </c>
      <c r="AQ131" s="3"/>
      <c r="AR131" s="3" t="s">
        <v>892</v>
      </c>
      <c r="AS131" s="3" t="s">
        <v>4108</v>
      </c>
      <c r="AT131" s="3"/>
      <c r="AU131" s="458"/>
      <c r="AV131" s="388"/>
      <c r="AW131" s="4"/>
      <c r="AX131" s="459"/>
      <c r="AY131" s="668" t="s">
        <v>4131</v>
      </c>
      <c r="AZ131" s="4"/>
      <c r="BA131" s="4" t="s">
        <v>4132</v>
      </c>
      <c r="BB131" s="5">
        <f t="shared" si="41"/>
        <v>0</v>
      </c>
      <c r="BC131" s="544"/>
      <c r="BD131" s="6">
        <v>44522</v>
      </c>
      <c r="BE131" s="463">
        <v>44523</v>
      </c>
      <c r="BF131" s="463">
        <v>44526</v>
      </c>
      <c r="BG131" s="6">
        <f t="shared" si="43"/>
        <v>44526</v>
      </c>
      <c r="BH131" s="415" t="str">
        <f t="shared" si="42"/>
        <v>Formalizado en tesorería Contrato y FC 14/12</v>
      </c>
      <c r="BI131" s="416">
        <v>44536</v>
      </c>
      <c r="BJ131" s="255">
        <v>44529</v>
      </c>
      <c r="BK131" s="415" t="str">
        <f t="shared" si="39"/>
        <v>Formalizado en tesorería Contrato y FC 14/12</v>
      </c>
      <c r="BL131" s="84"/>
      <c r="BM131" s="84"/>
      <c r="BN131" s="84"/>
      <c r="BO131" s="84"/>
      <c r="BP131" s="84"/>
    </row>
    <row r="132" spans="1:71" s="468" customFormat="1" ht="225" x14ac:dyDescent="0.25">
      <c r="A132" s="417" t="s">
        <v>4133</v>
      </c>
      <c r="B132" s="3">
        <v>128</v>
      </c>
      <c r="C132" s="4" t="s">
        <v>225</v>
      </c>
      <c r="D132" s="18" t="s">
        <v>4129</v>
      </c>
      <c r="E132" s="3" t="s">
        <v>173</v>
      </c>
      <c r="F132" s="3" t="s">
        <v>3785</v>
      </c>
      <c r="G132" s="3"/>
      <c r="H132" s="3" t="s">
        <v>173</v>
      </c>
      <c r="I132" s="275" t="s">
        <v>719</v>
      </c>
      <c r="J132" s="17"/>
      <c r="K132" s="17"/>
      <c r="L132" s="17"/>
      <c r="M132" s="375" t="str">
        <f t="shared" si="44"/>
        <v xml:space="preserve">Sí Vale México, S.A. de C.V.  </v>
      </c>
      <c r="N132" s="959" t="s">
        <v>370</v>
      </c>
      <c r="O132" s="959" t="s">
        <v>370</v>
      </c>
      <c r="P132" s="959" t="s">
        <v>4134</v>
      </c>
      <c r="Q132" s="962">
        <v>45935480</v>
      </c>
      <c r="R132" s="383">
        <v>0</v>
      </c>
      <c r="S132" s="384">
        <f t="shared" si="45"/>
        <v>45935480</v>
      </c>
      <c r="T132" s="385">
        <v>40200698</v>
      </c>
      <c r="U132" s="385">
        <v>40200698</v>
      </c>
      <c r="V132" s="528">
        <f t="shared" si="38"/>
        <v>51812159.359999999</v>
      </c>
      <c r="W132" s="963" t="s">
        <v>156</v>
      </c>
      <c r="X132" s="387">
        <v>44525</v>
      </c>
      <c r="Y132" s="3" t="s">
        <v>892</v>
      </c>
      <c r="Z132" s="387">
        <v>44562</v>
      </c>
      <c r="AA132" s="387">
        <v>44926</v>
      </c>
      <c r="AB132" s="4" t="s">
        <v>3113</v>
      </c>
      <c r="AC132" s="4"/>
      <c r="AD132" s="6"/>
      <c r="AE132" s="6"/>
      <c r="AF132" s="6"/>
      <c r="AG132" s="6"/>
      <c r="AH132" s="3"/>
      <c r="AI132" s="4" t="s">
        <v>4135</v>
      </c>
      <c r="AJ132" s="670" t="s">
        <v>4136</v>
      </c>
      <c r="AK132" s="521" t="s">
        <v>4137</v>
      </c>
      <c r="AL132" s="528">
        <v>5876679.3600000003</v>
      </c>
      <c r="AM132" s="414" t="str">
        <f t="shared" ca="1" si="40"/>
        <v>MUERTO</v>
      </c>
      <c r="AN132" s="3"/>
      <c r="AO132" s="3"/>
      <c r="AP132" s="3" t="s">
        <v>892</v>
      </c>
      <c r="AQ132" s="3" t="s">
        <v>4138</v>
      </c>
      <c r="AR132" s="3" t="s">
        <v>892</v>
      </c>
      <c r="AS132" s="3" t="s">
        <v>4108</v>
      </c>
      <c r="AT132" s="3"/>
      <c r="AU132" s="458"/>
      <c r="AV132" s="388"/>
      <c r="AW132" s="4"/>
      <c r="AX132" s="459"/>
      <c r="AY132" s="668" t="s">
        <v>4139</v>
      </c>
      <c r="AZ132" s="4"/>
      <c r="BA132" s="4" t="s">
        <v>4132</v>
      </c>
      <c r="BB132" s="5">
        <f t="shared" si="41"/>
        <v>0</v>
      </c>
      <c r="BC132" s="544"/>
      <c r="BD132" s="6">
        <v>44522</v>
      </c>
      <c r="BE132" s="463">
        <v>44523</v>
      </c>
      <c r="BF132" s="463">
        <v>44525</v>
      </c>
      <c r="BG132" s="6" t="s">
        <v>4140</v>
      </c>
      <c r="BH132" s="415" t="str">
        <f t="shared" si="42"/>
        <v>Formalizado en tesorería Contrato y FC 29/12
Modif formalizado con endoso 01/12/22
2do Modif formalizado con endoso 16/01/23</v>
      </c>
      <c r="BI132" s="416" t="s">
        <v>4141</v>
      </c>
      <c r="BJ132" s="255" t="s">
        <v>4142</v>
      </c>
      <c r="BK132" s="415" t="str">
        <f t="shared" si="39"/>
        <v>Formalizado en tesorería Contrato y FC 29/12
Modif formalizado con endoso 01/12/22
2do Modif formalizado con endoso 16/01/23</v>
      </c>
      <c r="BL132" s="84"/>
      <c r="BM132" s="84"/>
      <c r="BN132" s="84"/>
      <c r="BO132" s="84"/>
      <c r="BP132" s="84"/>
      <c r="BQ132"/>
      <c r="BR132"/>
      <c r="BS132"/>
    </row>
    <row r="133" spans="1:71" s="468" customFormat="1" ht="240" x14ac:dyDescent="0.25">
      <c r="A133" s="417" t="s">
        <v>4143</v>
      </c>
      <c r="B133" s="3">
        <v>129</v>
      </c>
      <c r="C133" s="4" t="s">
        <v>811</v>
      </c>
      <c r="D133" s="18" t="s">
        <v>4144</v>
      </c>
      <c r="E133" s="3" t="s">
        <v>173</v>
      </c>
      <c r="F133" s="3" t="s">
        <v>3785</v>
      </c>
      <c r="G133" s="3"/>
      <c r="H133" s="3" t="s">
        <v>173</v>
      </c>
      <c r="I133" s="275" t="s">
        <v>1927</v>
      </c>
      <c r="J133" s="17"/>
      <c r="K133" s="17"/>
      <c r="L133" s="17"/>
      <c r="M133" s="375" t="str">
        <f t="shared" si="44"/>
        <v xml:space="preserve">J+C Mexicana de Comercio y Construcción, S.A. de C.V.  </v>
      </c>
      <c r="N133" s="959" t="s">
        <v>861</v>
      </c>
      <c r="O133" s="959" t="s">
        <v>198</v>
      </c>
      <c r="P133" s="959" t="s">
        <v>4145</v>
      </c>
      <c r="Q133" s="962">
        <v>24295875.899999999</v>
      </c>
      <c r="R133" s="383">
        <f t="shared" ref="R133:R149" si="46">Q133*0.16</f>
        <v>3887340.1439999999</v>
      </c>
      <c r="S133" s="384">
        <f t="shared" si="45"/>
        <v>28183216.044</v>
      </c>
      <c r="T133" s="385">
        <v>0</v>
      </c>
      <c r="U133" s="386">
        <f t="shared" ref="U133:U157" si="47">(T133*0.16)+(T133)</f>
        <v>0</v>
      </c>
      <c r="V133" s="671">
        <f t="shared" ref="V133:V157" si="48">S133+AL133</f>
        <v>33771328.943999998</v>
      </c>
      <c r="W133" s="963" t="s">
        <v>183</v>
      </c>
      <c r="X133" s="387">
        <v>44524</v>
      </c>
      <c r="Y133" s="3" t="s">
        <v>892</v>
      </c>
      <c r="Z133" s="387">
        <v>44524</v>
      </c>
      <c r="AA133" s="672">
        <v>44804</v>
      </c>
      <c r="AB133" s="4" t="s">
        <v>4097</v>
      </c>
      <c r="AC133" s="4"/>
      <c r="AD133" s="6"/>
      <c r="AE133" s="6"/>
      <c r="AF133" s="6"/>
      <c r="AG133" s="6"/>
      <c r="AH133" s="3"/>
      <c r="AI133" s="4" t="s">
        <v>4146</v>
      </c>
      <c r="AJ133" s="673" t="s">
        <v>4147</v>
      </c>
      <c r="AK133" s="674" t="s">
        <v>4148</v>
      </c>
      <c r="AL133" s="671">
        <v>5588112.9000000004</v>
      </c>
      <c r="AM133" s="414" t="str">
        <f t="shared" ca="1" si="40"/>
        <v>MUERTO</v>
      </c>
      <c r="AN133" s="3"/>
      <c r="AO133" s="3"/>
      <c r="AP133" s="3" t="s">
        <v>924</v>
      </c>
      <c r="AQ133" s="3" t="s">
        <v>4149</v>
      </c>
      <c r="AR133" s="3" t="s">
        <v>924</v>
      </c>
      <c r="AS133" s="3"/>
      <c r="AT133" s="3"/>
      <c r="AU133" s="458"/>
      <c r="AV133" s="388"/>
      <c r="AW133" s="4"/>
      <c r="AX133" s="459"/>
      <c r="AY133" s="281" t="s">
        <v>4150</v>
      </c>
      <c r="AZ133" s="4"/>
      <c r="BA133" s="4" t="s">
        <v>4101</v>
      </c>
      <c r="BB133" s="5">
        <f t="shared" si="41"/>
        <v>0</v>
      </c>
      <c r="BC133" s="544"/>
      <c r="BD133" s="6">
        <v>44522</v>
      </c>
      <c r="BE133" s="463">
        <v>44523</v>
      </c>
      <c r="BF133" s="463">
        <v>44529</v>
      </c>
      <c r="BG133" s="6">
        <f t="shared" ref="BG133:BG143" si="49">BF133</f>
        <v>44529</v>
      </c>
      <c r="BH133" s="415" t="str">
        <f t="shared" si="42"/>
        <v xml:space="preserve">Formalizado contrato, FC Y PRC 21/12/21
Modif formalizado con endosos de FC y PRC 10/06/22
2do Modif formalizado con endosos 30/09/22
</v>
      </c>
      <c r="BI133" s="416" t="s">
        <v>4151</v>
      </c>
      <c r="BJ133" s="255" t="s">
        <v>4152</v>
      </c>
      <c r="BK133" s="415" t="str">
        <f t="shared" ref="BK133:BK156" si="50">AY133</f>
        <v xml:space="preserve">Formalizado contrato, FC Y PRC 21/12/21
Modif formalizado con endosos de FC y PRC 10/06/22
2do Modif formalizado con endosos 30/09/22
</v>
      </c>
      <c r="BL133" s="84"/>
      <c r="BM133" s="238">
        <f>7082364.56*1.16</f>
        <v>8215542.8895999994</v>
      </c>
      <c r="BN133" s="238">
        <v>25555786</v>
      </c>
      <c r="BO133" s="84"/>
      <c r="BP133" s="84"/>
      <c r="BQ133"/>
      <c r="BR133"/>
      <c r="BS133"/>
    </row>
    <row r="134" spans="1:71" s="468" customFormat="1" ht="105" x14ac:dyDescent="0.25">
      <c r="A134" s="527" t="s">
        <v>4153</v>
      </c>
      <c r="B134" s="5">
        <v>130</v>
      </c>
      <c r="C134" s="4" t="s">
        <v>811</v>
      </c>
      <c r="D134" s="18" t="s">
        <v>4154</v>
      </c>
      <c r="E134" s="3" t="s">
        <v>151</v>
      </c>
      <c r="F134" s="3" t="s">
        <v>3793</v>
      </c>
      <c r="G134" s="3"/>
      <c r="H134" s="3" t="s">
        <v>151</v>
      </c>
      <c r="I134" s="275" t="s">
        <v>2470</v>
      </c>
      <c r="J134" s="17"/>
      <c r="K134" s="17"/>
      <c r="L134" s="17"/>
      <c r="M134" s="375" t="str">
        <f t="shared" si="44"/>
        <v xml:space="preserve">Inmobiliaria y Constructora Mal &amp; Jor, S.A. de C.V.  </v>
      </c>
      <c r="N134" s="959" t="s">
        <v>198</v>
      </c>
      <c r="O134" s="959" t="s">
        <v>198</v>
      </c>
      <c r="P134" s="959" t="s">
        <v>4155</v>
      </c>
      <c r="Q134" s="962">
        <v>1290013.47</v>
      </c>
      <c r="R134" s="383">
        <f t="shared" si="46"/>
        <v>206402.15520000001</v>
      </c>
      <c r="S134" s="384">
        <f t="shared" si="45"/>
        <v>1496415.6251999999</v>
      </c>
      <c r="T134" s="385">
        <v>0</v>
      </c>
      <c r="U134" s="386">
        <f t="shared" si="47"/>
        <v>0</v>
      </c>
      <c r="V134" s="383">
        <f t="shared" si="48"/>
        <v>1496415.6251999999</v>
      </c>
      <c r="W134" s="963" t="s">
        <v>156</v>
      </c>
      <c r="X134" s="387">
        <v>44525</v>
      </c>
      <c r="Y134" s="3" t="s">
        <v>892</v>
      </c>
      <c r="Z134" s="387">
        <v>44525</v>
      </c>
      <c r="AA134" s="387">
        <v>44561</v>
      </c>
      <c r="AB134" s="4" t="s">
        <v>4097</v>
      </c>
      <c r="AC134" s="4"/>
      <c r="AD134" s="6"/>
      <c r="AE134" s="6"/>
      <c r="AF134" s="6"/>
      <c r="AG134" s="6">
        <v>44585</v>
      </c>
      <c r="AH134" s="3"/>
      <c r="AI134" s="4"/>
      <c r="AJ134" s="4"/>
      <c r="AK134" s="388"/>
      <c r="AL134" s="383"/>
      <c r="AM134" s="414" t="str">
        <f t="shared" ca="1" si="40"/>
        <v>MUERTO</v>
      </c>
      <c r="AN134" s="3"/>
      <c r="AO134" s="3"/>
      <c r="AP134" s="3" t="s">
        <v>892</v>
      </c>
      <c r="AQ134" s="3"/>
      <c r="AR134" s="3" t="s">
        <v>892</v>
      </c>
      <c r="AS134" s="3"/>
      <c r="AT134" s="3"/>
      <c r="AU134" s="458"/>
      <c r="AV134" s="388"/>
      <c r="AW134" s="4"/>
      <c r="AX134" s="459"/>
      <c r="AY134" s="281" t="s">
        <v>4156</v>
      </c>
      <c r="AZ134" s="4"/>
      <c r="BA134" s="4" t="s">
        <v>4157</v>
      </c>
      <c r="BB134" s="5">
        <f t="shared" si="41"/>
        <v>0</v>
      </c>
      <c r="BC134" s="544"/>
      <c r="BD134" s="6">
        <v>44522</v>
      </c>
      <c r="BE134" s="463">
        <v>44523</v>
      </c>
      <c r="BF134" s="463">
        <v>44529</v>
      </c>
      <c r="BG134" s="6">
        <f t="shared" si="49"/>
        <v>44529</v>
      </c>
      <c r="BH134" s="415" t="str">
        <f t="shared" si="42"/>
        <v>Formalizado contrato, FC y PRC 28/12</v>
      </c>
      <c r="BI134" s="416" t="s">
        <v>4158</v>
      </c>
      <c r="BJ134" s="255">
        <v>44531</v>
      </c>
      <c r="BK134" s="415" t="str">
        <f t="shared" si="50"/>
        <v>Formalizado contrato, FC y PRC 28/12</v>
      </c>
      <c r="BL134" s="84"/>
      <c r="BM134" s="84"/>
      <c r="BN134" s="84"/>
      <c r="BO134" s="84"/>
      <c r="BP134" s="84"/>
      <c r="BQ134"/>
      <c r="BR134"/>
      <c r="BS134"/>
    </row>
    <row r="135" spans="1:71" ht="105" x14ac:dyDescent="0.25">
      <c r="A135" s="527" t="s">
        <v>4159</v>
      </c>
      <c r="B135" s="3">
        <v>131</v>
      </c>
      <c r="C135" s="4" t="s">
        <v>149</v>
      </c>
      <c r="D135" s="18" t="s">
        <v>4160</v>
      </c>
      <c r="E135" s="3" t="s">
        <v>151</v>
      </c>
      <c r="F135" s="3" t="s">
        <v>3793</v>
      </c>
      <c r="G135" s="3"/>
      <c r="H135" s="3" t="s">
        <v>151</v>
      </c>
      <c r="I135" s="275" t="s">
        <v>2470</v>
      </c>
      <c r="J135" s="17"/>
      <c r="K135" s="17"/>
      <c r="L135" s="17"/>
      <c r="M135" s="375" t="str">
        <f t="shared" si="44"/>
        <v xml:space="preserve">Inmobiliaria y Constructora Mal &amp; Jor, S.A. de C.V.  </v>
      </c>
      <c r="N135" s="959" t="s">
        <v>198</v>
      </c>
      <c r="O135" s="959" t="s">
        <v>198</v>
      </c>
      <c r="P135" s="959" t="s">
        <v>4161</v>
      </c>
      <c r="Q135" s="962">
        <v>1488414.65</v>
      </c>
      <c r="R135" s="383">
        <f t="shared" si="46"/>
        <v>238146.34399999998</v>
      </c>
      <c r="S135" s="384">
        <f t="shared" si="45"/>
        <v>1726560.9939999999</v>
      </c>
      <c r="T135" s="385">
        <v>0</v>
      </c>
      <c r="U135" s="386">
        <f t="shared" si="47"/>
        <v>0</v>
      </c>
      <c r="V135" s="383">
        <f t="shared" si="48"/>
        <v>1726560.9939999999</v>
      </c>
      <c r="W135" s="963" t="s">
        <v>156</v>
      </c>
      <c r="X135" s="387">
        <v>44526</v>
      </c>
      <c r="Y135" s="3" t="s">
        <v>892</v>
      </c>
      <c r="Z135" s="387">
        <v>44526</v>
      </c>
      <c r="AA135" s="387">
        <v>44557</v>
      </c>
      <c r="AB135" s="4" t="s">
        <v>4097</v>
      </c>
      <c r="AC135" s="4"/>
      <c r="AD135" s="6"/>
      <c r="AE135" s="6"/>
      <c r="AF135" s="6"/>
      <c r="AG135" s="6">
        <v>44579</v>
      </c>
      <c r="AH135" s="3"/>
      <c r="AI135" s="4"/>
      <c r="AJ135" s="4"/>
      <c r="AK135" s="388"/>
      <c r="AL135" s="383"/>
      <c r="AM135" s="414" t="str">
        <f t="shared" ca="1" si="40"/>
        <v>MUERTO</v>
      </c>
      <c r="AN135" s="3"/>
      <c r="AO135" s="3"/>
      <c r="AP135" s="3" t="s">
        <v>892</v>
      </c>
      <c r="AQ135" s="3"/>
      <c r="AR135" s="3" t="s">
        <v>892</v>
      </c>
      <c r="AS135" s="3"/>
      <c r="AT135" s="3"/>
      <c r="AU135" s="458"/>
      <c r="AV135" s="388"/>
      <c r="AW135" s="4"/>
      <c r="AX135" s="459"/>
      <c r="AY135" s="281" t="s">
        <v>4156</v>
      </c>
      <c r="AZ135" s="4"/>
      <c r="BA135" s="4" t="s">
        <v>4157</v>
      </c>
      <c r="BB135" s="5">
        <f t="shared" si="41"/>
        <v>0</v>
      </c>
      <c r="BC135" s="544"/>
      <c r="BD135" s="6">
        <v>44523</v>
      </c>
      <c r="BE135" s="463">
        <v>44524</v>
      </c>
      <c r="BF135" s="463">
        <v>44531</v>
      </c>
      <c r="BG135" s="6">
        <f t="shared" si="49"/>
        <v>44531</v>
      </c>
      <c r="BH135" s="415" t="str">
        <f t="shared" si="42"/>
        <v>Formalizado contrato, FC y PRC 28/12</v>
      </c>
      <c r="BI135" s="416">
        <v>44538</v>
      </c>
      <c r="BJ135" s="255">
        <v>44531</v>
      </c>
      <c r="BK135" s="415" t="str">
        <f t="shared" si="50"/>
        <v>Formalizado contrato, FC y PRC 28/12</v>
      </c>
      <c r="BL135" s="84"/>
      <c r="BM135" s="84"/>
      <c r="BN135" s="84"/>
      <c r="BO135" s="84"/>
      <c r="BP135" s="84"/>
    </row>
    <row r="136" spans="1:71" ht="120" x14ac:dyDescent="0.25">
      <c r="A136" s="527" t="s">
        <v>4162</v>
      </c>
      <c r="B136" s="3">
        <v>132</v>
      </c>
      <c r="C136" s="4" t="s">
        <v>225</v>
      </c>
      <c r="D136" s="18" t="s">
        <v>4163</v>
      </c>
      <c r="E136" s="3" t="s">
        <v>173</v>
      </c>
      <c r="F136" s="3" t="s">
        <v>3785</v>
      </c>
      <c r="G136" s="3"/>
      <c r="H136" s="3" t="s">
        <v>173</v>
      </c>
      <c r="I136" s="275" t="s">
        <v>4078</v>
      </c>
      <c r="J136" s="17"/>
      <c r="K136" s="17"/>
      <c r="L136" s="17"/>
      <c r="M136" s="375" t="str">
        <f t="shared" si="44"/>
        <v xml:space="preserve">Cen Systems, S,A, de C.V.  </v>
      </c>
      <c r="N136" s="959" t="s">
        <v>656</v>
      </c>
      <c r="O136" s="959" t="s">
        <v>209</v>
      </c>
      <c r="P136" s="959" t="s">
        <v>4164</v>
      </c>
      <c r="Q136" s="962">
        <v>11445769.65</v>
      </c>
      <c r="R136" s="383">
        <f t="shared" si="46"/>
        <v>1831323.1440000001</v>
      </c>
      <c r="S136" s="384">
        <f t="shared" si="45"/>
        <v>13277092.794</v>
      </c>
      <c r="T136" s="385">
        <v>0</v>
      </c>
      <c r="U136" s="386">
        <f t="shared" si="47"/>
        <v>0</v>
      </c>
      <c r="V136" s="383">
        <f t="shared" si="48"/>
        <v>13277092.794</v>
      </c>
      <c r="W136" s="963" t="s">
        <v>156</v>
      </c>
      <c r="X136" s="387">
        <v>44526</v>
      </c>
      <c r="Y136" s="3" t="s">
        <v>892</v>
      </c>
      <c r="Z136" s="387">
        <v>44526</v>
      </c>
      <c r="AA136" s="387">
        <v>44560</v>
      </c>
      <c r="AB136" s="4" t="s">
        <v>3113</v>
      </c>
      <c r="AC136" s="4"/>
      <c r="AD136" s="6"/>
      <c r="AE136" s="6"/>
      <c r="AF136" s="6"/>
      <c r="AG136" s="6"/>
      <c r="AH136" s="3"/>
      <c r="AI136" s="4"/>
      <c r="AJ136" s="4"/>
      <c r="AK136" s="388"/>
      <c r="AL136" s="383"/>
      <c r="AM136" s="414" t="str">
        <f t="shared" ref="AM136:AM157" ca="1" si="51">IF(ISBLANK(AA136),"",IF(AA136&gt;=TODAY(),"VIGENTE","MUERTO"))</f>
        <v>MUERTO</v>
      </c>
      <c r="AN136" s="3"/>
      <c r="AO136" s="3"/>
      <c r="AP136" s="3" t="s">
        <v>892</v>
      </c>
      <c r="AQ136" s="3"/>
      <c r="AR136" s="3" t="s">
        <v>924</v>
      </c>
      <c r="AS136" s="3"/>
      <c r="AT136" s="3"/>
      <c r="AU136" s="458"/>
      <c r="AV136" s="388"/>
      <c r="AW136" s="4"/>
      <c r="AX136" s="459"/>
      <c r="AY136" s="281" t="s">
        <v>4165</v>
      </c>
      <c r="AZ136" s="4"/>
      <c r="BA136" s="4" t="s">
        <v>4080</v>
      </c>
      <c r="BB136" s="5">
        <f t="shared" si="41"/>
        <v>0</v>
      </c>
      <c r="BC136" s="544"/>
      <c r="BD136" s="6">
        <v>44523</v>
      </c>
      <c r="BE136" s="463">
        <v>44524</v>
      </c>
      <c r="BF136" s="463">
        <v>44531</v>
      </c>
      <c r="BG136" s="6">
        <f t="shared" si="49"/>
        <v>44531</v>
      </c>
      <c r="BH136" s="415" t="str">
        <f t="shared" si="42"/>
        <v>Formalizado contrato y FC 09/12/21</v>
      </c>
      <c r="BI136" s="416">
        <v>44539</v>
      </c>
      <c r="BJ136" s="255">
        <v>44532</v>
      </c>
      <c r="BK136" s="415" t="str">
        <f t="shared" si="50"/>
        <v>Formalizado contrato y FC 09/12/21</v>
      </c>
      <c r="BL136" s="84"/>
      <c r="BM136" s="84"/>
      <c r="BN136" s="84"/>
      <c r="BO136" s="84"/>
      <c r="BP136" s="84"/>
    </row>
    <row r="137" spans="1:71" s="468" customFormat="1" ht="90" x14ac:dyDescent="0.25">
      <c r="A137" s="527" t="s">
        <v>4166</v>
      </c>
      <c r="B137" s="3">
        <v>133</v>
      </c>
      <c r="C137" s="4" t="s">
        <v>149</v>
      </c>
      <c r="D137" s="18" t="s">
        <v>4167</v>
      </c>
      <c r="E137" s="3" t="s">
        <v>163</v>
      </c>
      <c r="F137" s="3" t="s">
        <v>3764</v>
      </c>
      <c r="G137" s="685" t="s">
        <v>546</v>
      </c>
      <c r="H137" s="3" t="s">
        <v>2237</v>
      </c>
      <c r="I137" s="275" t="s">
        <v>2979</v>
      </c>
      <c r="J137" s="17"/>
      <c r="K137" s="17"/>
      <c r="L137" s="17"/>
      <c r="M137" s="375" t="str">
        <f t="shared" si="44"/>
        <v xml:space="preserve">Ingenieros Mafur, S.A. de C.V.  </v>
      </c>
      <c r="N137" s="959" t="s">
        <v>270</v>
      </c>
      <c r="O137" s="959" t="s">
        <v>270</v>
      </c>
      <c r="P137" s="959" t="s">
        <v>4168</v>
      </c>
      <c r="Q137" s="962">
        <v>6460000</v>
      </c>
      <c r="R137" s="383">
        <f t="shared" si="46"/>
        <v>1033600</v>
      </c>
      <c r="S137" s="384">
        <f t="shared" si="45"/>
        <v>7493600</v>
      </c>
      <c r="T137" s="385">
        <v>0</v>
      </c>
      <c r="U137" s="386">
        <f t="shared" si="47"/>
        <v>0</v>
      </c>
      <c r="V137" s="383">
        <f t="shared" si="48"/>
        <v>7493600</v>
      </c>
      <c r="W137" s="963" t="s">
        <v>156</v>
      </c>
      <c r="X137" s="387">
        <v>44532</v>
      </c>
      <c r="Y137" s="3" t="s">
        <v>924</v>
      </c>
      <c r="Z137" s="387">
        <v>44532</v>
      </c>
      <c r="AA137" s="387">
        <v>44561</v>
      </c>
      <c r="AB137" s="4" t="s">
        <v>4169</v>
      </c>
      <c r="AC137" s="4"/>
      <c r="AD137" s="6"/>
      <c r="AE137" s="6"/>
      <c r="AF137" s="6"/>
      <c r="AG137" s="6">
        <v>44593</v>
      </c>
      <c r="AH137" s="3"/>
      <c r="AI137" s="4"/>
      <c r="AJ137" s="4"/>
      <c r="AK137" s="388"/>
      <c r="AL137" s="383"/>
      <c r="AM137" s="414" t="str">
        <f t="shared" ca="1" si="51"/>
        <v>MUERTO</v>
      </c>
      <c r="AN137" s="3"/>
      <c r="AO137" s="3"/>
      <c r="AP137" s="3" t="s">
        <v>924</v>
      </c>
      <c r="AQ137" s="3"/>
      <c r="AR137" s="3" t="s">
        <v>924</v>
      </c>
      <c r="AS137" s="3"/>
      <c r="AT137" s="3"/>
      <c r="AU137" s="458"/>
      <c r="AV137" s="388"/>
      <c r="AW137" s="4"/>
      <c r="AX137" s="459"/>
      <c r="AY137" s="281" t="s">
        <v>4170</v>
      </c>
      <c r="AZ137" s="4"/>
      <c r="BA137" s="4" t="s">
        <v>4171</v>
      </c>
      <c r="BB137" s="5">
        <f t="shared" si="41"/>
        <v>0</v>
      </c>
      <c r="BC137" s="544"/>
      <c r="BD137" s="6">
        <v>44526</v>
      </c>
      <c r="BE137" s="463">
        <v>44529</v>
      </c>
      <c r="BF137" s="463">
        <v>44533</v>
      </c>
      <c r="BG137" s="6">
        <f t="shared" si="49"/>
        <v>44533</v>
      </c>
      <c r="BH137" s="415" t="str">
        <f t="shared" si="42"/>
        <v>Formalizado contrato y FC 21/12/21</v>
      </c>
      <c r="BI137" s="416">
        <v>44543</v>
      </c>
      <c r="BJ137" s="255">
        <v>44536</v>
      </c>
      <c r="BK137" s="415" t="str">
        <f t="shared" si="50"/>
        <v>Formalizado contrato y FC 21/12/21</v>
      </c>
      <c r="BL137" s="84"/>
      <c r="BM137" s="84"/>
      <c r="BN137" s="84"/>
      <c r="BO137" s="84"/>
      <c r="BP137" s="84"/>
      <c r="BQ137"/>
      <c r="BR137"/>
      <c r="BS137"/>
    </row>
    <row r="138" spans="1:71" s="468" customFormat="1" ht="90" x14ac:dyDescent="0.25">
      <c r="A138" s="527" t="s">
        <v>4172</v>
      </c>
      <c r="B138" s="3">
        <v>134</v>
      </c>
      <c r="C138" s="4" t="s">
        <v>149</v>
      </c>
      <c r="D138" s="18" t="s">
        <v>4167</v>
      </c>
      <c r="E138" s="3" t="s">
        <v>163</v>
      </c>
      <c r="F138" s="3" t="s">
        <v>4030</v>
      </c>
      <c r="G138" s="685" t="s">
        <v>546</v>
      </c>
      <c r="H138" s="3" t="s">
        <v>2237</v>
      </c>
      <c r="I138" s="275" t="s">
        <v>4173</v>
      </c>
      <c r="J138" s="17"/>
      <c r="K138" s="17"/>
      <c r="L138" s="17"/>
      <c r="M138" s="375" t="str">
        <f t="shared" si="44"/>
        <v xml:space="preserve">Catorce días, S.A. de C.V.  </v>
      </c>
      <c r="N138" s="959" t="s">
        <v>860</v>
      </c>
      <c r="O138" s="959" t="s">
        <v>2603</v>
      </c>
      <c r="P138" s="959" t="s">
        <v>4174</v>
      </c>
      <c r="Q138" s="962">
        <v>550000</v>
      </c>
      <c r="R138" s="383">
        <f t="shared" si="46"/>
        <v>88000</v>
      </c>
      <c r="S138" s="384">
        <f t="shared" si="45"/>
        <v>638000</v>
      </c>
      <c r="T138" s="385">
        <v>0</v>
      </c>
      <c r="U138" s="386">
        <f t="shared" si="47"/>
        <v>0</v>
      </c>
      <c r="V138" s="383">
        <f t="shared" si="48"/>
        <v>638000</v>
      </c>
      <c r="W138" s="963" t="s">
        <v>156</v>
      </c>
      <c r="X138" s="387">
        <v>44533</v>
      </c>
      <c r="Y138" s="3" t="s">
        <v>924</v>
      </c>
      <c r="Z138" s="387">
        <v>44533</v>
      </c>
      <c r="AA138" s="387">
        <v>44561</v>
      </c>
      <c r="AB138" s="4" t="s">
        <v>3113</v>
      </c>
      <c r="AC138" s="4"/>
      <c r="AD138" s="6"/>
      <c r="AE138" s="6"/>
      <c r="AF138" s="6"/>
      <c r="AG138" s="6"/>
      <c r="AH138" s="3"/>
      <c r="AI138" s="4"/>
      <c r="AJ138" s="4"/>
      <c r="AK138" s="388"/>
      <c r="AL138" s="383"/>
      <c r="AM138" s="414" t="str">
        <f t="shared" ca="1" si="51"/>
        <v>MUERTO</v>
      </c>
      <c r="AN138" s="3"/>
      <c r="AO138" s="3"/>
      <c r="AP138" s="3" t="s">
        <v>924</v>
      </c>
      <c r="AQ138" s="3"/>
      <c r="AR138" s="3" t="s">
        <v>924</v>
      </c>
      <c r="AS138" s="3"/>
      <c r="AT138" s="3"/>
      <c r="AU138" s="458"/>
      <c r="AV138" s="388"/>
      <c r="AW138" s="4"/>
      <c r="AX138" s="459"/>
      <c r="AY138" s="281" t="s">
        <v>4175</v>
      </c>
      <c r="AZ138" s="4"/>
      <c r="BA138" s="4" t="s">
        <v>4176</v>
      </c>
      <c r="BB138" s="5">
        <f t="shared" ref="BB138:BB156" si="52">AN138</f>
        <v>0</v>
      </c>
      <c r="BC138" s="544"/>
      <c r="BD138" s="6">
        <v>44526</v>
      </c>
      <c r="BE138" s="463">
        <v>44529</v>
      </c>
      <c r="BF138" s="463">
        <v>44536</v>
      </c>
      <c r="BG138" s="6">
        <f t="shared" si="49"/>
        <v>44536</v>
      </c>
      <c r="BH138" s="415" t="str">
        <f t="shared" si="42"/>
        <v>Formalizado contrato con fc 20/12</v>
      </c>
      <c r="BI138" s="416">
        <v>44538</v>
      </c>
      <c r="BJ138" s="255">
        <v>44537</v>
      </c>
      <c r="BK138" s="415" t="str">
        <f t="shared" si="50"/>
        <v>Formalizado contrato con fc 20/12</v>
      </c>
      <c r="BL138" s="84"/>
      <c r="BM138" s="84"/>
      <c r="BN138" s="84"/>
      <c r="BO138" s="84"/>
      <c r="BP138" s="84"/>
      <c r="BQ138"/>
      <c r="BR138"/>
      <c r="BS138"/>
    </row>
    <row r="139" spans="1:71" ht="90" x14ac:dyDescent="0.25">
      <c r="A139" s="527" t="s">
        <v>4177</v>
      </c>
      <c r="B139" s="3">
        <v>135</v>
      </c>
      <c r="C139" s="4" t="s">
        <v>149</v>
      </c>
      <c r="D139" s="18" t="s">
        <v>4178</v>
      </c>
      <c r="E139" s="3" t="s">
        <v>163</v>
      </c>
      <c r="F139" s="3" t="s">
        <v>164</v>
      </c>
      <c r="G139" s="3" t="s">
        <v>163</v>
      </c>
      <c r="H139" s="3" t="s">
        <v>163</v>
      </c>
      <c r="I139" s="275" t="s">
        <v>1022</v>
      </c>
      <c r="J139" s="17"/>
      <c r="K139" s="17"/>
      <c r="L139" s="17"/>
      <c r="M139" s="375" t="str">
        <f t="shared" si="44"/>
        <v xml:space="preserve">Policia Auxiliar de la Ciudad de México  </v>
      </c>
      <c r="N139" s="959" t="s">
        <v>166</v>
      </c>
      <c r="O139" s="959" t="s">
        <v>166</v>
      </c>
      <c r="P139" s="959" t="s">
        <v>4179</v>
      </c>
      <c r="Q139" s="962">
        <v>59801600</v>
      </c>
      <c r="R139" s="383">
        <f t="shared" si="46"/>
        <v>9568256</v>
      </c>
      <c r="S139" s="384">
        <f t="shared" si="45"/>
        <v>69369856</v>
      </c>
      <c r="T139" s="385">
        <v>35000000</v>
      </c>
      <c r="U139" s="386">
        <f t="shared" si="47"/>
        <v>40600000</v>
      </c>
      <c r="V139" s="383">
        <f t="shared" si="48"/>
        <v>69369856</v>
      </c>
      <c r="W139" s="963" t="s">
        <v>156</v>
      </c>
      <c r="X139" s="387">
        <v>44562</v>
      </c>
      <c r="Y139" s="3" t="s">
        <v>157</v>
      </c>
      <c r="Z139" s="387">
        <v>44562</v>
      </c>
      <c r="AA139" s="387">
        <v>44926</v>
      </c>
      <c r="AB139" s="4" t="s">
        <v>159</v>
      </c>
      <c r="AC139" s="4"/>
      <c r="AD139" s="6" t="s">
        <v>4180</v>
      </c>
      <c r="AE139" s="6" t="s">
        <v>4180</v>
      </c>
      <c r="AF139" s="6" t="s">
        <v>4180</v>
      </c>
      <c r="AG139" s="6" t="s">
        <v>4180</v>
      </c>
      <c r="AH139" s="6" t="s">
        <v>4180</v>
      </c>
      <c r="AI139" s="4"/>
      <c r="AJ139" s="4"/>
      <c r="AK139" s="388"/>
      <c r="AL139" s="383"/>
      <c r="AM139" s="414" t="str">
        <f t="shared" ca="1" si="51"/>
        <v>MUERTO</v>
      </c>
      <c r="AN139" s="3"/>
      <c r="AO139" s="3"/>
      <c r="AP139" s="3" t="s">
        <v>157</v>
      </c>
      <c r="AQ139" s="3"/>
      <c r="AR139" s="3" t="s">
        <v>924</v>
      </c>
      <c r="AS139" s="3" t="s">
        <v>4108</v>
      </c>
      <c r="AT139" s="3"/>
      <c r="AU139" s="458"/>
      <c r="AV139" s="388"/>
      <c r="AW139" s="4"/>
      <c r="AX139" s="459"/>
      <c r="AY139" s="281" t="s">
        <v>4181</v>
      </c>
      <c r="AZ139" s="4"/>
      <c r="BA139" s="4" t="s">
        <v>4182</v>
      </c>
      <c r="BB139" s="5">
        <f t="shared" si="52"/>
        <v>0</v>
      </c>
      <c r="BC139" s="544"/>
      <c r="BD139" s="6">
        <v>44518</v>
      </c>
      <c r="BE139" s="463">
        <v>44522</v>
      </c>
      <c r="BF139" s="463">
        <v>44537</v>
      </c>
      <c r="BG139" s="6">
        <f t="shared" si="49"/>
        <v>44537</v>
      </c>
      <c r="BH139" s="415" t="str">
        <f t="shared" si="42"/>
        <v>Formalizado contrato 29/12/21</v>
      </c>
      <c r="BI139" s="416">
        <v>44559</v>
      </c>
      <c r="BJ139" s="255">
        <v>44558</v>
      </c>
      <c r="BK139" s="415" t="str">
        <f t="shared" si="50"/>
        <v>Formalizado contrato 29/12/21</v>
      </c>
      <c r="BL139" s="84"/>
      <c r="BM139" s="84"/>
      <c r="BN139" s="84"/>
      <c r="BO139" s="84"/>
      <c r="BP139" s="84"/>
    </row>
    <row r="140" spans="1:71" ht="120" x14ac:dyDescent="0.25">
      <c r="A140" s="527" t="s">
        <v>4183</v>
      </c>
      <c r="B140" s="3">
        <v>136</v>
      </c>
      <c r="C140" s="4" t="s">
        <v>149</v>
      </c>
      <c r="D140" s="18" t="s">
        <v>4184</v>
      </c>
      <c r="E140" s="3" t="s">
        <v>163</v>
      </c>
      <c r="F140" s="3" t="s">
        <v>4185</v>
      </c>
      <c r="G140" s="685" t="s">
        <v>546</v>
      </c>
      <c r="H140" s="3" t="s">
        <v>2237</v>
      </c>
      <c r="I140" s="275" t="s">
        <v>4186</v>
      </c>
      <c r="J140" s="17"/>
      <c r="K140" s="17"/>
      <c r="L140" s="17"/>
      <c r="M140" s="375" t="str">
        <f t="shared" si="44"/>
        <v xml:space="preserve">Deloitte Asesoría en Riesgos, S.C.  </v>
      </c>
      <c r="N140" s="959" t="s">
        <v>656</v>
      </c>
      <c r="O140" s="959" t="s">
        <v>209</v>
      </c>
      <c r="P140" s="959" t="s">
        <v>4187</v>
      </c>
      <c r="Q140" s="962">
        <v>825000</v>
      </c>
      <c r="R140" s="383">
        <f t="shared" si="46"/>
        <v>132000</v>
      </c>
      <c r="S140" s="384">
        <f t="shared" si="45"/>
        <v>957000</v>
      </c>
      <c r="T140" s="385">
        <v>0</v>
      </c>
      <c r="U140" s="386">
        <f t="shared" si="47"/>
        <v>0</v>
      </c>
      <c r="V140" s="383">
        <f t="shared" si="48"/>
        <v>957000</v>
      </c>
      <c r="W140" s="963" t="s">
        <v>156</v>
      </c>
      <c r="X140" s="387">
        <v>44533</v>
      </c>
      <c r="Y140" s="3" t="s">
        <v>924</v>
      </c>
      <c r="Z140" s="387">
        <v>44533</v>
      </c>
      <c r="AA140" s="387">
        <v>44561</v>
      </c>
      <c r="AB140" s="4" t="s">
        <v>3787</v>
      </c>
      <c r="AC140" s="4"/>
      <c r="AD140" s="6"/>
      <c r="AE140" s="6"/>
      <c r="AF140" s="6"/>
      <c r="AG140" s="6"/>
      <c r="AH140" s="3"/>
      <c r="AI140" s="4"/>
      <c r="AJ140" s="4"/>
      <c r="AK140" s="388"/>
      <c r="AL140" s="383"/>
      <c r="AM140" s="414" t="str">
        <f t="shared" ca="1" si="51"/>
        <v>MUERTO</v>
      </c>
      <c r="AN140" s="3"/>
      <c r="AO140" s="3"/>
      <c r="AP140" s="3" t="s">
        <v>924</v>
      </c>
      <c r="AQ140" s="3"/>
      <c r="AR140" s="3" t="s">
        <v>924</v>
      </c>
      <c r="AS140" s="3"/>
      <c r="AT140" s="3"/>
      <c r="AU140" s="458"/>
      <c r="AV140" s="388"/>
      <c r="AW140" s="4"/>
      <c r="AX140" s="459"/>
      <c r="AY140" s="668" t="s">
        <v>4188</v>
      </c>
      <c r="AZ140" s="4"/>
      <c r="BA140" s="4" t="s">
        <v>4189</v>
      </c>
      <c r="BB140" s="5">
        <f t="shared" si="52"/>
        <v>0</v>
      </c>
      <c r="BC140" s="544"/>
      <c r="BD140" s="6">
        <v>44465</v>
      </c>
      <c r="BE140" s="463">
        <v>44532</v>
      </c>
      <c r="BF140" s="463">
        <v>44537</v>
      </c>
      <c r="BG140" s="6">
        <f t="shared" si="49"/>
        <v>44537</v>
      </c>
      <c r="BH140" s="415" t="str">
        <f t="shared" ref="BH140:BH157" si="53">AY140</f>
        <v>Contrato, FC y PRC 13/01/22</v>
      </c>
      <c r="BI140" s="416">
        <v>44543</v>
      </c>
      <c r="BJ140" s="255">
        <v>44538</v>
      </c>
      <c r="BK140" s="415" t="str">
        <f t="shared" si="50"/>
        <v>Contrato, FC y PRC 13/01/22</v>
      </c>
      <c r="BL140" s="84"/>
      <c r="BM140" s="84"/>
      <c r="BN140" s="84"/>
      <c r="BO140" s="84"/>
      <c r="BP140" s="84"/>
    </row>
    <row r="141" spans="1:71" ht="135" x14ac:dyDescent="0.25">
      <c r="A141" s="527" t="s">
        <v>4190</v>
      </c>
      <c r="B141" s="3">
        <v>137</v>
      </c>
      <c r="C141" s="4" t="s">
        <v>225</v>
      </c>
      <c r="D141" s="18" t="s">
        <v>4167</v>
      </c>
      <c r="E141" s="3" t="s">
        <v>163</v>
      </c>
      <c r="F141" s="3" t="s">
        <v>3764</v>
      </c>
      <c r="G141" s="685" t="s">
        <v>546</v>
      </c>
      <c r="H141" s="3" t="s">
        <v>2237</v>
      </c>
      <c r="I141" s="275" t="s">
        <v>2830</v>
      </c>
      <c r="J141" s="17"/>
      <c r="K141" s="17"/>
      <c r="L141" s="17"/>
      <c r="M141" s="375" t="str">
        <f t="shared" si="44"/>
        <v xml:space="preserve">Men´s International Collection, S.A. de C.V.  </v>
      </c>
      <c r="N141" s="959" t="s">
        <v>166</v>
      </c>
      <c r="O141" s="959" t="s">
        <v>166</v>
      </c>
      <c r="P141" s="959" t="s">
        <v>4191</v>
      </c>
      <c r="Q141" s="962">
        <v>1490610</v>
      </c>
      <c r="R141" s="383">
        <f t="shared" si="46"/>
        <v>238497.6</v>
      </c>
      <c r="S141" s="384">
        <f t="shared" si="45"/>
        <v>1729107.6</v>
      </c>
      <c r="T141" s="385">
        <v>0</v>
      </c>
      <c r="U141" s="386">
        <f t="shared" si="47"/>
        <v>0</v>
      </c>
      <c r="V141" s="383">
        <f t="shared" si="48"/>
        <v>1729107.6</v>
      </c>
      <c r="W141" s="963" t="s">
        <v>156</v>
      </c>
      <c r="X141" s="387">
        <v>44536</v>
      </c>
      <c r="Y141" s="3" t="s">
        <v>924</v>
      </c>
      <c r="Z141" s="387">
        <v>44536</v>
      </c>
      <c r="AA141" s="387">
        <v>44561</v>
      </c>
      <c r="AB141" s="4" t="s">
        <v>3113</v>
      </c>
      <c r="AC141" s="4"/>
      <c r="AD141" s="6"/>
      <c r="AE141" s="6"/>
      <c r="AF141" s="6"/>
      <c r="AG141" s="6"/>
      <c r="AH141" s="3"/>
      <c r="AI141" s="4"/>
      <c r="AJ141" s="4"/>
      <c r="AK141" s="388"/>
      <c r="AL141" s="383"/>
      <c r="AM141" s="414" t="str">
        <f t="shared" ca="1" si="51"/>
        <v>MUERTO</v>
      </c>
      <c r="AN141" s="3"/>
      <c r="AO141" s="3"/>
      <c r="AP141" s="3" t="s">
        <v>924</v>
      </c>
      <c r="AQ141" s="3"/>
      <c r="AR141" s="3" t="s">
        <v>924</v>
      </c>
      <c r="AS141" s="3"/>
      <c r="AT141" s="3"/>
      <c r="AU141" s="458"/>
      <c r="AV141" s="388"/>
      <c r="AW141" s="4"/>
      <c r="AX141" s="459"/>
      <c r="AY141" s="281" t="s">
        <v>4192</v>
      </c>
      <c r="AZ141" s="4"/>
      <c r="BA141" s="4" t="s">
        <v>3751</v>
      </c>
      <c r="BB141" s="5">
        <f t="shared" si="52"/>
        <v>0</v>
      </c>
      <c r="BC141" s="544"/>
      <c r="BD141" s="6">
        <v>44465</v>
      </c>
      <c r="BE141" s="463">
        <v>44532</v>
      </c>
      <c r="BF141" s="463">
        <v>44544</v>
      </c>
      <c r="BG141" s="6">
        <f t="shared" si="49"/>
        <v>44544</v>
      </c>
      <c r="BH141" s="415" t="str">
        <f t="shared" si="53"/>
        <v>Formalizado contrato y FC 30/12/21</v>
      </c>
      <c r="BI141" s="416">
        <v>44552</v>
      </c>
      <c r="BJ141" s="255">
        <v>44546</v>
      </c>
      <c r="BK141" s="415" t="str">
        <f t="shared" si="50"/>
        <v>Formalizado contrato y FC 30/12/21</v>
      </c>
      <c r="BL141" s="84"/>
      <c r="BM141" s="84"/>
      <c r="BN141" s="84"/>
      <c r="BO141" s="84"/>
      <c r="BP141" s="84"/>
    </row>
    <row r="142" spans="1:71" ht="105" x14ac:dyDescent="0.25">
      <c r="A142" s="527" t="s">
        <v>4193</v>
      </c>
      <c r="B142" s="3">
        <v>138</v>
      </c>
      <c r="C142" s="4" t="s">
        <v>149</v>
      </c>
      <c r="D142" s="18" t="s">
        <v>4194</v>
      </c>
      <c r="E142" s="3" t="s">
        <v>163</v>
      </c>
      <c r="F142" s="3" t="s">
        <v>4004</v>
      </c>
      <c r="G142" s="3" t="s">
        <v>163</v>
      </c>
      <c r="H142" s="3" t="s">
        <v>163</v>
      </c>
      <c r="I142" s="18" t="s">
        <v>2473</v>
      </c>
      <c r="J142" s="17"/>
      <c r="K142" s="17"/>
      <c r="L142" s="17"/>
      <c r="M142" s="375" t="str">
        <f t="shared" si="44"/>
        <v xml:space="preserve">Cubyservicios Industriales, S.A. de C.V.  </v>
      </c>
      <c r="N142" s="959" t="s">
        <v>198</v>
      </c>
      <c r="O142" s="959" t="s">
        <v>198</v>
      </c>
      <c r="P142" s="959" t="s">
        <v>4195</v>
      </c>
      <c r="Q142" s="962">
        <v>1258310.52</v>
      </c>
      <c r="R142" s="383">
        <f t="shared" si="46"/>
        <v>201329.6832</v>
      </c>
      <c r="S142" s="384">
        <f t="shared" si="45"/>
        <v>1459640.2032000001</v>
      </c>
      <c r="T142" s="385">
        <v>0</v>
      </c>
      <c r="U142" s="386">
        <f t="shared" si="47"/>
        <v>0</v>
      </c>
      <c r="V142" s="383">
        <f t="shared" si="48"/>
        <v>1459640.2032000001</v>
      </c>
      <c r="W142" s="963" t="s">
        <v>156</v>
      </c>
      <c r="X142" s="387">
        <v>44540</v>
      </c>
      <c r="Y142" s="3" t="s">
        <v>924</v>
      </c>
      <c r="Z142" s="387">
        <v>44540</v>
      </c>
      <c r="AA142" s="387">
        <v>44561</v>
      </c>
      <c r="AB142" s="4" t="s">
        <v>4097</v>
      </c>
      <c r="AC142" s="4"/>
      <c r="AD142" s="6"/>
      <c r="AE142" s="6"/>
      <c r="AF142" s="6"/>
      <c r="AG142" s="6">
        <v>44579</v>
      </c>
      <c r="AH142" s="3"/>
      <c r="AI142" s="4"/>
      <c r="AJ142" s="4"/>
      <c r="AK142" s="388"/>
      <c r="AL142" s="383"/>
      <c r="AM142" s="414" t="str">
        <f t="shared" ca="1" si="51"/>
        <v>MUERTO</v>
      </c>
      <c r="AN142" s="3"/>
      <c r="AO142" s="3"/>
      <c r="AP142" s="3" t="s">
        <v>924</v>
      </c>
      <c r="AQ142" s="3"/>
      <c r="AR142" s="3" t="s">
        <v>924</v>
      </c>
      <c r="AS142" s="3"/>
      <c r="AT142" s="3"/>
      <c r="AU142" s="458"/>
      <c r="AV142" s="388"/>
      <c r="AW142" s="4"/>
      <c r="AX142" s="459"/>
      <c r="AY142" s="281" t="s">
        <v>4196</v>
      </c>
      <c r="AZ142" s="4"/>
      <c r="BA142" s="4" t="s">
        <v>3829</v>
      </c>
      <c r="BB142" s="5">
        <f t="shared" si="52"/>
        <v>0</v>
      </c>
      <c r="BC142" s="544"/>
      <c r="BD142" s="6">
        <v>44536</v>
      </c>
      <c r="BE142" s="463">
        <v>44537</v>
      </c>
      <c r="BF142" s="463">
        <v>44540</v>
      </c>
      <c r="BG142" s="6">
        <f t="shared" si="49"/>
        <v>44540</v>
      </c>
      <c r="BH142" s="415" t="str">
        <f t="shared" si="53"/>
        <v>Formalizado contrato, FC y PRC 06/01/22</v>
      </c>
      <c r="BI142" s="416">
        <v>44547</v>
      </c>
      <c r="BJ142" s="255">
        <v>44543</v>
      </c>
      <c r="BK142" s="415" t="str">
        <f t="shared" si="50"/>
        <v>Formalizado contrato, FC y PRC 06/01/22</v>
      </c>
      <c r="BL142" s="84"/>
      <c r="BM142" s="84"/>
      <c r="BN142" s="84"/>
      <c r="BO142" s="84"/>
      <c r="BP142" s="84"/>
    </row>
    <row r="143" spans="1:71" s="468" customFormat="1" ht="105" x14ac:dyDescent="0.25">
      <c r="A143" s="527" t="s">
        <v>4197</v>
      </c>
      <c r="B143" s="3">
        <v>139</v>
      </c>
      <c r="C143" s="4" t="s">
        <v>225</v>
      </c>
      <c r="D143" s="18" t="s">
        <v>4198</v>
      </c>
      <c r="E143" s="3" t="s">
        <v>173</v>
      </c>
      <c r="F143" s="3" t="s">
        <v>3785</v>
      </c>
      <c r="G143" s="3"/>
      <c r="H143" s="3" t="s">
        <v>173</v>
      </c>
      <c r="I143" s="275" t="s">
        <v>4199</v>
      </c>
      <c r="J143" s="17"/>
      <c r="K143" s="17"/>
      <c r="L143" s="17"/>
      <c r="M143" s="375" t="str">
        <f t="shared" si="44"/>
        <v xml:space="preserve">TVMDIGITAL, S. DE R.L. DE C.V.  </v>
      </c>
      <c r="N143" s="959" t="s">
        <v>860</v>
      </c>
      <c r="O143" s="959" t="s">
        <v>861</v>
      </c>
      <c r="P143" s="959" t="s">
        <v>4200</v>
      </c>
      <c r="Q143" s="962">
        <v>1461935</v>
      </c>
      <c r="R143" s="383">
        <f t="shared" si="46"/>
        <v>233909.6</v>
      </c>
      <c r="S143" s="384">
        <f t="shared" si="45"/>
        <v>1695844.6</v>
      </c>
      <c r="T143" s="385">
        <v>0</v>
      </c>
      <c r="U143" s="386">
        <f t="shared" si="47"/>
        <v>0</v>
      </c>
      <c r="V143" s="383">
        <f t="shared" si="48"/>
        <v>1695844.6</v>
      </c>
      <c r="W143" s="963" t="s">
        <v>156</v>
      </c>
      <c r="X143" s="387">
        <v>44537</v>
      </c>
      <c r="Y143" s="3" t="s">
        <v>924</v>
      </c>
      <c r="Z143" s="387">
        <v>44537</v>
      </c>
      <c r="AA143" s="387">
        <v>44561</v>
      </c>
      <c r="AB143" s="4" t="s">
        <v>3113</v>
      </c>
      <c r="AC143" s="4"/>
      <c r="AD143" s="6"/>
      <c r="AE143" s="6"/>
      <c r="AF143" s="6"/>
      <c r="AG143" s="6"/>
      <c r="AH143" s="3"/>
      <c r="AI143" s="4"/>
      <c r="AJ143" s="4"/>
      <c r="AK143" s="388"/>
      <c r="AL143" s="383"/>
      <c r="AM143" s="414" t="str">
        <f t="shared" ca="1" si="51"/>
        <v>MUERTO</v>
      </c>
      <c r="AN143" s="3"/>
      <c r="AO143" s="3"/>
      <c r="AP143" s="3" t="s">
        <v>924</v>
      </c>
      <c r="AQ143" s="3"/>
      <c r="AR143" s="3" t="s">
        <v>924</v>
      </c>
      <c r="AS143" s="3"/>
      <c r="AT143" s="3"/>
      <c r="AU143" s="458"/>
      <c r="AV143" s="388"/>
      <c r="AW143" s="4"/>
      <c r="AX143" s="459"/>
      <c r="AY143" s="281" t="s">
        <v>4201</v>
      </c>
      <c r="AZ143" s="4"/>
      <c r="BA143" s="4" t="s">
        <v>4202</v>
      </c>
      <c r="BB143" s="5">
        <f t="shared" si="52"/>
        <v>0</v>
      </c>
      <c r="BC143" s="544"/>
      <c r="BD143" s="6">
        <v>44532</v>
      </c>
      <c r="BE143" s="463">
        <v>44536</v>
      </c>
      <c r="BF143" s="463">
        <v>44540</v>
      </c>
      <c r="BG143" s="6">
        <f t="shared" si="49"/>
        <v>44540</v>
      </c>
      <c r="BH143" s="415" t="str">
        <f t="shared" si="53"/>
        <v>Formalizado contrato y fc  23/12</v>
      </c>
      <c r="BI143" s="416">
        <v>44547</v>
      </c>
      <c r="BJ143" s="255">
        <v>44543</v>
      </c>
      <c r="BK143" s="415" t="str">
        <f t="shared" si="50"/>
        <v>Formalizado contrato y fc  23/12</v>
      </c>
      <c r="BL143" s="84"/>
      <c r="BM143" s="84"/>
      <c r="BN143" s="84"/>
      <c r="BO143" s="84"/>
      <c r="BP143" s="84"/>
      <c r="BQ143"/>
      <c r="BR143"/>
      <c r="BS143"/>
    </row>
    <row r="144" spans="1:71" ht="300" x14ac:dyDescent="0.25">
      <c r="A144" s="417" t="s">
        <v>4203</v>
      </c>
      <c r="B144" s="3">
        <v>140</v>
      </c>
      <c r="C144" s="4" t="s">
        <v>149</v>
      </c>
      <c r="D144" s="18" t="s">
        <v>4167</v>
      </c>
      <c r="E144" s="3" t="s">
        <v>163</v>
      </c>
      <c r="F144" s="3" t="s">
        <v>3764</v>
      </c>
      <c r="G144" s="685" t="s">
        <v>546</v>
      </c>
      <c r="H144" s="3" t="s">
        <v>2237</v>
      </c>
      <c r="I144" s="275" t="s">
        <v>3314</v>
      </c>
      <c r="J144" s="17"/>
      <c r="K144" s="17"/>
      <c r="L144" s="17"/>
      <c r="M144" s="375" t="str">
        <f t="shared" si="44"/>
        <v xml:space="preserve">Blue &amp; Green Servicios y Soluciones al Medio Ambiente, S.A. de C.V.    </v>
      </c>
      <c r="N144" s="959" t="s">
        <v>198</v>
      </c>
      <c r="O144" s="959" t="s">
        <v>198</v>
      </c>
      <c r="P144" s="959" t="s">
        <v>4204</v>
      </c>
      <c r="Q144" s="962">
        <v>4397517.83</v>
      </c>
      <c r="R144" s="383">
        <f t="shared" si="46"/>
        <v>703602.85279999999</v>
      </c>
      <c r="S144" s="384">
        <f t="shared" si="45"/>
        <v>5101120.6828000005</v>
      </c>
      <c r="T144" s="385">
        <v>1759007.13</v>
      </c>
      <c r="U144" s="386">
        <f t="shared" si="47"/>
        <v>2040448.2707999998</v>
      </c>
      <c r="V144" s="528">
        <f t="shared" si="48"/>
        <v>6376400.8428000007</v>
      </c>
      <c r="W144" s="963" t="s">
        <v>156</v>
      </c>
      <c r="X144" s="387">
        <v>44562</v>
      </c>
      <c r="Y144" s="3" t="s">
        <v>157</v>
      </c>
      <c r="Z144" s="387">
        <v>44562</v>
      </c>
      <c r="AA144" s="531">
        <v>44957</v>
      </c>
      <c r="AB144" s="4" t="s">
        <v>3787</v>
      </c>
      <c r="AC144" s="4"/>
      <c r="AD144" s="6"/>
      <c r="AE144" s="6"/>
      <c r="AF144" s="6"/>
      <c r="AG144" s="6"/>
      <c r="AH144" s="3"/>
      <c r="AI144" s="4" t="s">
        <v>4205</v>
      </c>
      <c r="AJ144" s="527" t="s">
        <v>4206</v>
      </c>
      <c r="AK144" s="521" t="s">
        <v>4207</v>
      </c>
      <c r="AL144" s="528">
        <v>1275280.1599999999</v>
      </c>
      <c r="AM144" s="414" t="str">
        <f t="shared" ca="1" si="51"/>
        <v>MUERTO</v>
      </c>
      <c r="AN144" s="3"/>
      <c r="AO144" s="3"/>
      <c r="AP144" s="3" t="s">
        <v>157</v>
      </c>
      <c r="AQ144" s="3"/>
      <c r="AR144" s="3" t="s">
        <v>924</v>
      </c>
      <c r="AS144" s="3" t="s">
        <v>4108</v>
      </c>
      <c r="AT144" s="3"/>
      <c r="AU144" s="458"/>
      <c r="AV144" s="388"/>
      <c r="AW144" s="4"/>
      <c r="AX144" s="459"/>
      <c r="AY144" s="281" t="s">
        <v>4208</v>
      </c>
      <c r="AZ144" s="4"/>
      <c r="BA144" s="4" t="s">
        <v>4209</v>
      </c>
      <c r="BB144" s="5">
        <f t="shared" si="52"/>
        <v>0</v>
      </c>
      <c r="BC144" s="544"/>
      <c r="BD144" s="6">
        <v>44526</v>
      </c>
      <c r="BE144" s="463">
        <v>44531</v>
      </c>
      <c r="BF144" s="463">
        <v>44540</v>
      </c>
      <c r="BG144" s="6" t="s">
        <v>4210</v>
      </c>
      <c r="BH144" s="415" t="str">
        <f t="shared" si="53"/>
        <v>Formalizado contrato, FC y PRC en tesorería 06/01/22
Modificatorio formalizado con ambos endosos 07/07
2do modif formalizado con ambos endosos 20/01/23</v>
      </c>
      <c r="BI144" s="416" t="s">
        <v>4211</v>
      </c>
      <c r="BJ144" s="255" t="s">
        <v>4212</v>
      </c>
      <c r="BK144" s="415" t="str">
        <f t="shared" si="50"/>
        <v>Formalizado contrato, FC y PRC en tesorería 06/01/22
Modificatorio formalizado con ambos endosos 07/07
2do modif formalizado con ambos endosos 20/01/23</v>
      </c>
      <c r="BL144" s="84"/>
      <c r="BM144" s="84"/>
      <c r="BN144" s="84"/>
      <c r="BO144" s="84"/>
      <c r="BP144" s="84"/>
    </row>
    <row r="145" spans="1:71" s="468" customFormat="1" ht="150" x14ac:dyDescent="0.25">
      <c r="A145" s="417" t="s">
        <v>4213</v>
      </c>
      <c r="B145" s="3">
        <v>141</v>
      </c>
      <c r="C145" s="4" t="s">
        <v>225</v>
      </c>
      <c r="D145" s="18" t="s">
        <v>4214</v>
      </c>
      <c r="E145" s="3" t="s">
        <v>173</v>
      </c>
      <c r="F145" s="3" t="s">
        <v>3785</v>
      </c>
      <c r="G145" s="3"/>
      <c r="H145" s="3" t="s">
        <v>173</v>
      </c>
      <c r="I145" s="275" t="s">
        <v>4215</v>
      </c>
      <c r="J145" s="17"/>
      <c r="K145" s="17"/>
      <c r="L145" s="17"/>
      <c r="M145" s="375" t="str">
        <f t="shared" si="44"/>
        <v xml:space="preserve">TQRA TU SALUD, S. DE R.L. DE C.V.  </v>
      </c>
      <c r="N145" s="959" t="s">
        <v>4216</v>
      </c>
      <c r="O145" s="959" t="s">
        <v>4216</v>
      </c>
      <c r="P145" s="959" t="s">
        <v>4217</v>
      </c>
      <c r="Q145" s="962">
        <v>2600000</v>
      </c>
      <c r="R145" s="383">
        <f t="shared" si="46"/>
        <v>416000</v>
      </c>
      <c r="S145" s="384">
        <f t="shared" si="45"/>
        <v>3016000</v>
      </c>
      <c r="T145" s="385">
        <v>0</v>
      </c>
      <c r="U145" s="386">
        <f t="shared" si="47"/>
        <v>0</v>
      </c>
      <c r="V145" s="383">
        <f t="shared" si="48"/>
        <v>3770000</v>
      </c>
      <c r="W145" s="963" t="s">
        <v>156</v>
      </c>
      <c r="X145" s="387">
        <v>44544</v>
      </c>
      <c r="Y145" s="3" t="s">
        <v>924</v>
      </c>
      <c r="Z145" s="387">
        <v>44544</v>
      </c>
      <c r="AA145" s="387">
        <v>44561</v>
      </c>
      <c r="AB145" s="4" t="s">
        <v>3113</v>
      </c>
      <c r="AC145" s="4"/>
      <c r="AD145" s="6"/>
      <c r="AE145" s="6"/>
      <c r="AF145" s="6"/>
      <c r="AG145" s="6"/>
      <c r="AH145" s="3"/>
      <c r="AI145" s="4" t="s">
        <v>4218</v>
      </c>
      <c r="AJ145" s="4" t="s">
        <v>4219</v>
      </c>
      <c r="AK145" s="388">
        <v>44558</v>
      </c>
      <c r="AL145" s="383">
        <v>754000</v>
      </c>
      <c r="AM145" s="414" t="str">
        <f t="shared" ca="1" si="51"/>
        <v>MUERTO</v>
      </c>
      <c r="AN145" s="3"/>
      <c r="AO145" s="3"/>
      <c r="AP145" s="3" t="s">
        <v>924</v>
      </c>
      <c r="AQ145" s="3"/>
      <c r="AR145" s="3" t="s">
        <v>924</v>
      </c>
      <c r="AS145" s="3"/>
      <c r="AT145" s="3"/>
      <c r="AU145" s="458"/>
      <c r="AV145" s="388"/>
      <c r="AW145" s="4"/>
      <c r="AX145" s="459"/>
      <c r="AY145" s="281" t="s">
        <v>4220</v>
      </c>
      <c r="AZ145" s="4"/>
      <c r="BA145" s="4" t="s">
        <v>4221</v>
      </c>
      <c r="BB145" s="5">
        <f t="shared" si="52"/>
        <v>0</v>
      </c>
      <c r="BC145" s="544"/>
      <c r="BD145" s="6">
        <v>44539</v>
      </c>
      <c r="BE145" s="463">
        <v>44543</v>
      </c>
      <c r="BF145" s="463">
        <v>44544</v>
      </c>
      <c r="BG145" s="6">
        <f t="shared" ref="BG145:BG157" si="54">BF145</f>
        <v>44544</v>
      </c>
      <c r="BH145" s="415" t="str">
        <f t="shared" si="53"/>
        <v>Formalizado contrato y FC en tesorería 28/12/21
Formalizado 1er Modif con endoso de FC 06/01/22</v>
      </c>
      <c r="BI145" s="416" t="s">
        <v>4222</v>
      </c>
      <c r="BJ145" s="255" t="s">
        <v>4223</v>
      </c>
      <c r="BK145" s="415" t="str">
        <f t="shared" si="50"/>
        <v>Formalizado contrato y FC en tesorería 28/12/21
Formalizado 1er Modif con endoso de FC 06/01/22</v>
      </c>
      <c r="BL145" s="84"/>
      <c r="BM145" s="84"/>
      <c r="BN145" s="84"/>
      <c r="BO145" s="84"/>
      <c r="BP145" s="84"/>
      <c r="BQ145"/>
      <c r="BR145"/>
      <c r="BS145"/>
    </row>
    <row r="146" spans="1:71" ht="105" x14ac:dyDescent="0.25">
      <c r="A146" s="417" t="s">
        <v>4224</v>
      </c>
      <c r="B146" s="5">
        <v>142</v>
      </c>
      <c r="C146" s="4" t="s">
        <v>225</v>
      </c>
      <c r="D146" s="18" t="s">
        <v>4214</v>
      </c>
      <c r="E146" s="3" t="s">
        <v>173</v>
      </c>
      <c r="F146" s="3" t="s">
        <v>3785</v>
      </c>
      <c r="G146" s="3"/>
      <c r="H146" s="3" t="s">
        <v>173</v>
      </c>
      <c r="I146" s="275" t="s">
        <v>1850</v>
      </c>
      <c r="J146" s="17"/>
      <c r="K146" s="17"/>
      <c r="L146" s="17"/>
      <c r="M146" s="375" t="str">
        <f t="shared" si="44"/>
        <v xml:space="preserve">Medingenium, S.A. de C.V.  </v>
      </c>
      <c r="N146" s="959" t="s">
        <v>4216</v>
      </c>
      <c r="O146" s="959" t="s">
        <v>4216</v>
      </c>
      <c r="P146" s="959" t="s">
        <v>4225</v>
      </c>
      <c r="Q146" s="962">
        <v>380000</v>
      </c>
      <c r="R146" s="383">
        <f t="shared" si="46"/>
        <v>60800</v>
      </c>
      <c r="S146" s="384">
        <f t="shared" si="45"/>
        <v>440800</v>
      </c>
      <c r="T146" s="385">
        <v>0</v>
      </c>
      <c r="U146" s="386">
        <f t="shared" si="47"/>
        <v>0</v>
      </c>
      <c r="V146" s="383">
        <f t="shared" si="48"/>
        <v>551000</v>
      </c>
      <c r="W146" s="963" t="s">
        <v>156</v>
      </c>
      <c r="X146" s="387">
        <v>44544</v>
      </c>
      <c r="Y146" s="3" t="s">
        <v>924</v>
      </c>
      <c r="Z146" s="387">
        <v>44544</v>
      </c>
      <c r="AA146" s="387">
        <v>44561</v>
      </c>
      <c r="AB146" s="4" t="s">
        <v>3113</v>
      </c>
      <c r="AC146" s="4"/>
      <c r="AD146" s="6"/>
      <c r="AE146" s="6"/>
      <c r="AF146" s="6"/>
      <c r="AG146" s="6"/>
      <c r="AH146" s="3"/>
      <c r="AI146" s="4" t="s">
        <v>4218</v>
      </c>
      <c r="AJ146" s="4" t="s">
        <v>4219</v>
      </c>
      <c r="AK146" s="388">
        <v>44558</v>
      </c>
      <c r="AL146" s="383">
        <v>110200</v>
      </c>
      <c r="AM146" s="414" t="str">
        <f t="shared" ca="1" si="51"/>
        <v>MUERTO</v>
      </c>
      <c r="AN146" s="3"/>
      <c r="AO146" s="3"/>
      <c r="AP146" s="3" t="s">
        <v>924</v>
      </c>
      <c r="AQ146" s="3"/>
      <c r="AR146" s="3" t="s">
        <v>924</v>
      </c>
      <c r="AS146" s="3"/>
      <c r="AT146" s="3"/>
      <c r="AU146" s="458"/>
      <c r="AV146" s="388"/>
      <c r="AW146" s="4"/>
      <c r="AX146" s="459"/>
      <c r="AY146" s="281" t="s">
        <v>4226</v>
      </c>
      <c r="AZ146" s="4"/>
      <c r="BA146" s="4" t="e">
        <f>VLOOKUP(I146,#REF!,2,0)</f>
        <v>#REF!</v>
      </c>
      <c r="BB146" s="5">
        <f t="shared" si="52"/>
        <v>0</v>
      </c>
      <c r="BC146" s="544"/>
      <c r="BD146" s="6">
        <v>44539</v>
      </c>
      <c r="BE146" s="463">
        <v>44543</v>
      </c>
      <c r="BF146" s="463">
        <v>44545</v>
      </c>
      <c r="BG146" s="6">
        <f t="shared" si="54"/>
        <v>44545</v>
      </c>
      <c r="BH146" s="415" t="str">
        <f t="shared" si="53"/>
        <v>Formalizado contrato y FC 28/12/21
1er Modif con endoso formalizado 13/01/22</v>
      </c>
      <c r="BI146" s="416" t="s">
        <v>4222</v>
      </c>
      <c r="BJ146" s="255" t="s">
        <v>4227</v>
      </c>
      <c r="BK146" s="415" t="str">
        <f t="shared" si="50"/>
        <v>Formalizado contrato y FC 28/12/21
1er Modif con endoso formalizado 13/01/22</v>
      </c>
      <c r="BL146" s="84"/>
      <c r="BM146" s="84"/>
      <c r="BN146" s="84"/>
      <c r="BO146" s="84"/>
      <c r="BP146" s="84"/>
    </row>
    <row r="147" spans="1:71" ht="105" x14ac:dyDescent="0.25">
      <c r="A147" s="527" t="s">
        <v>4228</v>
      </c>
      <c r="B147" s="3">
        <v>143</v>
      </c>
      <c r="C147" s="4" t="s">
        <v>225</v>
      </c>
      <c r="D147" s="18" t="s">
        <v>4229</v>
      </c>
      <c r="E147" s="3" t="s">
        <v>163</v>
      </c>
      <c r="F147" s="3" t="s">
        <v>3764</v>
      </c>
      <c r="G147" s="685" t="s">
        <v>546</v>
      </c>
      <c r="H147" s="3" t="s">
        <v>2237</v>
      </c>
      <c r="I147" s="275" t="s">
        <v>2668</v>
      </c>
      <c r="J147" s="17"/>
      <c r="K147" s="17"/>
      <c r="L147" s="17"/>
      <c r="M147" s="375" t="str">
        <f t="shared" si="44"/>
        <v xml:space="preserve">Roka Instalaciones y Equipos, S.A. de C.V.  </v>
      </c>
      <c r="N147" s="959" t="s">
        <v>198</v>
      </c>
      <c r="O147" s="959" t="s">
        <v>198</v>
      </c>
      <c r="P147" s="959" t="s">
        <v>4230</v>
      </c>
      <c r="Q147" s="962">
        <v>4392735</v>
      </c>
      <c r="R147" s="383">
        <f t="shared" si="46"/>
        <v>702837.6</v>
      </c>
      <c r="S147" s="384">
        <f t="shared" si="45"/>
        <v>5095572.5999999996</v>
      </c>
      <c r="T147" s="385">
        <v>2635641</v>
      </c>
      <c r="U147" s="386">
        <f t="shared" si="47"/>
        <v>3057343.56</v>
      </c>
      <c r="V147" s="383">
        <f t="shared" si="48"/>
        <v>5095572.5999999996</v>
      </c>
      <c r="W147" s="963" t="s">
        <v>156</v>
      </c>
      <c r="X147" s="387">
        <v>44543</v>
      </c>
      <c r="Y147" s="3" t="s">
        <v>924</v>
      </c>
      <c r="Z147" s="387">
        <v>44543</v>
      </c>
      <c r="AA147" s="387">
        <v>44561</v>
      </c>
      <c r="AB147" s="4" t="s">
        <v>3113</v>
      </c>
      <c r="AC147" s="4"/>
      <c r="AD147" s="6"/>
      <c r="AE147" s="6"/>
      <c r="AF147" s="6"/>
      <c r="AG147" s="6"/>
      <c r="AH147" s="3"/>
      <c r="AI147" s="4"/>
      <c r="AJ147" s="4"/>
      <c r="AK147" s="388"/>
      <c r="AL147" s="383"/>
      <c r="AM147" s="414" t="str">
        <f t="shared" ca="1" si="51"/>
        <v>MUERTO</v>
      </c>
      <c r="AN147" s="3"/>
      <c r="AO147" s="3"/>
      <c r="AP147" s="3" t="s">
        <v>924</v>
      </c>
      <c r="AQ147" s="3"/>
      <c r="AR147" s="3" t="s">
        <v>924</v>
      </c>
      <c r="AS147" s="3"/>
      <c r="AT147" s="3"/>
      <c r="AU147" s="458"/>
      <c r="AV147" s="388"/>
      <c r="AW147" s="4"/>
      <c r="AX147" s="459"/>
      <c r="AY147" s="668" t="s">
        <v>4231</v>
      </c>
      <c r="AZ147" s="4"/>
      <c r="BA147" s="4" t="s">
        <v>4232</v>
      </c>
      <c r="BB147" s="5">
        <f t="shared" si="52"/>
        <v>0</v>
      </c>
      <c r="BC147" s="544"/>
      <c r="BD147" s="6">
        <v>44536</v>
      </c>
      <c r="BE147" s="463">
        <v>44539</v>
      </c>
      <c r="BF147" s="463">
        <v>44545</v>
      </c>
      <c r="BG147" s="6">
        <f t="shared" si="54"/>
        <v>44545</v>
      </c>
      <c r="BH147" s="415" t="str">
        <f t="shared" si="53"/>
        <v>Formalizado contrato y FC  28/12</v>
      </c>
      <c r="BI147" s="416">
        <v>44552</v>
      </c>
      <c r="BJ147" s="255">
        <v>44547</v>
      </c>
      <c r="BK147" s="415" t="str">
        <f t="shared" si="50"/>
        <v>Formalizado contrato y FC  28/12</v>
      </c>
      <c r="BL147" s="84"/>
      <c r="BM147" s="84"/>
      <c r="BN147" s="84"/>
      <c r="BO147" s="84"/>
      <c r="BP147" s="84"/>
    </row>
    <row r="148" spans="1:71" ht="105" x14ac:dyDescent="0.25">
      <c r="A148" s="527" t="s">
        <v>4233</v>
      </c>
      <c r="B148" s="3">
        <v>144</v>
      </c>
      <c r="C148" s="4" t="s">
        <v>149</v>
      </c>
      <c r="D148" s="18" t="s">
        <v>4234</v>
      </c>
      <c r="E148" s="3" t="s">
        <v>163</v>
      </c>
      <c r="F148" s="3" t="s">
        <v>3764</v>
      </c>
      <c r="G148" s="685" t="s">
        <v>546</v>
      </c>
      <c r="H148" s="3" t="s">
        <v>2237</v>
      </c>
      <c r="I148" s="275" t="s">
        <v>4235</v>
      </c>
      <c r="J148" s="17"/>
      <c r="K148" s="17"/>
      <c r="L148" s="17"/>
      <c r="M148" s="375" t="str">
        <f t="shared" si="44"/>
        <v xml:space="preserve">SOLUCIONES VHER QUERÉTARO, S.A. DE C.V.  </v>
      </c>
      <c r="N148" s="959" t="s">
        <v>198</v>
      </c>
      <c r="O148" s="959" t="s">
        <v>198</v>
      </c>
      <c r="P148" s="959" t="s">
        <v>4236</v>
      </c>
      <c r="Q148" s="962">
        <v>1749986</v>
      </c>
      <c r="R148" s="383">
        <f t="shared" si="46"/>
        <v>279997.76</v>
      </c>
      <c r="S148" s="384">
        <f t="shared" si="45"/>
        <v>2029983.76</v>
      </c>
      <c r="T148" s="385">
        <v>0</v>
      </c>
      <c r="U148" s="386">
        <f t="shared" si="47"/>
        <v>0</v>
      </c>
      <c r="V148" s="383">
        <f t="shared" si="48"/>
        <v>2029983.76</v>
      </c>
      <c r="W148" s="963" t="s">
        <v>156</v>
      </c>
      <c r="X148" s="387">
        <v>44545</v>
      </c>
      <c r="Y148" s="3" t="s">
        <v>924</v>
      </c>
      <c r="Z148" s="387">
        <v>44545</v>
      </c>
      <c r="AA148" s="387">
        <v>44561</v>
      </c>
      <c r="AB148" s="4" t="s">
        <v>3787</v>
      </c>
      <c r="AC148" s="4"/>
      <c r="AD148" s="6"/>
      <c r="AE148" s="6"/>
      <c r="AF148" s="6"/>
      <c r="AG148" s="6"/>
      <c r="AH148" s="3"/>
      <c r="AI148" s="4"/>
      <c r="AJ148" s="4"/>
      <c r="AK148" s="388"/>
      <c r="AL148" s="383"/>
      <c r="AM148" s="414" t="str">
        <f t="shared" ca="1" si="51"/>
        <v>MUERTO</v>
      </c>
      <c r="AN148" s="3"/>
      <c r="AO148" s="3"/>
      <c r="AP148" s="3" t="s">
        <v>924</v>
      </c>
      <c r="AQ148" s="3"/>
      <c r="AR148" s="3" t="s">
        <v>924</v>
      </c>
      <c r="AS148" s="3"/>
      <c r="AT148" s="3"/>
      <c r="AU148" s="458"/>
      <c r="AV148" s="388"/>
      <c r="AW148" s="4"/>
      <c r="AX148" s="459"/>
      <c r="AY148" s="668" t="s">
        <v>4237</v>
      </c>
      <c r="AZ148" s="4"/>
      <c r="BA148" s="4" t="s">
        <v>4238</v>
      </c>
      <c r="BB148" s="5">
        <f t="shared" si="52"/>
        <v>0</v>
      </c>
      <c r="BC148" s="544"/>
      <c r="BD148" s="6">
        <v>44540</v>
      </c>
      <c r="BE148" s="463">
        <v>44543</v>
      </c>
      <c r="BF148" s="463">
        <v>44545</v>
      </c>
      <c r="BG148" s="6">
        <f t="shared" si="54"/>
        <v>44545</v>
      </c>
      <c r="BH148" s="415" t="str">
        <f t="shared" si="53"/>
        <v>Formalizado contrato y FC  13/01/22</v>
      </c>
      <c r="BI148" s="416">
        <v>44553</v>
      </c>
      <c r="BJ148" s="255">
        <v>44546</v>
      </c>
      <c r="BK148" s="415" t="str">
        <f t="shared" si="50"/>
        <v>Formalizado contrato y FC  13/01/22</v>
      </c>
      <c r="BL148" s="84"/>
      <c r="BM148" s="84"/>
      <c r="BN148" s="84"/>
      <c r="BO148" s="84"/>
      <c r="BP148" s="84"/>
    </row>
    <row r="149" spans="1:71" s="468" customFormat="1" ht="75" x14ac:dyDescent="0.25">
      <c r="A149" s="527" t="s">
        <v>4239</v>
      </c>
      <c r="B149" s="3">
        <v>145</v>
      </c>
      <c r="C149" s="4" t="s">
        <v>149</v>
      </c>
      <c r="D149" s="18" t="s">
        <v>4240</v>
      </c>
      <c r="E149" s="3" t="s">
        <v>151</v>
      </c>
      <c r="F149" s="3" t="s">
        <v>3793</v>
      </c>
      <c r="G149" s="3"/>
      <c r="H149" s="3" t="s">
        <v>151</v>
      </c>
      <c r="I149" s="275" t="s">
        <v>4241</v>
      </c>
      <c r="J149" s="17"/>
      <c r="K149" s="17"/>
      <c r="L149" s="17"/>
      <c r="M149" s="375" t="str">
        <f t="shared" si="44"/>
        <v xml:space="preserve">Grupo Nacional Provincial, S.A.B.  </v>
      </c>
      <c r="N149" s="959" t="s">
        <v>270</v>
      </c>
      <c r="O149" s="959" t="s">
        <v>270</v>
      </c>
      <c r="P149" s="959" t="s">
        <v>4242</v>
      </c>
      <c r="Q149" s="962">
        <v>311084.32</v>
      </c>
      <c r="R149" s="383">
        <f t="shared" si="46"/>
        <v>49773.491200000004</v>
      </c>
      <c r="S149" s="384">
        <f t="shared" si="45"/>
        <v>360857.8112</v>
      </c>
      <c r="T149" s="385">
        <v>0</v>
      </c>
      <c r="U149" s="386">
        <f t="shared" si="47"/>
        <v>0</v>
      </c>
      <c r="V149" s="383">
        <f t="shared" si="48"/>
        <v>360857.8112</v>
      </c>
      <c r="W149" s="963" t="s">
        <v>156</v>
      </c>
      <c r="X149" s="387">
        <v>44564</v>
      </c>
      <c r="Y149" s="3" t="s">
        <v>157</v>
      </c>
      <c r="Z149" s="387">
        <v>44562</v>
      </c>
      <c r="AA149" s="387">
        <v>44926</v>
      </c>
      <c r="AB149" s="4" t="s">
        <v>159</v>
      </c>
      <c r="AC149" s="4"/>
      <c r="AD149" s="6"/>
      <c r="AE149" s="6"/>
      <c r="AF149" s="6"/>
      <c r="AG149" s="6"/>
      <c r="AH149" s="3"/>
      <c r="AI149" s="4"/>
      <c r="AJ149" s="4"/>
      <c r="AK149" s="388"/>
      <c r="AL149" s="383"/>
      <c r="AM149" s="414" t="str">
        <f t="shared" ca="1" si="51"/>
        <v>MUERTO</v>
      </c>
      <c r="AN149" s="3"/>
      <c r="AO149" s="3"/>
      <c r="AP149" s="3" t="s">
        <v>157</v>
      </c>
      <c r="AQ149" s="3"/>
      <c r="AR149" s="3" t="s">
        <v>924</v>
      </c>
      <c r="AS149" s="3" t="s">
        <v>4108</v>
      </c>
      <c r="AT149" s="3"/>
      <c r="AU149" s="458"/>
      <c r="AV149" s="388"/>
      <c r="AW149" s="4"/>
      <c r="AX149" s="459"/>
      <c r="AY149" s="281" t="s">
        <v>4243</v>
      </c>
      <c r="AZ149" s="4"/>
      <c r="BA149" s="4" t="e">
        <f>VLOOKUP(I149,#REF!,2,0)</f>
        <v>#REF!</v>
      </c>
      <c r="BB149" s="5">
        <f t="shared" si="52"/>
        <v>0</v>
      </c>
      <c r="BC149" s="544"/>
      <c r="BD149" s="6">
        <v>44536</v>
      </c>
      <c r="BE149" s="463">
        <v>44537</v>
      </c>
      <c r="BF149" s="463">
        <v>44550</v>
      </c>
      <c r="BG149" s="6">
        <f t="shared" si="54"/>
        <v>44550</v>
      </c>
      <c r="BH149" s="415" t="str">
        <f t="shared" si="53"/>
        <v>Contrato formalizado en tesoreria 23/12</v>
      </c>
      <c r="BI149" s="416">
        <v>44553</v>
      </c>
      <c r="BJ149" s="255">
        <v>44547</v>
      </c>
      <c r="BK149" s="415" t="str">
        <f t="shared" si="50"/>
        <v>Contrato formalizado en tesoreria 23/12</v>
      </c>
      <c r="BL149" s="84"/>
      <c r="BM149" s="84"/>
      <c r="BN149" s="84"/>
      <c r="BO149" s="84"/>
      <c r="BP149" s="84"/>
      <c r="BQ149"/>
      <c r="BR149"/>
      <c r="BS149"/>
    </row>
    <row r="150" spans="1:71" ht="76.5" x14ac:dyDescent="0.25">
      <c r="A150" s="527" t="s">
        <v>4244</v>
      </c>
      <c r="B150" s="5">
        <v>146</v>
      </c>
      <c r="C150" s="4" t="s">
        <v>225</v>
      </c>
      <c r="D150" s="18" t="s">
        <v>4245</v>
      </c>
      <c r="E150" s="3" t="s">
        <v>163</v>
      </c>
      <c r="F150" s="3" t="s">
        <v>2064</v>
      </c>
      <c r="G150" s="3" t="s">
        <v>163</v>
      </c>
      <c r="H150" s="3" t="s">
        <v>163</v>
      </c>
      <c r="I150" s="275" t="s">
        <v>1401</v>
      </c>
      <c r="J150" s="17"/>
      <c r="K150" s="17"/>
      <c r="L150" s="17"/>
      <c r="M150" s="375" t="str">
        <f t="shared" si="44"/>
        <v xml:space="preserve">Servicios Broxel, S.A.P.I. de C.V.  </v>
      </c>
      <c r="N150" s="959" t="s">
        <v>370</v>
      </c>
      <c r="O150" s="959" t="s">
        <v>370</v>
      </c>
      <c r="P150" s="959" t="s">
        <v>4246</v>
      </c>
      <c r="Q150" s="962">
        <v>1266000</v>
      </c>
      <c r="R150" s="383">
        <v>0</v>
      </c>
      <c r="S150" s="384">
        <f t="shared" si="45"/>
        <v>1266000</v>
      </c>
      <c r="T150" s="385">
        <v>0</v>
      </c>
      <c r="U150" s="386">
        <f t="shared" si="47"/>
        <v>0</v>
      </c>
      <c r="V150" s="383">
        <f t="shared" si="48"/>
        <v>1266000</v>
      </c>
      <c r="W150" s="963" t="s">
        <v>156</v>
      </c>
      <c r="X150" s="387">
        <v>44547</v>
      </c>
      <c r="Y150" s="465" t="s">
        <v>924</v>
      </c>
      <c r="Z150" s="387">
        <v>44547</v>
      </c>
      <c r="AA150" s="387">
        <v>44561</v>
      </c>
      <c r="AB150" s="4" t="s">
        <v>4247</v>
      </c>
      <c r="AC150" s="4"/>
      <c r="AD150" s="6"/>
      <c r="AE150" s="6"/>
      <c r="AF150" s="6"/>
      <c r="AG150" s="6"/>
      <c r="AH150" s="3"/>
      <c r="AI150" s="4"/>
      <c r="AJ150" s="4"/>
      <c r="AK150" s="388"/>
      <c r="AL150" s="383"/>
      <c r="AM150" s="414" t="str">
        <f t="shared" ca="1" si="51"/>
        <v>MUERTO</v>
      </c>
      <c r="AN150" s="3"/>
      <c r="AO150" s="3"/>
      <c r="AP150" s="3" t="s">
        <v>924</v>
      </c>
      <c r="AQ150" s="3"/>
      <c r="AR150" s="465">
        <v>44562</v>
      </c>
      <c r="AS150" s="3"/>
      <c r="AT150" s="3"/>
      <c r="AU150" s="458"/>
      <c r="AV150" s="388"/>
      <c r="AW150" s="4"/>
      <c r="AX150" s="459"/>
      <c r="AY150" s="281" t="s">
        <v>4248</v>
      </c>
      <c r="AZ150" s="4"/>
      <c r="BA150" s="4" t="s">
        <v>4249</v>
      </c>
      <c r="BB150" s="5">
        <f t="shared" si="52"/>
        <v>0</v>
      </c>
      <c r="BC150" s="544"/>
      <c r="BD150" s="6">
        <v>44537</v>
      </c>
      <c r="BE150" s="463">
        <v>44545</v>
      </c>
      <c r="BF150" s="463">
        <v>44547</v>
      </c>
      <c r="BG150" s="6">
        <f t="shared" si="54"/>
        <v>44547</v>
      </c>
      <c r="BH150" s="415" t="str">
        <f t="shared" si="53"/>
        <v>Formalizado conttrato en tesorería 07/01/22</v>
      </c>
      <c r="BI150" s="416">
        <v>44567</v>
      </c>
      <c r="BJ150" s="255">
        <v>44557</v>
      </c>
      <c r="BK150" s="415" t="str">
        <f t="shared" si="50"/>
        <v>Formalizado conttrato en tesorería 07/01/22</v>
      </c>
      <c r="BL150" s="84"/>
      <c r="BM150" s="84"/>
      <c r="BN150" s="84"/>
      <c r="BO150" s="84"/>
      <c r="BP150" s="84"/>
    </row>
    <row r="151" spans="1:71" ht="135" x14ac:dyDescent="0.25">
      <c r="A151" s="417" t="s">
        <v>4250</v>
      </c>
      <c r="B151" s="3">
        <v>147</v>
      </c>
      <c r="C151" s="4" t="s">
        <v>149</v>
      </c>
      <c r="D151" s="18" t="s">
        <v>4251</v>
      </c>
      <c r="E151" s="3" t="s">
        <v>173</v>
      </c>
      <c r="F151" s="3" t="s">
        <v>3785</v>
      </c>
      <c r="G151" s="3"/>
      <c r="H151" s="3" t="s">
        <v>173</v>
      </c>
      <c r="I151" s="275" t="s">
        <v>1966</v>
      </c>
      <c r="J151" s="17"/>
      <c r="K151" s="17"/>
      <c r="L151" s="17"/>
      <c r="M151" s="375" t="str">
        <f t="shared" si="44"/>
        <v xml:space="preserve">Corporate Accon en Conocimientos e Ingeniería, S.A. de C.V.  </v>
      </c>
      <c r="N151" s="959" t="s">
        <v>301</v>
      </c>
      <c r="O151" s="959" t="s">
        <v>301</v>
      </c>
      <c r="P151" s="959" t="s">
        <v>4252</v>
      </c>
      <c r="Q151" s="962">
        <v>2591117.75</v>
      </c>
      <c r="R151" s="383">
        <f t="shared" ref="R151:R157" si="55">Q151*0.16</f>
        <v>414578.84</v>
      </c>
      <c r="S151" s="384">
        <f t="shared" si="45"/>
        <v>3005696.59</v>
      </c>
      <c r="T151" s="385">
        <v>1036447.1</v>
      </c>
      <c r="U151" s="386">
        <f t="shared" si="47"/>
        <v>1202278.6359999999</v>
      </c>
      <c r="V151" s="383">
        <f t="shared" si="48"/>
        <v>3005696.59</v>
      </c>
      <c r="W151" s="963" t="s">
        <v>156</v>
      </c>
      <c r="X151" s="387">
        <v>44564</v>
      </c>
      <c r="Y151" s="3" t="s">
        <v>157</v>
      </c>
      <c r="Z151" s="387">
        <v>44562</v>
      </c>
      <c r="AA151" s="387">
        <v>45016</v>
      </c>
      <c r="AB151" s="4" t="s">
        <v>4253</v>
      </c>
      <c r="AC151" s="4"/>
      <c r="AD151" s="6"/>
      <c r="AE151" s="6"/>
      <c r="AF151" s="6"/>
      <c r="AG151" s="6"/>
      <c r="AH151" s="3"/>
      <c r="AI151" s="4" t="s">
        <v>4254</v>
      </c>
      <c r="AJ151" s="527" t="s">
        <v>4255</v>
      </c>
      <c r="AK151" s="521">
        <v>44910</v>
      </c>
      <c r="AL151" s="528">
        <v>0</v>
      </c>
      <c r="AM151" s="414" t="str">
        <f t="shared" ca="1" si="51"/>
        <v>MUERTO</v>
      </c>
      <c r="AN151" s="3"/>
      <c r="AO151" s="3"/>
      <c r="AP151" s="3" t="s">
        <v>157</v>
      </c>
      <c r="AQ151" s="465">
        <v>44896</v>
      </c>
      <c r="AR151" s="465">
        <v>44562</v>
      </c>
      <c r="AS151" s="3" t="s">
        <v>4108</v>
      </c>
      <c r="AT151" s="3"/>
      <c r="AU151" s="458"/>
      <c r="AV151" s="388"/>
      <c r="AW151" s="4"/>
      <c r="AX151" s="459"/>
      <c r="AY151" s="281" t="s">
        <v>4256</v>
      </c>
      <c r="AZ151" s="4"/>
      <c r="BA151" s="4" t="e">
        <f>VLOOKUP(I151,#REF!,2,0)</f>
        <v>#REF!</v>
      </c>
      <c r="BB151" s="5">
        <f t="shared" si="52"/>
        <v>0</v>
      </c>
      <c r="BC151" s="544"/>
      <c r="BD151" s="6">
        <v>44537</v>
      </c>
      <c r="BE151" s="463">
        <v>44538</v>
      </c>
      <c r="BF151" s="463">
        <v>44547</v>
      </c>
      <c r="BG151" s="6">
        <f t="shared" si="54"/>
        <v>44547</v>
      </c>
      <c r="BH151" s="415" t="str">
        <f t="shared" si="53"/>
        <v>Contrato, FC, PRC  formalizado 01/02/22
Modif formalizado con endosos 16/01/23</v>
      </c>
      <c r="BI151" s="416" t="s">
        <v>4257</v>
      </c>
      <c r="BJ151" s="255" t="s">
        <v>4258</v>
      </c>
      <c r="BK151" s="415" t="str">
        <f t="shared" si="50"/>
        <v>Contrato, FC, PRC  formalizado 01/02/22
Modif formalizado con endosos 16/01/23</v>
      </c>
      <c r="BL151" s="84"/>
      <c r="BM151" s="84"/>
      <c r="BN151" s="84"/>
      <c r="BO151" s="84"/>
      <c r="BP151" s="84"/>
    </row>
    <row r="152" spans="1:71" s="468" customFormat="1" ht="120" x14ac:dyDescent="0.25">
      <c r="A152" s="527" t="s">
        <v>4259</v>
      </c>
      <c r="B152" s="3">
        <v>148</v>
      </c>
      <c r="C152" s="4" t="s">
        <v>149</v>
      </c>
      <c r="D152" s="18" t="s">
        <v>4260</v>
      </c>
      <c r="E152" s="3" t="s">
        <v>163</v>
      </c>
      <c r="F152" s="3" t="s">
        <v>3986</v>
      </c>
      <c r="G152" s="3" t="s">
        <v>163</v>
      </c>
      <c r="H152" s="3" t="s">
        <v>163</v>
      </c>
      <c r="I152" s="375" t="s">
        <v>4261</v>
      </c>
      <c r="J152" s="17"/>
      <c r="K152" s="17"/>
      <c r="L152" s="17"/>
      <c r="M152" s="375" t="str">
        <f t="shared" si="44"/>
        <v xml:space="preserve">GNR Apoyo Estratégico, S.A. de C.V.  </v>
      </c>
      <c r="N152" s="959" t="s">
        <v>656</v>
      </c>
      <c r="O152" s="959" t="s">
        <v>209</v>
      </c>
      <c r="P152" s="959" t="s">
        <v>4262</v>
      </c>
      <c r="Q152" s="962">
        <v>9487750</v>
      </c>
      <c r="R152" s="383">
        <f t="shared" si="55"/>
        <v>1518040</v>
      </c>
      <c r="S152" s="384">
        <f t="shared" si="45"/>
        <v>11005790</v>
      </c>
      <c r="T152" s="385">
        <v>0</v>
      </c>
      <c r="U152" s="386">
        <f t="shared" si="47"/>
        <v>0</v>
      </c>
      <c r="V152" s="383">
        <f t="shared" si="48"/>
        <v>11005790</v>
      </c>
      <c r="W152" s="963" t="s">
        <v>183</v>
      </c>
      <c r="X152" s="387">
        <v>44550</v>
      </c>
      <c r="Y152" s="3" t="s">
        <v>924</v>
      </c>
      <c r="Z152" s="387">
        <v>44550</v>
      </c>
      <c r="AA152" s="387">
        <v>44926</v>
      </c>
      <c r="AB152" s="4" t="s">
        <v>3787</v>
      </c>
      <c r="AC152" s="4"/>
      <c r="AD152" s="6"/>
      <c r="AE152" s="6"/>
      <c r="AF152" s="6"/>
      <c r="AG152" s="6"/>
      <c r="AH152" s="3"/>
      <c r="AI152" s="4"/>
      <c r="AJ152" s="4"/>
      <c r="AK152" s="388"/>
      <c r="AL152" s="383"/>
      <c r="AM152" s="414" t="str">
        <f t="shared" ca="1" si="51"/>
        <v>MUERTO</v>
      </c>
      <c r="AN152" s="3"/>
      <c r="AO152" s="3"/>
      <c r="AP152" s="3" t="s">
        <v>924</v>
      </c>
      <c r="AQ152" s="3"/>
      <c r="AR152" s="3" t="s">
        <v>924</v>
      </c>
      <c r="AS152" s="3"/>
      <c r="AT152" s="3"/>
      <c r="AU152" s="458"/>
      <c r="AV152" s="388"/>
      <c r="AW152" s="4"/>
      <c r="AX152" s="459"/>
      <c r="AY152" s="281" t="s">
        <v>4263</v>
      </c>
      <c r="AZ152" s="4"/>
      <c r="BA152" s="4" t="s">
        <v>4264</v>
      </c>
      <c r="BB152" s="5">
        <f t="shared" si="52"/>
        <v>0</v>
      </c>
      <c r="BC152" s="544"/>
      <c r="BD152" s="6">
        <v>44546</v>
      </c>
      <c r="BE152" s="463">
        <v>44546</v>
      </c>
      <c r="BF152" s="463">
        <v>44553</v>
      </c>
      <c r="BG152" s="6">
        <f t="shared" si="54"/>
        <v>44553</v>
      </c>
      <c r="BH152" s="415" t="str">
        <f t="shared" si="53"/>
        <v>Contrato formalizado con FC y PRC 26/01/22</v>
      </c>
      <c r="BI152" s="416">
        <v>44564</v>
      </c>
      <c r="BJ152" s="255">
        <v>44553</v>
      </c>
      <c r="BK152" s="415" t="str">
        <f t="shared" si="50"/>
        <v>Contrato formalizado con FC y PRC 26/01/22</v>
      </c>
      <c r="BL152" s="84"/>
      <c r="BM152" s="84">
        <v>9191429.3599999994</v>
      </c>
      <c r="BN152" s="84">
        <v>1814360.64</v>
      </c>
      <c r="BO152" s="84"/>
      <c r="BP152" s="84"/>
      <c r="BQ152"/>
      <c r="BR152"/>
      <c r="BS152"/>
    </row>
    <row r="153" spans="1:71" ht="90" x14ac:dyDescent="0.25">
      <c r="A153" s="527" t="s">
        <v>4265</v>
      </c>
      <c r="B153" s="3">
        <v>149</v>
      </c>
      <c r="C153" s="4" t="s">
        <v>149</v>
      </c>
      <c r="D153" s="18" t="s">
        <v>4266</v>
      </c>
      <c r="E153" s="3" t="s">
        <v>151</v>
      </c>
      <c r="F153" s="3" t="s">
        <v>3793</v>
      </c>
      <c r="G153" s="3"/>
      <c r="H153" s="3" t="s">
        <v>151</v>
      </c>
      <c r="I153" s="275" t="s">
        <v>2459</v>
      </c>
      <c r="J153" s="17"/>
      <c r="K153" s="17"/>
      <c r="L153" s="17"/>
      <c r="M153" s="375" t="str">
        <f t="shared" si="44"/>
        <v xml:space="preserve">Segudirecto, Agente de Seguros y de Fianzas, S.A. de C.V.  </v>
      </c>
      <c r="N153" s="959" t="s">
        <v>270</v>
      </c>
      <c r="O153" s="959" t="s">
        <v>270</v>
      </c>
      <c r="P153" s="959" t="s">
        <v>4267</v>
      </c>
      <c r="Q153" s="962">
        <v>430800</v>
      </c>
      <c r="R153" s="383">
        <f t="shared" si="55"/>
        <v>68928</v>
      </c>
      <c r="S153" s="384">
        <f t="shared" si="45"/>
        <v>499728</v>
      </c>
      <c r="T153" s="385">
        <v>0</v>
      </c>
      <c r="U153" s="386">
        <f t="shared" si="47"/>
        <v>0</v>
      </c>
      <c r="V153" s="383">
        <f t="shared" si="48"/>
        <v>499728</v>
      </c>
      <c r="W153" s="963" t="s">
        <v>156</v>
      </c>
      <c r="X153" s="387">
        <v>44551</v>
      </c>
      <c r="Y153" s="3" t="s">
        <v>924</v>
      </c>
      <c r="Z153" s="387">
        <v>44562</v>
      </c>
      <c r="AA153" s="387">
        <v>44926</v>
      </c>
      <c r="AB153" s="4" t="s">
        <v>3113</v>
      </c>
      <c r="AC153" s="4"/>
      <c r="AD153" s="6"/>
      <c r="AE153" s="6"/>
      <c r="AF153" s="6"/>
      <c r="AG153" s="6"/>
      <c r="AH153" s="3"/>
      <c r="AI153" s="4"/>
      <c r="AJ153" s="4"/>
      <c r="AK153" s="388"/>
      <c r="AL153" s="383"/>
      <c r="AM153" s="414" t="str">
        <f t="shared" ca="1" si="51"/>
        <v>MUERTO</v>
      </c>
      <c r="AN153" s="3"/>
      <c r="AO153" s="3"/>
      <c r="AP153" s="3" t="s">
        <v>924</v>
      </c>
      <c r="AQ153" s="3"/>
      <c r="AR153" s="3" t="s">
        <v>924</v>
      </c>
      <c r="AS153" s="3" t="s">
        <v>4108</v>
      </c>
      <c r="AT153" s="3"/>
      <c r="AU153" s="458"/>
      <c r="AV153" s="388"/>
      <c r="AW153" s="4"/>
      <c r="AX153" s="459"/>
      <c r="AY153" s="281" t="s">
        <v>4268</v>
      </c>
      <c r="AZ153" s="4"/>
      <c r="BA153" s="4" t="s">
        <v>4269</v>
      </c>
      <c r="BB153" s="5">
        <f t="shared" si="52"/>
        <v>0</v>
      </c>
      <c r="BC153" s="544"/>
      <c r="BD153" s="6">
        <v>44536</v>
      </c>
      <c r="BE153" s="463">
        <v>44537</v>
      </c>
      <c r="BF153" s="463">
        <v>44551</v>
      </c>
      <c r="BG153" s="6">
        <f t="shared" si="54"/>
        <v>44551</v>
      </c>
      <c r="BH153" s="415" t="str">
        <f t="shared" si="53"/>
        <v>Contrato y FC formalizado en tesorería 04/01/22</v>
      </c>
      <c r="BI153" s="416">
        <v>44565</v>
      </c>
      <c r="BJ153" s="255">
        <v>44557</v>
      </c>
      <c r="BK153" s="415" t="str">
        <f t="shared" si="50"/>
        <v>Contrato y FC formalizado en tesorería 04/01/22</v>
      </c>
      <c r="BL153" s="84"/>
      <c r="BM153" s="84"/>
      <c r="BN153" s="84"/>
      <c r="BO153" s="84"/>
      <c r="BP153" s="84"/>
    </row>
    <row r="154" spans="1:71" s="468" customFormat="1" ht="120" x14ac:dyDescent="0.25">
      <c r="A154" s="527" t="s">
        <v>4270</v>
      </c>
      <c r="B154" s="3">
        <v>150</v>
      </c>
      <c r="C154" s="4" t="s">
        <v>225</v>
      </c>
      <c r="D154" s="18" t="s">
        <v>4271</v>
      </c>
      <c r="E154" s="3" t="s">
        <v>173</v>
      </c>
      <c r="F154" s="3" t="s">
        <v>4272</v>
      </c>
      <c r="G154" s="3"/>
      <c r="H154" s="3" t="s">
        <v>173</v>
      </c>
      <c r="I154" s="275" t="s">
        <v>4273</v>
      </c>
      <c r="J154" s="17"/>
      <c r="K154" s="17"/>
      <c r="L154" s="17"/>
      <c r="M154" s="375" t="str">
        <f t="shared" si="44"/>
        <v xml:space="preserve">Palo Tinto Networks, S.A. de C.V.  </v>
      </c>
      <c r="N154" s="959" t="s">
        <v>656</v>
      </c>
      <c r="O154" s="959" t="s">
        <v>209</v>
      </c>
      <c r="P154" s="959" t="s">
        <v>4274</v>
      </c>
      <c r="Q154" s="962">
        <v>5482563.7000000002</v>
      </c>
      <c r="R154" s="383">
        <f t="shared" si="55"/>
        <v>877210.19200000004</v>
      </c>
      <c r="S154" s="384">
        <f t="shared" si="45"/>
        <v>6359773.892</v>
      </c>
      <c r="T154" s="385">
        <v>0</v>
      </c>
      <c r="U154" s="386">
        <f t="shared" si="47"/>
        <v>0</v>
      </c>
      <c r="V154" s="383">
        <f t="shared" si="48"/>
        <v>6359773.892</v>
      </c>
      <c r="W154" s="963" t="s">
        <v>156</v>
      </c>
      <c r="X154" s="387">
        <v>44547</v>
      </c>
      <c r="Y154" s="3" t="s">
        <v>924</v>
      </c>
      <c r="Z154" s="387">
        <v>44547</v>
      </c>
      <c r="AA154" s="387">
        <v>44561</v>
      </c>
      <c r="AB154" s="4" t="s">
        <v>3787</v>
      </c>
      <c r="AC154" s="4"/>
      <c r="AD154" s="6"/>
      <c r="AE154" s="6"/>
      <c r="AF154" s="6"/>
      <c r="AG154" s="6"/>
      <c r="AH154" s="3"/>
      <c r="AI154" s="4"/>
      <c r="AJ154" s="4"/>
      <c r="AK154" s="388"/>
      <c r="AL154" s="383"/>
      <c r="AM154" s="414" t="str">
        <f t="shared" ca="1" si="51"/>
        <v>MUERTO</v>
      </c>
      <c r="AN154" s="3"/>
      <c r="AO154" s="3"/>
      <c r="AP154" s="3" t="s">
        <v>924</v>
      </c>
      <c r="AQ154" s="3"/>
      <c r="AR154" s="3" t="s">
        <v>924</v>
      </c>
      <c r="AS154" s="3"/>
      <c r="AT154" s="3"/>
      <c r="AU154" s="458"/>
      <c r="AV154" s="388"/>
      <c r="AW154" s="4"/>
      <c r="AX154" s="459"/>
      <c r="AY154" s="281" t="s">
        <v>4275</v>
      </c>
      <c r="AZ154" s="4"/>
      <c r="BA154" s="4" t="s">
        <v>4276</v>
      </c>
      <c r="BB154" s="5">
        <f t="shared" si="52"/>
        <v>0</v>
      </c>
      <c r="BC154" s="544"/>
      <c r="BD154" s="6">
        <v>44544</v>
      </c>
      <c r="BE154" s="463">
        <v>44545</v>
      </c>
      <c r="BF154" s="3"/>
      <c r="BG154" s="6">
        <f t="shared" si="54"/>
        <v>0</v>
      </c>
      <c r="BH154" s="415" t="str">
        <f t="shared" si="53"/>
        <v>Contrato, FC y PRC formalizados en tesorería 19/01/22</v>
      </c>
      <c r="BI154" s="416">
        <v>44565</v>
      </c>
      <c r="BJ154" s="255">
        <v>44557</v>
      </c>
      <c r="BK154" s="415" t="str">
        <f t="shared" si="50"/>
        <v>Contrato, FC y PRC formalizados en tesorería 19/01/22</v>
      </c>
      <c r="BL154" s="84"/>
      <c r="BM154" s="84"/>
      <c r="BN154" s="84"/>
      <c r="BO154" s="84"/>
      <c r="BP154" s="84"/>
      <c r="BQ154"/>
      <c r="BR154"/>
      <c r="BS154"/>
    </row>
    <row r="155" spans="1:71" s="468" customFormat="1" ht="120" x14ac:dyDescent="0.25">
      <c r="A155" s="527" t="s">
        <v>4277</v>
      </c>
      <c r="B155" s="3">
        <v>151</v>
      </c>
      <c r="C155" s="4" t="s">
        <v>149</v>
      </c>
      <c r="D155" s="18" t="s">
        <v>4278</v>
      </c>
      <c r="E155" s="3" t="s">
        <v>173</v>
      </c>
      <c r="F155" s="3" t="s">
        <v>4272</v>
      </c>
      <c r="G155" s="3"/>
      <c r="H155" s="3" t="s">
        <v>173</v>
      </c>
      <c r="I155" s="275" t="s">
        <v>562</v>
      </c>
      <c r="J155" s="17"/>
      <c r="K155" s="17"/>
      <c r="L155" s="17"/>
      <c r="M155" s="375" t="str">
        <f t="shared" si="44"/>
        <v xml:space="preserve">Tecnologías Digitales Alternas de México, S. de R.L. de C.V.  </v>
      </c>
      <c r="N155" s="959" t="s">
        <v>656</v>
      </c>
      <c r="O155" s="959" t="s">
        <v>209</v>
      </c>
      <c r="P155" s="959" t="s">
        <v>4279</v>
      </c>
      <c r="Q155" s="962">
        <v>6828000</v>
      </c>
      <c r="R155" s="383">
        <f t="shared" si="55"/>
        <v>1092480</v>
      </c>
      <c r="S155" s="384">
        <f t="shared" si="45"/>
        <v>7920480</v>
      </c>
      <c r="T155" s="385">
        <v>0</v>
      </c>
      <c r="U155" s="386">
        <f t="shared" si="47"/>
        <v>0</v>
      </c>
      <c r="V155" s="383">
        <f t="shared" si="48"/>
        <v>7920480</v>
      </c>
      <c r="W155" s="963" t="s">
        <v>156</v>
      </c>
      <c r="X155" s="387">
        <v>44551</v>
      </c>
      <c r="Y155" s="3" t="s">
        <v>924</v>
      </c>
      <c r="Z155" s="387">
        <v>44551</v>
      </c>
      <c r="AA155" s="387">
        <v>44561</v>
      </c>
      <c r="AB155" s="4" t="s">
        <v>3113</v>
      </c>
      <c r="AC155" s="4"/>
      <c r="AD155" s="6"/>
      <c r="AE155" s="6"/>
      <c r="AF155" s="6"/>
      <c r="AG155" s="6"/>
      <c r="AH155" s="3"/>
      <c r="AI155" s="4"/>
      <c r="AJ155" s="4"/>
      <c r="AK155" s="388"/>
      <c r="AL155" s="383"/>
      <c r="AM155" s="414" t="str">
        <f t="shared" ca="1" si="51"/>
        <v>MUERTO</v>
      </c>
      <c r="AN155" s="3"/>
      <c r="AO155" s="3"/>
      <c r="AP155" s="3" t="s">
        <v>924</v>
      </c>
      <c r="AQ155" s="3"/>
      <c r="AR155" s="465">
        <v>44562</v>
      </c>
      <c r="AS155" s="3"/>
      <c r="AT155" s="3"/>
      <c r="AU155" s="458"/>
      <c r="AV155" s="388"/>
      <c r="AW155" s="4"/>
      <c r="AX155" s="459"/>
      <c r="AY155" s="281" t="s">
        <v>4280</v>
      </c>
      <c r="AZ155" s="4"/>
      <c r="BA155" s="4" t="e">
        <f>VLOOKUP(I155,#REF!,2,0)</f>
        <v>#REF!</v>
      </c>
      <c r="BB155" s="5">
        <f t="shared" si="52"/>
        <v>0</v>
      </c>
      <c r="BC155" s="544"/>
      <c r="BD155" s="6">
        <v>44546</v>
      </c>
      <c r="BE155" s="463">
        <v>44547</v>
      </c>
      <c r="BF155" s="463">
        <v>44558</v>
      </c>
      <c r="BG155" s="6">
        <f t="shared" si="54"/>
        <v>44558</v>
      </c>
      <c r="BH155" s="415" t="str">
        <f t="shared" si="53"/>
        <v>Formalizado contrato y FC en tesorería 07/01/22</v>
      </c>
      <c r="BI155" s="416">
        <v>44567</v>
      </c>
      <c r="BJ155" s="255">
        <v>44559</v>
      </c>
      <c r="BK155" s="415" t="str">
        <f t="shared" si="50"/>
        <v>Formalizado contrato y FC en tesorería 07/01/22</v>
      </c>
      <c r="BL155" s="84"/>
      <c r="BM155" s="84"/>
      <c r="BN155" s="84"/>
      <c r="BO155" s="84"/>
      <c r="BP155" s="84"/>
      <c r="BQ155"/>
      <c r="BR155"/>
      <c r="BS155"/>
    </row>
    <row r="156" spans="1:71" ht="60" x14ac:dyDescent="0.25">
      <c r="A156" s="527" t="s">
        <v>4281</v>
      </c>
      <c r="B156" s="3">
        <v>152</v>
      </c>
      <c r="C156" s="4" t="s">
        <v>149</v>
      </c>
      <c r="D156" s="18" t="s">
        <v>4282</v>
      </c>
      <c r="E156" s="3" t="s">
        <v>151</v>
      </c>
      <c r="F156" s="3" t="s">
        <v>3793</v>
      </c>
      <c r="G156" s="3"/>
      <c r="H156" s="3" t="s">
        <v>151</v>
      </c>
      <c r="I156" s="275" t="s">
        <v>1129</v>
      </c>
      <c r="J156" s="17"/>
      <c r="K156" s="17"/>
      <c r="L156" s="17"/>
      <c r="M156" s="375" t="str">
        <f t="shared" si="44"/>
        <v xml:space="preserve">Grupo Mexicano de Seguros, S.A. de C.V.  </v>
      </c>
      <c r="N156" s="959" t="s">
        <v>270</v>
      </c>
      <c r="O156" s="959" t="s">
        <v>270</v>
      </c>
      <c r="P156" s="959" t="s">
        <v>4283</v>
      </c>
      <c r="Q156" s="962">
        <v>23568377.559999999</v>
      </c>
      <c r="R156" s="383">
        <f t="shared" si="55"/>
        <v>3770940.4095999999</v>
      </c>
      <c r="S156" s="384">
        <f t="shared" si="45"/>
        <v>27339317.969599999</v>
      </c>
      <c r="T156" s="385">
        <v>0</v>
      </c>
      <c r="U156" s="386">
        <f t="shared" si="47"/>
        <v>0</v>
      </c>
      <c r="V156" s="383">
        <f t="shared" si="48"/>
        <v>27339317.969599999</v>
      </c>
      <c r="W156" s="963" t="s">
        <v>156</v>
      </c>
      <c r="X156" s="387">
        <v>44558</v>
      </c>
      <c r="Y156" s="3" t="s">
        <v>924</v>
      </c>
      <c r="Z156" s="387">
        <v>44562</v>
      </c>
      <c r="AA156" s="387">
        <v>44926</v>
      </c>
      <c r="AB156" s="4" t="s">
        <v>161</v>
      </c>
      <c r="AC156" s="4"/>
      <c r="AD156" s="6"/>
      <c r="AE156" s="6"/>
      <c r="AF156" s="6"/>
      <c r="AG156" s="6"/>
      <c r="AH156" s="3"/>
      <c r="AI156" s="4"/>
      <c r="AJ156" s="4"/>
      <c r="AK156" s="388"/>
      <c r="AL156" s="383"/>
      <c r="AM156" s="3" t="str">
        <f t="shared" ca="1" si="51"/>
        <v>MUERTO</v>
      </c>
      <c r="AN156" s="3"/>
      <c r="AO156" s="3"/>
      <c r="AP156" s="3" t="s">
        <v>924</v>
      </c>
      <c r="AQ156" s="3"/>
      <c r="AR156" s="465">
        <v>44562</v>
      </c>
      <c r="AS156" s="3" t="s">
        <v>4108</v>
      </c>
      <c r="AT156" s="3"/>
      <c r="AU156" s="458"/>
      <c r="AV156" s="388"/>
      <c r="AW156" s="4"/>
      <c r="AX156" s="459"/>
      <c r="AY156" s="281" t="s">
        <v>4284</v>
      </c>
      <c r="AZ156" s="4"/>
      <c r="BA156" s="4" t="e">
        <f>VLOOKUP(I156,#REF!,2,0)</f>
        <v>#REF!</v>
      </c>
      <c r="BB156" s="5">
        <f t="shared" si="52"/>
        <v>0</v>
      </c>
      <c r="BC156" s="544"/>
      <c r="BD156" s="6">
        <v>44550</v>
      </c>
      <c r="BE156" s="463">
        <v>44551</v>
      </c>
      <c r="BF156" s="463">
        <v>44559</v>
      </c>
      <c r="BG156" s="6">
        <f t="shared" si="54"/>
        <v>44559</v>
      </c>
      <c r="BH156" s="415" t="str">
        <f t="shared" si="53"/>
        <v>Formalizado en Tesorería 18/01/22</v>
      </c>
      <c r="BI156" s="416">
        <v>44579</v>
      </c>
      <c r="BJ156" s="255">
        <v>44560</v>
      </c>
      <c r="BK156" s="415" t="str">
        <f t="shared" si="50"/>
        <v>Formalizado en Tesorería 18/01/22</v>
      </c>
      <c r="BL156" s="84"/>
      <c r="BM156" s="84"/>
      <c r="BN156" s="84"/>
      <c r="BO156" s="84"/>
      <c r="BP156" s="84"/>
    </row>
    <row r="157" spans="1:71" ht="102" x14ac:dyDescent="0.25">
      <c r="A157" s="527" t="s">
        <v>4285</v>
      </c>
      <c r="B157" s="3">
        <v>153</v>
      </c>
      <c r="C157" s="4" t="s">
        <v>225</v>
      </c>
      <c r="D157" s="18" t="s">
        <v>4286</v>
      </c>
      <c r="E157" s="3" t="s">
        <v>163</v>
      </c>
      <c r="F157" s="3" t="s">
        <v>3764</v>
      </c>
      <c r="G157" s="685" t="s">
        <v>546</v>
      </c>
      <c r="H157" s="3" t="s">
        <v>2237</v>
      </c>
      <c r="I157" s="275"/>
      <c r="J157" s="17" t="s">
        <v>4287</v>
      </c>
      <c r="K157" s="17" t="s">
        <v>4288</v>
      </c>
      <c r="L157" s="17" t="s">
        <v>4289</v>
      </c>
      <c r="M157" s="375" t="str">
        <f t="shared" si="44"/>
        <v xml:space="preserve">Oscar Alonso Olguín Osnaya </v>
      </c>
      <c r="N157" s="959" t="s">
        <v>3941</v>
      </c>
      <c r="O157" s="959" t="s">
        <v>3941</v>
      </c>
      <c r="P157" s="959" t="s">
        <v>4290</v>
      </c>
      <c r="Q157" s="962">
        <v>1300000</v>
      </c>
      <c r="R157" s="383">
        <f t="shared" si="55"/>
        <v>208000</v>
      </c>
      <c r="S157" s="384">
        <f t="shared" si="45"/>
        <v>1508000</v>
      </c>
      <c r="T157" s="385">
        <v>0</v>
      </c>
      <c r="U157" s="386">
        <f t="shared" si="47"/>
        <v>0</v>
      </c>
      <c r="V157" s="383">
        <f t="shared" si="48"/>
        <v>1508000</v>
      </c>
      <c r="W157" s="963" t="s">
        <v>156</v>
      </c>
      <c r="X157" s="387">
        <v>44559</v>
      </c>
      <c r="Y157" s="3" t="s">
        <v>924</v>
      </c>
      <c r="Z157" s="387">
        <v>44559</v>
      </c>
      <c r="AA157" s="387">
        <v>44561</v>
      </c>
      <c r="AB157" s="4" t="s">
        <v>2050</v>
      </c>
      <c r="AC157" s="4"/>
      <c r="AD157" s="6"/>
      <c r="AE157" s="6"/>
      <c r="AF157" s="6"/>
      <c r="AG157" s="6"/>
      <c r="AH157" s="3"/>
      <c r="AI157" s="4"/>
      <c r="AJ157" s="4"/>
      <c r="AK157" s="388"/>
      <c r="AL157" s="383"/>
      <c r="AM157" s="3" t="str">
        <f t="shared" ca="1" si="51"/>
        <v>MUERTO</v>
      </c>
      <c r="AN157" s="3"/>
      <c r="AO157" s="3"/>
      <c r="AP157" s="3" t="s">
        <v>924</v>
      </c>
      <c r="AQ157" s="3"/>
      <c r="AR157" s="3" t="s">
        <v>924</v>
      </c>
      <c r="AS157" s="3"/>
      <c r="AT157" s="3"/>
      <c r="AU157" s="458"/>
      <c r="AV157" s="388"/>
      <c r="AW157" s="4"/>
      <c r="AX157" s="459"/>
      <c r="AY157" s="281" t="s">
        <v>4291</v>
      </c>
      <c r="AZ157" s="4"/>
      <c r="BA157" s="4" t="s">
        <v>4292</v>
      </c>
      <c r="BB157" s="5"/>
      <c r="BC157" s="544"/>
      <c r="BD157" s="6">
        <v>44559</v>
      </c>
      <c r="BE157" s="463">
        <v>44924</v>
      </c>
      <c r="BF157" s="463">
        <v>44925</v>
      </c>
      <c r="BG157" s="6">
        <f t="shared" si="54"/>
        <v>44925</v>
      </c>
      <c r="BH157" s="415" t="str">
        <f t="shared" si="53"/>
        <v>Formalizado en Tesorería 03/01/22</v>
      </c>
      <c r="BI157" s="416">
        <v>44564</v>
      </c>
      <c r="BJ157" s="255">
        <v>44925</v>
      </c>
      <c r="BK157" s="415" t="str">
        <f>BH157</f>
        <v>Formalizado en Tesorería 03/01/22</v>
      </c>
      <c r="BL157" s="84"/>
      <c r="BM157" s="84"/>
      <c r="BN157" s="84"/>
      <c r="BO157" s="84"/>
      <c r="BP157" s="84"/>
    </row>
    <row r="158" spans="1:71" x14ac:dyDescent="0.25">
      <c r="B158" s="1033"/>
      <c r="Q158" s="2">
        <f>SUBTOTAL(9,Q2:Q157)</f>
        <v>710993607.27482772</v>
      </c>
      <c r="R158" s="2">
        <f>SUBTOTAL(9,R2:R40)</f>
        <v>32157828.055172414</v>
      </c>
      <c r="S158" s="13">
        <f>SUBTOTAL(9,S2:S157)</f>
        <v>816218639.48280013</v>
      </c>
      <c r="T158" s="15">
        <f>SUBTOTAL(9,T2:T157)</f>
        <v>161693181.08000001</v>
      </c>
      <c r="U158" s="15">
        <f>SUBTOTAL(9,U2:U157)</f>
        <v>180663843.11840001</v>
      </c>
      <c r="V158" s="2">
        <f>SUBTOTAL(9,V5:V157)</f>
        <v>785935277.83879995</v>
      </c>
      <c r="AL158" s="2">
        <f ca="1">SUBTOTAL(9,AL2:AL40)</f>
        <v>-9721402.5800000001</v>
      </c>
      <c r="AX158" s="2">
        <f>SUBTOTAL(9,AX2:AX40)</f>
        <v>0</v>
      </c>
      <c r="AY158" s="9"/>
      <c r="AZ158" s="2"/>
      <c r="BA158" s="2"/>
      <c r="BB158" s="623">
        <f>AN158</f>
        <v>0</v>
      </c>
      <c r="BC158" s="161"/>
      <c r="BD158" s="2"/>
      <c r="BH158" s="2"/>
      <c r="BI158" s="165"/>
    </row>
    <row r="159" spans="1:71" x14ac:dyDescent="0.25">
      <c r="B159" s="202"/>
      <c r="AP159" s="202"/>
      <c r="AY159" s="9"/>
      <c r="BI159" s="165"/>
    </row>
    <row r="160" spans="1:71" x14ac:dyDescent="0.25">
      <c r="A160" s="20" t="s">
        <v>1080</v>
      </c>
      <c r="B160" s="20" t="s">
        <v>1080</v>
      </c>
      <c r="C160" s="20" t="s">
        <v>1080</v>
      </c>
      <c r="D160" s="20" t="s">
        <v>1080</v>
      </c>
      <c r="E160" s="20" t="s">
        <v>1080</v>
      </c>
      <c r="F160" s="20" t="s">
        <v>1080</v>
      </c>
      <c r="G160" s="20"/>
      <c r="H160" s="20" t="s">
        <v>1080</v>
      </c>
      <c r="I160" s="20" t="s">
        <v>1080</v>
      </c>
      <c r="J160" s="20" t="s">
        <v>1080</v>
      </c>
      <c r="K160" s="20" t="s">
        <v>1080</v>
      </c>
      <c r="L160" s="20" t="s">
        <v>1080</v>
      </c>
      <c r="M160" s="20" t="s">
        <v>1080</v>
      </c>
      <c r="N160" s="20" t="s">
        <v>1080</v>
      </c>
      <c r="O160" s="20" t="s">
        <v>1080</v>
      </c>
      <c r="P160" s="20" t="s">
        <v>1080</v>
      </c>
      <c r="Q160" s="20" t="s">
        <v>1080</v>
      </c>
      <c r="R160" s="20" t="s">
        <v>1080</v>
      </c>
      <c r="S160" s="20" t="s">
        <v>1080</v>
      </c>
      <c r="T160" s="20" t="s">
        <v>1080</v>
      </c>
      <c r="U160" s="20" t="s">
        <v>1080</v>
      </c>
      <c r="V160" s="20" t="s">
        <v>1080</v>
      </c>
      <c r="W160" s="20" t="s">
        <v>1080</v>
      </c>
      <c r="X160" s="20" t="s">
        <v>1080</v>
      </c>
      <c r="Y160" s="20" t="s">
        <v>1080</v>
      </c>
      <c r="Z160" s="20" t="s">
        <v>1080</v>
      </c>
      <c r="AA160" s="20" t="s">
        <v>1080</v>
      </c>
      <c r="AB160" s="20" t="s">
        <v>1080</v>
      </c>
      <c r="AC160" s="20"/>
      <c r="AD160" s="127" t="s">
        <v>1080</v>
      </c>
      <c r="AE160" s="127" t="s">
        <v>1080</v>
      </c>
      <c r="AF160" s="127" t="s">
        <v>1080</v>
      </c>
      <c r="AG160" s="127" t="s">
        <v>1080</v>
      </c>
      <c r="AH160" s="20" t="s">
        <v>1080</v>
      </c>
      <c r="AI160" s="20" t="s">
        <v>1080</v>
      </c>
      <c r="AJ160" s="20" t="s">
        <v>1080</v>
      </c>
      <c r="AK160" s="20" t="s">
        <v>1080</v>
      </c>
      <c r="AL160" s="20" t="s">
        <v>1080</v>
      </c>
      <c r="AM160" s="20" t="s">
        <v>1080</v>
      </c>
      <c r="AN160" s="20"/>
      <c r="AO160" s="20"/>
      <c r="AP160" s="20" t="s">
        <v>1080</v>
      </c>
      <c r="AQ160" s="20" t="s">
        <v>1080</v>
      </c>
      <c r="AR160" s="20" t="s">
        <v>1080</v>
      </c>
      <c r="AS160" s="20" t="s">
        <v>1080</v>
      </c>
      <c r="AT160" s="20" t="s">
        <v>1080</v>
      </c>
      <c r="AU160" s="20" t="s">
        <v>1080</v>
      </c>
      <c r="AV160" s="20" t="s">
        <v>1080</v>
      </c>
      <c r="AW160" s="20" t="s">
        <v>1080</v>
      </c>
      <c r="AX160" s="20" t="s">
        <v>1080</v>
      </c>
      <c r="AY160" s="20" t="s">
        <v>1080</v>
      </c>
      <c r="AZ160" s="20" t="s">
        <v>1080</v>
      </c>
      <c r="BA160" s="20" t="s">
        <v>1080</v>
      </c>
      <c r="BB160" s="72"/>
      <c r="BC160" s="162"/>
      <c r="BD160" s="20" t="s">
        <v>1080</v>
      </c>
      <c r="BE160" s="20" t="s">
        <v>1080</v>
      </c>
      <c r="BF160" s="20" t="s">
        <v>1080</v>
      </c>
      <c r="BG160" s="20" t="s">
        <v>1080</v>
      </c>
      <c r="BH160" s="20" t="s">
        <v>1080</v>
      </c>
      <c r="BI160" s="166" t="str">
        <f>BJ160</f>
        <v>TOPE</v>
      </c>
      <c r="BJ160" s="20" t="s">
        <v>1080</v>
      </c>
      <c r="BK160" s="20" t="s">
        <v>1080</v>
      </c>
    </row>
    <row r="163" spans="8:10" x14ac:dyDescent="0.25">
      <c r="H163" s="501" t="s">
        <v>88</v>
      </c>
      <c r="I163" s="501" t="s">
        <v>1081</v>
      </c>
      <c r="J163" s="501" t="s">
        <v>1082</v>
      </c>
    </row>
    <row r="164" spans="8:10" ht="30" x14ac:dyDescent="0.25">
      <c r="H164" s="567" t="s">
        <v>163</v>
      </c>
      <c r="I164" s="469">
        <f>+SUMIF(E5:E157,H164,V5:V157)</f>
        <v>445598578.14040005</v>
      </c>
      <c r="J164" s="470">
        <f>COUNTIF($E$5:$E$157,H164)</f>
        <v>80</v>
      </c>
    </row>
    <row r="165" spans="8:10" ht="30" x14ac:dyDescent="0.25">
      <c r="H165" s="4" t="s">
        <v>173</v>
      </c>
      <c r="I165" s="469">
        <f>+SUMIF(E5:E157,H165,V5:V157)</f>
        <v>293649844.94360006</v>
      </c>
      <c r="J165" s="470">
        <v>36</v>
      </c>
    </row>
    <row r="166" spans="8:10" x14ac:dyDescent="0.25">
      <c r="H166" s="4" t="s">
        <v>151</v>
      </c>
      <c r="I166" s="469">
        <f>+SUMIF(E5:E157,H166,V5:V157)</f>
        <v>46686854.754800007</v>
      </c>
      <c r="J166" s="470">
        <v>20</v>
      </c>
    </row>
    <row r="167" spans="8:10" x14ac:dyDescent="0.25">
      <c r="H167" s="4" t="s">
        <v>1083</v>
      </c>
      <c r="I167" s="568">
        <f>+I164+I165+I166</f>
        <v>785935277.83880007</v>
      </c>
      <c r="J167" s="470"/>
    </row>
    <row r="168" spans="8:10" x14ac:dyDescent="0.25">
      <c r="H168" s="501" t="s">
        <v>1084</v>
      </c>
      <c r="I168" s="504">
        <f>+V158</f>
        <v>785935277.83879995</v>
      </c>
      <c r="J168" s="501"/>
    </row>
    <row r="169" spans="8:10" x14ac:dyDescent="0.25">
      <c r="H169" s="202"/>
      <c r="I169" s="578"/>
      <c r="J169" s="202"/>
    </row>
    <row r="171" spans="8:10" ht="15.75" x14ac:dyDescent="0.25">
      <c r="H171" s="1092" t="s">
        <v>1085</v>
      </c>
      <c r="I171" s="1092"/>
      <c r="J171" s="194" t="s">
        <v>1082</v>
      </c>
    </row>
    <row r="172" spans="8:10" ht="15.75" x14ac:dyDescent="0.25">
      <c r="H172" s="684" t="s">
        <v>163</v>
      </c>
      <c r="I172" s="469">
        <f>+SUMIF(G5:G160,H172,V5:V160)</f>
        <v>311438869.12800002</v>
      </c>
      <c r="J172" s="470">
        <f>COUNTIF($G$5:$G$157,H172)</f>
        <v>39</v>
      </c>
    </row>
    <row r="173" spans="8:10" ht="15.75" x14ac:dyDescent="0.25">
      <c r="H173" s="685" t="s">
        <v>546</v>
      </c>
      <c r="I173" s="469">
        <f>+SUMIF(G6:G161,H173,V6:V161)</f>
        <v>134159709.0124</v>
      </c>
      <c r="J173" s="470">
        <f>COUNTIF($G$5:$G$157,H173)</f>
        <v>41</v>
      </c>
    </row>
    <row r="174" spans="8:10" ht="47.25" x14ac:dyDescent="0.25">
      <c r="H174" s="686" t="s">
        <v>1086</v>
      </c>
      <c r="I174" s="687">
        <f>+I172+I173</f>
        <v>445598578.14040005</v>
      </c>
      <c r="J174" s="676">
        <f>SUM(J172:J173)</f>
        <v>80</v>
      </c>
    </row>
    <row r="175" spans="8:10" x14ac:dyDescent="0.25">
      <c r="I175" s="16">
        <f>+I174-I164</f>
        <v>0</v>
      </c>
    </row>
  </sheetData>
  <autoFilter ref="A1:BS157" xr:uid="{00000000-0001-0000-0400-000000000000}"/>
  <mergeCells count="1">
    <mergeCell ref="H171:I17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1"/>
  <dimension ref="A1:CA194"/>
  <sheetViews>
    <sheetView zoomScaleNormal="100" workbookViewId="0">
      <pane xSplit="1" ySplit="1" topLeftCell="B106" activePane="bottomRight" state="frozen"/>
      <selection pane="topRight" activeCell="B1" sqref="B1"/>
      <selection pane="bottomLeft" activeCell="A3" sqref="A3"/>
      <selection pane="bottomRight" activeCell="E107" sqref="E107"/>
    </sheetView>
  </sheetViews>
  <sheetFormatPr baseColWidth="10" defaultColWidth="11.42578125" defaultRowHeight="15" x14ac:dyDescent="0.25"/>
  <cols>
    <col min="1" max="1" width="27.85546875" customWidth="1"/>
    <col min="2" max="2" width="11.42578125" customWidth="1"/>
    <col min="3" max="3" width="12" customWidth="1"/>
    <col min="4" max="4" width="16.28515625" customWidth="1"/>
    <col min="5" max="5" width="28.85546875" customWidth="1"/>
    <col min="6" max="7" width="13.5703125" customWidth="1"/>
    <col min="9" max="9" width="32.42578125" customWidth="1"/>
    <col min="10" max="12" width="11.42578125" customWidth="1"/>
    <col min="13" max="13" width="21" customWidth="1"/>
    <col min="14" max="14" width="21.42578125" customWidth="1"/>
    <col min="15" max="15" width="21.7109375" customWidth="1"/>
    <col min="16" max="16" width="42" customWidth="1"/>
    <col min="17" max="17" width="16.7109375" customWidth="1"/>
    <col min="18" max="18" width="15.5703125" customWidth="1"/>
    <col min="19" max="19" width="17.7109375" customWidth="1"/>
    <col min="20" max="20" width="17.5703125" bestFit="1" customWidth="1"/>
    <col min="21" max="21" width="14.7109375" bestFit="1" customWidth="1"/>
    <col min="22" max="22" width="17.85546875" customWidth="1"/>
    <col min="23" max="23" width="7" customWidth="1"/>
    <col min="28" max="28" width="15" customWidth="1"/>
    <col min="30" max="30" width="16.140625" bestFit="1" customWidth="1"/>
    <col min="32" max="32" width="17.42578125" customWidth="1"/>
    <col min="35" max="35" width="27.85546875" customWidth="1"/>
    <col min="36" max="36" width="28.5703125" customWidth="1"/>
    <col min="37" max="37" width="13.7109375" bestFit="1" customWidth="1"/>
    <col min="38" max="38" width="14.5703125" customWidth="1"/>
    <col min="51" max="51" width="14.85546875" customWidth="1"/>
    <col min="53" max="53" width="18.28515625" customWidth="1"/>
    <col min="60" max="60" width="14.140625" customWidth="1"/>
    <col min="66" max="66" width="14" customWidth="1"/>
    <col min="67" max="67" width="13.85546875" customWidth="1"/>
    <col min="68" max="68" width="13.7109375" bestFit="1" customWidth="1"/>
  </cols>
  <sheetData>
    <row r="1" spans="1:79" ht="90" x14ac:dyDescent="0.25">
      <c r="A1" s="189" t="s">
        <v>83</v>
      </c>
      <c r="B1" s="194" t="s">
        <v>4293</v>
      </c>
      <c r="C1" s="191" t="s">
        <v>1088</v>
      </c>
      <c r="D1" s="21" t="s">
        <v>86</v>
      </c>
      <c r="E1" s="24" t="s">
        <v>85</v>
      </c>
      <c r="F1" s="24" t="s">
        <v>88</v>
      </c>
      <c r="G1" s="128" t="s">
        <v>87</v>
      </c>
      <c r="H1" s="128" t="s">
        <v>1</v>
      </c>
      <c r="I1" s="23" t="s">
        <v>89</v>
      </c>
      <c r="J1" s="23" t="s">
        <v>90</v>
      </c>
      <c r="K1" s="23" t="s">
        <v>91</v>
      </c>
      <c r="L1" s="23" t="s">
        <v>92</v>
      </c>
      <c r="M1" s="21" t="s">
        <v>93</v>
      </c>
      <c r="N1" s="21" t="s">
        <v>3089</v>
      </c>
      <c r="O1" s="23" t="s">
        <v>3090</v>
      </c>
      <c r="P1" s="21" t="s">
        <v>0</v>
      </c>
      <c r="Q1" s="25" t="s">
        <v>96</v>
      </c>
      <c r="R1" s="26" t="s">
        <v>97</v>
      </c>
      <c r="S1" s="26" t="s">
        <v>4294</v>
      </c>
      <c r="T1" s="26" t="s">
        <v>3092</v>
      </c>
      <c r="U1" s="27" t="s">
        <v>100</v>
      </c>
      <c r="V1" s="28" t="s">
        <v>101</v>
      </c>
      <c r="W1" s="60" t="s">
        <v>102</v>
      </c>
      <c r="X1" s="29" t="s">
        <v>103</v>
      </c>
      <c r="Y1" s="23" t="s">
        <v>104</v>
      </c>
      <c r="Z1" s="30" t="s">
        <v>105</v>
      </c>
      <c r="AA1" s="30" t="s">
        <v>106</v>
      </c>
      <c r="AB1" s="23" t="s">
        <v>2232</v>
      </c>
      <c r="AC1" s="23" t="s">
        <v>110</v>
      </c>
      <c r="AD1" s="124" t="s">
        <v>111</v>
      </c>
      <c r="AE1" s="124" t="s">
        <v>112</v>
      </c>
      <c r="AF1" s="124" t="s">
        <v>113</v>
      </c>
      <c r="AG1" s="124" t="s">
        <v>114</v>
      </c>
      <c r="AH1" s="23" t="s">
        <v>1092</v>
      </c>
      <c r="AI1" s="231" t="s">
        <v>3093</v>
      </c>
      <c r="AJ1" s="32" t="s">
        <v>117</v>
      </c>
      <c r="AK1" s="32" t="s">
        <v>118</v>
      </c>
      <c r="AL1" s="33" t="s">
        <v>119</v>
      </c>
      <c r="AM1" s="23" t="s">
        <v>120</v>
      </c>
      <c r="AN1" s="23" t="s">
        <v>2233</v>
      </c>
      <c r="AO1" s="23" t="s">
        <v>1093</v>
      </c>
      <c r="AP1" s="34" t="s">
        <v>121</v>
      </c>
      <c r="AQ1" s="34" t="s">
        <v>122</v>
      </c>
      <c r="AR1" s="34" t="s">
        <v>123</v>
      </c>
      <c r="AS1" s="34" t="s">
        <v>124</v>
      </c>
      <c r="AT1" s="34" t="s">
        <v>4295</v>
      </c>
      <c r="AU1" s="35" t="s">
        <v>126</v>
      </c>
      <c r="AV1" s="29" t="s">
        <v>118</v>
      </c>
      <c r="AW1" s="23" t="s">
        <v>127</v>
      </c>
      <c r="AX1" s="25" t="s">
        <v>128</v>
      </c>
      <c r="AY1" s="29" t="s">
        <v>3094</v>
      </c>
      <c r="AZ1" s="23" t="s">
        <v>130</v>
      </c>
      <c r="BA1" s="23" t="s">
        <v>131</v>
      </c>
      <c r="BB1" s="21" t="s">
        <v>107</v>
      </c>
      <c r="BC1" s="157" t="s">
        <v>3095</v>
      </c>
      <c r="BD1" s="79" t="s">
        <v>132</v>
      </c>
      <c r="BE1" s="80" t="s">
        <v>3096</v>
      </c>
      <c r="BF1" s="74" t="s">
        <v>3097</v>
      </c>
      <c r="BG1" s="74" t="s">
        <v>1094</v>
      </c>
      <c r="BH1" s="152" t="s">
        <v>142</v>
      </c>
      <c r="BI1" s="152" t="s">
        <v>4296</v>
      </c>
      <c r="BJ1" s="153" t="s">
        <v>3099</v>
      </c>
      <c r="BK1" s="154" t="s">
        <v>147</v>
      </c>
      <c r="BL1" s="83" t="s">
        <v>3100</v>
      </c>
      <c r="BM1" s="83" t="s">
        <v>3101</v>
      </c>
      <c r="BN1" s="83" t="s">
        <v>3102</v>
      </c>
      <c r="BO1" s="83" t="s">
        <v>3103</v>
      </c>
      <c r="BP1" s="83" t="s">
        <v>3104</v>
      </c>
    </row>
    <row r="2" spans="1:79" x14ac:dyDescent="0.25">
      <c r="A2" s="177">
        <v>1</v>
      </c>
      <c r="B2" s="179">
        <v>2</v>
      </c>
      <c r="C2" s="192">
        <v>3</v>
      </c>
      <c r="D2" s="36">
        <v>7</v>
      </c>
      <c r="E2" s="37">
        <v>4</v>
      </c>
      <c r="F2" s="36">
        <v>5</v>
      </c>
      <c r="G2" s="36"/>
      <c r="H2" s="36">
        <v>6</v>
      </c>
      <c r="I2" s="36">
        <v>8</v>
      </c>
      <c r="J2" s="36">
        <v>9</v>
      </c>
      <c r="K2" s="36">
        <v>10</v>
      </c>
      <c r="L2" s="36">
        <v>11</v>
      </c>
      <c r="M2" s="36">
        <v>12</v>
      </c>
      <c r="N2" s="36">
        <v>13</v>
      </c>
      <c r="O2" s="36">
        <v>14</v>
      </c>
      <c r="P2" s="36">
        <v>15</v>
      </c>
      <c r="Q2" s="36">
        <v>16</v>
      </c>
      <c r="R2" s="36">
        <v>17</v>
      </c>
      <c r="S2" s="36">
        <v>18</v>
      </c>
      <c r="T2" s="36">
        <v>19</v>
      </c>
      <c r="U2" s="36">
        <v>20</v>
      </c>
      <c r="V2" s="36">
        <v>21</v>
      </c>
      <c r="W2" s="36">
        <v>22</v>
      </c>
      <c r="X2" s="36">
        <v>23</v>
      </c>
      <c r="Y2" s="36">
        <v>24</v>
      </c>
      <c r="Z2" s="36">
        <v>25</v>
      </c>
      <c r="AA2" s="36">
        <v>26</v>
      </c>
      <c r="AB2" s="36">
        <v>27</v>
      </c>
      <c r="AC2" s="36"/>
      <c r="AD2" s="125">
        <v>28</v>
      </c>
      <c r="AE2" s="125">
        <v>29</v>
      </c>
      <c r="AF2" s="125">
        <v>30</v>
      </c>
      <c r="AG2" s="125">
        <v>31</v>
      </c>
      <c r="AH2" s="36">
        <v>32</v>
      </c>
      <c r="AI2" s="36">
        <v>33</v>
      </c>
      <c r="AJ2" s="36">
        <v>34</v>
      </c>
      <c r="AK2" s="36">
        <v>35</v>
      </c>
      <c r="AL2" s="36">
        <v>36</v>
      </c>
      <c r="AM2" s="36">
        <v>37</v>
      </c>
      <c r="AN2" s="36"/>
      <c r="AO2" s="36"/>
      <c r="AP2" s="36">
        <v>38</v>
      </c>
      <c r="AQ2" s="36">
        <v>39</v>
      </c>
      <c r="AR2" s="36">
        <v>40</v>
      </c>
      <c r="AS2" s="36">
        <v>41</v>
      </c>
      <c r="AT2" s="36">
        <v>42</v>
      </c>
      <c r="AU2" s="36">
        <v>43</v>
      </c>
      <c r="AV2" s="36">
        <v>44</v>
      </c>
      <c r="AW2" s="36">
        <v>45</v>
      </c>
      <c r="AX2" s="36">
        <v>46</v>
      </c>
      <c r="AY2" s="36">
        <v>47</v>
      </c>
      <c r="AZ2" s="36">
        <v>48</v>
      </c>
      <c r="BA2" s="36">
        <v>49</v>
      </c>
      <c r="BB2" s="36">
        <v>50</v>
      </c>
      <c r="BC2" s="158"/>
      <c r="BD2" s="36">
        <v>51</v>
      </c>
      <c r="BE2" s="36">
        <v>52</v>
      </c>
      <c r="BF2" s="36">
        <v>53</v>
      </c>
      <c r="BG2" s="36">
        <v>54</v>
      </c>
      <c r="BH2" s="36">
        <v>61</v>
      </c>
      <c r="BI2" s="36">
        <v>63</v>
      </c>
      <c r="BJ2" s="36">
        <v>64</v>
      </c>
      <c r="BK2" s="177">
        <v>68</v>
      </c>
      <c r="BL2" s="86"/>
      <c r="BM2" s="84"/>
      <c r="BN2" s="84"/>
      <c r="BO2" s="84"/>
      <c r="BP2" s="84"/>
    </row>
    <row r="3" spans="1:79" ht="225" x14ac:dyDescent="0.25">
      <c r="A3" s="382" t="s">
        <v>1724</v>
      </c>
      <c r="B3" s="579"/>
      <c r="C3" s="580" t="s">
        <v>149</v>
      </c>
      <c r="D3" s="340" t="s">
        <v>163</v>
      </c>
      <c r="E3" s="340" t="s">
        <v>163</v>
      </c>
      <c r="F3" s="340" t="s">
        <v>163</v>
      </c>
      <c r="G3" s="39" t="s">
        <v>163</v>
      </c>
      <c r="H3" s="340" t="s">
        <v>188</v>
      </c>
      <c r="I3" s="342" t="s">
        <v>1725</v>
      </c>
      <c r="J3" s="343"/>
      <c r="K3" s="343"/>
      <c r="L3" s="343"/>
      <c r="M3" s="344" t="str">
        <f t="shared" ref="M3:M34" si="0">I3&amp;J3&amp;" "&amp;K3&amp;" "&amp;L3</f>
        <v xml:space="preserve">GRUPO IDSEC, S.A.P.I. DE C.V.  </v>
      </c>
      <c r="N3" s="996" t="s">
        <v>166</v>
      </c>
      <c r="O3" s="996" t="s">
        <v>166</v>
      </c>
      <c r="P3" s="996" t="s">
        <v>1726</v>
      </c>
      <c r="Q3" s="997">
        <v>16086000.000000002</v>
      </c>
      <c r="R3" s="345">
        <f>Q3*0.16</f>
        <v>2573760.0000000005</v>
      </c>
      <c r="S3" s="346">
        <f>Q3+R3</f>
        <v>18659760.000000004</v>
      </c>
      <c r="T3" s="347">
        <v>0</v>
      </c>
      <c r="U3" s="348">
        <f t="shared" ref="U3:U11" si="1">(T3*0.16)+(T3)</f>
        <v>0</v>
      </c>
      <c r="V3" s="345">
        <f>S3+AK3</f>
        <v>18659760.000000004</v>
      </c>
      <c r="W3" s="998" t="s">
        <v>183</v>
      </c>
      <c r="X3" s="349">
        <v>43622</v>
      </c>
      <c r="Y3" s="349" t="s">
        <v>496</v>
      </c>
      <c r="Z3" s="349">
        <v>43617</v>
      </c>
      <c r="AA3" s="349">
        <v>45443</v>
      </c>
      <c r="AB3" s="339" t="s">
        <v>1727</v>
      </c>
      <c r="AC3" s="350"/>
      <c r="AD3" s="351" t="s">
        <v>1728</v>
      </c>
      <c r="AE3" s="350"/>
      <c r="AF3" s="350"/>
      <c r="AG3" s="340" t="s">
        <v>156</v>
      </c>
      <c r="AH3" s="339" t="s">
        <v>1729</v>
      </c>
      <c r="AI3" s="339" t="s">
        <v>1730</v>
      </c>
      <c r="AJ3" s="352">
        <v>45110</v>
      </c>
      <c r="AK3" s="345">
        <v>0</v>
      </c>
      <c r="AL3" s="340" t="str">
        <f ca="1">IF(ISBLANK(AA3),"",IF(AA3&gt;=TODAY(),"VIGENTE","MUERTO"))</f>
        <v>MUERTO</v>
      </c>
      <c r="AM3" s="340"/>
      <c r="AN3" s="340" t="s">
        <v>156</v>
      </c>
      <c r="AO3" s="340" t="s">
        <v>496</v>
      </c>
      <c r="AP3" s="340"/>
      <c r="AQ3" s="340" t="s">
        <v>1719</v>
      </c>
      <c r="AR3" s="340"/>
      <c r="AS3" s="340"/>
      <c r="AT3" s="340" t="s">
        <v>156</v>
      </c>
      <c r="AU3" s="353"/>
      <c r="AV3" s="352"/>
      <c r="AW3" s="339"/>
      <c r="AX3" s="354"/>
      <c r="AY3" s="352"/>
      <c r="AZ3" s="339" t="s">
        <v>1731</v>
      </c>
      <c r="BA3" s="339" t="e">
        <f>VLOOKUP(I3,#REF!,2,0)</f>
        <v>#REF!</v>
      </c>
      <c r="BB3" s="339" t="s">
        <v>1732</v>
      </c>
      <c r="BC3" s="355">
        <v>43585</v>
      </c>
      <c r="BD3" s="356">
        <v>43614</v>
      </c>
      <c r="BE3" s="356">
        <v>43627</v>
      </c>
      <c r="BF3" s="356" t="s">
        <v>1652</v>
      </c>
      <c r="BG3" s="356">
        <v>43658</v>
      </c>
      <c r="BH3" s="356">
        <v>43658</v>
      </c>
      <c r="BI3" s="340" t="e">
        <f>NETWORKDAYS(BF3,BG3,#REF!)</f>
        <v>#VALUE!</v>
      </c>
      <c r="BJ3" s="356" t="s">
        <v>1733</v>
      </c>
      <c r="BK3" s="583" t="s">
        <v>1734</v>
      </c>
      <c r="BL3" s="585" t="s">
        <v>1735</v>
      </c>
      <c r="BM3" s="585" t="s">
        <v>1652</v>
      </c>
      <c r="BN3" s="585" t="s">
        <v>1652</v>
      </c>
      <c r="BO3" s="585" t="s">
        <v>1652</v>
      </c>
      <c r="BP3" s="584" t="s">
        <v>1652</v>
      </c>
      <c r="BQ3" s="584" t="s">
        <v>1652</v>
      </c>
      <c r="BR3" s="586" t="e">
        <f xml:space="preserve"> NETWORKDAYS(BC3,BM3,#REF!)</f>
        <v>#VALUE!</v>
      </c>
      <c r="BS3" s="586" t="e">
        <f>NETWORKDAYS(BC3,BN3,#REF!)</f>
        <v>#VALUE!</v>
      </c>
      <c r="BT3" s="584"/>
      <c r="BU3" s="360">
        <f>43853500*1.16</f>
        <v>50870060</v>
      </c>
      <c r="BV3" s="361">
        <f>16086000*1.16</f>
        <v>18659760</v>
      </c>
      <c r="BW3" s="361">
        <f>16086000*1.16</f>
        <v>18659760</v>
      </c>
      <c r="BX3" s="361">
        <f>16086000*1.16</f>
        <v>18659760</v>
      </c>
      <c r="BY3" s="361">
        <f>16086000*1.16</f>
        <v>18659760</v>
      </c>
      <c r="BZ3" s="360">
        <f>6702500*1.16</f>
        <v>7774899.9999999991</v>
      </c>
      <c r="CA3" s="360">
        <f>BV3+BW3+BX3+BY3+BZ3+BU3</f>
        <v>133284000</v>
      </c>
    </row>
    <row r="4" spans="1:79" ht="195" x14ac:dyDescent="0.25">
      <c r="A4" s="382" t="s">
        <v>4297</v>
      </c>
      <c r="B4" s="579"/>
      <c r="C4" s="580" t="s">
        <v>1959</v>
      </c>
      <c r="D4" s="340" t="s">
        <v>163</v>
      </c>
      <c r="E4" s="341" t="s">
        <v>2010</v>
      </c>
      <c r="F4" s="340" t="s">
        <v>163</v>
      </c>
      <c r="G4" s="39" t="s">
        <v>163</v>
      </c>
      <c r="H4" s="340" t="s">
        <v>607</v>
      </c>
      <c r="I4" s="342" t="s">
        <v>2011</v>
      </c>
      <c r="J4" s="343"/>
      <c r="K4" s="343"/>
      <c r="L4" s="343"/>
      <c r="M4" s="344" t="str">
        <f t="shared" si="0"/>
        <v xml:space="preserve">Proceso de Ingeniería Aplicada, S.A. de C.V.  </v>
      </c>
      <c r="N4" s="996" t="s">
        <v>198</v>
      </c>
      <c r="O4" s="996" t="s">
        <v>198</v>
      </c>
      <c r="P4" s="996" t="s">
        <v>2012</v>
      </c>
      <c r="Q4" s="997">
        <v>26284289.000000004</v>
      </c>
      <c r="R4" s="345">
        <f>Q4*0.16</f>
        <v>4205486.24</v>
      </c>
      <c r="S4" s="346">
        <f>Q4+R4</f>
        <v>30489775.240000002</v>
      </c>
      <c r="T4" s="347">
        <v>0</v>
      </c>
      <c r="U4" s="348">
        <f t="shared" si="1"/>
        <v>0</v>
      </c>
      <c r="V4" s="345">
        <f>+S4</f>
        <v>30489775.240000002</v>
      </c>
      <c r="W4" s="998" t="s">
        <v>183</v>
      </c>
      <c r="X4" s="349">
        <v>44865</v>
      </c>
      <c r="Y4" s="340" t="s">
        <v>4298</v>
      </c>
      <c r="Z4" s="349">
        <v>43770</v>
      </c>
      <c r="AA4" s="349">
        <v>45199</v>
      </c>
      <c r="AB4" s="339" t="s">
        <v>1941</v>
      </c>
      <c r="AC4" s="350"/>
      <c r="AD4" s="350"/>
      <c r="AE4" s="350"/>
      <c r="AF4" s="350"/>
      <c r="AG4" s="340"/>
      <c r="AH4" s="339" t="s">
        <v>4299</v>
      </c>
      <c r="AI4" s="339" t="s">
        <v>4299</v>
      </c>
      <c r="AJ4" s="352">
        <v>44865</v>
      </c>
      <c r="AK4" s="345">
        <v>12639563.210000001</v>
      </c>
      <c r="AL4" s="340" t="str">
        <f ca="1">IF(ISBLANK(AA4),"",IF(AA4&gt;=TODAY(),"VIGENTE","MUERTO"))</f>
        <v>MUERTO</v>
      </c>
      <c r="AM4" s="340"/>
      <c r="AN4" s="340" t="s">
        <v>156</v>
      </c>
      <c r="AO4" s="340" t="s">
        <v>892</v>
      </c>
      <c r="AP4" s="340"/>
      <c r="AQ4" s="340" t="s">
        <v>729</v>
      </c>
      <c r="AR4" s="340"/>
      <c r="AS4" s="340"/>
      <c r="AT4" s="340"/>
      <c r="AU4" s="353"/>
      <c r="AV4" s="352"/>
      <c r="AW4" s="339"/>
      <c r="AX4" s="354"/>
      <c r="AY4" s="339"/>
      <c r="AZ4" s="339"/>
      <c r="BA4" s="339" t="e">
        <f>VLOOKUP(I4,#REF!,2,0)</f>
        <v>#REF!</v>
      </c>
      <c r="BB4" s="339"/>
      <c r="BC4" s="355"/>
      <c r="BD4" s="340"/>
      <c r="BE4" s="340"/>
      <c r="BF4" s="340"/>
      <c r="BG4" s="340"/>
      <c r="BH4" s="355"/>
      <c r="BI4" s="340" t="e">
        <f>NETWORKDAYS(BF4,BG4,#REF!)</f>
        <v>#REF!</v>
      </c>
      <c r="BJ4" s="355"/>
      <c r="BK4" s="357"/>
      <c r="BL4" s="584"/>
      <c r="BM4" s="584"/>
      <c r="BN4" s="584"/>
      <c r="BO4" s="584"/>
      <c r="BP4" s="584"/>
      <c r="BQ4" s="584"/>
      <c r="BR4" s="586" t="e">
        <f xml:space="preserve"> NETWORKDAYS(BC4,BM4,#REF!)</f>
        <v>#REF!</v>
      </c>
      <c r="BS4" s="362"/>
      <c r="BT4" s="584"/>
      <c r="BU4" s="360">
        <v>24801027.199999999</v>
      </c>
      <c r="BV4" s="361">
        <v>1697.24</v>
      </c>
      <c r="BW4" s="360">
        <v>22785175.73</v>
      </c>
      <c r="BX4" s="367">
        <f>26284289*1.16</f>
        <v>30489775.239999998</v>
      </c>
      <c r="BY4" s="360">
        <f>12560524.22*1.16</f>
        <v>14570208.0952</v>
      </c>
      <c r="BZ4" s="360">
        <f>6035796.79*1.16</f>
        <v>7001524.2763999999</v>
      </c>
      <c r="CA4" s="360">
        <f>BU4+BV4+BW4+BX4+BY4+BZ4</f>
        <v>99649407.781599998</v>
      </c>
    </row>
    <row r="5" spans="1:79" s="467" customFormat="1" ht="105" x14ac:dyDescent="0.25">
      <c r="A5" s="382" t="s">
        <v>4300</v>
      </c>
      <c r="B5" s="579"/>
      <c r="C5" s="580" t="s">
        <v>149</v>
      </c>
      <c r="D5" s="340" t="s">
        <v>163</v>
      </c>
      <c r="E5" s="341" t="s">
        <v>2098</v>
      </c>
      <c r="F5" s="341" t="s">
        <v>2237</v>
      </c>
      <c r="G5" s="685" t="s">
        <v>546</v>
      </c>
      <c r="H5" s="340" t="s">
        <v>312</v>
      </c>
      <c r="I5" s="342" t="s">
        <v>1065</v>
      </c>
      <c r="J5" s="343"/>
      <c r="K5" s="343"/>
      <c r="L5" s="343"/>
      <c r="M5" s="344" t="str">
        <f t="shared" si="0"/>
        <v xml:space="preserve">Elevadores Schindler, S.A. de C.V.  </v>
      </c>
      <c r="N5" s="996" t="s">
        <v>198</v>
      </c>
      <c r="O5" s="996" t="s">
        <v>198</v>
      </c>
      <c r="P5" s="996" t="s">
        <v>2142</v>
      </c>
      <c r="Q5" s="997">
        <v>1003943.67</v>
      </c>
      <c r="R5" s="345">
        <f>Q5*0.16</f>
        <v>160630.9872</v>
      </c>
      <c r="S5" s="346">
        <f>+Q5+R5</f>
        <v>1164574.6572</v>
      </c>
      <c r="T5" s="347">
        <v>0</v>
      </c>
      <c r="U5" s="348">
        <f t="shared" si="1"/>
        <v>0</v>
      </c>
      <c r="V5" s="345">
        <f>S5+AK5</f>
        <v>1164574.6572</v>
      </c>
      <c r="W5" s="998" t="s">
        <v>183</v>
      </c>
      <c r="X5" s="349">
        <v>45558</v>
      </c>
      <c r="Y5" s="340" t="s">
        <v>234</v>
      </c>
      <c r="Z5" s="349">
        <v>43808</v>
      </c>
      <c r="AA5" s="349">
        <v>45290</v>
      </c>
      <c r="AB5" s="339" t="s">
        <v>2025</v>
      </c>
      <c r="AC5" s="350" t="s">
        <v>1489</v>
      </c>
      <c r="AD5" s="350" t="s">
        <v>1489</v>
      </c>
      <c r="AE5" s="350" t="s">
        <v>159</v>
      </c>
      <c r="AF5" s="350" t="s">
        <v>159</v>
      </c>
      <c r="AG5" s="340" t="s">
        <v>1146</v>
      </c>
      <c r="AH5" s="365" t="s">
        <v>4301</v>
      </c>
      <c r="AI5" s="339" t="s">
        <v>4302</v>
      </c>
      <c r="AJ5" s="352">
        <v>44827</v>
      </c>
      <c r="AK5" s="345"/>
      <c r="AL5" s="340" t="str">
        <f ca="1">IF(ISBLANK(AA5),"",IF(AA5&gt;=TODAY(),"VIGENTE","MUERTO"))</f>
        <v>MUERTO</v>
      </c>
      <c r="AM5" s="340"/>
      <c r="AN5" s="340"/>
      <c r="AO5" s="340"/>
      <c r="AP5" s="340"/>
      <c r="AQ5" s="340"/>
      <c r="AR5" s="340"/>
      <c r="AS5" s="340"/>
      <c r="AT5" s="340"/>
      <c r="AU5" s="353"/>
      <c r="AV5" s="353"/>
      <c r="AW5" s="353"/>
      <c r="AX5" s="353"/>
      <c r="AY5" s="352"/>
      <c r="AZ5" s="339" t="s">
        <v>2143</v>
      </c>
      <c r="BA5" s="339" t="e">
        <f>VLOOKUP(I5,#REF!,2,0)</f>
        <v>#REF!</v>
      </c>
      <c r="BB5" s="339"/>
      <c r="BC5" s="355"/>
      <c r="BD5" s="340">
        <v>44257</v>
      </c>
      <c r="BE5" s="340">
        <v>44259</v>
      </c>
      <c r="BF5" s="340"/>
      <c r="BG5" s="340"/>
      <c r="BH5" s="355"/>
      <c r="BI5" s="340" t="e">
        <f>NETWORKDAYS(BF5,BG5,#REF!)</f>
        <v>#REF!</v>
      </c>
      <c r="BJ5" s="355"/>
      <c r="BK5" s="357"/>
      <c r="BL5" s="584"/>
      <c r="BM5" s="584" t="s">
        <v>2144</v>
      </c>
      <c r="BN5" s="584"/>
      <c r="BO5" s="584"/>
      <c r="BP5" s="584"/>
      <c r="BQ5" s="584"/>
      <c r="BR5" s="586"/>
      <c r="BS5" s="362"/>
      <c r="BT5" s="584"/>
      <c r="BU5" s="360">
        <f>7248947.87*1.16</f>
        <v>8408779.5291999988</v>
      </c>
      <c r="BV5" s="361">
        <v>0</v>
      </c>
      <c r="BW5" s="360">
        <f>2501259.53*1.16</f>
        <v>2901461.0547999996</v>
      </c>
      <c r="BX5" s="367">
        <f>473004.97*1.16</f>
        <v>548685.76519999991</v>
      </c>
      <c r="BY5" s="360">
        <f>2010045.31*1.16</f>
        <v>2331652.5595999998</v>
      </c>
      <c r="BZ5" s="360">
        <f>2264638.06*1.16</f>
        <v>2626980.1495999997</v>
      </c>
      <c r="CA5" s="360">
        <f>BU5+BV5+BW5+BX5+BY5+CB5+BZ5</f>
        <v>16817559.058399998</v>
      </c>
    </row>
    <row r="6" spans="1:79" s="467" customFormat="1" ht="225" x14ac:dyDescent="0.25">
      <c r="A6" s="381" t="s">
        <v>4110</v>
      </c>
      <c r="B6" s="3"/>
      <c r="C6" s="167" t="s">
        <v>225</v>
      </c>
      <c r="D6" s="39" t="s">
        <v>163</v>
      </c>
      <c r="E6" s="40" t="s">
        <v>4111</v>
      </c>
      <c r="F6" s="3" t="s">
        <v>2237</v>
      </c>
      <c r="G6" s="685" t="s">
        <v>546</v>
      </c>
      <c r="H6" s="39" t="s">
        <v>4112</v>
      </c>
      <c r="I6" s="81" t="s">
        <v>4113</v>
      </c>
      <c r="J6" s="41"/>
      <c r="K6" s="41"/>
      <c r="L6" s="41"/>
      <c r="M6" s="42" t="str">
        <f t="shared" si="0"/>
        <v xml:space="preserve">Microsoft México, S. de R.L. de C.V.  </v>
      </c>
      <c r="N6" s="991" t="s">
        <v>656</v>
      </c>
      <c r="O6" s="991" t="s">
        <v>667</v>
      </c>
      <c r="P6" s="991" t="s">
        <v>4114</v>
      </c>
      <c r="Q6" s="992">
        <v>20258620.689655174</v>
      </c>
      <c r="R6" s="992">
        <f>+Q6*0.16</f>
        <v>3241379.3103448278</v>
      </c>
      <c r="S6" s="992">
        <f>+Q6+R6</f>
        <v>23500000</v>
      </c>
      <c r="T6" s="992">
        <v>0</v>
      </c>
      <c r="U6" s="992">
        <f t="shared" si="1"/>
        <v>0</v>
      </c>
      <c r="V6" s="992">
        <f t="shared" ref="V6:V37" si="2">S6+AL6</f>
        <v>23500000</v>
      </c>
      <c r="W6" s="993" t="s">
        <v>183</v>
      </c>
      <c r="X6" s="48">
        <v>44524</v>
      </c>
      <c r="Y6" s="39" t="s">
        <v>892</v>
      </c>
      <c r="Z6" s="48">
        <v>44531</v>
      </c>
      <c r="AA6" s="48">
        <v>45626</v>
      </c>
      <c r="AB6" s="38" t="s">
        <v>3113</v>
      </c>
      <c r="AC6" s="38"/>
      <c r="AD6" s="59"/>
      <c r="AE6" s="59" t="s">
        <v>159</v>
      </c>
      <c r="AF6" s="59" t="s">
        <v>159</v>
      </c>
      <c r="AG6" s="59" t="s">
        <v>159</v>
      </c>
      <c r="AH6" s="39"/>
      <c r="AI6" s="38" t="s">
        <v>4115</v>
      </c>
      <c r="AJ6" s="38" t="s">
        <v>4116</v>
      </c>
      <c r="AK6" s="218">
        <v>44552</v>
      </c>
      <c r="AL6" s="44">
        <v>0</v>
      </c>
      <c r="AM6" s="163" t="str">
        <f t="shared" ref="AM6:AM37" ca="1" si="3">IF(ISBLANK(AA6),"",IF(AA6&gt;=TODAY(),"VIGENTE","MUERTO"))</f>
        <v>MUERTO</v>
      </c>
      <c r="AN6" s="39"/>
      <c r="AO6" s="39"/>
      <c r="AP6" s="39" t="s">
        <v>924</v>
      </c>
      <c r="AQ6" s="39"/>
      <c r="AR6" s="39" t="s">
        <v>924</v>
      </c>
      <c r="AS6" s="39"/>
      <c r="AT6" s="39"/>
      <c r="AU6" s="51"/>
      <c r="AV6" s="50"/>
      <c r="AW6" s="38"/>
      <c r="AX6" s="52"/>
      <c r="AY6" s="170" t="s">
        <v>4117</v>
      </c>
      <c r="AZ6" s="38"/>
      <c r="BA6" s="38" t="s">
        <v>4118</v>
      </c>
      <c r="BB6" s="73">
        <f t="shared" ref="BB6:BB20" si="4">AN6</f>
        <v>0</v>
      </c>
      <c r="BC6" s="159"/>
      <c r="BD6" s="59">
        <v>44504</v>
      </c>
      <c r="BE6" s="58">
        <v>44505</v>
      </c>
      <c r="BF6" s="58" t="s">
        <v>4119</v>
      </c>
      <c r="BG6" s="59" t="str">
        <f>BF6</f>
        <v>22/12/2021
24/12/2021</v>
      </c>
      <c r="BH6" s="183" t="str">
        <f t="shared" ref="BH6:BH37" si="5">AY6</f>
        <v>Contrato y 1er Mod. Formalizado en  tesoreria con endoso deFC  17/01/22</v>
      </c>
      <c r="BI6" s="195">
        <v>44558</v>
      </c>
      <c r="BJ6" s="185" t="s">
        <v>4120</v>
      </c>
      <c r="BK6" s="186" t="str">
        <f t="shared" ref="BK6:BK20" si="6">AY6</f>
        <v>Contrato y 1er Mod. Formalizado en  tesoreria con endoso deFC  17/01/22</v>
      </c>
      <c r="BL6" s="84"/>
      <c r="BM6" s="84"/>
      <c r="BN6" s="210">
        <v>1119047.6000000001</v>
      </c>
      <c r="BO6" s="210">
        <v>1119047.6000000001</v>
      </c>
      <c r="BP6" s="210">
        <v>1119047.6000000001</v>
      </c>
      <c r="BQ6"/>
      <c r="BR6"/>
      <c r="BS6"/>
      <c r="BT6"/>
      <c r="BU6"/>
      <c r="BV6"/>
      <c r="BW6"/>
      <c r="BX6"/>
      <c r="BY6"/>
      <c r="BZ6"/>
      <c r="CA6"/>
    </row>
    <row r="7" spans="1:79" s="467" customFormat="1" ht="165" x14ac:dyDescent="0.25">
      <c r="A7" s="196" t="s">
        <v>4303</v>
      </c>
      <c r="B7" s="3">
        <v>1</v>
      </c>
      <c r="C7" s="167" t="s">
        <v>149</v>
      </c>
      <c r="D7" s="39" t="s">
        <v>151</v>
      </c>
      <c r="E7" s="40" t="s">
        <v>4240</v>
      </c>
      <c r="F7" s="39" t="s">
        <v>151</v>
      </c>
      <c r="G7" s="39"/>
      <c r="H7" s="39" t="s">
        <v>3793</v>
      </c>
      <c r="I7" s="81" t="s">
        <v>1076</v>
      </c>
      <c r="J7" s="41"/>
      <c r="K7" s="41"/>
      <c r="L7" s="41"/>
      <c r="M7" s="42" t="str">
        <f t="shared" si="0"/>
        <v xml:space="preserve">Metlife México, S.A.  </v>
      </c>
      <c r="N7" s="991" t="s">
        <v>270</v>
      </c>
      <c r="O7" s="991" t="s">
        <v>270</v>
      </c>
      <c r="P7" s="991" t="s">
        <v>4304</v>
      </c>
      <c r="Q7" s="992">
        <v>22774288.609999999</v>
      </c>
      <c r="R7" s="44">
        <v>0</v>
      </c>
      <c r="S7" s="45">
        <f t="shared" ref="S7:S38" si="7">Q7+R7</f>
        <v>22774288.609999999</v>
      </c>
      <c r="T7" s="46">
        <v>0</v>
      </c>
      <c r="U7" s="47">
        <f t="shared" si="1"/>
        <v>0</v>
      </c>
      <c r="V7" s="44">
        <f t="shared" si="2"/>
        <v>22774288.609999999</v>
      </c>
      <c r="W7" s="993" t="s">
        <v>156</v>
      </c>
      <c r="X7" s="48">
        <v>44564</v>
      </c>
      <c r="Y7" s="39" t="s">
        <v>157</v>
      </c>
      <c r="Z7" s="48">
        <v>44562</v>
      </c>
      <c r="AA7" s="48">
        <v>44926</v>
      </c>
      <c r="AB7" s="38" t="s">
        <v>159</v>
      </c>
      <c r="AC7" s="38"/>
      <c r="AD7" s="59"/>
      <c r="AE7" s="59"/>
      <c r="AF7" s="180"/>
      <c r="AG7" s="59"/>
      <c r="AH7" s="39"/>
      <c r="AI7" s="53" t="s">
        <v>4305</v>
      </c>
      <c r="AJ7" s="38" t="s">
        <v>4306</v>
      </c>
      <c r="AK7" s="50">
        <v>44700</v>
      </c>
      <c r="AL7" s="44">
        <v>0</v>
      </c>
      <c r="AM7" s="163" t="str">
        <f t="shared" ca="1" si="3"/>
        <v>MUERTO</v>
      </c>
      <c r="AN7" s="39"/>
      <c r="AO7" s="39"/>
      <c r="AP7" s="39" t="s">
        <v>157</v>
      </c>
      <c r="AQ7" s="39"/>
      <c r="AR7" s="39" t="s">
        <v>157</v>
      </c>
      <c r="AS7" s="39"/>
      <c r="AT7" s="39"/>
      <c r="AU7" s="51"/>
      <c r="AV7" s="50"/>
      <c r="AW7" s="38"/>
      <c r="AX7" s="52"/>
      <c r="AY7" s="170" t="s">
        <v>4307</v>
      </c>
      <c r="AZ7" s="38"/>
      <c r="BA7" s="38" t="e">
        <f>VLOOKUP(I7,#REF!,2,0)</f>
        <v>#REF!</v>
      </c>
      <c r="BB7" s="73">
        <f t="shared" si="4"/>
        <v>0</v>
      </c>
      <c r="BC7" s="159"/>
      <c r="BD7" s="59" t="s">
        <v>4308</v>
      </c>
      <c r="BE7" s="58" t="s">
        <v>4309</v>
      </c>
      <c r="BF7" s="59">
        <v>44701</v>
      </c>
      <c r="BG7" s="59">
        <f>BF7</f>
        <v>44701</v>
      </c>
      <c r="BH7" s="183" t="str">
        <f t="shared" si="5"/>
        <v>Contrato formalizado en tesorería 23/12
Modificatorio formalizado en tesorería 30/05/22</v>
      </c>
      <c r="BI7" s="195" t="s">
        <v>4310</v>
      </c>
      <c r="BJ7" s="185" t="s">
        <v>4311</v>
      </c>
      <c r="BK7" s="186" t="str">
        <f t="shared" si="6"/>
        <v>Contrato formalizado en tesorería 23/12
Modificatorio formalizado en tesorería 30/05/22</v>
      </c>
      <c r="BL7" s="84"/>
      <c r="BM7" s="84"/>
      <c r="BN7" s="84"/>
      <c r="BO7" s="84"/>
      <c r="BP7" s="84"/>
      <c r="BQ7"/>
      <c r="BR7"/>
      <c r="BS7"/>
      <c r="BT7"/>
      <c r="BU7"/>
      <c r="BV7"/>
      <c r="BW7"/>
      <c r="BX7"/>
      <c r="BY7"/>
      <c r="BZ7"/>
      <c r="CA7"/>
    </row>
    <row r="8" spans="1:79" ht="150" x14ac:dyDescent="0.25">
      <c r="A8" s="196" t="s">
        <v>4312</v>
      </c>
      <c r="B8" s="3">
        <v>2</v>
      </c>
      <c r="C8" s="167" t="s">
        <v>149</v>
      </c>
      <c r="D8" s="39" t="s">
        <v>163</v>
      </c>
      <c r="E8" s="40" t="s">
        <v>4313</v>
      </c>
      <c r="F8" s="3" t="s">
        <v>2237</v>
      </c>
      <c r="G8" s="39" t="s">
        <v>163</v>
      </c>
      <c r="H8" s="39" t="str">
        <f>+D8</f>
        <v>Adjudicación Directa</v>
      </c>
      <c r="I8" s="81" t="s">
        <v>757</v>
      </c>
      <c r="J8" s="41"/>
      <c r="K8" s="41"/>
      <c r="L8" s="41"/>
      <c r="M8" s="42" t="str">
        <f t="shared" si="0"/>
        <v xml:space="preserve">Teléfonos de México, S.A.B. de C.V.  </v>
      </c>
      <c r="N8" s="991" t="s">
        <v>656</v>
      </c>
      <c r="O8" s="991" t="s">
        <v>209</v>
      </c>
      <c r="P8" s="991" t="s">
        <v>4314</v>
      </c>
      <c r="Q8" s="992">
        <v>2155172.41</v>
      </c>
      <c r="R8" s="44">
        <f>Q8*0.16</f>
        <v>344827.58560000005</v>
      </c>
      <c r="S8" s="45">
        <f t="shared" si="7"/>
        <v>2499999.9956</v>
      </c>
      <c r="T8" s="46">
        <v>600000</v>
      </c>
      <c r="U8" s="47">
        <f t="shared" si="1"/>
        <v>696000</v>
      </c>
      <c r="V8" s="44">
        <f t="shared" si="2"/>
        <v>2999965.9256000002</v>
      </c>
      <c r="W8" s="993" t="s">
        <v>156</v>
      </c>
      <c r="X8" s="48">
        <v>44564</v>
      </c>
      <c r="Y8" s="39" t="s">
        <v>157</v>
      </c>
      <c r="Z8" s="48">
        <v>44562</v>
      </c>
      <c r="AA8" s="48">
        <v>45016</v>
      </c>
      <c r="AB8" s="38" t="s">
        <v>3113</v>
      </c>
      <c r="AC8" s="38"/>
      <c r="AD8" s="59"/>
      <c r="AE8" s="59"/>
      <c r="AF8" s="59"/>
      <c r="AG8" s="59"/>
      <c r="AH8" s="39"/>
      <c r="AI8" s="38" t="s">
        <v>4315</v>
      </c>
      <c r="AJ8" s="38" t="s">
        <v>4316</v>
      </c>
      <c r="AK8" s="50">
        <v>44923</v>
      </c>
      <c r="AL8" s="44">
        <v>499965.93</v>
      </c>
      <c r="AM8" s="163" t="str">
        <f t="shared" ca="1" si="3"/>
        <v>MUERTO</v>
      </c>
      <c r="AN8" s="39"/>
      <c r="AO8" s="39"/>
      <c r="AP8" s="39" t="s">
        <v>157</v>
      </c>
      <c r="AQ8" s="39" t="s">
        <v>924</v>
      </c>
      <c r="AR8" s="39" t="s">
        <v>157</v>
      </c>
      <c r="AS8" s="39"/>
      <c r="AT8" s="39"/>
      <c r="AU8" s="51"/>
      <c r="AV8" s="50"/>
      <c r="AW8" s="38"/>
      <c r="AX8" s="52"/>
      <c r="AY8" s="170" t="s">
        <v>4317</v>
      </c>
      <c r="AZ8" s="38"/>
      <c r="BA8" s="38" t="s">
        <v>4318</v>
      </c>
      <c r="BB8" s="73">
        <f t="shared" si="4"/>
        <v>0</v>
      </c>
      <c r="BC8" s="159"/>
      <c r="BD8" s="59">
        <v>44536</v>
      </c>
      <c r="BE8" s="58">
        <v>44537</v>
      </c>
      <c r="BF8" s="58">
        <v>44558</v>
      </c>
      <c r="BG8" s="59" t="s">
        <v>4319</v>
      </c>
      <c r="BH8" s="183" t="str">
        <f t="shared" si="5"/>
        <v>Contrato formalizado con FC 20/01/22
Modificatorio formalizado con endoso 17/01/23</v>
      </c>
      <c r="BI8" s="195" t="s">
        <v>4320</v>
      </c>
      <c r="BJ8" s="185" t="s">
        <v>4321</v>
      </c>
      <c r="BK8" s="186" t="str">
        <f t="shared" si="6"/>
        <v>Contrato formalizado con FC 20/01/22
Modificatorio formalizado con endoso 17/01/23</v>
      </c>
      <c r="BL8" s="84"/>
      <c r="BM8" s="84"/>
      <c r="BN8" s="84"/>
      <c r="BO8" s="84"/>
      <c r="BP8" s="84"/>
    </row>
    <row r="9" spans="1:79" ht="90" x14ac:dyDescent="0.25">
      <c r="A9" s="168" t="s">
        <v>4322</v>
      </c>
      <c r="B9" s="3">
        <v>3</v>
      </c>
      <c r="C9" s="167" t="s">
        <v>149</v>
      </c>
      <c r="D9" s="39" t="s">
        <v>163</v>
      </c>
      <c r="E9" s="40" t="s">
        <v>4323</v>
      </c>
      <c r="F9" s="3" t="s">
        <v>2237</v>
      </c>
      <c r="G9" s="39" t="s">
        <v>163</v>
      </c>
      <c r="H9" s="39" t="str">
        <f>+D9</f>
        <v>Adjudicación Directa</v>
      </c>
      <c r="I9" s="81" t="s">
        <v>3323</v>
      </c>
      <c r="J9" s="41"/>
      <c r="K9" s="41"/>
      <c r="L9" s="41"/>
      <c r="M9" s="42" t="str">
        <f t="shared" si="0"/>
        <v xml:space="preserve">Dhimex Ciudad de México, S.A. de C.V.    </v>
      </c>
      <c r="N9" s="991" t="s">
        <v>198</v>
      </c>
      <c r="O9" s="991" t="s">
        <v>198</v>
      </c>
      <c r="P9" s="991" t="s">
        <v>4324</v>
      </c>
      <c r="Q9" s="992">
        <v>2256782.4500000002</v>
      </c>
      <c r="R9" s="44">
        <f>Q9*0.16</f>
        <v>361085.19200000004</v>
      </c>
      <c r="S9" s="45">
        <f t="shared" si="7"/>
        <v>2617867.642</v>
      </c>
      <c r="T9" s="46">
        <v>1313038.8799999999</v>
      </c>
      <c r="U9" s="47">
        <f t="shared" si="1"/>
        <v>1523125.1007999999</v>
      </c>
      <c r="V9" s="44">
        <f t="shared" si="2"/>
        <v>2617867.642</v>
      </c>
      <c r="W9" s="993" t="s">
        <v>156</v>
      </c>
      <c r="X9" s="48">
        <v>44564</v>
      </c>
      <c r="Y9" s="39" t="s">
        <v>157</v>
      </c>
      <c r="Z9" s="48">
        <v>44562</v>
      </c>
      <c r="AA9" s="48">
        <v>44926</v>
      </c>
      <c r="AB9" s="38" t="s">
        <v>3787</v>
      </c>
      <c r="AC9" s="38"/>
      <c r="AD9" s="59"/>
      <c r="AE9" s="59"/>
      <c r="AF9" s="59"/>
      <c r="AG9" s="59"/>
      <c r="AH9" s="39"/>
      <c r="AI9" s="38"/>
      <c r="AJ9" s="38"/>
      <c r="AK9" s="50"/>
      <c r="AL9" s="44"/>
      <c r="AM9" s="163" t="str">
        <f t="shared" ca="1" si="3"/>
        <v>MUERTO</v>
      </c>
      <c r="AN9" s="39"/>
      <c r="AO9" s="39"/>
      <c r="AP9" s="39" t="s">
        <v>157</v>
      </c>
      <c r="AQ9" s="39"/>
      <c r="AR9" s="39" t="s">
        <v>157</v>
      </c>
      <c r="AS9" s="39"/>
      <c r="AT9" s="39"/>
      <c r="AU9" s="51"/>
      <c r="AV9" s="50"/>
      <c r="AW9" s="38"/>
      <c r="AX9" s="52"/>
      <c r="AY9" s="170" t="s">
        <v>4325</v>
      </c>
      <c r="AZ9" s="38"/>
      <c r="BA9" s="38" t="s">
        <v>3921</v>
      </c>
      <c r="BB9" s="73">
        <f t="shared" si="4"/>
        <v>0</v>
      </c>
      <c r="BC9" s="159"/>
      <c r="BD9" s="59">
        <v>44546</v>
      </c>
      <c r="BE9" s="58">
        <v>44550</v>
      </c>
      <c r="BF9" s="58">
        <v>44558</v>
      </c>
      <c r="BG9" s="59">
        <f t="shared" ref="BG9:BG24" si="8">BF9</f>
        <v>44558</v>
      </c>
      <c r="BH9" s="183" t="str">
        <f t="shared" si="5"/>
        <v>Contrato formalizado con FC y PRC 27/01/22</v>
      </c>
      <c r="BI9" s="195">
        <v>44565</v>
      </c>
      <c r="BJ9" s="185">
        <v>44559</v>
      </c>
      <c r="BK9" s="186" t="str">
        <f t="shared" si="6"/>
        <v>Contrato formalizado con FC y PRC 27/01/22</v>
      </c>
      <c r="BL9" s="84"/>
      <c r="BM9" s="84"/>
      <c r="BN9" s="84"/>
      <c r="BO9" s="84"/>
      <c r="BP9" s="84"/>
    </row>
    <row r="10" spans="1:79" ht="105" x14ac:dyDescent="0.25">
      <c r="A10" s="168" t="s">
        <v>4326</v>
      </c>
      <c r="B10" s="3">
        <v>4</v>
      </c>
      <c r="C10" s="167" t="s">
        <v>149</v>
      </c>
      <c r="D10" s="39" t="s">
        <v>163</v>
      </c>
      <c r="E10" s="40" t="s">
        <v>4327</v>
      </c>
      <c r="F10" s="3" t="s">
        <v>2237</v>
      </c>
      <c r="G10" s="39" t="s">
        <v>163</v>
      </c>
      <c r="H10" s="39" t="str">
        <f>+D10</f>
        <v>Adjudicación Directa</v>
      </c>
      <c r="I10" s="81" t="s">
        <v>3323</v>
      </c>
      <c r="J10" s="41"/>
      <c r="K10" s="41"/>
      <c r="L10" s="41"/>
      <c r="M10" s="42" t="str">
        <f t="shared" si="0"/>
        <v xml:space="preserve">Dhimex Ciudad de México, S.A. de C.V.    </v>
      </c>
      <c r="N10" s="991" t="s">
        <v>198</v>
      </c>
      <c r="O10" s="991" t="s">
        <v>198</v>
      </c>
      <c r="P10" s="991" t="s">
        <v>4328</v>
      </c>
      <c r="Q10" s="992">
        <v>2966410.76</v>
      </c>
      <c r="R10" s="44">
        <f>Q10*0.16</f>
        <v>474625.72159999999</v>
      </c>
      <c r="S10" s="45">
        <f t="shared" si="7"/>
        <v>3441036.4815999996</v>
      </c>
      <c r="T10" s="46">
        <v>2452544.52</v>
      </c>
      <c r="U10" s="47">
        <f t="shared" si="1"/>
        <v>2844951.6431999998</v>
      </c>
      <c r="V10" s="44">
        <f t="shared" si="2"/>
        <v>3441036.4815999996</v>
      </c>
      <c r="W10" s="993" t="s">
        <v>156</v>
      </c>
      <c r="X10" s="48">
        <v>44564</v>
      </c>
      <c r="Y10" s="39" t="s">
        <v>157</v>
      </c>
      <c r="Z10" s="48">
        <v>44562</v>
      </c>
      <c r="AA10" s="48">
        <v>44926</v>
      </c>
      <c r="AB10" s="38" t="s">
        <v>3787</v>
      </c>
      <c r="AC10" s="38"/>
      <c r="AD10" s="59"/>
      <c r="AE10" s="59"/>
      <c r="AF10" s="59"/>
      <c r="AG10" s="59"/>
      <c r="AH10" s="39"/>
      <c r="AI10" s="38"/>
      <c r="AJ10" s="38"/>
      <c r="AK10" s="50"/>
      <c r="AL10" s="44"/>
      <c r="AM10" s="163" t="str">
        <f t="shared" ca="1" si="3"/>
        <v>MUERTO</v>
      </c>
      <c r="AN10" s="39"/>
      <c r="AO10" s="39"/>
      <c r="AP10" s="39" t="s">
        <v>157</v>
      </c>
      <c r="AQ10" s="39"/>
      <c r="AR10" s="39" t="s">
        <v>157</v>
      </c>
      <c r="AS10" s="39"/>
      <c r="AT10" s="39"/>
      <c r="AU10" s="51"/>
      <c r="AV10" s="50"/>
      <c r="AW10" s="38"/>
      <c r="AX10" s="52"/>
      <c r="AY10" s="170" t="s">
        <v>4329</v>
      </c>
      <c r="AZ10" s="38"/>
      <c r="BA10" s="38" t="s">
        <v>3921</v>
      </c>
      <c r="BB10" s="73">
        <f t="shared" si="4"/>
        <v>0</v>
      </c>
      <c r="BC10" s="159"/>
      <c r="BD10" s="59">
        <v>44547</v>
      </c>
      <c r="BE10" s="58">
        <v>44551</v>
      </c>
      <c r="BF10" s="59">
        <v>44558</v>
      </c>
      <c r="BG10" s="59">
        <f t="shared" si="8"/>
        <v>44558</v>
      </c>
      <c r="BH10" s="183" t="str">
        <f t="shared" si="5"/>
        <v>Contratof formalizado con FC y PRC 28/01/22</v>
      </c>
      <c r="BI10" s="195">
        <v>44565</v>
      </c>
      <c r="BJ10" s="185">
        <v>44559</v>
      </c>
      <c r="BK10" s="186" t="str">
        <f t="shared" si="6"/>
        <v>Contratof formalizado con FC y PRC 28/01/22</v>
      </c>
      <c r="BL10" s="84"/>
      <c r="BM10" s="84"/>
      <c r="BN10" s="84"/>
      <c r="BO10" s="84"/>
      <c r="BP10" s="84"/>
    </row>
    <row r="11" spans="1:79" ht="180" x14ac:dyDescent="0.25">
      <c r="A11" s="196" t="s">
        <v>4330</v>
      </c>
      <c r="B11" s="3">
        <v>5</v>
      </c>
      <c r="C11" s="167" t="s">
        <v>149</v>
      </c>
      <c r="D11" s="39" t="s">
        <v>173</v>
      </c>
      <c r="E11" s="40" t="s">
        <v>4331</v>
      </c>
      <c r="F11" s="39" t="s">
        <v>173</v>
      </c>
      <c r="G11" s="39"/>
      <c r="H11" s="39" t="s">
        <v>4272</v>
      </c>
      <c r="I11" s="81" t="s">
        <v>3786</v>
      </c>
      <c r="J11" s="41"/>
      <c r="K11" s="41"/>
      <c r="L11" s="41"/>
      <c r="M11" s="42" t="str">
        <f t="shared" si="0"/>
        <v xml:space="preserve">Kertec Corporation, S.A. de C.V.  </v>
      </c>
      <c r="N11" s="991" t="s">
        <v>656</v>
      </c>
      <c r="O11" s="991" t="s">
        <v>656</v>
      </c>
      <c r="P11" s="991" t="s">
        <v>4332</v>
      </c>
      <c r="Q11" s="992">
        <v>2355172.41</v>
      </c>
      <c r="R11" s="44">
        <f>Q11*0.16</f>
        <v>376827.58560000005</v>
      </c>
      <c r="S11" s="45">
        <f t="shared" si="7"/>
        <v>2731999.9956</v>
      </c>
      <c r="T11" s="46">
        <v>640000</v>
      </c>
      <c r="U11" s="47">
        <f t="shared" si="1"/>
        <v>742400</v>
      </c>
      <c r="V11" s="235">
        <f t="shared" si="2"/>
        <v>3414999.9856000002</v>
      </c>
      <c r="W11" s="993" t="s">
        <v>156</v>
      </c>
      <c r="X11" s="48">
        <v>44564</v>
      </c>
      <c r="Y11" s="39" t="s">
        <v>157</v>
      </c>
      <c r="Z11" s="48">
        <v>44562</v>
      </c>
      <c r="AA11" s="48">
        <v>44926</v>
      </c>
      <c r="AB11" s="38" t="s">
        <v>3787</v>
      </c>
      <c r="AC11" s="38"/>
      <c r="AD11" s="59"/>
      <c r="AE11" s="59"/>
      <c r="AF11" s="59"/>
      <c r="AG11" s="59"/>
      <c r="AH11" s="39"/>
      <c r="AI11" s="229" t="s">
        <v>4333</v>
      </c>
      <c r="AJ11" s="233" t="s">
        <v>4334</v>
      </c>
      <c r="AK11" s="234">
        <v>44778</v>
      </c>
      <c r="AL11" s="235">
        <v>682999.99</v>
      </c>
      <c r="AM11" s="163" t="str">
        <f t="shared" ca="1" si="3"/>
        <v>MUERTO</v>
      </c>
      <c r="AN11" s="39"/>
      <c r="AO11" s="39"/>
      <c r="AP11" s="39" t="s">
        <v>157</v>
      </c>
      <c r="AQ11" s="39" t="s">
        <v>815</v>
      </c>
      <c r="AR11" s="39" t="s">
        <v>157</v>
      </c>
      <c r="AS11" s="39"/>
      <c r="AT11" s="39"/>
      <c r="AU11" s="51"/>
      <c r="AV11" s="50"/>
      <c r="AW11" s="38"/>
      <c r="AX11" s="52"/>
      <c r="AY11" s="170" t="s">
        <v>4335</v>
      </c>
      <c r="AZ11" s="38"/>
      <c r="BA11" s="38" t="s">
        <v>3790</v>
      </c>
      <c r="BB11" s="73">
        <f t="shared" si="4"/>
        <v>0</v>
      </c>
      <c r="BC11" s="159"/>
      <c r="BD11" s="59">
        <v>44544</v>
      </c>
      <c r="BE11" s="58">
        <v>44545</v>
      </c>
      <c r="BF11" s="58" t="s">
        <v>4336</v>
      </c>
      <c r="BG11" s="59" t="str">
        <f t="shared" si="8"/>
        <v>28/12/2021
10/08/2022</v>
      </c>
      <c r="BH11" s="183" t="str">
        <f t="shared" si="5"/>
        <v>Contrato, FC y PRC formalizado en tesorería 24/01/22
Modificatorio formalizado con endosos 29/08/22</v>
      </c>
      <c r="BI11" s="195" t="s">
        <v>4337</v>
      </c>
      <c r="BJ11" s="185" t="s">
        <v>4338</v>
      </c>
      <c r="BK11" s="186" t="str">
        <f t="shared" si="6"/>
        <v>Contrato, FC y PRC formalizado en tesorería 24/01/22
Modificatorio formalizado con endosos 29/08/22</v>
      </c>
      <c r="BL11" s="84"/>
      <c r="BM11" s="84"/>
      <c r="BN11" s="84"/>
      <c r="BO11" s="84"/>
      <c r="BP11" s="84"/>
    </row>
    <row r="12" spans="1:79" ht="135" x14ac:dyDescent="0.25">
      <c r="A12" s="196" t="s">
        <v>4339</v>
      </c>
      <c r="B12" s="3">
        <v>6</v>
      </c>
      <c r="C12" s="167" t="s">
        <v>225</v>
      </c>
      <c r="D12" s="39" t="s">
        <v>163</v>
      </c>
      <c r="E12" s="40" t="s">
        <v>4340</v>
      </c>
      <c r="F12" s="39" t="s">
        <v>163</v>
      </c>
      <c r="G12" s="39" t="s">
        <v>163</v>
      </c>
      <c r="H12" s="39" t="s">
        <v>4004</v>
      </c>
      <c r="I12" s="81" t="s">
        <v>4341</v>
      </c>
      <c r="J12" s="41"/>
      <c r="K12" s="41"/>
      <c r="L12" s="41"/>
      <c r="M12" s="42" t="str">
        <f t="shared" si="0"/>
        <v xml:space="preserve">Bebidas Purificadas, S. de R.L. de C.V.  </v>
      </c>
      <c r="N12" s="991" t="s">
        <v>198</v>
      </c>
      <c r="O12" s="991" t="s">
        <v>198</v>
      </c>
      <c r="P12" s="991" t="s">
        <v>4342</v>
      </c>
      <c r="Q12" s="992">
        <v>900000</v>
      </c>
      <c r="R12" s="235">
        <v>0</v>
      </c>
      <c r="S12" s="45">
        <f t="shared" si="7"/>
        <v>900000</v>
      </c>
      <c r="T12" s="46">
        <v>360000</v>
      </c>
      <c r="U12" s="47">
        <v>360000</v>
      </c>
      <c r="V12" s="44">
        <f t="shared" si="2"/>
        <v>1125000</v>
      </c>
      <c r="W12" s="993" t="s">
        <v>156</v>
      </c>
      <c r="X12" s="48">
        <v>44564</v>
      </c>
      <c r="Y12" s="39" t="s">
        <v>157</v>
      </c>
      <c r="Z12" s="48">
        <v>44562</v>
      </c>
      <c r="AA12" s="48">
        <v>45016</v>
      </c>
      <c r="AB12" s="38" t="s">
        <v>3113</v>
      </c>
      <c r="AC12" s="38"/>
      <c r="AD12" s="59"/>
      <c r="AE12" s="59"/>
      <c r="AF12" s="59"/>
      <c r="AG12" s="59"/>
      <c r="AH12" s="39"/>
      <c r="AI12" s="211" t="s">
        <v>4343</v>
      </c>
      <c r="AJ12" s="211" t="s">
        <v>4344</v>
      </c>
      <c r="AK12" s="218">
        <v>44889</v>
      </c>
      <c r="AL12" s="215">
        <v>225000</v>
      </c>
      <c r="AM12" s="163" t="str">
        <f t="shared" ca="1" si="3"/>
        <v>MUERTO</v>
      </c>
      <c r="AN12" s="39"/>
      <c r="AO12" s="39"/>
      <c r="AP12" s="39" t="s">
        <v>157</v>
      </c>
      <c r="AQ12" s="39" t="s">
        <v>892</v>
      </c>
      <c r="AR12" s="39" t="s">
        <v>157</v>
      </c>
      <c r="AS12" s="39"/>
      <c r="AT12" s="39"/>
      <c r="AU12" s="51"/>
      <c r="AV12" s="50"/>
      <c r="AW12" s="38"/>
      <c r="AX12" s="52"/>
      <c r="AY12" s="170" t="s">
        <v>4345</v>
      </c>
      <c r="AZ12" s="38"/>
      <c r="BA12" s="38" t="s">
        <v>4346</v>
      </c>
      <c r="BB12" s="73">
        <f t="shared" si="4"/>
        <v>0</v>
      </c>
      <c r="BC12" s="159"/>
      <c r="BD12" s="59">
        <v>44544</v>
      </c>
      <c r="BE12" s="58">
        <v>44546</v>
      </c>
      <c r="BF12" s="58" t="s">
        <v>4347</v>
      </c>
      <c r="BG12" s="59" t="str">
        <f t="shared" si="8"/>
        <v>29/01/2021
28/11/2022</v>
      </c>
      <c r="BH12" s="183" t="str">
        <f t="shared" si="5"/>
        <v xml:space="preserve">Formalizado contrato y FC 02/02/22
Modif formalizado con endoso 14/12/22
</v>
      </c>
      <c r="BI12" s="195" t="s">
        <v>4348</v>
      </c>
      <c r="BJ12" s="185" t="s">
        <v>4349</v>
      </c>
      <c r="BK12" s="186" t="str">
        <f t="shared" si="6"/>
        <v xml:space="preserve">Formalizado contrato y FC 02/02/22
Modif formalizado con endoso 14/12/22
</v>
      </c>
      <c r="BL12" s="84"/>
      <c r="BM12" s="84"/>
      <c r="BN12" s="84"/>
      <c r="BO12" s="84"/>
      <c r="BP12" s="84"/>
    </row>
    <row r="13" spans="1:79" ht="120" x14ac:dyDescent="0.25">
      <c r="A13" s="196" t="s">
        <v>4350</v>
      </c>
      <c r="B13" s="3">
        <v>7</v>
      </c>
      <c r="C13" s="167" t="s">
        <v>149</v>
      </c>
      <c r="D13" s="39" t="s">
        <v>163</v>
      </c>
      <c r="E13" s="40" t="s">
        <v>4351</v>
      </c>
      <c r="F13" s="39" t="s">
        <v>163</v>
      </c>
      <c r="G13" s="39" t="s">
        <v>163</v>
      </c>
      <c r="H13" s="39" t="s">
        <v>2064</v>
      </c>
      <c r="I13" s="42" t="s">
        <v>3065</v>
      </c>
      <c r="J13" s="41"/>
      <c r="K13" s="41"/>
      <c r="L13" s="41"/>
      <c r="M13" s="42" t="str">
        <f t="shared" si="0"/>
        <v xml:space="preserve">Especialidades Comerciales Reyes, S.A. de C.V.  </v>
      </c>
      <c r="N13" s="991" t="s">
        <v>190</v>
      </c>
      <c r="O13" s="991" t="s">
        <v>190</v>
      </c>
      <c r="P13" s="991" t="s">
        <v>4352</v>
      </c>
      <c r="Q13" s="992">
        <v>6465517.2400000002</v>
      </c>
      <c r="R13" s="44">
        <f t="shared" ref="R13:R20" si="9">Q13*0.16</f>
        <v>1034482.7584</v>
      </c>
      <c r="S13" s="45">
        <f t="shared" si="7"/>
        <v>7499999.9983999999</v>
      </c>
      <c r="T13" s="46">
        <v>4000000</v>
      </c>
      <c r="U13" s="47">
        <f t="shared" ref="U13:U20" si="10">(T13*0.16)+(T13)</f>
        <v>4640000</v>
      </c>
      <c r="V13" s="44">
        <f t="shared" si="2"/>
        <v>7499999.9983999999</v>
      </c>
      <c r="W13" s="993" t="s">
        <v>156</v>
      </c>
      <c r="X13" s="48">
        <v>44564</v>
      </c>
      <c r="Y13" s="39" t="s">
        <v>157</v>
      </c>
      <c r="Z13" s="48">
        <v>44562</v>
      </c>
      <c r="AA13" s="48">
        <v>44926</v>
      </c>
      <c r="AB13" s="38" t="s">
        <v>4353</v>
      </c>
      <c r="AC13" s="38"/>
      <c r="AD13" s="59"/>
      <c r="AE13" s="59"/>
      <c r="AF13" s="59"/>
      <c r="AG13" s="59"/>
      <c r="AH13" s="39"/>
      <c r="AI13" s="38" t="s">
        <v>4354</v>
      </c>
      <c r="AJ13" s="211" t="s">
        <v>4355</v>
      </c>
      <c r="AK13" s="218">
        <v>44620</v>
      </c>
      <c r="AL13" s="215">
        <v>0</v>
      </c>
      <c r="AM13" s="163" t="str">
        <f t="shared" ca="1" si="3"/>
        <v>MUERTO</v>
      </c>
      <c r="AN13" s="39"/>
      <c r="AO13" s="39"/>
      <c r="AP13" s="39" t="s">
        <v>157</v>
      </c>
      <c r="AQ13" s="39"/>
      <c r="AR13" s="39" t="s">
        <v>157</v>
      </c>
      <c r="AS13" s="39"/>
      <c r="AT13" s="39"/>
      <c r="AU13" s="51"/>
      <c r="AV13" s="50"/>
      <c r="AW13" s="38"/>
      <c r="AX13" s="52"/>
      <c r="AY13" s="170" t="s">
        <v>4356</v>
      </c>
      <c r="AZ13" s="38"/>
      <c r="BA13" s="38" t="s">
        <v>4357</v>
      </c>
      <c r="BB13" s="73">
        <f t="shared" si="4"/>
        <v>0</v>
      </c>
      <c r="BC13" s="159"/>
      <c r="BD13" s="59">
        <v>44545</v>
      </c>
      <c r="BE13" s="58">
        <v>44547</v>
      </c>
      <c r="BF13" s="58">
        <v>44558</v>
      </c>
      <c r="BG13" s="59">
        <f t="shared" si="8"/>
        <v>44558</v>
      </c>
      <c r="BH13" s="183" t="str">
        <f t="shared" si="5"/>
        <v>Contrato y convenio Modif Formalizado 18/03 con FC, PRC y Desocupación</v>
      </c>
      <c r="BI13" s="195" t="s">
        <v>4358</v>
      </c>
      <c r="BJ13" s="185" t="s">
        <v>4359</v>
      </c>
      <c r="BK13" s="186" t="str">
        <f t="shared" si="6"/>
        <v>Contrato y convenio Modif Formalizado 18/03 con FC, PRC y Desocupación</v>
      </c>
      <c r="BL13" s="84"/>
      <c r="BM13" s="84"/>
      <c r="BN13" s="84"/>
      <c r="BO13" s="84"/>
      <c r="BP13" s="84"/>
    </row>
    <row r="14" spans="1:79" ht="165" x14ac:dyDescent="0.25">
      <c r="A14" s="196" t="s">
        <v>4360</v>
      </c>
      <c r="B14" s="3">
        <v>8</v>
      </c>
      <c r="C14" s="167" t="s">
        <v>149</v>
      </c>
      <c r="D14" s="39" t="s">
        <v>151</v>
      </c>
      <c r="E14" s="40" t="s">
        <v>4361</v>
      </c>
      <c r="F14" s="39" t="s">
        <v>151</v>
      </c>
      <c r="G14" s="39"/>
      <c r="H14" s="39" t="s">
        <v>3793</v>
      </c>
      <c r="I14" s="81" t="s">
        <v>3138</v>
      </c>
      <c r="J14" s="41"/>
      <c r="K14" s="41"/>
      <c r="L14" s="41"/>
      <c r="M14" s="42" t="str">
        <f t="shared" si="0"/>
        <v xml:space="preserve">Servipro de México, S.A. de C.V.  </v>
      </c>
      <c r="N14" s="991" t="s">
        <v>198</v>
      </c>
      <c r="O14" s="991" t="s">
        <v>198</v>
      </c>
      <c r="P14" s="991" t="s">
        <v>4362</v>
      </c>
      <c r="Q14" s="992">
        <v>775862.07</v>
      </c>
      <c r="R14" s="44">
        <f t="shared" si="9"/>
        <v>124137.93119999999</v>
      </c>
      <c r="S14" s="45">
        <f t="shared" si="7"/>
        <v>900000.00119999994</v>
      </c>
      <c r="T14" s="46">
        <v>232758.62</v>
      </c>
      <c r="U14" s="47">
        <f t="shared" si="10"/>
        <v>269999.99920000002</v>
      </c>
      <c r="V14" s="44">
        <f t="shared" si="2"/>
        <v>1125000.0011999998</v>
      </c>
      <c r="W14" s="993" t="s">
        <v>156</v>
      </c>
      <c r="X14" s="48">
        <v>44564</v>
      </c>
      <c r="Y14" s="39" t="s">
        <v>157</v>
      </c>
      <c r="Z14" s="48">
        <v>44562</v>
      </c>
      <c r="AA14" s="213">
        <v>45016</v>
      </c>
      <c r="AB14" s="38" t="s">
        <v>3787</v>
      </c>
      <c r="AC14" s="38"/>
      <c r="AD14" s="59"/>
      <c r="AE14" s="59"/>
      <c r="AF14" s="59"/>
      <c r="AG14" s="59"/>
      <c r="AH14" s="39"/>
      <c r="AI14" s="38" t="s">
        <v>4363</v>
      </c>
      <c r="AJ14" s="211" t="s">
        <v>4364</v>
      </c>
      <c r="AK14" s="218">
        <v>44908</v>
      </c>
      <c r="AL14" s="215">
        <v>225000</v>
      </c>
      <c r="AM14" s="163" t="str">
        <f t="shared" ca="1" si="3"/>
        <v>MUERTO</v>
      </c>
      <c r="AN14" s="39"/>
      <c r="AO14" s="39"/>
      <c r="AP14" s="39" t="s">
        <v>157</v>
      </c>
      <c r="AQ14" s="39" t="s">
        <v>924</v>
      </c>
      <c r="AR14" s="39" t="s">
        <v>157</v>
      </c>
      <c r="AS14" s="39"/>
      <c r="AT14" s="39"/>
      <c r="AU14" s="51"/>
      <c r="AV14" s="50"/>
      <c r="AW14" s="38"/>
      <c r="AX14" s="52"/>
      <c r="AY14" s="170" t="s">
        <v>4365</v>
      </c>
      <c r="AZ14" s="38"/>
      <c r="BA14" s="38" t="s">
        <v>4366</v>
      </c>
      <c r="BB14" s="73">
        <f t="shared" si="4"/>
        <v>0</v>
      </c>
      <c r="BC14" s="159"/>
      <c r="BD14" s="59">
        <v>44551</v>
      </c>
      <c r="BE14" s="58">
        <v>44552</v>
      </c>
      <c r="BF14" s="58">
        <v>44558</v>
      </c>
      <c r="BG14" s="59">
        <f t="shared" si="8"/>
        <v>44558</v>
      </c>
      <c r="BH14" s="183" t="str">
        <f t="shared" si="5"/>
        <v>Contrato, FC y PRC formalizado en tesorería 24/01/22
Modific formalizado con endosos 27/01/23</v>
      </c>
      <c r="BI14" s="195" t="s">
        <v>4367</v>
      </c>
      <c r="BJ14" s="185" t="s">
        <v>4368</v>
      </c>
      <c r="BK14" s="186" t="str">
        <f t="shared" si="6"/>
        <v>Contrato, FC y PRC formalizado en tesorería 24/01/22
Modific formalizado con endosos 27/01/23</v>
      </c>
      <c r="BL14" s="84"/>
      <c r="BM14" s="84"/>
      <c r="BN14" s="84"/>
      <c r="BO14" s="84"/>
      <c r="BP14" s="84"/>
    </row>
    <row r="15" spans="1:79" ht="150" x14ac:dyDescent="0.25">
      <c r="A15" s="196" t="s">
        <v>4369</v>
      </c>
      <c r="B15" s="3">
        <v>9</v>
      </c>
      <c r="C15" s="167" t="s">
        <v>149</v>
      </c>
      <c r="D15" s="39" t="s">
        <v>173</v>
      </c>
      <c r="E15" s="40" t="s">
        <v>4370</v>
      </c>
      <c r="F15" s="39" t="s">
        <v>173</v>
      </c>
      <c r="G15" s="39"/>
      <c r="H15" s="39" t="s">
        <v>3785</v>
      </c>
      <c r="I15" s="81" t="s">
        <v>1966</v>
      </c>
      <c r="J15" s="41"/>
      <c r="K15" s="41"/>
      <c r="L15" s="41"/>
      <c r="M15" s="42" t="str">
        <f t="shared" si="0"/>
        <v xml:space="preserve">Corporate Accon en Conocimientos e Ingeniería, S.A. de C.V.  </v>
      </c>
      <c r="N15" s="991" t="s">
        <v>4072</v>
      </c>
      <c r="O15" s="991" t="s">
        <v>4072</v>
      </c>
      <c r="P15" s="991" t="s">
        <v>4371</v>
      </c>
      <c r="Q15" s="992">
        <v>2647524</v>
      </c>
      <c r="R15" s="44">
        <f t="shared" si="9"/>
        <v>423603.84</v>
      </c>
      <c r="S15" s="45">
        <f t="shared" si="7"/>
        <v>3071127.84</v>
      </c>
      <c r="T15" s="46">
        <v>0</v>
      </c>
      <c r="U15" s="47">
        <f t="shared" si="10"/>
        <v>0</v>
      </c>
      <c r="V15" s="215">
        <f t="shared" si="2"/>
        <v>3838909.8</v>
      </c>
      <c r="W15" s="993" t="s">
        <v>156</v>
      </c>
      <c r="X15" s="48">
        <v>44564</v>
      </c>
      <c r="Y15" s="39" t="s">
        <v>157</v>
      </c>
      <c r="Z15" s="48">
        <v>44562</v>
      </c>
      <c r="AA15" s="213">
        <v>45016</v>
      </c>
      <c r="AB15" s="38" t="s">
        <v>3787</v>
      </c>
      <c r="AC15" s="38"/>
      <c r="AD15" s="59"/>
      <c r="AE15" s="59"/>
      <c r="AF15" s="59"/>
      <c r="AG15" s="59"/>
      <c r="AH15" s="39"/>
      <c r="AI15" s="38" t="s">
        <v>4372</v>
      </c>
      <c r="AJ15" s="211" t="s">
        <v>4373</v>
      </c>
      <c r="AK15" s="218">
        <v>44918</v>
      </c>
      <c r="AL15" s="215">
        <v>767781.96</v>
      </c>
      <c r="AM15" s="163" t="str">
        <f t="shared" ca="1" si="3"/>
        <v>MUERTO</v>
      </c>
      <c r="AN15" s="39"/>
      <c r="AO15" s="39"/>
      <c r="AP15" s="39" t="s">
        <v>157</v>
      </c>
      <c r="AQ15" s="39" t="s">
        <v>924</v>
      </c>
      <c r="AR15" s="39" t="s">
        <v>157</v>
      </c>
      <c r="AS15" s="39"/>
      <c r="AT15" s="39"/>
      <c r="AU15" s="51"/>
      <c r="AV15" s="50"/>
      <c r="AW15" s="38"/>
      <c r="AX15" s="52"/>
      <c r="AY15" s="170" t="s">
        <v>4374</v>
      </c>
      <c r="AZ15" s="38"/>
      <c r="BA15" s="38" t="e">
        <f>VLOOKUP(I15,[2]RFC!$1:$1048576,2,0)</f>
        <v>#N/A</v>
      </c>
      <c r="BB15" s="73">
        <f t="shared" si="4"/>
        <v>0</v>
      </c>
      <c r="BC15" s="159"/>
      <c r="BD15" s="59">
        <v>44551</v>
      </c>
      <c r="BE15" s="58">
        <v>44552</v>
      </c>
      <c r="BF15" s="58" t="s">
        <v>4375</v>
      </c>
      <c r="BG15" s="59" t="str">
        <f t="shared" si="8"/>
        <v>28/12/2021
26/12/2022</v>
      </c>
      <c r="BH15" s="183" t="str">
        <f t="shared" si="5"/>
        <v>Contrato, FC, PRC  formalizado 01/02/22
Modificatorio formalizado con endosos 17/01/23</v>
      </c>
      <c r="BI15" s="195" t="s">
        <v>4376</v>
      </c>
      <c r="BJ15" s="185" t="s">
        <v>4377</v>
      </c>
      <c r="BK15" s="186" t="str">
        <f t="shared" si="6"/>
        <v>Contrato, FC, PRC  formalizado 01/02/22
Modificatorio formalizado con endosos 17/01/23</v>
      </c>
      <c r="BL15" s="84"/>
      <c r="BM15" s="84"/>
      <c r="BN15" s="84"/>
      <c r="BO15" s="84"/>
      <c r="BP15" s="84"/>
    </row>
    <row r="16" spans="1:79" ht="150" x14ac:dyDescent="0.25">
      <c r="A16" s="196" t="s">
        <v>4378</v>
      </c>
      <c r="B16" s="3">
        <v>10</v>
      </c>
      <c r="C16" s="167" t="s">
        <v>149</v>
      </c>
      <c r="D16" s="39" t="s">
        <v>163</v>
      </c>
      <c r="E16" s="40" t="s">
        <v>4379</v>
      </c>
      <c r="F16" s="3" t="s">
        <v>2237</v>
      </c>
      <c r="G16" s="685" t="s">
        <v>546</v>
      </c>
      <c r="H16" s="39" t="s">
        <v>4030</v>
      </c>
      <c r="I16" s="81" t="s">
        <v>2436</v>
      </c>
      <c r="J16" s="41"/>
      <c r="K16" s="41"/>
      <c r="L16" s="41"/>
      <c r="M16" s="42" t="str">
        <f t="shared" si="0"/>
        <v xml:space="preserve">Teletec de México, S.A.P.I. de C.V.  </v>
      </c>
      <c r="N16" s="991" t="s">
        <v>198</v>
      </c>
      <c r="O16" s="991" t="s">
        <v>198</v>
      </c>
      <c r="P16" s="991" t="s">
        <v>4380</v>
      </c>
      <c r="Q16" s="992">
        <v>3970110.41</v>
      </c>
      <c r="R16" s="44">
        <f t="shared" si="9"/>
        <v>635217.66560000007</v>
      </c>
      <c r="S16" s="45">
        <f t="shared" si="7"/>
        <v>4605328.0756000001</v>
      </c>
      <c r="T16" s="46">
        <v>3700000</v>
      </c>
      <c r="U16" s="47">
        <f t="shared" si="10"/>
        <v>4292000</v>
      </c>
      <c r="V16" s="215">
        <f t="shared" si="2"/>
        <v>5756659.4956</v>
      </c>
      <c r="W16" s="993" t="s">
        <v>156</v>
      </c>
      <c r="X16" s="48">
        <v>44564</v>
      </c>
      <c r="Y16" s="39" t="s">
        <v>157</v>
      </c>
      <c r="Z16" s="48">
        <v>44562</v>
      </c>
      <c r="AA16" s="213">
        <v>45016</v>
      </c>
      <c r="AB16" s="38" t="s">
        <v>3787</v>
      </c>
      <c r="AC16" s="38"/>
      <c r="AD16" s="59"/>
      <c r="AE16" s="59"/>
      <c r="AF16" s="59"/>
      <c r="AG16" s="59"/>
      <c r="AH16" s="39"/>
      <c r="AI16" s="38" t="s">
        <v>4381</v>
      </c>
      <c r="AJ16" s="211" t="s">
        <v>4382</v>
      </c>
      <c r="AK16" s="218">
        <v>44925</v>
      </c>
      <c r="AL16" s="215">
        <v>1151331.42</v>
      </c>
      <c r="AM16" s="163" t="str">
        <f t="shared" ca="1" si="3"/>
        <v>MUERTO</v>
      </c>
      <c r="AN16" s="39"/>
      <c r="AO16" s="39"/>
      <c r="AP16" s="39" t="s">
        <v>157</v>
      </c>
      <c r="AQ16" s="39" t="s">
        <v>924</v>
      </c>
      <c r="AR16" s="39" t="s">
        <v>157</v>
      </c>
      <c r="AS16" s="39"/>
      <c r="AT16" s="39"/>
      <c r="AU16" s="51"/>
      <c r="AV16" s="50"/>
      <c r="AW16" s="38"/>
      <c r="AX16" s="52"/>
      <c r="AY16" s="170" t="s">
        <v>4383</v>
      </c>
      <c r="AZ16" s="38"/>
      <c r="BA16" s="38" t="str">
        <f>VLOOKUP(I16,[2]RFC!$1:$1048576,2,0)</f>
        <v>TME910924TL5</v>
      </c>
      <c r="BB16" s="73">
        <f t="shared" si="4"/>
        <v>0</v>
      </c>
      <c r="BC16" s="159"/>
      <c r="BD16" s="59">
        <v>44557</v>
      </c>
      <c r="BE16" s="59">
        <v>44557</v>
      </c>
      <c r="BF16" s="58">
        <v>44565</v>
      </c>
      <c r="BG16" s="59">
        <f t="shared" si="8"/>
        <v>44565</v>
      </c>
      <c r="BH16" s="183" t="str">
        <f t="shared" si="5"/>
        <v>Contratof formalizado con FC y PRC 28/01/22
Modific formalizado con garantias 16/02/23</v>
      </c>
      <c r="BI16" s="195">
        <v>44571</v>
      </c>
      <c r="BJ16" s="185">
        <v>44566</v>
      </c>
      <c r="BK16" s="186" t="str">
        <f t="shared" si="6"/>
        <v>Contratof formalizado con FC y PRC 28/01/22
Modific formalizado con garantias 16/02/23</v>
      </c>
      <c r="BL16" s="84"/>
      <c r="BM16" s="84"/>
      <c r="BN16" s="84"/>
      <c r="BO16" s="84"/>
      <c r="BP16" s="84"/>
    </row>
    <row r="17" spans="1:71" ht="60" x14ac:dyDescent="0.25">
      <c r="A17" s="168" t="s">
        <v>4384</v>
      </c>
      <c r="B17" s="3">
        <v>11</v>
      </c>
      <c r="C17" s="167" t="s">
        <v>149</v>
      </c>
      <c r="D17" s="39" t="s">
        <v>173</v>
      </c>
      <c r="E17" s="40" t="s">
        <v>4385</v>
      </c>
      <c r="F17" s="39" t="s">
        <v>173</v>
      </c>
      <c r="G17" s="39"/>
      <c r="H17" s="39" t="s">
        <v>3785</v>
      </c>
      <c r="I17" s="81" t="s">
        <v>4078</v>
      </c>
      <c r="J17" s="41"/>
      <c r="K17" s="41"/>
      <c r="L17" s="41"/>
      <c r="M17" s="42" t="str">
        <f t="shared" si="0"/>
        <v xml:space="preserve">Cen Systems, S,A, de C.V.  </v>
      </c>
      <c r="N17" s="991" t="s">
        <v>656</v>
      </c>
      <c r="O17" s="991" t="s">
        <v>209</v>
      </c>
      <c r="P17" s="991" t="s">
        <v>4386</v>
      </c>
      <c r="Q17" s="992">
        <v>7991748</v>
      </c>
      <c r="R17" s="44">
        <f t="shared" si="9"/>
        <v>1278679.68</v>
      </c>
      <c r="S17" s="45">
        <f t="shared" si="7"/>
        <v>9270427.6799999997</v>
      </c>
      <c r="T17" s="46">
        <v>0</v>
      </c>
      <c r="U17" s="47">
        <f t="shared" si="10"/>
        <v>0</v>
      </c>
      <c r="V17" s="44">
        <f t="shared" si="2"/>
        <v>9270427.6799999997</v>
      </c>
      <c r="W17" s="993" t="s">
        <v>156</v>
      </c>
      <c r="X17" s="48">
        <v>44564</v>
      </c>
      <c r="Y17" s="39" t="s">
        <v>157</v>
      </c>
      <c r="Z17" s="48">
        <v>44562</v>
      </c>
      <c r="AA17" s="48">
        <v>44926</v>
      </c>
      <c r="AB17" s="38" t="s">
        <v>3787</v>
      </c>
      <c r="AC17" s="38"/>
      <c r="AD17" s="59"/>
      <c r="AE17" s="59"/>
      <c r="AF17" s="59"/>
      <c r="AG17" s="59"/>
      <c r="AH17" s="39"/>
      <c r="AI17" s="38"/>
      <c r="AJ17" s="38"/>
      <c r="AK17" s="50"/>
      <c r="AL17" s="44"/>
      <c r="AM17" s="163" t="str">
        <f t="shared" ca="1" si="3"/>
        <v>MUERTO</v>
      </c>
      <c r="AN17" s="39"/>
      <c r="AO17" s="39"/>
      <c r="AP17" s="39" t="s">
        <v>157</v>
      </c>
      <c r="AQ17" s="39"/>
      <c r="AR17" s="39" t="s">
        <v>157</v>
      </c>
      <c r="AS17" s="39"/>
      <c r="AT17" s="39"/>
      <c r="AU17" s="51"/>
      <c r="AV17" s="50"/>
      <c r="AW17" s="38"/>
      <c r="AX17" s="52"/>
      <c r="AY17" s="170" t="s">
        <v>4387</v>
      </c>
      <c r="AZ17" s="38"/>
      <c r="BA17" s="38" t="s">
        <v>4080</v>
      </c>
      <c r="BB17" s="73">
        <f t="shared" si="4"/>
        <v>0</v>
      </c>
      <c r="BC17" s="159"/>
      <c r="BD17" s="59">
        <v>44551</v>
      </c>
      <c r="BE17" s="58">
        <v>44552</v>
      </c>
      <c r="BF17" s="58">
        <v>44565</v>
      </c>
      <c r="BG17" s="59">
        <f t="shared" si="8"/>
        <v>44565</v>
      </c>
      <c r="BH17" s="183" t="str">
        <f t="shared" si="5"/>
        <v>Formalizado contrato FC y PRC 13/01</v>
      </c>
      <c r="BI17" s="195">
        <v>44571</v>
      </c>
      <c r="BJ17" s="185">
        <v>44566</v>
      </c>
      <c r="BK17" s="186" t="str">
        <f t="shared" si="6"/>
        <v>Formalizado contrato FC y PRC 13/01</v>
      </c>
      <c r="BL17" s="84"/>
      <c r="BM17" s="84"/>
      <c r="BN17" s="84"/>
      <c r="BO17" s="84"/>
      <c r="BP17" s="84"/>
    </row>
    <row r="18" spans="1:71" ht="120" x14ac:dyDescent="0.25">
      <c r="A18" s="196" t="s">
        <v>4388</v>
      </c>
      <c r="B18" s="3">
        <v>12</v>
      </c>
      <c r="C18" s="167" t="s">
        <v>149</v>
      </c>
      <c r="D18" s="39" t="s">
        <v>163</v>
      </c>
      <c r="E18" s="40" t="s">
        <v>4389</v>
      </c>
      <c r="F18" s="39" t="s">
        <v>163</v>
      </c>
      <c r="G18" s="39" t="s">
        <v>163</v>
      </c>
      <c r="H18" s="39" t="s">
        <v>3935</v>
      </c>
      <c r="I18" s="81" t="s">
        <v>1305</v>
      </c>
      <c r="J18" s="41"/>
      <c r="K18" s="41"/>
      <c r="L18" s="41"/>
      <c r="M18" s="42" t="str">
        <f t="shared" si="0"/>
        <v xml:space="preserve">Fonatur Infraestructura, S.A. de C.V.  </v>
      </c>
      <c r="N18" s="991" t="s">
        <v>198</v>
      </c>
      <c r="O18" s="991" t="s">
        <v>198</v>
      </c>
      <c r="P18" s="991" t="s">
        <v>1311</v>
      </c>
      <c r="Q18" s="992">
        <v>47413793.100000001</v>
      </c>
      <c r="R18" s="44">
        <f t="shared" si="9"/>
        <v>7586206.8960000006</v>
      </c>
      <c r="S18" s="45">
        <f t="shared" si="7"/>
        <v>54999999.995999999</v>
      </c>
      <c r="T18" s="46">
        <v>25778698.120000001</v>
      </c>
      <c r="U18" s="47">
        <f t="shared" si="10"/>
        <v>29903289.819200002</v>
      </c>
      <c r="V18" s="44">
        <f t="shared" si="2"/>
        <v>54999999.995999999</v>
      </c>
      <c r="W18" s="993" t="s">
        <v>156</v>
      </c>
      <c r="X18" s="48">
        <v>44564</v>
      </c>
      <c r="Y18" s="39" t="s">
        <v>157</v>
      </c>
      <c r="Z18" s="48">
        <v>44562</v>
      </c>
      <c r="AA18" s="48">
        <v>44926</v>
      </c>
      <c r="AB18" s="38" t="s">
        <v>161</v>
      </c>
      <c r="AC18" s="38"/>
      <c r="AD18" s="59"/>
      <c r="AE18" s="59"/>
      <c r="AF18" s="59"/>
      <c r="AG18" s="59"/>
      <c r="AH18" s="39"/>
      <c r="AI18" s="53" t="s">
        <v>4390</v>
      </c>
      <c r="AJ18" s="211" t="s">
        <v>4391</v>
      </c>
      <c r="AK18" s="218">
        <v>44607</v>
      </c>
      <c r="AL18" s="44">
        <v>0</v>
      </c>
      <c r="AM18" s="163" t="str">
        <f t="shared" ca="1" si="3"/>
        <v>MUERTO</v>
      </c>
      <c r="AN18" s="39"/>
      <c r="AO18" s="39"/>
      <c r="AP18" s="39" t="s">
        <v>157</v>
      </c>
      <c r="AQ18" s="39"/>
      <c r="AR18" s="39" t="s">
        <v>157</v>
      </c>
      <c r="AS18" s="39"/>
      <c r="AT18" s="39"/>
      <c r="AU18" s="51"/>
      <c r="AV18" s="50"/>
      <c r="AW18" s="38"/>
      <c r="AX18" s="52"/>
      <c r="AY18" s="170" t="s">
        <v>4392</v>
      </c>
      <c r="AZ18" s="38"/>
      <c r="BA18" s="38" t="s">
        <v>4393</v>
      </c>
      <c r="BB18" s="73">
        <f t="shared" si="4"/>
        <v>0</v>
      </c>
      <c r="BC18" s="159"/>
      <c r="BD18" s="59">
        <v>44554</v>
      </c>
      <c r="BE18" s="58">
        <v>44557</v>
      </c>
      <c r="BF18" s="58">
        <v>44566</v>
      </c>
      <c r="BG18" s="59">
        <f t="shared" si="8"/>
        <v>44566</v>
      </c>
      <c r="BH18" s="183" t="str">
        <f t="shared" si="5"/>
        <v>Contrato formalizado en tesorería 24/01/22
1er Modif. Formalizado 22/02/22</v>
      </c>
      <c r="BI18" s="195">
        <v>44581</v>
      </c>
      <c r="BJ18" s="185" t="s">
        <v>4394</v>
      </c>
      <c r="BK18" s="186" t="str">
        <f t="shared" si="6"/>
        <v>Contrato formalizado en tesorería 24/01/22
1er Modif. Formalizado 22/02/22</v>
      </c>
      <c r="BL18" s="84"/>
      <c r="BM18" s="84"/>
      <c r="BN18" s="84"/>
      <c r="BO18" s="84"/>
      <c r="BP18" s="84"/>
    </row>
    <row r="19" spans="1:71" ht="210" x14ac:dyDescent="0.25">
      <c r="A19" s="196" t="s">
        <v>4395</v>
      </c>
      <c r="B19" s="3">
        <v>13</v>
      </c>
      <c r="C19" s="167" t="s">
        <v>149</v>
      </c>
      <c r="D19" s="39" t="s">
        <v>163</v>
      </c>
      <c r="E19" s="40" t="s">
        <v>4396</v>
      </c>
      <c r="F19" s="39" t="s">
        <v>163</v>
      </c>
      <c r="G19" s="39" t="s">
        <v>163</v>
      </c>
      <c r="H19" s="39" t="s">
        <v>3935</v>
      </c>
      <c r="I19" s="81" t="s">
        <v>1305</v>
      </c>
      <c r="J19" s="41"/>
      <c r="K19" s="41"/>
      <c r="L19" s="41"/>
      <c r="M19" s="42" t="str">
        <f t="shared" si="0"/>
        <v xml:space="preserve">Fonatur Infraestructura, S.A. de C.V.  </v>
      </c>
      <c r="N19" s="991" t="s">
        <v>198</v>
      </c>
      <c r="O19" s="991" t="s">
        <v>198</v>
      </c>
      <c r="P19" s="991" t="s">
        <v>4397</v>
      </c>
      <c r="Q19" s="992">
        <v>73275862.069999993</v>
      </c>
      <c r="R19" s="44">
        <f t="shared" si="9"/>
        <v>11724137.9312</v>
      </c>
      <c r="S19" s="45">
        <f t="shared" si="7"/>
        <v>85000000.001199991</v>
      </c>
      <c r="T19" s="46">
        <v>36569123.450000003</v>
      </c>
      <c r="U19" s="47">
        <f t="shared" si="10"/>
        <v>42420183.202000007</v>
      </c>
      <c r="V19" s="44">
        <f t="shared" si="2"/>
        <v>85000000.001199991</v>
      </c>
      <c r="W19" s="993" t="s">
        <v>156</v>
      </c>
      <c r="X19" s="48">
        <v>44564</v>
      </c>
      <c r="Y19" s="39" t="s">
        <v>157</v>
      </c>
      <c r="Z19" s="48">
        <v>44562</v>
      </c>
      <c r="AA19" s="48">
        <v>44926</v>
      </c>
      <c r="AB19" s="38" t="s">
        <v>161</v>
      </c>
      <c r="AC19" s="38"/>
      <c r="AD19" s="59"/>
      <c r="AE19" s="59"/>
      <c r="AF19" s="59"/>
      <c r="AG19" s="59"/>
      <c r="AH19" s="39"/>
      <c r="AI19" s="38" t="s">
        <v>4398</v>
      </c>
      <c r="AJ19" s="211" t="s">
        <v>4399</v>
      </c>
      <c r="AK19" s="218">
        <v>44697</v>
      </c>
      <c r="AL19" s="215">
        <v>0</v>
      </c>
      <c r="AM19" s="163" t="str">
        <f t="shared" ca="1" si="3"/>
        <v>MUERTO</v>
      </c>
      <c r="AN19" s="39"/>
      <c r="AO19" s="39"/>
      <c r="AP19" s="39" t="s">
        <v>157</v>
      </c>
      <c r="AQ19" s="39"/>
      <c r="AR19" s="39" t="s">
        <v>157</v>
      </c>
      <c r="AS19" s="39"/>
      <c r="AT19" s="39"/>
      <c r="AU19" s="51"/>
      <c r="AV19" s="50"/>
      <c r="AW19" s="38"/>
      <c r="AX19" s="52"/>
      <c r="AY19" s="170" t="s">
        <v>4400</v>
      </c>
      <c r="AZ19" s="38"/>
      <c r="BA19" s="38" t="s">
        <v>4393</v>
      </c>
      <c r="BB19" s="73">
        <f t="shared" si="4"/>
        <v>0</v>
      </c>
      <c r="BC19" s="159"/>
      <c r="BD19" s="59">
        <v>44554</v>
      </c>
      <c r="BE19" s="58">
        <v>44557</v>
      </c>
      <c r="BF19" s="58">
        <v>44566</v>
      </c>
      <c r="BG19" s="59">
        <f t="shared" si="8"/>
        <v>44566</v>
      </c>
      <c r="BH19" s="183" t="str">
        <f t="shared" si="5"/>
        <v>Contrato formalizado en tesorería 24/01/22
Modificat formalizado en tesoreria 02/06/22</v>
      </c>
      <c r="BI19" s="195" t="s">
        <v>4401</v>
      </c>
      <c r="BJ19" s="185" t="s">
        <v>4402</v>
      </c>
      <c r="BK19" s="186" t="str">
        <f t="shared" si="6"/>
        <v>Contrato formalizado en tesorería 24/01/22
Modificat formalizado en tesoreria 02/06/22</v>
      </c>
      <c r="BL19" s="84"/>
      <c r="BM19" s="84"/>
      <c r="BN19" s="84"/>
      <c r="BO19" s="84"/>
      <c r="BP19" s="84"/>
    </row>
    <row r="20" spans="1:71" ht="90" x14ac:dyDescent="0.25">
      <c r="A20" s="168" t="s">
        <v>4403</v>
      </c>
      <c r="B20" s="3">
        <v>14</v>
      </c>
      <c r="C20" s="167" t="s">
        <v>149</v>
      </c>
      <c r="D20" s="39" t="s">
        <v>173</v>
      </c>
      <c r="E20" s="40" t="s">
        <v>4404</v>
      </c>
      <c r="F20" s="39" t="s">
        <v>173</v>
      </c>
      <c r="G20" s="39"/>
      <c r="H20" s="39" t="s">
        <v>3785</v>
      </c>
      <c r="I20" s="81" t="s">
        <v>4405</v>
      </c>
      <c r="J20" s="41"/>
      <c r="K20" s="41"/>
      <c r="L20" s="41"/>
      <c r="M20" s="42" t="str">
        <f t="shared" si="0"/>
        <v xml:space="preserve">Efinfo, S.A.P.I. de C.V.  </v>
      </c>
      <c r="N20" s="991" t="s">
        <v>179</v>
      </c>
      <c r="O20" s="991" t="s">
        <v>179</v>
      </c>
      <c r="P20" s="991" t="s">
        <v>4406</v>
      </c>
      <c r="Q20" s="992">
        <v>898800</v>
      </c>
      <c r="R20" s="44">
        <f t="shared" si="9"/>
        <v>143808</v>
      </c>
      <c r="S20" s="45">
        <f t="shared" si="7"/>
        <v>1042608</v>
      </c>
      <c r="T20" s="46">
        <v>0</v>
      </c>
      <c r="U20" s="47">
        <f t="shared" si="10"/>
        <v>0</v>
      </c>
      <c r="V20" s="44">
        <f t="shared" si="2"/>
        <v>1042608</v>
      </c>
      <c r="W20" s="993" t="s">
        <v>156</v>
      </c>
      <c r="X20" s="48">
        <v>44564</v>
      </c>
      <c r="Y20" s="39" t="s">
        <v>157</v>
      </c>
      <c r="Z20" s="48">
        <v>44562</v>
      </c>
      <c r="AA20" s="48">
        <v>44926</v>
      </c>
      <c r="AB20" s="38" t="s">
        <v>3113</v>
      </c>
      <c r="AC20" s="38"/>
      <c r="AD20" s="59"/>
      <c r="AE20" s="59"/>
      <c r="AF20" s="59"/>
      <c r="AG20" s="59"/>
      <c r="AH20" s="39"/>
      <c r="AI20" s="38"/>
      <c r="AJ20" s="38"/>
      <c r="AK20" s="50"/>
      <c r="AL20" s="44"/>
      <c r="AM20" s="163" t="str">
        <f t="shared" ca="1" si="3"/>
        <v>MUERTO</v>
      </c>
      <c r="AN20" s="39"/>
      <c r="AO20" s="39"/>
      <c r="AP20" s="39" t="s">
        <v>157</v>
      </c>
      <c r="AQ20" s="39"/>
      <c r="AR20" s="39" t="s">
        <v>157</v>
      </c>
      <c r="AS20" s="39"/>
      <c r="AT20" s="39"/>
      <c r="AU20" s="51"/>
      <c r="AV20" s="50"/>
      <c r="AW20" s="38"/>
      <c r="AX20" s="52"/>
      <c r="AY20" s="170" t="s">
        <v>4407</v>
      </c>
      <c r="AZ20" s="38"/>
      <c r="BA20" s="38" t="s">
        <v>4408</v>
      </c>
      <c r="BB20" s="73">
        <f t="shared" si="4"/>
        <v>0</v>
      </c>
      <c r="BC20" s="159"/>
      <c r="BD20" s="59">
        <v>44553</v>
      </c>
      <c r="BE20" s="58">
        <v>44554</v>
      </c>
      <c r="BF20" s="58">
        <v>44567</v>
      </c>
      <c r="BG20" s="59">
        <f t="shared" si="8"/>
        <v>44567</v>
      </c>
      <c r="BH20" s="183" t="str">
        <f t="shared" si="5"/>
        <v>Contrato, FC formalizado en tesoreria 01/02/22</v>
      </c>
      <c r="BI20" s="195">
        <v>44574</v>
      </c>
      <c r="BJ20" s="185">
        <v>44572</v>
      </c>
      <c r="BK20" s="186" t="str">
        <f t="shared" si="6"/>
        <v>Contrato, FC formalizado en tesoreria 01/02/22</v>
      </c>
      <c r="BL20" s="84"/>
      <c r="BM20" s="84"/>
      <c r="BN20" s="84"/>
      <c r="BO20" s="84"/>
      <c r="BP20" s="84"/>
    </row>
    <row r="21" spans="1:71" ht="409.5" x14ac:dyDescent="0.25">
      <c r="A21" s="168" t="s">
        <v>4409</v>
      </c>
      <c r="B21" s="3">
        <v>15</v>
      </c>
      <c r="C21" s="167" t="s">
        <v>149</v>
      </c>
      <c r="D21" s="39" t="s">
        <v>163</v>
      </c>
      <c r="E21" s="40" t="s">
        <v>4410</v>
      </c>
      <c r="F21" s="39" t="s">
        <v>163</v>
      </c>
      <c r="G21" s="39" t="s">
        <v>163</v>
      </c>
      <c r="H21" s="39" t="s">
        <v>3986</v>
      </c>
      <c r="I21" s="81" t="s">
        <v>4411</v>
      </c>
      <c r="J21" s="41"/>
      <c r="K21" s="41"/>
      <c r="L21" s="41"/>
      <c r="M21" s="42" t="str">
        <f t="shared" si="0"/>
        <v xml:space="preserve">AC Global Suministradora General, S.A. de C.V.  </v>
      </c>
      <c r="N21" s="991" t="s">
        <v>179</v>
      </c>
      <c r="O21" s="991" t="s">
        <v>179</v>
      </c>
      <c r="P21" s="991" t="s">
        <v>4412</v>
      </c>
      <c r="Q21" s="992">
        <v>6744027.4800000004</v>
      </c>
      <c r="R21" s="235">
        <v>0</v>
      </c>
      <c r="S21" s="45">
        <f t="shared" si="7"/>
        <v>6744027.4800000004</v>
      </c>
      <c r="T21" s="46">
        <v>1891392</v>
      </c>
      <c r="U21" s="47">
        <v>0</v>
      </c>
      <c r="V21" s="44">
        <f t="shared" si="2"/>
        <v>6744027.4800000004</v>
      </c>
      <c r="W21" s="993" t="s">
        <v>156</v>
      </c>
      <c r="X21" s="48">
        <v>44564</v>
      </c>
      <c r="Y21" s="39" t="s">
        <v>157</v>
      </c>
      <c r="Z21" s="48">
        <v>44562</v>
      </c>
      <c r="AA21" s="48">
        <v>44926</v>
      </c>
      <c r="AB21" s="38" t="s">
        <v>4413</v>
      </c>
      <c r="AC21" s="38"/>
      <c r="AD21" s="59"/>
      <c r="AE21" s="59"/>
      <c r="AF21" s="59"/>
      <c r="AG21" s="59"/>
      <c r="AH21" s="39"/>
      <c r="AI21" s="229" t="s">
        <v>4414</v>
      </c>
      <c r="AJ21" s="38"/>
      <c r="AK21" s="50"/>
      <c r="AL21" s="44"/>
      <c r="AM21" s="163" t="str">
        <f t="shared" ca="1" si="3"/>
        <v>MUERTO</v>
      </c>
      <c r="AN21" s="39"/>
      <c r="AO21" s="39"/>
      <c r="AP21" s="39" t="s">
        <v>157</v>
      </c>
      <c r="AQ21" s="39"/>
      <c r="AR21" s="39" t="s">
        <v>157</v>
      </c>
      <c r="AS21" s="39"/>
      <c r="AT21" s="39"/>
      <c r="AU21" s="51"/>
      <c r="AV21" s="50"/>
      <c r="AW21" s="38"/>
      <c r="AX21" s="52"/>
      <c r="AY21" s="170" t="s">
        <v>4415</v>
      </c>
      <c r="AZ21" s="38"/>
      <c r="BA21" s="38" t="s">
        <v>4416</v>
      </c>
      <c r="BB21" s="73"/>
      <c r="BC21" s="159"/>
      <c r="BD21" s="59">
        <v>44560</v>
      </c>
      <c r="BE21" s="59">
        <v>44560</v>
      </c>
      <c r="BF21" s="58">
        <v>44564</v>
      </c>
      <c r="BG21" s="59">
        <f t="shared" si="8"/>
        <v>44564</v>
      </c>
      <c r="BH21" s="183" t="str">
        <f t="shared" si="5"/>
        <v>Contrato formalizado con FC y PRC 26/01/22
se solicitaron devuelvan originales para cambiar montos por estar excentos de IVA
11/02 se envió a tesorería con la hoja que contiene los montos correctos</v>
      </c>
      <c r="BI21" s="195" t="s">
        <v>4417</v>
      </c>
      <c r="BJ21" s="185">
        <v>44571</v>
      </c>
      <c r="BK21" s="186" t="str">
        <f>BH21</f>
        <v>Contrato formalizado con FC y PRC 26/01/22
se solicitaron devuelvan originales para cambiar montos por estar excentos de IVA
11/02 se envió a tesorería con la hoja que contiene los montos correctos</v>
      </c>
      <c r="BL21" s="84"/>
      <c r="BM21" s="84"/>
      <c r="BN21" s="84"/>
      <c r="BO21" s="84"/>
      <c r="BP21" s="84"/>
    </row>
    <row r="22" spans="1:71" ht="90" x14ac:dyDescent="0.25">
      <c r="A22" s="168" t="s">
        <v>4418</v>
      </c>
      <c r="B22" s="3">
        <v>16</v>
      </c>
      <c r="C22" s="167" t="s">
        <v>149</v>
      </c>
      <c r="D22" s="39" t="s">
        <v>163</v>
      </c>
      <c r="E22" s="40" t="s">
        <v>4419</v>
      </c>
      <c r="F22" s="3" t="s">
        <v>2237</v>
      </c>
      <c r="G22" s="685" t="s">
        <v>546</v>
      </c>
      <c r="H22" s="39" t="s">
        <v>4030</v>
      </c>
      <c r="I22" s="81" t="s">
        <v>4420</v>
      </c>
      <c r="J22" s="41"/>
      <c r="K22" s="41"/>
      <c r="L22" s="41"/>
      <c r="M22" s="42" t="str">
        <f t="shared" si="0"/>
        <v xml:space="preserve">Johnson Controls BTS México, S.A. de C.V.  </v>
      </c>
      <c r="N22" s="991" t="s">
        <v>198</v>
      </c>
      <c r="O22" s="991" t="s">
        <v>198</v>
      </c>
      <c r="P22" s="991" t="s">
        <v>4421</v>
      </c>
      <c r="Q22" s="992">
        <v>7810500</v>
      </c>
      <c r="R22" s="44">
        <f t="shared" ref="R22:R56" si="11">Q22*0.16</f>
        <v>1249680</v>
      </c>
      <c r="S22" s="45">
        <f t="shared" si="7"/>
        <v>9060180</v>
      </c>
      <c r="T22" s="46">
        <v>6285500.25</v>
      </c>
      <c r="U22" s="47">
        <f t="shared" ref="U22:U56" si="12">(T22*0.16)+(T22)</f>
        <v>7291180.29</v>
      </c>
      <c r="V22" s="44">
        <f t="shared" si="2"/>
        <v>9060180</v>
      </c>
      <c r="W22" s="993" t="s">
        <v>156</v>
      </c>
      <c r="X22" s="48">
        <v>44564</v>
      </c>
      <c r="Y22" s="39" t="s">
        <v>157</v>
      </c>
      <c r="Z22" s="48">
        <v>44562</v>
      </c>
      <c r="AA22" s="48">
        <v>44926</v>
      </c>
      <c r="AB22" s="38" t="s">
        <v>3787</v>
      </c>
      <c r="AC22" s="38"/>
      <c r="AD22" s="59"/>
      <c r="AE22" s="59"/>
      <c r="AF22" s="59"/>
      <c r="AG22" s="59"/>
      <c r="AH22" s="39"/>
      <c r="AI22" s="38"/>
      <c r="AJ22" s="38"/>
      <c r="AK22" s="50"/>
      <c r="AL22" s="44"/>
      <c r="AM22" s="163" t="str">
        <f t="shared" ca="1" si="3"/>
        <v>MUERTO</v>
      </c>
      <c r="AN22" s="39"/>
      <c r="AO22" s="39"/>
      <c r="AP22" s="39" t="s">
        <v>157</v>
      </c>
      <c r="AQ22" s="39"/>
      <c r="AR22" s="39" t="s">
        <v>157</v>
      </c>
      <c r="AS22" s="39"/>
      <c r="AT22" s="39"/>
      <c r="AU22" s="51"/>
      <c r="AV22" s="50"/>
      <c r="AW22" s="38"/>
      <c r="AX22" s="52"/>
      <c r="AY22" s="170" t="s">
        <v>4422</v>
      </c>
      <c r="AZ22" s="38"/>
      <c r="BA22" s="38" t="s">
        <v>4423</v>
      </c>
      <c r="BB22" s="73">
        <f>AN22</f>
        <v>0</v>
      </c>
      <c r="BC22" s="159"/>
      <c r="BD22" s="59">
        <v>44560</v>
      </c>
      <c r="BE22" s="59">
        <v>44560</v>
      </c>
      <c r="BF22" s="58">
        <v>44567</v>
      </c>
      <c r="BG22" s="59">
        <f t="shared" si="8"/>
        <v>44567</v>
      </c>
      <c r="BH22" s="183" t="str">
        <f t="shared" si="5"/>
        <v>Contrato formalizado con FC y PRC 09/02</v>
      </c>
      <c r="BI22" s="195">
        <v>44574</v>
      </c>
      <c r="BJ22" s="185">
        <v>44572</v>
      </c>
      <c r="BK22" s="186" t="str">
        <f>AY22</f>
        <v>Contrato formalizado con FC y PRC 09/02</v>
      </c>
      <c r="BL22" s="84"/>
      <c r="BM22" s="84"/>
      <c r="BN22" s="84"/>
      <c r="BO22" s="84"/>
      <c r="BP22" s="84"/>
    </row>
    <row r="23" spans="1:71" ht="150" x14ac:dyDescent="0.25">
      <c r="A23" s="196" t="s">
        <v>4424</v>
      </c>
      <c r="B23" s="3">
        <v>17</v>
      </c>
      <c r="C23" s="167" t="s">
        <v>149</v>
      </c>
      <c r="D23" s="39" t="s">
        <v>163</v>
      </c>
      <c r="E23" s="40" t="s">
        <v>4425</v>
      </c>
      <c r="F23" s="3" t="s">
        <v>2237</v>
      </c>
      <c r="G23" s="685" t="s">
        <v>546</v>
      </c>
      <c r="H23" s="39" t="s">
        <v>4185</v>
      </c>
      <c r="I23" s="81" t="s">
        <v>1876</v>
      </c>
      <c r="J23" s="41"/>
      <c r="K23" s="41"/>
      <c r="L23" s="41"/>
      <c r="M23" s="42" t="str">
        <f t="shared" si="0"/>
        <v xml:space="preserve">Silent4business, S.A. de C.V.  </v>
      </c>
      <c r="N23" s="991" t="s">
        <v>656</v>
      </c>
      <c r="O23" s="991" t="s">
        <v>209</v>
      </c>
      <c r="P23" s="991" t="s">
        <v>4426</v>
      </c>
      <c r="Q23" s="992">
        <v>66345000</v>
      </c>
      <c r="R23" s="44">
        <f t="shared" si="11"/>
        <v>10615200</v>
      </c>
      <c r="S23" s="45">
        <f t="shared" si="7"/>
        <v>76960200</v>
      </c>
      <c r="T23" s="46">
        <v>0</v>
      </c>
      <c r="U23" s="47">
        <f t="shared" si="12"/>
        <v>0</v>
      </c>
      <c r="V23" s="215">
        <f t="shared" si="2"/>
        <v>80166875</v>
      </c>
      <c r="W23" s="993" t="s">
        <v>156</v>
      </c>
      <c r="X23" s="48">
        <v>44564</v>
      </c>
      <c r="Y23" s="39" t="s">
        <v>157</v>
      </c>
      <c r="Z23" s="48">
        <v>44562</v>
      </c>
      <c r="AA23" s="213">
        <v>44941</v>
      </c>
      <c r="AB23" s="38" t="s">
        <v>3787</v>
      </c>
      <c r="AC23" s="38"/>
      <c r="AD23" s="59"/>
      <c r="AE23" s="59"/>
      <c r="AF23" s="59"/>
      <c r="AG23" s="59"/>
      <c r="AH23" s="39"/>
      <c r="AI23" s="38" t="s">
        <v>4427</v>
      </c>
      <c r="AJ23" s="211" t="s">
        <v>4428</v>
      </c>
      <c r="AK23" s="218">
        <v>44924</v>
      </c>
      <c r="AL23" s="215">
        <v>3206675</v>
      </c>
      <c r="AM23" s="163" t="str">
        <f t="shared" ca="1" si="3"/>
        <v>MUERTO</v>
      </c>
      <c r="AN23" s="39"/>
      <c r="AO23" s="39"/>
      <c r="AP23" s="39" t="s">
        <v>157</v>
      </c>
      <c r="AQ23" s="39" t="s">
        <v>924</v>
      </c>
      <c r="AR23" s="39" t="s">
        <v>157</v>
      </c>
      <c r="AS23" s="39"/>
      <c r="AT23" s="39"/>
      <c r="AU23" s="51"/>
      <c r="AV23" s="50"/>
      <c r="AW23" s="38"/>
      <c r="AX23" s="52"/>
      <c r="AY23" s="170" t="s">
        <v>4429</v>
      </c>
      <c r="AZ23" s="38"/>
      <c r="BA23" s="38" t="s">
        <v>4430</v>
      </c>
      <c r="BB23" s="73">
        <f>AN23</f>
        <v>0</v>
      </c>
      <c r="BC23" s="159"/>
      <c r="BD23" s="59" t="s">
        <v>4431</v>
      </c>
      <c r="BE23" s="59" t="s">
        <v>4432</v>
      </c>
      <c r="BF23" s="59" t="s">
        <v>4432</v>
      </c>
      <c r="BG23" s="59" t="str">
        <f t="shared" si="8"/>
        <v>Modif 30/12/2022</v>
      </c>
      <c r="BH23" s="183" t="str">
        <f t="shared" si="5"/>
        <v>Contrato formalizado con FC y PRC 09/02
Modificatorio formalizado con endosos 07/02/23</v>
      </c>
      <c r="BI23" s="195" t="s">
        <v>4433</v>
      </c>
      <c r="BJ23" s="185" t="s">
        <v>4434</v>
      </c>
      <c r="BK23" s="186" t="str">
        <f>AY23</f>
        <v>Contrato formalizado con FC y PRC 09/02
Modificatorio formalizado con endosos 07/02/23</v>
      </c>
      <c r="BL23" s="84"/>
      <c r="BM23" s="84"/>
      <c r="BN23" s="84"/>
      <c r="BO23" s="84"/>
      <c r="BP23" s="84"/>
    </row>
    <row r="24" spans="1:71" ht="60" x14ac:dyDescent="0.25">
      <c r="A24" s="168" t="s">
        <v>4435</v>
      </c>
      <c r="B24" s="3">
        <v>18</v>
      </c>
      <c r="C24" s="167" t="s">
        <v>149</v>
      </c>
      <c r="D24" s="39" t="s">
        <v>173</v>
      </c>
      <c r="E24" s="40" t="s">
        <v>4436</v>
      </c>
      <c r="F24" s="39" t="s">
        <v>173</v>
      </c>
      <c r="G24" s="39"/>
      <c r="H24" s="39" t="s">
        <v>3785</v>
      </c>
      <c r="I24" s="81" t="s">
        <v>569</v>
      </c>
      <c r="J24" s="41"/>
      <c r="K24" s="41"/>
      <c r="L24" s="41"/>
      <c r="M24" s="42" t="str">
        <f t="shared" si="0"/>
        <v xml:space="preserve">Audio Video &amp; Control, S.A. de C.V.  </v>
      </c>
      <c r="N24" s="991" t="s">
        <v>190</v>
      </c>
      <c r="O24" s="991" t="s">
        <v>190</v>
      </c>
      <c r="P24" s="991" t="s">
        <v>4437</v>
      </c>
      <c r="Q24" s="992">
        <v>3400000</v>
      </c>
      <c r="R24" s="44">
        <f t="shared" si="11"/>
        <v>544000</v>
      </c>
      <c r="S24" s="45">
        <f t="shared" si="7"/>
        <v>3944000</v>
      </c>
      <c r="T24" s="46">
        <v>2500000</v>
      </c>
      <c r="U24" s="47">
        <f t="shared" si="12"/>
        <v>2900000</v>
      </c>
      <c r="V24" s="44">
        <f t="shared" si="2"/>
        <v>3944000</v>
      </c>
      <c r="W24" s="993" t="s">
        <v>156</v>
      </c>
      <c r="X24" s="48">
        <v>44564</v>
      </c>
      <c r="Y24" s="39" t="s">
        <v>157</v>
      </c>
      <c r="Z24" s="48">
        <v>44562</v>
      </c>
      <c r="AA24" s="48">
        <v>44926</v>
      </c>
      <c r="AB24" s="38" t="s">
        <v>4169</v>
      </c>
      <c r="AC24" s="38"/>
      <c r="AD24" s="59"/>
      <c r="AE24" s="59"/>
      <c r="AF24" s="59"/>
      <c r="AG24" s="59"/>
      <c r="AH24" s="39"/>
      <c r="AI24" s="38"/>
      <c r="AJ24" s="38"/>
      <c r="AK24" s="50"/>
      <c r="AL24" s="44"/>
      <c r="AM24" s="163" t="str">
        <f t="shared" ca="1" si="3"/>
        <v>MUERTO</v>
      </c>
      <c r="AN24" s="39"/>
      <c r="AO24" s="39"/>
      <c r="AP24" s="39" t="s">
        <v>157</v>
      </c>
      <c r="AQ24" s="39"/>
      <c r="AR24" s="39" t="s">
        <v>157</v>
      </c>
      <c r="AS24" s="39"/>
      <c r="AT24" s="39"/>
      <c r="AU24" s="51"/>
      <c r="AV24" s="50"/>
      <c r="AW24" s="38"/>
      <c r="AX24" s="52"/>
      <c r="AY24" s="170" t="s">
        <v>4438</v>
      </c>
      <c r="AZ24" s="38"/>
      <c r="BA24" s="38" t="s">
        <v>3341</v>
      </c>
      <c r="BB24" s="73">
        <f>AN24</f>
        <v>0</v>
      </c>
      <c r="BC24" s="159"/>
      <c r="BD24" s="59">
        <v>44557</v>
      </c>
      <c r="BE24" s="58">
        <v>44558</v>
      </c>
      <c r="BF24" s="58">
        <v>44567</v>
      </c>
      <c r="BG24" s="59">
        <f t="shared" si="8"/>
        <v>44567</v>
      </c>
      <c r="BH24" s="183" t="str">
        <f t="shared" si="5"/>
        <v>Contrato formalizado con FC y PRC 08/02</v>
      </c>
      <c r="BI24" s="195">
        <v>44594</v>
      </c>
      <c r="BJ24" s="185">
        <v>44575</v>
      </c>
      <c r="BK24" s="186" t="str">
        <f>AY24</f>
        <v>Contrato formalizado con FC y PRC 08/02</v>
      </c>
      <c r="BL24" s="84"/>
      <c r="BM24" s="84"/>
      <c r="BN24" s="84"/>
      <c r="BO24" s="84"/>
      <c r="BP24" s="84"/>
    </row>
    <row r="25" spans="1:71" s="468" customFormat="1" ht="150" x14ac:dyDescent="0.25">
      <c r="A25" s="196" t="s">
        <v>4439</v>
      </c>
      <c r="B25" s="3">
        <v>19</v>
      </c>
      <c r="C25" s="167" t="s">
        <v>149</v>
      </c>
      <c r="D25" s="39" t="s">
        <v>163</v>
      </c>
      <c r="E25" s="40" t="s">
        <v>4425</v>
      </c>
      <c r="F25" s="3" t="s">
        <v>2237</v>
      </c>
      <c r="G25" s="685" t="s">
        <v>546</v>
      </c>
      <c r="H25" s="39" t="s">
        <v>4185</v>
      </c>
      <c r="I25" s="81" t="s">
        <v>2937</v>
      </c>
      <c r="J25" s="41"/>
      <c r="K25" s="41"/>
      <c r="L25" s="41"/>
      <c r="M25" s="42" t="str">
        <f t="shared" si="0"/>
        <v xml:space="preserve">Scontinuidad Latam, S.A. de C.V.  </v>
      </c>
      <c r="N25" s="991" t="s">
        <v>656</v>
      </c>
      <c r="O25" s="991" t="s">
        <v>209</v>
      </c>
      <c r="P25" s="991" t="s">
        <v>4440</v>
      </c>
      <c r="Q25" s="992">
        <v>30900862.07</v>
      </c>
      <c r="R25" s="44">
        <f t="shared" si="11"/>
        <v>4944137.9312000005</v>
      </c>
      <c r="S25" s="45">
        <f t="shared" si="7"/>
        <v>35845000.001199998</v>
      </c>
      <c r="T25" s="46">
        <v>0</v>
      </c>
      <c r="U25" s="47">
        <f t="shared" si="12"/>
        <v>0</v>
      </c>
      <c r="V25" s="215">
        <f t="shared" si="2"/>
        <v>36591770.831199996</v>
      </c>
      <c r="W25" s="993" t="s">
        <v>156</v>
      </c>
      <c r="X25" s="48">
        <v>44564</v>
      </c>
      <c r="Y25" s="39" t="s">
        <v>157</v>
      </c>
      <c r="Z25" s="48">
        <v>44562</v>
      </c>
      <c r="AA25" s="213">
        <v>44941</v>
      </c>
      <c r="AB25" s="38" t="s">
        <v>3787</v>
      </c>
      <c r="AC25" s="38"/>
      <c r="AD25" s="59"/>
      <c r="AE25" s="59"/>
      <c r="AF25" s="59"/>
      <c r="AG25" s="59"/>
      <c r="AH25" s="39"/>
      <c r="AI25" s="38" t="s">
        <v>4441</v>
      </c>
      <c r="AJ25" s="211" t="s">
        <v>4428</v>
      </c>
      <c r="AK25" s="218">
        <v>44924</v>
      </c>
      <c r="AL25" s="215">
        <v>746770.83</v>
      </c>
      <c r="AM25" s="163" t="str">
        <f t="shared" ca="1" si="3"/>
        <v>MUERTO</v>
      </c>
      <c r="AN25" s="39"/>
      <c r="AO25" s="39"/>
      <c r="AP25" s="39" t="s">
        <v>157</v>
      </c>
      <c r="AQ25" s="39" t="s">
        <v>924</v>
      </c>
      <c r="AR25" s="39" t="s">
        <v>157</v>
      </c>
      <c r="AS25" s="39"/>
      <c r="AT25" s="39"/>
      <c r="AU25" s="51"/>
      <c r="AV25" s="50"/>
      <c r="AW25" s="38"/>
      <c r="AX25" s="52"/>
      <c r="AY25" s="170" t="s">
        <v>4442</v>
      </c>
      <c r="AZ25" s="38"/>
      <c r="BA25" s="38" t="s">
        <v>4443</v>
      </c>
      <c r="BB25" s="73"/>
      <c r="BC25" s="159"/>
      <c r="BD25" s="59">
        <v>44560</v>
      </c>
      <c r="BE25" s="59">
        <v>44560</v>
      </c>
      <c r="BF25" s="58">
        <v>44564</v>
      </c>
      <c r="BG25" s="59" t="s">
        <v>4444</v>
      </c>
      <c r="BH25" s="183" t="str">
        <f t="shared" si="5"/>
        <v>Contrato formalizado con FC y PRC 26/01/22
Modific formalizado con endosos 27/01/23</v>
      </c>
      <c r="BI25" s="195" t="s">
        <v>4445</v>
      </c>
      <c r="BJ25" s="185" t="s">
        <v>4434</v>
      </c>
      <c r="BK25" s="186" t="str">
        <f>BH25</f>
        <v>Contrato formalizado con FC y PRC 26/01/22
Modific formalizado con endosos 27/01/23</v>
      </c>
      <c r="BL25" s="84"/>
      <c r="BM25" s="84"/>
      <c r="BN25" s="84"/>
      <c r="BO25" s="84"/>
      <c r="BP25" s="84"/>
      <c r="BQ25"/>
      <c r="BR25"/>
      <c r="BS25"/>
    </row>
    <row r="26" spans="1:71" ht="240" x14ac:dyDescent="0.25">
      <c r="A26" s="196" t="s">
        <v>4446</v>
      </c>
      <c r="B26" s="3">
        <v>20</v>
      </c>
      <c r="C26" s="167" t="s">
        <v>149</v>
      </c>
      <c r="D26" s="39" t="s">
        <v>163</v>
      </c>
      <c r="E26" s="40" t="s">
        <v>4447</v>
      </c>
      <c r="F26" s="3" t="s">
        <v>2237</v>
      </c>
      <c r="G26" s="685" t="s">
        <v>546</v>
      </c>
      <c r="H26" s="39" t="s">
        <v>3764</v>
      </c>
      <c r="I26" s="81" t="s">
        <v>757</v>
      </c>
      <c r="J26" s="41"/>
      <c r="K26" s="41"/>
      <c r="L26" s="41"/>
      <c r="M26" s="42" t="str">
        <f t="shared" si="0"/>
        <v xml:space="preserve">Teléfonos de México, S.A.B. de C.V.  </v>
      </c>
      <c r="N26" s="991" t="s">
        <v>656</v>
      </c>
      <c r="O26" s="991" t="s">
        <v>209</v>
      </c>
      <c r="P26" s="991" t="s">
        <v>4448</v>
      </c>
      <c r="Q26" s="1034">
        <v>17854200.850000001</v>
      </c>
      <c r="R26" s="44">
        <f t="shared" si="11"/>
        <v>2856672.1360000004</v>
      </c>
      <c r="S26" s="45">
        <f t="shared" si="7"/>
        <v>20710872.986000001</v>
      </c>
      <c r="T26" s="46">
        <v>2000000</v>
      </c>
      <c r="U26" s="47">
        <f t="shared" si="12"/>
        <v>2320000</v>
      </c>
      <c r="V26" s="111">
        <f t="shared" si="2"/>
        <v>25129682.516000003</v>
      </c>
      <c r="W26" s="993" t="s">
        <v>156</v>
      </c>
      <c r="X26" s="48">
        <v>44564</v>
      </c>
      <c r="Y26" s="39" t="s">
        <v>157</v>
      </c>
      <c r="Z26" s="48">
        <v>44562</v>
      </c>
      <c r="AA26" s="213">
        <v>45016</v>
      </c>
      <c r="AB26" s="38" t="s">
        <v>3113</v>
      </c>
      <c r="AC26" s="38"/>
      <c r="AD26" s="59"/>
      <c r="AE26" s="59"/>
      <c r="AF26" s="59"/>
      <c r="AG26" s="59"/>
      <c r="AH26" s="39"/>
      <c r="AI26" s="38" t="s">
        <v>4449</v>
      </c>
      <c r="AJ26" s="211" t="s">
        <v>4450</v>
      </c>
      <c r="AK26" s="218">
        <v>44924</v>
      </c>
      <c r="AL26" s="215">
        <v>4418809.53</v>
      </c>
      <c r="AM26" s="163" t="str">
        <f t="shared" ca="1" si="3"/>
        <v>MUERTO</v>
      </c>
      <c r="AN26" s="39"/>
      <c r="AO26" s="39"/>
      <c r="AP26" s="39" t="s">
        <v>157</v>
      </c>
      <c r="AQ26" s="39" t="s">
        <v>924</v>
      </c>
      <c r="AR26" s="39" t="s">
        <v>157</v>
      </c>
      <c r="AS26" s="39"/>
      <c r="AT26" s="39"/>
      <c r="AU26" s="51"/>
      <c r="AV26" s="50"/>
      <c r="AW26" s="38"/>
      <c r="AX26" s="52"/>
      <c r="AY26" s="217" t="s">
        <v>4451</v>
      </c>
      <c r="AZ26" s="38"/>
      <c r="BA26" s="38" t="s">
        <v>4318</v>
      </c>
      <c r="BB26" s="73">
        <f t="shared" ref="BB26:BB57" si="13">AN26</f>
        <v>0</v>
      </c>
      <c r="BC26" s="159"/>
      <c r="BD26" s="59">
        <v>44552</v>
      </c>
      <c r="BE26" s="58">
        <v>44553</v>
      </c>
      <c r="BF26" s="58">
        <v>44571</v>
      </c>
      <c r="BG26" s="59" t="s">
        <v>4452</v>
      </c>
      <c r="BH26" s="183" t="str">
        <f t="shared" si="5"/>
        <v>Contrato formalizado y FC en tesorería 24/01/22
14/02 se envió corrección de exento de IVA con endosos de FC y PRC
Modif for allizado con endoso de Fc 20/01/23</v>
      </c>
      <c r="BI26" s="195" t="s">
        <v>4453</v>
      </c>
      <c r="BJ26" s="185" t="s">
        <v>4257</v>
      </c>
      <c r="BK26" s="186" t="str">
        <f t="shared" ref="BK26:BK57" si="14">AY26</f>
        <v>Contrato formalizado y FC en tesorería 24/01/22
14/02 se envió corrección de exento de IVA con endosos de FC y PRC
Modif for allizado con endoso de Fc 20/01/23</v>
      </c>
      <c r="BL26" s="84"/>
      <c r="BM26" s="84"/>
      <c r="BN26" s="84"/>
      <c r="BO26" s="84"/>
      <c r="BP26" s="84"/>
    </row>
    <row r="27" spans="1:71" ht="60" x14ac:dyDescent="0.25">
      <c r="A27" s="168" t="s">
        <v>4454</v>
      </c>
      <c r="B27" s="3">
        <v>21</v>
      </c>
      <c r="C27" s="167" t="s">
        <v>149</v>
      </c>
      <c r="D27" s="39" t="s">
        <v>163</v>
      </c>
      <c r="E27" s="40" t="s">
        <v>4425</v>
      </c>
      <c r="F27" s="3" t="s">
        <v>2237</v>
      </c>
      <c r="G27" s="685" t="s">
        <v>546</v>
      </c>
      <c r="H27" s="39" t="s">
        <v>3764</v>
      </c>
      <c r="I27" s="81" t="s">
        <v>4455</v>
      </c>
      <c r="J27" s="41"/>
      <c r="K27" s="41"/>
      <c r="L27" s="41"/>
      <c r="M27" s="42" t="str">
        <f t="shared" si="0"/>
        <v xml:space="preserve">Programas y Aplicaciónes Certificadas, S.A. de C.V.  </v>
      </c>
      <c r="N27" s="991" t="s">
        <v>860</v>
      </c>
      <c r="O27" s="991" t="s">
        <v>860</v>
      </c>
      <c r="P27" s="991" t="s">
        <v>4456</v>
      </c>
      <c r="Q27" s="992">
        <v>1896000</v>
      </c>
      <c r="R27" s="44">
        <f t="shared" si="11"/>
        <v>303360</v>
      </c>
      <c r="S27" s="45">
        <f t="shared" si="7"/>
        <v>2199360</v>
      </c>
      <c r="T27" s="46">
        <v>0</v>
      </c>
      <c r="U27" s="47">
        <f t="shared" si="12"/>
        <v>0</v>
      </c>
      <c r="V27" s="44">
        <f t="shared" si="2"/>
        <v>2199360</v>
      </c>
      <c r="W27" s="993" t="s">
        <v>156</v>
      </c>
      <c r="X27" s="48">
        <v>44568</v>
      </c>
      <c r="Y27" s="39" t="s">
        <v>157</v>
      </c>
      <c r="Z27" s="48">
        <v>44562</v>
      </c>
      <c r="AA27" s="48">
        <v>44620</v>
      </c>
      <c r="AB27" s="38" t="s">
        <v>3113</v>
      </c>
      <c r="AC27" s="38"/>
      <c r="AD27" s="59"/>
      <c r="AE27" s="59"/>
      <c r="AF27" s="59"/>
      <c r="AG27" s="59"/>
      <c r="AH27" s="39"/>
      <c r="AI27" s="38"/>
      <c r="AJ27" s="38"/>
      <c r="AK27" s="50"/>
      <c r="AL27" s="44"/>
      <c r="AM27" s="163" t="str">
        <f t="shared" ca="1" si="3"/>
        <v>MUERTO</v>
      </c>
      <c r="AN27" s="39"/>
      <c r="AO27" s="39"/>
      <c r="AP27" s="39" t="s">
        <v>157</v>
      </c>
      <c r="AQ27" s="39"/>
      <c r="AR27" s="39" t="s">
        <v>157</v>
      </c>
      <c r="AS27" s="39"/>
      <c r="AT27" s="39"/>
      <c r="AU27" s="51"/>
      <c r="AV27" s="50"/>
      <c r="AW27" s="38"/>
      <c r="AX27" s="52"/>
      <c r="AY27" s="170" t="s">
        <v>4457</v>
      </c>
      <c r="AZ27" s="38"/>
      <c r="BA27" s="38" t="s">
        <v>4458</v>
      </c>
      <c r="BB27" s="73">
        <f t="shared" si="13"/>
        <v>0</v>
      </c>
      <c r="BC27" s="159"/>
      <c r="BD27" s="59">
        <v>44925</v>
      </c>
      <c r="BE27" s="59">
        <v>44925</v>
      </c>
      <c r="BF27" s="58">
        <v>44579</v>
      </c>
      <c r="BG27" s="59">
        <f t="shared" ref="BG27:BG34" si="15">BF27</f>
        <v>44579</v>
      </c>
      <c r="BH27" s="183" t="str">
        <f t="shared" si="5"/>
        <v>Contrato y FC formalizada 03/02/22</v>
      </c>
      <c r="BI27" s="195">
        <v>44586</v>
      </c>
      <c r="BJ27" s="185">
        <v>44582</v>
      </c>
      <c r="BK27" s="186" t="str">
        <f t="shared" si="14"/>
        <v>Contrato y FC formalizada 03/02/22</v>
      </c>
      <c r="BL27" s="84"/>
      <c r="BM27" s="84"/>
      <c r="BN27" s="84"/>
      <c r="BO27" s="84"/>
      <c r="BP27" s="84"/>
    </row>
    <row r="28" spans="1:71" ht="60" x14ac:dyDescent="0.25">
      <c r="A28" s="168" t="s">
        <v>4459</v>
      </c>
      <c r="B28" s="3">
        <v>22</v>
      </c>
      <c r="C28" s="167" t="s">
        <v>149</v>
      </c>
      <c r="D28" s="39" t="s">
        <v>151</v>
      </c>
      <c r="E28" s="40" t="s">
        <v>4460</v>
      </c>
      <c r="F28" s="39" t="s">
        <v>151</v>
      </c>
      <c r="G28" s="39"/>
      <c r="H28" s="39" t="s">
        <v>3793</v>
      </c>
      <c r="I28" s="81" t="s">
        <v>569</v>
      </c>
      <c r="J28" s="41"/>
      <c r="K28" s="41"/>
      <c r="L28" s="41"/>
      <c r="M28" s="42" t="str">
        <f t="shared" si="0"/>
        <v xml:space="preserve">Audio Video &amp; Control, S.A. de C.V.  </v>
      </c>
      <c r="N28" s="991" t="s">
        <v>656</v>
      </c>
      <c r="O28" s="991" t="s">
        <v>4461</v>
      </c>
      <c r="P28" s="991" t="s">
        <v>4462</v>
      </c>
      <c r="Q28" s="992">
        <v>1500000</v>
      </c>
      <c r="R28" s="44">
        <f t="shared" si="11"/>
        <v>240000</v>
      </c>
      <c r="S28" s="45">
        <f t="shared" si="7"/>
        <v>1740000</v>
      </c>
      <c r="T28" s="46">
        <v>600000</v>
      </c>
      <c r="U28" s="47">
        <f t="shared" si="12"/>
        <v>696000</v>
      </c>
      <c r="V28" s="44">
        <f t="shared" si="2"/>
        <v>1740000</v>
      </c>
      <c r="W28" s="993" t="s">
        <v>156</v>
      </c>
      <c r="X28" s="48">
        <v>44578</v>
      </c>
      <c r="Y28" s="39" t="s">
        <v>157</v>
      </c>
      <c r="Z28" s="48">
        <v>44576</v>
      </c>
      <c r="AA28" s="48">
        <v>44926</v>
      </c>
      <c r="AB28" s="38" t="s">
        <v>3787</v>
      </c>
      <c r="AC28" s="38"/>
      <c r="AD28" s="59"/>
      <c r="AE28" s="59"/>
      <c r="AF28" s="59"/>
      <c r="AG28" s="59"/>
      <c r="AH28" s="39"/>
      <c r="AI28" s="38"/>
      <c r="AJ28" s="38"/>
      <c r="AK28" s="50"/>
      <c r="AL28" s="44"/>
      <c r="AM28" s="163" t="str">
        <f t="shared" ca="1" si="3"/>
        <v>MUERTO</v>
      </c>
      <c r="AN28" s="39"/>
      <c r="AO28" s="39"/>
      <c r="AP28" s="39" t="s">
        <v>157</v>
      </c>
      <c r="AQ28" s="39"/>
      <c r="AR28" s="39" t="s">
        <v>157</v>
      </c>
      <c r="AS28" s="39"/>
      <c r="AT28" s="39"/>
      <c r="AU28" s="51"/>
      <c r="AV28" s="50"/>
      <c r="AW28" s="38"/>
      <c r="AX28" s="52"/>
      <c r="AY28" s="170" t="s">
        <v>4463</v>
      </c>
      <c r="AZ28" s="38"/>
      <c r="BA28" s="38" t="s">
        <v>3341</v>
      </c>
      <c r="BB28" s="73">
        <f t="shared" si="13"/>
        <v>0</v>
      </c>
      <c r="BC28" s="159"/>
      <c r="BD28" s="59">
        <v>44572</v>
      </c>
      <c r="BE28" s="58">
        <v>44573</v>
      </c>
      <c r="BF28" s="39"/>
      <c r="BG28" s="59">
        <f t="shared" si="15"/>
        <v>0</v>
      </c>
      <c r="BH28" s="183" t="str">
        <f t="shared" si="5"/>
        <v>Contrato, FC y PRC formalizado 16/02</v>
      </c>
      <c r="BI28" s="195">
        <v>44586</v>
      </c>
      <c r="BJ28" s="185">
        <v>44579</v>
      </c>
      <c r="BK28" s="186" t="str">
        <f t="shared" si="14"/>
        <v>Contrato, FC y PRC formalizado 16/02</v>
      </c>
      <c r="BL28" s="84"/>
      <c r="BM28" s="84"/>
      <c r="BN28" s="84"/>
      <c r="BO28" s="84"/>
      <c r="BP28" s="84"/>
    </row>
    <row r="29" spans="1:71" ht="225" x14ac:dyDescent="0.25">
      <c r="A29" s="196" t="s">
        <v>4464</v>
      </c>
      <c r="B29" s="3">
        <v>23</v>
      </c>
      <c r="C29" s="167" t="s">
        <v>149</v>
      </c>
      <c r="D29" s="39" t="s">
        <v>163</v>
      </c>
      <c r="E29" s="40" t="s">
        <v>4465</v>
      </c>
      <c r="F29" s="39" t="s">
        <v>163</v>
      </c>
      <c r="G29" s="39" t="s">
        <v>163</v>
      </c>
      <c r="H29" s="39" t="s">
        <v>2064</v>
      </c>
      <c r="I29" s="42" t="s">
        <v>4466</v>
      </c>
      <c r="J29" s="41"/>
      <c r="K29" s="41"/>
      <c r="L29" s="41"/>
      <c r="M29" s="42" t="str">
        <f t="shared" si="0"/>
        <v xml:space="preserve">Aquí se está Mejor, S.A. de C.V.  </v>
      </c>
      <c r="N29" s="991" t="s">
        <v>190</v>
      </c>
      <c r="O29" s="991" t="s">
        <v>190</v>
      </c>
      <c r="P29" s="991" t="s">
        <v>4467</v>
      </c>
      <c r="Q29" s="992">
        <v>5800000</v>
      </c>
      <c r="R29" s="44">
        <f t="shared" si="11"/>
        <v>928000</v>
      </c>
      <c r="S29" s="45">
        <f t="shared" si="7"/>
        <v>6728000</v>
      </c>
      <c r="T29" s="46">
        <v>2600000</v>
      </c>
      <c r="U29" s="47">
        <f t="shared" si="12"/>
        <v>3016000</v>
      </c>
      <c r="V29" s="215">
        <f t="shared" si="2"/>
        <v>7830000</v>
      </c>
      <c r="W29" s="993" t="s">
        <v>156</v>
      </c>
      <c r="X29" s="48">
        <v>44592</v>
      </c>
      <c r="Y29" s="39" t="s">
        <v>157</v>
      </c>
      <c r="Z29" s="48">
        <v>44593</v>
      </c>
      <c r="AA29" s="48">
        <v>44926</v>
      </c>
      <c r="AB29" s="110" t="s">
        <v>4468</v>
      </c>
      <c r="AC29" s="38"/>
      <c r="AD29" s="59"/>
      <c r="AE29" s="59"/>
      <c r="AF29" s="59"/>
      <c r="AG29" s="59"/>
      <c r="AH29" s="39"/>
      <c r="AI29" s="38" t="s">
        <v>4469</v>
      </c>
      <c r="AJ29" s="211" t="s">
        <v>4470</v>
      </c>
      <c r="AK29" s="218">
        <v>44855</v>
      </c>
      <c r="AL29" s="215">
        <v>1102000</v>
      </c>
      <c r="AM29" s="163" t="str">
        <f t="shared" ca="1" si="3"/>
        <v>MUERTO</v>
      </c>
      <c r="AN29" s="39"/>
      <c r="AO29" s="39"/>
      <c r="AP29" s="39" t="s">
        <v>157</v>
      </c>
      <c r="AQ29" s="39" t="s">
        <v>881</v>
      </c>
      <c r="AR29" s="39" t="s">
        <v>193</v>
      </c>
      <c r="AS29" s="39"/>
      <c r="AT29" s="39"/>
      <c r="AU29" s="51"/>
      <c r="AV29" s="50"/>
      <c r="AW29" s="38"/>
      <c r="AX29" s="52"/>
      <c r="AY29" s="170" t="s">
        <v>4471</v>
      </c>
      <c r="AZ29" s="38"/>
      <c r="BA29" s="38" t="s">
        <v>4472</v>
      </c>
      <c r="BB29" s="73">
        <f t="shared" si="13"/>
        <v>0</v>
      </c>
      <c r="BC29" s="159"/>
      <c r="BD29" s="59" t="s">
        <v>4473</v>
      </c>
      <c r="BE29" s="58" t="s">
        <v>4474</v>
      </c>
      <c r="BF29" s="58" t="s">
        <v>4475</v>
      </c>
      <c r="BG29" s="59" t="str">
        <f t="shared" si="15"/>
        <v>30/0128/01
24/10/2022
14/12/2022</v>
      </c>
      <c r="BH29" s="183" t="str">
        <f t="shared" si="5"/>
        <v xml:space="preserve">Formalizado con FC, PRC y DESOCUPACIÓN 22/02
Modificatorio formalizado 05/12/22
2do Modif formalizado con garantias 27/12/22
</v>
      </c>
      <c r="BI29" s="195" t="s">
        <v>4476</v>
      </c>
      <c r="BJ29" s="185" t="s">
        <v>4477</v>
      </c>
      <c r="BK29" s="186" t="str">
        <f t="shared" si="14"/>
        <v xml:space="preserve">Formalizado con FC, PRC y DESOCUPACIÓN 22/02
Modificatorio formalizado 05/12/22
2do Modif formalizado con garantias 27/12/22
</v>
      </c>
      <c r="BL29" s="84"/>
      <c r="BM29" s="84"/>
      <c r="BN29" s="84"/>
      <c r="BO29" s="84"/>
      <c r="BP29" s="84"/>
    </row>
    <row r="30" spans="1:71" ht="75" x14ac:dyDescent="0.25">
      <c r="A30" s="168" t="s">
        <v>4478</v>
      </c>
      <c r="B30" s="3">
        <v>24</v>
      </c>
      <c r="C30" s="167" t="s">
        <v>149</v>
      </c>
      <c r="D30" s="39" t="s">
        <v>163</v>
      </c>
      <c r="E30" s="40" t="s">
        <v>4479</v>
      </c>
      <c r="F30" s="39" t="s">
        <v>163</v>
      </c>
      <c r="G30" s="39" t="s">
        <v>163</v>
      </c>
      <c r="H30" s="39" t="s">
        <v>4480</v>
      </c>
      <c r="I30" s="81" t="s">
        <v>1381</v>
      </c>
      <c r="J30" s="41"/>
      <c r="K30" s="41"/>
      <c r="L30" s="41"/>
      <c r="M30" s="42" t="str">
        <f t="shared" si="0"/>
        <v xml:space="preserve">Viajes Escalona, S.A.  </v>
      </c>
      <c r="N30" s="991" t="s">
        <v>4481</v>
      </c>
      <c r="O30" s="991" t="s">
        <v>4481</v>
      </c>
      <c r="P30" s="991" t="s">
        <v>4482</v>
      </c>
      <c r="Q30" s="992">
        <v>0</v>
      </c>
      <c r="R30" s="235">
        <f t="shared" si="11"/>
        <v>0</v>
      </c>
      <c r="S30" s="45">
        <f t="shared" si="7"/>
        <v>0</v>
      </c>
      <c r="T30" s="46">
        <v>0</v>
      </c>
      <c r="U30" s="47">
        <f t="shared" si="12"/>
        <v>0</v>
      </c>
      <c r="V30" s="44">
        <f t="shared" si="2"/>
        <v>0</v>
      </c>
      <c r="W30" s="993" t="s">
        <v>156</v>
      </c>
      <c r="X30" s="48">
        <v>44593</v>
      </c>
      <c r="Y30" s="39" t="s">
        <v>193</v>
      </c>
      <c r="Z30" s="48">
        <v>44593</v>
      </c>
      <c r="AA30" s="48">
        <v>44926</v>
      </c>
      <c r="AB30" s="38" t="s">
        <v>2050</v>
      </c>
      <c r="AC30" s="38"/>
      <c r="AD30" s="59"/>
      <c r="AE30" s="59"/>
      <c r="AF30" s="59"/>
      <c r="AG30" s="59"/>
      <c r="AH30" s="39"/>
      <c r="AI30" s="38"/>
      <c r="AJ30" s="38"/>
      <c r="AK30" s="50"/>
      <c r="AL30" s="44"/>
      <c r="AM30" s="163" t="str">
        <f t="shared" ca="1" si="3"/>
        <v>MUERTO</v>
      </c>
      <c r="AN30" s="39"/>
      <c r="AO30" s="39"/>
      <c r="AP30" s="39" t="s">
        <v>193</v>
      </c>
      <c r="AQ30" s="39"/>
      <c r="AR30" s="39" t="s">
        <v>193</v>
      </c>
      <c r="AS30" s="39"/>
      <c r="AT30" s="39"/>
      <c r="AU30" s="51"/>
      <c r="AV30" s="50"/>
      <c r="AW30" s="38"/>
      <c r="AX30" s="52"/>
      <c r="AY30" s="170" t="s">
        <v>4483</v>
      </c>
      <c r="AZ30" s="38"/>
      <c r="BA30" s="38" t="str">
        <f>VLOOKUP(I30,[2]RFC!$1:$1048576,2,0)</f>
        <v>VES760311V75</v>
      </c>
      <c r="BB30" s="73">
        <f t="shared" si="13"/>
        <v>0</v>
      </c>
      <c r="BC30" s="159"/>
      <c r="BD30" s="59">
        <v>44586</v>
      </c>
      <c r="BE30" s="58">
        <v>44587</v>
      </c>
      <c r="BF30" s="58">
        <v>44594</v>
      </c>
      <c r="BG30" s="59">
        <f t="shared" si="15"/>
        <v>44594</v>
      </c>
      <c r="BH30" s="183" t="str">
        <f t="shared" si="5"/>
        <v>Contrato formalizado 16/02</v>
      </c>
      <c r="BI30" s="195">
        <v>44607</v>
      </c>
      <c r="BJ30" s="185">
        <v>44595</v>
      </c>
      <c r="BK30" s="186" t="str">
        <f t="shared" si="14"/>
        <v>Contrato formalizado 16/02</v>
      </c>
      <c r="BL30" s="84"/>
      <c r="BM30" s="84"/>
      <c r="BN30" s="84"/>
      <c r="BO30" s="84"/>
      <c r="BP30" s="84"/>
    </row>
    <row r="31" spans="1:71" ht="75" x14ac:dyDescent="0.25">
      <c r="A31" s="168" t="s">
        <v>4484</v>
      </c>
      <c r="B31" s="3">
        <v>25</v>
      </c>
      <c r="C31" s="167" t="s">
        <v>149</v>
      </c>
      <c r="D31" s="39" t="s">
        <v>163</v>
      </c>
      <c r="E31" s="40" t="s">
        <v>4479</v>
      </c>
      <c r="F31" s="39" t="s">
        <v>163</v>
      </c>
      <c r="G31" s="39" t="s">
        <v>163</v>
      </c>
      <c r="H31" s="39" t="s">
        <v>4480</v>
      </c>
      <c r="I31" s="81" t="s">
        <v>4485</v>
      </c>
      <c r="J31" s="41"/>
      <c r="K31" s="41"/>
      <c r="L31" s="41"/>
      <c r="M31" s="42" t="str">
        <f t="shared" si="0"/>
        <v xml:space="preserve">Viajes Helvetia, S.A de C.V.  </v>
      </c>
      <c r="N31" s="991" t="s">
        <v>4481</v>
      </c>
      <c r="O31" s="991" t="s">
        <v>4481</v>
      </c>
      <c r="P31" s="991" t="s">
        <v>4486</v>
      </c>
      <c r="Q31" s="992">
        <v>0</v>
      </c>
      <c r="R31" s="235">
        <f t="shared" si="11"/>
        <v>0</v>
      </c>
      <c r="S31" s="45">
        <f t="shared" si="7"/>
        <v>0</v>
      </c>
      <c r="T31" s="46">
        <v>0</v>
      </c>
      <c r="U31" s="47">
        <f t="shared" si="12"/>
        <v>0</v>
      </c>
      <c r="V31" s="44">
        <f t="shared" si="2"/>
        <v>0</v>
      </c>
      <c r="W31" s="993" t="s">
        <v>156</v>
      </c>
      <c r="X31" s="48">
        <v>44593</v>
      </c>
      <c r="Y31" s="39" t="s">
        <v>193</v>
      </c>
      <c r="Z31" s="48">
        <v>44593</v>
      </c>
      <c r="AA31" s="48">
        <v>44926</v>
      </c>
      <c r="AB31" s="38" t="s">
        <v>2050</v>
      </c>
      <c r="AC31" s="38"/>
      <c r="AD31" s="59"/>
      <c r="AE31" s="59"/>
      <c r="AF31" s="59"/>
      <c r="AG31" s="59"/>
      <c r="AH31" s="39"/>
      <c r="AI31" s="38"/>
      <c r="AJ31" s="38"/>
      <c r="AK31" s="50"/>
      <c r="AL31" s="44"/>
      <c r="AM31" s="163" t="str">
        <f t="shared" ca="1" si="3"/>
        <v>MUERTO</v>
      </c>
      <c r="AN31" s="39"/>
      <c r="AO31" s="39"/>
      <c r="AP31" s="39" t="s">
        <v>193</v>
      </c>
      <c r="AQ31" s="39"/>
      <c r="AR31" s="39" t="s">
        <v>193</v>
      </c>
      <c r="AS31" s="39"/>
      <c r="AT31" s="39"/>
      <c r="AU31" s="51"/>
      <c r="AV31" s="50"/>
      <c r="AW31" s="38"/>
      <c r="AX31" s="52"/>
      <c r="AY31" s="170" t="s">
        <v>4483</v>
      </c>
      <c r="AZ31" s="38"/>
      <c r="BA31" s="38" t="s">
        <v>4487</v>
      </c>
      <c r="BB31" s="73">
        <f t="shared" si="13"/>
        <v>0</v>
      </c>
      <c r="BC31" s="159"/>
      <c r="BD31" s="59">
        <v>44586</v>
      </c>
      <c r="BE31" s="58">
        <v>44589</v>
      </c>
      <c r="BF31" s="58">
        <v>44594</v>
      </c>
      <c r="BG31" s="59">
        <f t="shared" si="15"/>
        <v>44594</v>
      </c>
      <c r="BH31" s="183" t="str">
        <f t="shared" si="5"/>
        <v>Contrato formalizado 16/02</v>
      </c>
      <c r="BI31" s="195">
        <v>44607</v>
      </c>
      <c r="BJ31" s="185">
        <v>44607</v>
      </c>
      <c r="BK31" s="186" t="str">
        <f t="shared" si="14"/>
        <v>Contrato formalizado 16/02</v>
      </c>
      <c r="BL31" s="84"/>
      <c r="BM31" s="84"/>
      <c r="BN31" s="84"/>
      <c r="BO31" s="84"/>
      <c r="BP31" s="84"/>
    </row>
    <row r="32" spans="1:71" ht="75" x14ac:dyDescent="0.25">
      <c r="A32" s="168" t="s">
        <v>4488</v>
      </c>
      <c r="B32" s="3">
        <v>26</v>
      </c>
      <c r="C32" s="167" t="s">
        <v>149</v>
      </c>
      <c r="D32" s="39" t="s">
        <v>163</v>
      </c>
      <c r="E32" s="40" t="s">
        <v>4479</v>
      </c>
      <c r="F32" s="39" t="s">
        <v>163</v>
      </c>
      <c r="G32" s="39" t="s">
        <v>163</v>
      </c>
      <c r="H32" s="39" t="s">
        <v>4480</v>
      </c>
      <c r="I32" s="81" t="s">
        <v>1411</v>
      </c>
      <c r="J32" s="41"/>
      <c r="K32" s="41"/>
      <c r="L32" s="41"/>
      <c r="M32" s="42" t="str">
        <f t="shared" si="0"/>
        <v xml:space="preserve">G-Travel Express, S.A. de C.V.  </v>
      </c>
      <c r="N32" s="991" t="s">
        <v>4481</v>
      </c>
      <c r="O32" s="991" t="s">
        <v>4481</v>
      </c>
      <c r="P32" s="991" t="s">
        <v>4482</v>
      </c>
      <c r="Q32" s="992">
        <v>0</v>
      </c>
      <c r="R32" s="235">
        <f t="shared" si="11"/>
        <v>0</v>
      </c>
      <c r="S32" s="45">
        <f t="shared" si="7"/>
        <v>0</v>
      </c>
      <c r="T32" s="46">
        <v>0</v>
      </c>
      <c r="U32" s="47">
        <f t="shared" si="12"/>
        <v>0</v>
      </c>
      <c r="V32" s="44">
        <f t="shared" si="2"/>
        <v>0</v>
      </c>
      <c r="W32" s="993" t="s">
        <v>156</v>
      </c>
      <c r="X32" s="48">
        <v>44593</v>
      </c>
      <c r="Y32" s="39" t="s">
        <v>193</v>
      </c>
      <c r="Z32" s="48">
        <v>44593</v>
      </c>
      <c r="AA32" s="48">
        <v>44926</v>
      </c>
      <c r="AB32" s="38" t="s">
        <v>2050</v>
      </c>
      <c r="AC32" s="38"/>
      <c r="AD32" s="59"/>
      <c r="AE32" s="59"/>
      <c r="AF32" s="59"/>
      <c r="AG32" s="59"/>
      <c r="AH32" s="39"/>
      <c r="AI32" s="38"/>
      <c r="AJ32" s="38"/>
      <c r="AK32" s="50"/>
      <c r="AL32" s="44"/>
      <c r="AM32" s="163" t="str">
        <f t="shared" ca="1" si="3"/>
        <v>MUERTO</v>
      </c>
      <c r="AN32" s="39"/>
      <c r="AO32" s="39"/>
      <c r="AP32" s="39" t="s">
        <v>193</v>
      </c>
      <c r="AQ32" s="39"/>
      <c r="AR32" s="39" t="s">
        <v>193</v>
      </c>
      <c r="AS32" s="39"/>
      <c r="AT32" s="39"/>
      <c r="AU32" s="51"/>
      <c r="AV32" s="50"/>
      <c r="AW32" s="38"/>
      <c r="AX32" s="52"/>
      <c r="AY32" s="170" t="s">
        <v>4489</v>
      </c>
      <c r="AZ32" s="38"/>
      <c r="BA32" s="38" t="s">
        <v>3782</v>
      </c>
      <c r="BB32" s="73">
        <f t="shared" si="13"/>
        <v>0</v>
      </c>
      <c r="BC32" s="159"/>
      <c r="BD32" s="59">
        <v>44586</v>
      </c>
      <c r="BE32" s="58">
        <v>44589</v>
      </c>
      <c r="BF32" s="58">
        <v>44594</v>
      </c>
      <c r="BG32" s="59">
        <f t="shared" si="15"/>
        <v>44594</v>
      </c>
      <c r="BH32" s="183" t="str">
        <f t="shared" si="5"/>
        <v>Formalizado en tesoreria 22/02</v>
      </c>
      <c r="BI32" s="195">
        <v>44614</v>
      </c>
      <c r="BJ32" s="185">
        <v>44610</v>
      </c>
      <c r="BK32" s="186" t="str">
        <f t="shared" si="14"/>
        <v>Formalizado en tesoreria 22/02</v>
      </c>
      <c r="BL32" s="84"/>
      <c r="BM32" s="84"/>
      <c r="BN32" s="84"/>
      <c r="BO32" s="84"/>
      <c r="BP32" s="84"/>
    </row>
    <row r="33" spans="1:71" ht="120" x14ac:dyDescent="0.25">
      <c r="A33" s="168" t="s">
        <v>4490</v>
      </c>
      <c r="B33" s="3">
        <v>27</v>
      </c>
      <c r="C33" s="167" t="s">
        <v>149</v>
      </c>
      <c r="D33" s="39" t="s">
        <v>163</v>
      </c>
      <c r="E33" s="40" t="s">
        <v>4491</v>
      </c>
      <c r="F33" s="39" t="s">
        <v>163</v>
      </c>
      <c r="G33" s="39" t="s">
        <v>163</v>
      </c>
      <c r="H33" s="39" t="s">
        <v>4492</v>
      </c>
      <c r="I33" s="81" t="s">
        <v>4493</v>
      </c>
      <c r="J33" s="41"/>
      <c r="K33" s="41"/>
      <c r="L33" s="41"/>
      <c r="M33" s="42" t="str">
        <f t="shared" si="0"/>
        <v xml:space="preserve">Estrategia en Estacionamientos y Valet Parking, S.A. de C.V.  </v>
      </c>
      <c r="N33" s="991" t="s">
        <v>301</v>
      </c>
      <c r="O33" s="991" t="s">
        <v>301</v>
      </c>
      <c r="P33" s="991" t="s">
        <v>4494</v>
      </c>
      <c r="Q33" s="992">
        <v>6293103.4500000002</v>
      </c>
      <c r="R33" s="44">
        <f t="shared" si="11"/>
        <v>1006896.552</v>
      </c>
      <c r="S33" s="45">
        <f t="shared" si="7"/>
        <v>7300000.0020000003</v>
      </c>
      <c r="T33" s="46">
        <v>2517241.37</v>
      </c>
      <c r="U33" s="47">
        <f t="shared" si="12"/>
        <v>2919999.9892000002</v>
      </c>
      <c r="V33" s="44">
        <f t="shared" si="2"/>
        <v>7300000.0020000003</v>
      </c>
      <c r="W33" s="993" t="s">
        <v>156</v>
      </c>
      <c r="X33" s="48">
        <v>44593</v>
      </c>
      <c r="Y33" s="39" t="s">
        <v>193</v>
      </c>
      <c r="Z33" s="48">
        <v>44593</v>
      </c>
      <c r="AA33" s="48">
        <v>44926</v>
      </c>
      <c r="AB33" s="38" t="s">
        <v>2050</v>
      </c>
      <c r="AC33" s="38"/>
      <c r="AD33" s="59"/>
      <c r="AE33" s="59"/>
      <c r="AF33" s="59"/>
      <c r="AG33" s="59"/>
      <c r="AH33" s="39"/>
      <c r="AI33" s="38"/>
      <c r="AJ33" s="38"/>
      <c r="AK33" s="50"/>
      <c r="AL33" s="44"/>
      <c r="AM33" s="163" t="str">
        <f t="shared" ca="1" si="3"/>
        <v>MUERTO</v>
      </c>
      <c r="AN33" s="39"/>
      <c r="AO33" s="39"/>
      <c r="AP33" s="39" t="s">
        <v>193</v>
      </c>
      <c r="AQ33" s="39"/>
      <c r="AR33" s="39" t="s">
        <v>193</v>
      </c>
      <c r="AS33" s="39"/>
      <c r="AT33" s="39"/>
      <c r="AU33" s="51"/>
      <c r="AV33" s="50"/>
      <c r="AW33" s="38"/>
      <c r="AX33" s="52"/>
      <c r="AY33" s="170" t="s">
        <v>4483</v>
      </c>
      <c r="AZ33" s="38"/>
      <c r="BA33" s="38" t="s">
        <v>4495</v>
      </c>
      <c r="BB33" s="73">
        <f t="shared" si="13"/>
        <v>0</v>
      </c>
      <c r="BC33" s="159"/>
      <c r="BD33" s="59">
        <v>44593</v>
      </c>
      <c r="BE33" s="59">
        <v>44593</v>
      </c>
      <c r="BF33" s="58">
        <v>44601</v>
      </c>
      <c r="BG33" s="59">
        <f t="shared" si="15"/>
        <v>44601</v>
      </c>
      <c r="BH33" s="183" t="str">
        <f t="shared" si="5"/>
        <v>Contrato formalizado 16/02</v>
      </c>
      <c r="BI33" s="195">
        <v>44608</v>
      </c>
      <c r="BJ33" s="185">
        <v>44607</v>
      </c>
      <c r="BK33" s="186" t="str">
        <f t="shared" si="14"/>
        <v>Contrato formalizado 16/02</v>
      </c>
      <c r="BL33" s="84"/>
      <c r="BM33" s="84"/>
      <c r="BN33" s="84"/>
      <c r="BO33" s="84"/>
      <c r="BP33" s="84"/>
    </row>
    <row r="34" spans="1:71" ht="60" x14ac:dyDescent="0.25">
      <c r="A34" s="168" t="s">
        <v>4496</v>
      </c>
      <c r="B34" s="3">
        <v>28</v>
      </c>
      <c r="C34" s="167" t="s">
        <v>225</v>
      </c>
      <c r="D34" s="39" t="s">
        <v>151</v>
      </c>
      <c r="E34" s="40" t="s">
        <v>4497</v>
      </c>
      <c r="F34" s="39" t="s">
        <v>151</v>
      </c>
      <c r="G34" s="39"/>
      <c r="H34" s="39" t="s">
        <v>3793</v>
      </c>
      <c r="I34" s="81" t="s">
        <v>4498</v>
      </c>
      <c r="J34" s="41"/>
      <c r="K34" s="41"/>
      <c r="L34" s="41"/>
      <c r="M34" s="42" t="str">
        <f t="shared" si="0"/>
        <v xml:space="preserve">Cadgrafics, S.A. de C.V.  </v>
      </c>
      <c r="N34" s="991" t="s">
        <v>656</v>
      </c>
      <c r="O34" s="991" t="s">
        <v>656</v>
      </c>
      <c r="P34" s="991" t="s">
        <v>4499</v>
      </c>
      <c r="Q34" s="992">
        <v>1450840</v>
      </c>
      <c r="R34" s="44">
        <f t="shared" si="11"/>
        <v>232134.39999999999</v>
      </c>
      <c r="S34" s="45">
        <f t="shared" si="7"/>
        <v>1682974.4</v>
      </c>
      <c r="T34" s="46">
        <v>0</v>
      </c>
      <c r="U34" s="47">
        <f t="shared" si="12"/>
        <v>0</v>
      </c>
      <c r="V34" s="44">
        <f t="shared" si="2"/>
        <v>1682974.4</v>
      </c>
      <c r="W34" s="993" t="s">
        <v>156</v>
      </c>
      <c r="X34" s="48">
        <v>44609</v>
      </c>
      <c r="Y34" s="109" t="s">
        <v>193</v>
      </c>
      <c r="Z34" s="48">
        <v>44609</v>
      </c>
      <c r="AA34" s="48">
        <v>44926</v>
      </c>
      <c r="AB34" s="38" t="s">
        <v>4500</v>
      </c>
      <c r="AC34" s="38"/>
      <c r="AD34" s="59"/>
      <c r="AE34" s="59"/>
      <c r="AF34" s="59"/>
      <c r="AG34" s="59"/>
      <c r="AH34" s="39"/>
      <c r="AI34" s="38"/>
      <c r="AJ34" s="38"/>
      <c r="AK34" s="50"/>
      <c r="AL34" s="44"/>
      <c r="AM34" s="163" t="str">
        <f t="shared" ca="1" si="3"/>
        <v>MUERTO</v>
      </c>
      <c r="AN34" s="39"/>
      <c r="AO34" s="39"/>
      <c r="AP34" s="39" t="s">
        <v>193</v>
      </c>
      <c r="AQ34" s="39"/>
      <c r="AR34" s="39" t="s">
        <v>193</v>
      </c>
      <c r="AS34" s="39"/>
      <c r="AT34" s="39"/>
      <c r="AU34" s="51"/>
      <c r="AV34" s="50"/>
      <c r="AW34" s="38"/>
      <c r="AX34" s="52"/>
      <c r="AY34" s="170" t="s">
        <v>4501</v>
      </c>
      <c r="AZ34" s="38"/>
      <c r="BA34" s="38" t="str">
        <f>VLOOKUP(I34,[2]RFC!$1:$1048576,2,0)</f>
        <v>CAD901017276</v>
      </c>
      <c r="BB34" s="73">
        <f t="shared" si="13"/>
        <v>0</v>
      </c>
      <c r="BC34" s="159"/>
      <c r="BD34" s="59">
        <v>44606</v>
      </c>
      <c r="BE34" s="58">
        <v>44607</v>
      </c>
      <c r="BF34" s="58">
        <v>44613</v>
      </c>
      <c r="BG34" s="59">
        <f t="shared" si="15"/>
        <v>44613</v>
      </c>
      <c r="BH34" s="183" t="str">
        <f t="shared" si="5"/>
        <v>Contrato formalizado con FC 03/03/22</v>
      </c>
      <c r="BI34" s="195">
        <v>44617</v>
      </c>
      <c r="BJ34" s="185">
        <v>44613</v>
      </c>
      <c r="BK34" s="186" t="str">
        <f t="shared" si="14"/>
        <v>Contrato formalizado con FC 03/03/22</v>
      </c>
      <c r="BL34" s="84"/>
      <c r="BM34" s="84"/>
      <c r="BN34" s="84"/>
      <c r="BO34" s="84"/>
      <c r="BP34" s="84"/>
    </row>
    <row r="35" spans="1:71" ht="135" x14ac:dyDescent="0.25">
      <c r="A35" s="196" t="s">
        <v>4502</v>
      </c>
      <c r="B35" s="3">
        <v>29</v>
      </c>
      <c r="C35" s="167" t="s">
        <v>149</v>
      </c>
      <c r="D35" s="39" t="s">
        <v>173</v>
      </c>
      <c r="E35" s="40" t="s">
        <v>4503</v>
      </c>
      <c r="F35" s="39" t="s">
        <v>173</v>
      </c>
      <c r="G35" s="39"/>
      <c r="H35" s="39" t="s">
        <v>4272</v>
      </c>
      <c r="I35" s="81" t="s">
        <v>4455</v>
      </c>
      <c r="J35" s="41"/>
      <c r="K35" s="41"/>
      <c r="L35" s="41"/>
      <c r="M35" s="42" t="str">
        <f t="shared" ref="M35:M66" si="16">I35&amp;J35&amp;" "&amp;K35&amp;" "&amp;L35</f>
        <v xml:space="preserve">Programas y Aplicaciónes Certificadas, S.A. de C.V.  </v>
      </c>
      <c r="N35" s="991" t="s">
        <v>860</v>
      </c>
      <c r="O35" s="991" t="s">
        <v>861</v>
      </c>
      <c r="P35" s="991" t="s">
        <v>4504</v>
      </c>
      <c r="Q35" s="992">
        <v>16560000</v>
      </c>
      <c r="R35" s="44">
        <f t="shared" si="11"/>
        <v>2649600</v>
      </c>
      <c r="S35" s="45">
        <f t="shared" si="7"/>
        <v>19209600</v>
      </c>
      <c r="T35" s="46">
        <v>0</v>
      </c>
      <c r="U35" s="47">
        <f t="shared" si="12"/>
        <v>0</v>
      </c>
      <c r="V35" s="215">
        <f t="shared" si="2"/>
        <v>24012000</v>
      </c>
      <c r="W35" s="993" t="s">
        <v>183</v>
      </c>
      <c r="X35" s="48">
        <v>44621</v>
      </c>
      <c r="Y35" s="39" t="s">
        <v>234</v>
      </c>
      <c r="Z35" s="48">
        <v>44621</v>
      </c>
      <c r="AA35" s="213">
        <v>45077</v>
      </c>
      <c r="AB35" s="38" t="s">
        <v>3787</v>
      </c>
      <c r="AC35" s="38"/>
      <c r="AD35" s="59"/>
      <c r="AE35" s="59"/>
      <c r="AF35" s="59"/>
      <c r="AG35" s="59"/>
      <c r="AH35" s="39"/>
      <c r="AI35" s="38" t="s">
        <v>4505</v>
      </c>
      <c r="AJ35" s="211" t="s">
        <v>4506</v>
      </c>
      <c r="AK35" s="218">
        <v>44971</v>
      </c>
      <c r="AL35" s="215">
        <v>4802400</v>
      </c>
      <c r="AM35" s="163" t="str">
        <f t="shared" ca="1" si="3"/>
        <v>MUERTO</v>
      </c>
      <c r="AN35" s="39"/>
      <c r="AO35" s="39"/>
      <c r="AP35" s="39" t="s">
        <v>234</v>
      </c>
      <c r="AQ35" s="39" t="s">
        <v>193</v>
      </c>
      <c r="AR35" s="39" t="s">
        <v>234</v>
      </c>
      <c r="AS35" s="39"/>
      <c r="AT35" s="39"/>
      <c r="AU35" s="51"/>
      <c r="AV35" s="50"/>
      <c r="AW35" s="38"/>
      <c r="AX35" s="52"/>
      <c r="AY35" s="170" t="s">
        <v>4507</v>
      </c>
      <c r="AZ35" s="38"/>
      <c r="BA35" s="38" t="s">
        <v>4458</v>
      </c>
      <c r="BB35" s="73">
        <f t="shared" si="13"/>
        <v>0</v>
      </c>
      <c r="BC35" s="159"/>
      <c r="BD35" s="59">
        <v>44603</v>
      </c>
      <c r="BE35" s="58">
        <v>44606</v>
      </c>
      <c r="BF35" s="58">
        <v>44608</v>
      </c>
      <c r="BG35" s="59" t="s">
        <v>4508</v>
      </c>
      <c r="BH35" s="183" t="str">
        <f t="shared" si="5"/>
        <v>Contrato formalizado con FC 24/03
Modificatorio formalizado con FC 15/03/23</v>
      </c>
      <c r="BI35" s="195" t="s">
        <v>4509</v>
      </c>
      <c r="BJ35" s="185" t="s">
        <v>4510</v>
      </c>
      <c r="BK35" s="186" t="str">
        <f t="shared" si="14"/>
        <v>Contrato formalizado con FC 24/03
Modificatorio formalizado con FC 15/03/23</v>
      </c>
      <c r="BL35" s="84"/>
      <c r="BM35" s="84"/>
      <c r="BN35" s="84">
        <v>16008000</v>
      </c>
      <c r="BO35" s="84">
        <v>8004000</v>
      </c>
      <c r="BP35" s="84"/>
    </row>
    <row r="36" spans="1:71" ht="45" x14ac:dyDescent="0.25">
      <c r="A36" s="168" t="s">
        <v>4511</v>
      </c>
      <c r="B36" s="3">
        <v>30</v>
      </c>
      <c r="C36" s="167" t="s">
        <v>149</v>
      </c>
      <c r="D36" s="39" t="s">
        <v>163</v>
      </c>
      <c r="E36" s="40" t="s">
        <v>4512</v>
      </c>
      <c r="F36" s="39" t="s">
        <v>163</v>
      </c>
      <c r="G36" s="39" t="s">
        <v>163</v>
      </c>
      <c r="H36" s="39" t="s">
        <v>3935</v>
      </c>
      <c r="I36" s="81" t="s">
        <v>4513</v>
      </c>
      <c r="J36" s="41"/>
      <c r="K36" s="41"/>
      <c r="L36" s="41"/>
      <c r="M36" s="42" t="str">
        <f t="shared" si="16"/>
        <v xml:space="preserve">Idiomas Iztapalapa, S.C.  </v>
      </c>
      <c r="N36" s="991" t="s">
        <v>370</v>
      </c>
      <c r="O36" s="991" t="s">
        <v>3359</v>
      </c>
      <c r="P36" s="991" t="s">
        <v>4514</v>
      </c>
      <c r="Q36" s="992">
        <v>775862.07</v>
      </c>
      <c r="R36" s="44">
        <f t="shared" si="11"/>
        <v>124137.93119999999</v>
      </c>
      <c r="S36" s="45">
        <f t="shared" si="7"/>
        <v>900000.00119999994</v>
      </c>
      <c r="T36" s="46">
        <v>0</v>
      </c>
      <c r="U36" s="47">
        <f t="shared" si="12"/>
        <v>0</v>
      </c>
      <c r="V36" s="44">
        <f t="shared" si="2"/>
        <v>900000.00119999994</v>
      </c>
      <c r="W36" s="993" t="s">
        <v>156</v>
      </c>
      <c r="X36" s="48">
        <v>44621</v>
      </c>
      <c r="Y36" s="39" t="s">
        <v>234</v>
      </c>
      <c r="Z36" s="48">
        <v>44621</v>
      </c>
      <c r="AA36" s="48">
        <v>44926</v>
      </c>
      <c r="AB36" s="38" t="s">
        <v>2050</v>
      </c>
      <c r="AC36" s="38"/>
      <c r="AD36" s="59"/>
      <c r="AE36" s="59"/>
      <c r="AF36" s="59"/>
      <c r="AG36" s="59"/>
      <c r="AH36" s="39"/>
      <c r="AI36" s="38"/>
      <c r="AJ36" s="38"/>
      <c r="AK36" s="50"/>
      <c r="AL36" s="44"/>
      <c r="AM36" s="163" t="str">
        <f t="shared" ca="1" si="3"/>
        <v>MUERTO</v>
      </c>
      <c r="AN36" s="39"/>
      <c r="AO36" s="39"/>
      <c r="AP36" s="39" t="s">
        <v>234</v>
      </c>
      <c r="AQ36" s="39"/>
      <c r="AR36" s="39" t="s">
        <v>234</v>
      </c>
      <c r="AS36" s="39"/>
      <c r="AT36" s="39"/>
      <c r="AU36" s="51"/>
      <c r="AV36" s="50"/>
      <c r="AW36" s="38"/>
      <c r="AX36" s="52"/>
      <c r="AY36" s="170" t="s">
        <v>4515</v>
      </c>
      <c r="AZ36" s="38"/>
      <c r="BA36" s="38" t="s">
        <v>4516</v>
      </c>
      <c r="BB36" s="73">
        <f t="shared" si="13"/>
        <v>0</v>
      </c>
      <c r="BC36" s="159"/>
      <c r="BD36" s="59">
        <v>44607</v>
      </c>
      <c r="BE36" s="58">
        <v>44607</v>
      </c>
      <c r="BF36" s="58">
        <v>44613</v>
      </c>
      <c r="BG36" s="59">
        <f>BF36</f>
        <v>44613</v>
      </c>
      <c r="BH36" s="183" t="str">
        <f t="shared" si="5"/>
        <v>Contrato formalizado 23/02</v>
      </c>
      <c r="BI36" s="195">
        <v>44615</v>
      </c>
      <c r="BJ36" s="185">
        <v>44613</v>
      </c>
      <c r="BK36" s="186" t="str">
        <f t="shared" si="14"/>
        <v>Contrato formalizado 23/02</v>
      </c>
      <c r="BL36" s="84"/>
      <c r="BM36" s="84"/>
      <c r="BN36" s="84"/>
      <c r="BO36" s="84"/>
      <c r="BP36" s="84"/>
    </row>
    <row r="37" spans="1:71" ht="60" x14ac:dyDescent="0.25">
      <c r="A37" s="168" t="s">
        <v>4517</v>
      </c>
      <c r="B37" s="3">
        <v>31</v>
      </c>
      <c r="C37" s="167" t="s">
        <v>225</v>
      </c>
      <c r="D37" s="39" t="s">
        <v>173</v>
      </c>
      <c r="E37" s="40" t="s">
        <v>4518</v>
      </c>
      <c r="F37" s="39" t="s">
        <v>173</v>
      </c>
      <c r="G37" s="39"/>
      <c r="H37" s="39" t="s">
        <v>4272</v>
      </c>
      <c r="I37" s="81" t="s">
        <v>511</v>
      </c>
      <c r="J37" s="41"/>
      <c r="K37" s="41"/>
      <c r="L37" s="41"/>
      <c r="M37" s="42" t="str">
        <f t="shared" si="16"/>
        <v xml:space="preserve">Cicovisa, S.A. de C.V.  </v>
      </c>
      <c r="N37" s="991" t="s">
        <v>1933</v>
      </c>
      <c r="O37" s="991" t="s">
        <v>1933</v>
      </c>
      <c r="P37" s="991" t="s">
        <v>4519</v>
      </c>
      <c r="Q37" s="992">
        <v>4571608.47</v>
      </c>
      <c r="R37" s="44">
        <f t="shared" si="11"/>
        <v>731457.35519999999</v>
      </c>
      <c r="S37" s="45">
        <f t="shared" si="7"/>
        <v>5303065.8251999998</v>
      </c>
      <c r="T37" s="46">
        <v>1828643.39</v>
      </c>
      <c r="U37" s="47">
        <f t="shared" si="12"/>
        <v>2121226.3323999997</v>
      </c>
      <c r="V37" s="44">
        <f t="shared" si="2"/>
        <v>5303065.8251999998</v>
      </c>
      <c r="W37" s="993" t="s">
        <v>156</v>
      </c>
      <c r="X37" s="48">
        <v>44615</v>
      </c>
      <c r="Y37" s="39" t="s">
        <v>193</v>
      </c>
      <c r="Z37" s="48">
        <v>44615</v>
      </c>
      <c r="AA37" s="48">
        <v>44926</v>
      </c>
      <c r="AB37" s="38" t="s">
        <v>3113</v>
      </c>
      <c r="AC37" s="38"/>
      <c r="AD37" s="59"/>
      <c r="AE37" s="59"/>
      <c r="AF37" s="59"/>
      <c r="AG37" s="59"/>
      <c r="AH37" s="39"/>
      <c r="AI37" s="38"/>
      <c r="AJ37" s="38"/>
      <c r="AK37" s="50"/>
      <c r="AL37" s="44"/>
      <c r="AM37" s="163" t="str">
        <f t="shared" ca="1" si="3"/>
        <v>MUERTO</v>
      </c>
      <c r="AN37" s="39"/>
      <c r="AO37" s="39"/>
      <c r="AP37" s="39" t="s">
        <v>3316</v>
      </c>
      <c r="AQ37" s="39"/>
      <c r="AR37" s="39" t="s">
        <v>3316</v>
      </c>
      <c r="AS37" s="39"/>
      <c r="AT37" s="39"/>
      <c r="AU37" s="51"/>
      <c r="AV37" s="50"/>
      <c r="AW37" s="38"/>
      <c r="AX37" s="52"/>
      <c r="AY37" s="170" t="s">
        <v>4520</v>
      </c>
      <c r="AZ37" s="38"/>
      <c r="BA37" s="38" t="str">
        <f>VLOOKUP(I37,[2]RFC!$1:$1048576,2,0)</f>
        <v>CIC8308165A4</v>
      </c>
      <c r="BB37" s="73">
        <f t="shared" si="13"/>
        <v>0</v>
      </c>
      <c r="BC37" s="159"/>
      <c r="BD37" s="59">
        <v>44613</v>
      </c>
      <c r="BE37" s="58">
        <v>44614</v>
      </c>
      <c r="BF37" s="58">
        <v>44615</v>
      </c>
      <c r="BG37" s="59">
        <f>BF37</f>
        <v>44615</v>
      </c>
      <c r="BH37" s="183" t="str">
        <f t="shared" si="5"/>
        <v>Contrato formalizado con FC 18/03</v>
      </c>
      <c r="BI37" s="195">
        <v>44627</v>
      </c>
      <c r="BJ37" s="185">
        <v>44621</v>
      </c>
      <c r="BK37" s="186" t="str">
        <f t="shared" si="14"/>
        <v>Contrato formalizado con FC 18/03</v>
      </c>
      <c r="BL37" s="84"/>
      <c r="BM37" s="84"/>
      <c r="BN37" s="84"/>
      <c r="BO37" s="84"/>
      <c r="BP37" s="84"/>
    </row>
    <row r="38" spans="1:71" ht="60" x14ac:dyDescent="0.25">
      <c r="A38" s="168" t="s">
        <v>4521</v>
      </c>
      <c r="B38" s="3">
        <v>32</v>
      </c>
      <c r="C38" s="167" t="s">
        <v>225</v>
      </c>
      <c r="D38" s="39" t="s">
        <v>173</v>
      </c>
      <c r="E38" s="40" t="s">
        <v>4518</v>
      </c>
      <c r="F38" s="39" t="s">
        <v>173</v>
      </c>
      <c r="G38" s="39"/>
      <c r="H38" s="39" t="s">
        <v>4272</v>
      </c>
      <c r="I38" s="81" t="s">
        <v>522</v>
      </c>
      <c r="J38" s="41"/>
      <c r="K38" s="41"/>
      <c r="L38" s="41"/>
      <c r="M38" s="42" t="str">
        <f t="shared" si="16"/>
        <v xml:space="preserve">Papelera Anzures, S.A. de C.V.  </v>
      </c>
      <c r="N38" s="991" t="s">
        <v>1933</v>
      </c>
      <c r="O38" s="991" t="s">
        <v>1933</v>
      </c>
      <c r="P38" s="991" t="s">
        <v>4522</v>
      </c>
      <c r="Q38" s="992">
        <v>1885983.73</v>
      </c>
      <c r="R38" s="44">
        <f t="shared" si="11"/>
        <v>301757.39679999999</v>
      </c>
      <c r="S38" s="45">
        <f t="shared" si="7"/>
        <v>2187741.1267999997</v>
      </c>
      <c r="T38" s="46">
        <v>754393.49</v>
      </c>
      <c r="U38" s="47">
        <f t="shared" si="12"/>
        <v>875096.44839999999</v>
      </c>
      <c r="V38" s="44">
        <f t="shared" ref="V38:V69" si="17">S38+AL38</f>
        <v>2187741.1267999997</v>
      </c>
      <c r="W38" s="993" t="s">
        <v>156</v>
      </c>
      <c r="X38" s="48">
        <v>44615</v>
      </c>
      <c r="Y38" s="39" t="s">
        <v>193</v>
      </c>
      <c r="Z38" s="48">
        <v>44615</v>
      </c>
      <c r="AA38" s="48">
        <v>44926</v>
      </c>
      <c r="AB38" s="38" t="s">
        <v>3113</v>
      </c>
      <c r="AC38" s="38"/>
      <c r="AD38" s="59"/>
      <c r="AE38" s="59"/>
      <c r="AF38" s="59"/>
      <c r="AG38" s="59"/>
      <c r="AH38" s="39"/>
      <c r="AI38" s="38"/>
      <c r="AJ38" s="38"/>
      <c r="AK38" s="50"/>
      <c r="AL38" s="44"/>
      <c r="AM38" s="163" t="str">
        <f t="shared" ref="AM38:AM69" ca="1" si="18">IF(ISBLANK(AA38),"",IF(AA38&gt;=TODAY(),"VIGENTE","MUERTO"))</f>
        <v>MUERTO</v>
      </c>
      <c r="AN38" s="39"/>
      <c r="AO38" s="39"/>
      <c r="AP38" s="39" t="s">
        <v>3316</v>
      </c>
      <c r="AQ38" s="39"/>
      <c r="AR38" s="39" t="s">
        <v>3316</v>
      </c>
      <c r="AS38" s="39"/>
      <c r="AT38" s="39"/>
      <c r="AU38" s="51"/>
      <c r="AV38" s="50"/>
      <c r="AW38" s="38"/>
      <c r="AX38" s="52"/>
      <c r="AY38" s="170" t="s">
        <v>4501</v>
      </c>
      <c r="AZ38" s="38"/>
      <c r="BA38" s="38" t="str">
        <f>VLOOKUP(I38,[2]RFC!$1:$1048576,2,0)</f>
        <v>PAN910613PB0</v>
      </c>
      <c r="BB38" s="73">
        <f t="shared" si="13"/>
        <v>0</v>
      </c>
      <c r="BC38" s="159"/>
      <c r="BD38" s="59">
        <v>44613</v>
      </c>
      <c r="BE38" s="58">
        <v>44614</v>
      </c>
      <c r="BF38" s="58">
        <v>44616</v>
      </c>
      <c r="BG38" s="59">
        <f>BF38</f>
        <v>44616</v>
      </c>
      <c r="BH38" s="183" t="str">
        <f t="shared" ref="BH38:BH69" si="19">AY38</f>
        <v>Contrato formalizado con FC 03/03/22</v>
      </c>
      <c r="BI38" s="195">
        <v>44622</v>
      </c>
      <c r="BJ38" s="185">
        <v>44621</v>
      </c>
      <c r="BK38" s="186" t="str">
        <f t="shared" si="14"/>
        <v>Contrato formalizado con FC 03/03/22</v>
      </c>
      <c r="BL38" s="84"/>
      <c r="BM38" s="84"/>
      <c r="BN38" s="84"/>
      <c r="BO38" s="84"/>
      <c r="BP38" s="84"/>
    </row>
    <row r="39" spans="1:71" ht="60" x14ac:dyDescent="0.25">
      <c r="A39" s="168" t="s">
        <v>4523</v>
      </c>
      <c r="B39" s="3">
        <v>33</v>
      </c>
      <c r="C39" s="167" t="s">
        <v>225</v>
      </c>
      <c r="D39" s="39" t="s">
        <v>173</v>
      </c>
      <c r="E39" s="40" t="s">
        <v>4518</v>
      </c>
      <c r="F39" s="39" t="s">
        <v>173</v>
      </c>
      <c r="G39" s="39"/>
      <c r="H39" s="39" t="s">
        <v>4272</v>
      </c>
      <c r="I39" s="81"/>
      <c r="J39" s="41" t="s">
        <v>4524</v>
      </c>
      <c r="K39" s="41" t="s">
        <v>467</v>
      </c>
      <c r="L39" s="41" t="s">
        <v>4525</v>
      </c>
      <c r="M39" s="42" t="str">
        <f t="shared" si="16"/>
        <v>Miguel Ángel Gutiérrez Gil</v>
      </c>
      <c r="N39" s="991" t="s">
        <v>1933</v>
      </c>
      <c r="O39" s="991" t="s">
        <v>1933</v>
      </c>
      <c r="P39" s="991" t="s">
        <v>4526</v>
      </c>
      <c r="Q39" s="992">
        <v>1537324.29</v>
      </c>
      <c r="R39" s="44">
        <f t="shared" si="11"/>
        <v>245971.88640000002</v>
      </c>
      <c r="S39" s="45">
        <f t="shared" ref="S39:S70" si="20">Q39+R39</f>
        <v>1783296.1764</v>
      </c>
      <c r="T39" s="46">
        <v>614929.72</v>
      </c>
      <c r="U39" s="47">
        <f t="shared" si="12"/>
        <v>713318.47519999999</v>
      </c>
      <c r="V39" s="44">
        <f t="shared" si="17"/>
        <v>1783296.1764</v>
      </c>
      <c r="W39" s="993" t="s">
        <v>156</v>
      </c>
      <c r="X39" s="48">
        <v>44615</v>
      </c>
      <c r="Y39" s="39" t="s">
        <v>193</v>
      </c>
      <c r="Z39" s="48">
        <v>44615</v>
      </c>
      <c r="AA39" s="48">
        <v>44926</v>
      </c>
      <c r="AB39" s="38" t="s">
        <v>3113</v>
      </c>
      <c r="AC39" s="38"/>
      <c r="AD39" s="59"/>
      <c r="AE39" s="59"/>
      <c r="AF39" s="59"/>
      <c r="AG39" s="59"/>
      <c r="AH39" s="39"/>
      <c r="AI39" s="38"/>
      <c r="AJ39" s="38"/>
      <c r="AK39" s="50"/>
      <c r="AL39" s="44"/>
      <c r="AM39" s="163" t="str">
        <f t="shared" ca="1" si="18"/>
        <v>MUERTO</v>
      </c>
      <c r="AN39" s="39"/>
      <c r="AO39" s="39"/>
      <c r="AP39" s="39" t="s">
        <v>3316</v>
      </c>
      <c r="AQ39" s="39"/>
      <c r="AR39" s="39" t="s">
        <v>3316</v>
      </c>
      <c r="AS39" s="39"/>
      <c r="AT39" s="39"/>
      <c r="AU39" s="51"/>
      <c r="AV39" s="50"/>
      <c r="AW39" s="38"/>
      <c r="AX39" s="52"/>
      <c r="AY39" s="170" t="s">
        <v>4527</v>
      </c>
      <c r="AZ39" s="38"/>
      <c r="BA39" s="38" t="s">
        <v>4528</v>
      </c>
      <c r="BB39" s="73">
        <f t="shared" si="13"/>
        <v>0</v>
      </c>
      <c r="BC39" s="159"/>
      <c r="BD39" s="59">
        <v>44613</v>
      </c>
      <c r="BE39" s="58">
        <v>44614</v>
      </c>
      <c r="BF39" s="58">
        <v>44616</v>
      </c>
      <c r="BG39" s="59">
        <f>BF39</f>
        <v>44616</v>
      </c>
      <c r="BH39" s="183" t="str">
        <f t="shared" si="19"/>
        <v>Contrato formalizado con FC 15/03</v>
      </c>
      <c r="BI39" s="195">
        <v>44622</v>
      </c>
      <c r="BJ39" s="185">
        <v>44621</v>
      </c>
      <c r="BK39" s="186" t="str">
        <f t="shared" si="14"/>
        <v>Contrato formalizado con FC 15/03</v>
      </c>
      <c r="BL39" s="84"/>
      <c r="BM39" s="84"/>
      <c r="BN39" s="84"/>
      <c r="BO39" s="84"/>
      <c r="BP39" s="84"/>
    </row>
    <row r="40" spans="1:71" ht="150" x14ac:dyDescent="0.25">
      <c r="A40" s="168" t="s">
        <v>4529</v>
      </c>
      <c r="B40" s="3">
        <v>34</v>
      </c>
      <c r="C40" s="167" t="s">
        <v>149</v>
      </c>
      <c r="D40" s="39" t="s">
        <v>163</v>
      </c>
      <c r="E40" s="40" t="s">
        <v>4530</v>
      </c>
      <c r="F40" s="39" t="s">
        <v>163</v>
      </c>
      <c r="G40" s="39" t="s">
        <v>163</v>
      </c>
      <c r="H40" s="39" t="s">
        <v>2064</v>
      </c>
      <c r="I40" s="81" t="s">
        <v>4531</v>
      </c>
      <c r="J40" s="41"/>
      <c r="K40" s="41"/>
      <c r="L40" s="41"/>
      <c r="M40" s="42" t="str">
        <f t="shared" si="16"/>
        <v xml:space="preserve">Centro de Estudios para un Proyecto Nacional Alternativo, S.C.  </v>
      </c>
      <c r="N40" s="991" t="s">
        <v>2065</v>
      </c>
      <c r="O40" s="991" t="s">
        <v>2065</v>
      </c>
      <c r="P40" s="991" t="s">
        <v>4532</v>
      </c>
      <c r="Q40" s="992">
        <v>2875000</v>
      </c>
      <c r="R40" s="44">
        <f t="shared" si="11"/>
        <v>460000</v>
      </c>
      <c r="S40" s="45">
        <f t="shared" si="20"/>
        <v>3335000</v>
      </c>
      <c r="T40" s="46">
        <v>0</v>
      </c>
      <c r="U40" s="47">
        <f t="shared" si="12"/>
        <v>0</v>
      </c>
      <c r="V40" s="44">
        <f t="shared" si="17"/>
        <v>3335000</v>
      </c>
      <c r="W40" s="993" t="s">
        <v>156</v>
      </c>
      <c r="X40" s="48">
        <v>44621</v>
      </c>
      <c r="Y40" s="39" t="s">
        <v>234</v>
      </c>
      <c r="Z40" s="48">
        <v>44621</v>
      </c>
      <c r="AA40" s="48">
        <v>44926</v>
      </c>
      <c r="AB40" s="38" t="s">
        <v>2050</v>
      </c>
      <c r="AC40" s="38"/>
      <c r="AD40" s="59"/>
      <c r="AE40" s="59"/>
      <c r="AF40" s="59"/>
      <c r="AG40" s="59"/>
      <c r="AH40" s="39"/>
      <c r="AI40" s="38"/>
      <c r="AJ40" s="38"/>
      <c r="AK40" s="50"/>
      <c r="AL40" s="44"/>
      <c r="AM40" s="163" t="str">
        <f t="shared" ca="1" si="18"/>
        <v>MUERTO</v>
      </c>
      <c r="AN40" s="39"/>
      <c r="AO40" s="39"/>
      <c r="AP40" s="39" t="s">
        <v>234</v>
      </c>
      <c r="AQ40" s="39"/>
      <c r="AR40" s="39" t="s">
        <v>234</v>
      </c>
      <c r="AS40" s="39"/>
      <c r="AT40" s="39"/>
      <c r="AU40" s="51"/>
      <c r="AV40" s="50"/>
      <c r="AW40" s="38"/>
      <c r="AX40" s="52"/>
      <c r="AY40" s="170" t="s">
        <v>4533</v>
      </c>
      <c r="AZ40" s="38"/>
      <c r="BA40" s="38" t="s">
        <v>4534</v>
      </c>
      <c r="BB40" s="73">
        <f t="shared" si="13"/>
        <v>0</v>
      </c>
      <c r="BC40" s="159"/>
      <c r="BD40" s="59">
        <v>44615</v>
      </c>
      <c r="BE40" s="58">
        <v>44615</v>
      </c>
      <c r="BF40" s="58">
        <v>44638</v>
      </c>
      <c r="BG40" s="59">
        <f>BF40</f>
        <v>44638</v>
      </c>
      <c r="BH40" s="183" t="str">
        <f t="shared" si="19"/>
        <v>Contrato formalizado y FCen tesorería 25/03 (08/03)</v>
      </c>
      <c r="BI40" s="195">
        <v>44643</v>
      </c>
      <c r="BJ40" s="185">
        <v>44643</v>
      </c>
      <c r="BK40" s="186" t="str">
        <f t="shared" si="14"/>
        <v>Contrato formalizado y FCen tesorería 25/03 (08/03)</v>
      </c>
      <c r="BL40" s="84"/>
      <c r="BM40" s="84"/>
      <c r="BN40" s="84"/>
      <c r="BO40" s="84"/>
      <c r="BP40" s="84"/>
    </row>
    <row r="41" spans="1:71" s="468" customFormat="1" ht="135" x14ac:dyDescent="0.25">
      <c r="A41" s="196" t="s">
        <v>4535</v>
      </c>
      <c r="B41" s="3">
        <v>35</v>
      </c>
      <c r="C41" s="167" t="s">
        <v>149</v>
      </c>
      <c r="D41" s="39" t="s">
        <v>151</v>
      </c>
      <c r="E41" s="39" t="s">
        <v>4536</v>
      </c>
      <c r="F41" s="39" t="s">
        <v>151</v>
      </c>
      <c r="G41" s="39"/>
      <c r="H41" s="39" t="s">
        <v>3793</v>
      </c>
      <c r="I41" s="81" t="s">
        <v>4537</v>
      </c>
      <c r="J41" s="41"/>
      <c r="K41" s="41"/>
      <c r="L41" s="41"/>
      <c r="M41" s="42" t="str">
        <f t="shared" si="16"/>
        <v xml:space="preserve">Escalator, Elevator &amp; Electromechanics Enterprise, S.A. de C.V.  </v>
      </c>
      <c r="N41" s="991" t="s">
        <v>4538</v>
      </c>
      <c r="O41" s="991" t="s">
        <v>4538</v>
      </c>
      <c r="P41" s="991" t="s">
        <v>4539</v>
      </c>
      <c r="Q41" s="992">
        <v>1470000</v>
      </c>
      <c r="R41" s="44">
        <f t="shared" si="11"/>
        <v>235200</v>
      </c>
      <c r="S41" s="45">
        <f t="shared" si="20"/>
        <v>1705200</v>
      </c>
      <c r="T41" s="46">
        <v>700000</v>
      </c>
      <c r="U41" s="47">
        <f t="shared" si="12"/>
        <v>812000</v>
      </c>
      <c r="V41" s="215">
        <f t="shared" si="17"/>
        <v>2131500</v>
      </c>
      <c r="W41" s="993" t="s">
        <v>156</v>
      </c>
      <c r="X41" s="48">
        <v>44621</v>
      </c>
      <c r="Y41" s="39" t="s">
        <v>234</v>
      </c>
      <c r="Z41" s="48">
        <v>44621</v>
      </c>
      <c r="AA41" s="213">
        <v>44985</v>
      </c>
      <c r="AB41" s="38" t="s">
        <v>3787</v>
      </c>
      <c r="AC41" s="38"/>
      <c r="AD41" s="59"/>
      <c r="AE41" s="59"/>
      <c r="AF41" s="59"/>
      <c r="AG41" s="59"/>
      <c r="AH41" s="39"/>
      <c r="AI41" s="38" t="s">
        <v>4540</v>
      </c>
      <c r="AJ41" s="211" t="s">
        <v>4541</v>
      </c>
      <c r="AK41" s="218">
        <v>44916</v>
      </c>
      <c r="AL41" s="215">
        <v>426300</v>
      </c>
      <c r="AM41" s="163" t="str">
        <f t="shared" ca="1" si="18"/>
        <v>MUERTO</v>
      </c>
      <c r="AN41" s="39"/>
      <c r="AO41" s="39"/>
      <c r="AP41" s="39" t="s">
        <v>234</v>
      </c>
      <c r="AQ41" s="39" t="s">
        <v>924</v>
      </c>
      <c r="AR41" s="39" t="s">
        <v>234</v>
      </c>
      <c r="AS41" s="39"/>
      <c r="AT41" s="39"/>
      <c r="AU41" s="51"/>
      <c r="AV41" s="50"/>
      <c r="AW41" s="38"/>
      <c r="AX41" s="52"/>
      <c r="AY41" s="170" t="s">
        <v>4542</v>
      </c>
      <c r="AZ41" s="38"/>
      <c r="BA41" s="38" t="str">
        <f>VLOOKUP(I41,[2]RFC!$1:$1048576,2,0)</f>
        <v>EEA1006077G5</v>
      </c>
      <c r="BB41" s="73">
        <f t="shared" si="13"/>
        <v>0</v>
      </c>
      <c r="BC41" s="159"/>
      <c r="BD41" s="59">
        <v>44614</v>
      </c>
      <c r="BE41" s="58">
        <v>44615</v>
      </c>
      <c r="BF41" s="59" t="s">
        <v>4543</v>
      </c>
      <c r="BG41" s="59" t="s">
        <v>4543</v>
      </c>
      <c r="BH41" s="183" t="str">
        <f t="shared" si="19"/>
        <v>Contrato formalizado con FC 16/03
Modific formalizado con endosos 30/01/23</v>
      </c>
      <c r="BI41" s="195" t="s">
        <v>4544</v>
      </c>
      <c r="BJ41" s="185" t="s">
        <v>4545</v>
      </c>
      <c r="BK41" s="186" t="str">
        <f t="shared" si="14"/>
        <v>Contrato formalizado con FC 16/03
Modific formalizado con endosos 30/01/23</v>
      </c>
      <c r="BL41" s="84"/>
      <c r="BM41" s="84"/>
      <c r="BN41" s="84"/>
      <c r="BO41" s="84"/>
      <c r="BP41" s="84"/>
      <c r="BQ41"/>
      <c r="BR41"/>
      <c r="BS41"/>
    </row>
    <row r="42" spans="1:71" ht="150" x14ac:dyDescent="0.25">
      <c r="A42" s="196" t="s">
        <v>4546</v>
      </c>
      <c r="B42" s="3">
        <v>36</v>
      </c>
      <c r="C42" s="167" t="s">
        <v>149</v>
      </c>
      <c r="D42" s="39" t="s">
        <v>163</v>
      </c>
      <c r="E42" s="40" t="s">
        <v>4547</v>
      </c>
      <c r="F42" s="39" t="s">
        <v>163</v>
      </c>
      <c r="G42" s="39" t="s">
        <v>163</v>
      </c>
      <c r="H42" s="39" t="s">
        <v>3986</v>
      </c>
      <c r="I42" s="81" t="s">
        <v>4055</v>
      </c>
      <c r="J42" s="41"/>
      <c r="K42" s="41"/>
      <c r="L42" s="41"/>
      <c r="M42" s="42" t="str">
        <f t="shared" si="16"/>
        <v xml:space="preserve">Provetecnia, S.A. de C.V.  </v>
      </c>
      <c r="N42" s="991" t="s">
        <v>166</v>
      </c>
      <c r="O42" s="991" t="s">
        <v>2116</v>
      </c>
      <c r="P42" s="991" t="s">
        <v>4548</v>
      </c>
      <c r="Q42" s="992">
        <v>1508620</v>
      </c>
      <c r="R42" s="44">
        <f t="shared" si="11"/>
        <v>241379.20000000001</v>
      </c>
      <c r="S42" s="45">
        <f t="shared" si="20"/>
        <v>1749999.2</v>
      </c>
      <c r="T42" s="46">
        <v>0</v>
      </c>
      <c r="U42" s="47">
        <f t="shared" si="12"/>
        <v>0</v>
      </c>
      <c r="V42" s="215">
        <f t="shared" si="17"/>
        <v>2187499</v>
      </c>
      <c r="W42" s="993" t="s">
        <v>156</v>
      </c>
      <c r="X42" s="48">
        <v>44621</v>
      </c>
      <c r="Y42" s="39" t="s">
        <v>234</v>
      </c>
      <c r="Z42" s="48">
        <v>44621</v>
      </c>
      <c r="AA42" s="213">
        <v>45002</v>
      </c>
      <c r="AB42" s="38" t="s">
        <v>3787</v>
      </c>
      <c r="AC42" s="38"/>
      <c r="AD42" s="59"/>
      <c r="AE42" s="59"/>
      <c r="AF42" s="59"/>
      <c r="AG42" s="59"/>
      <c r="AH42" s="39"/>
      <c r="AI42" s="38" t="s">
        <v>4549</v>
      </c>
      <c r="AJ42" s="211" t="s">
        <v>4550</v>
      </c>
      <c r="AK42" s="218">
        <v>44922</v>
      </c>
      <c r="AL42" s="215">
        <v>437499.8</v>
      </c>
      <c r="AM42" s="163" t="str">
        <f t="shared" ca="1" si="18"/>
        <v>MUERTO</v>
      </c>
      <c r="AN42" s="39"/>
      <c r="AO42" s="39"/>
      <c r="AP42" s="39" t="s">
        <v>234</v>
      </c>
      <c r="AQ42" s="39" t="s">
        <v>924</v>
      </c>
      <c r="AR42" s="39" t="s">
        <v>234</v>
      </c>
      <c r="AS42" s="39"/>
      <c r="AT42" s="39"/>
      <c r="AU42" s="51"/>
      <c r="AV42" s="50"/>
      <c r="AW42" s="38"/>
      <c r="AX42" s="52"/>
      <c r="AY42" s="170" t="s">
        <v>4551</v>
      </c>
      <c r="AZ42" s="38"/>
      <c r="BA42" s="38" t="s">
        <v>4060</v>
      </c>
      <c r="BB42" s="73">
        <f t="shared" si="13"/>
        <v>0</v>
      </c>
      <c r="BC42" s="159"/>
      <c r="BD42" s="59" t="s">
        <v>4552</v>
      </c>
      <c r="BE42" s="58" t="s">
        <v>4553</v>
      </c>
      <c r="BF42" s="58" t="s">
        <v>4554</v>
      </c>
      <c r="BG42" s="59" t="str">
        <f t="shared" ref="BG42:BG74" si="21">BF42</f>
        <v>25/02/2022
29/12/2022</v>
      </c>
      <c r="BH42" s="183" t="str">
        <f t="shared" si="19"/>
        <v>Contrato formalizado con FC y PRC 15/03
Modific  formalizado con ambos endosos 20/01/23</v>
      </c>
      <c r="BI42" s="195" t="s">
        <v>4555</v>
      </c>
      <c r="BJ42" s="185" t="s">
        <v>4556</v>
      </c>
      <c r="BK42" s="186" t="str">
        <f t="shared" si="14"/>
        <v>Contrato formalizado con FC y PRC 15/03
Modific  formalizado con ambos endosos 20/01/23</v>
      </c>
      <c r="BL42" s="84"/>
      <c r="BM42" s="84"/>
      <c r="BN42" s="84"/>
      <c r="BO42" s="84"/>
      <c r="BP42" s="84"/>
    </row>
    <row r="43" spans="1:71" s="468" customFormat="1" ht="409.5" x14ac:dyDescent="0.25">
      <c r="A43" s="245" t="s">
        <v>4557</v>
      </c>
      <c r="B43" s="3">
        <v>37</v>
      </c>
      <c r="C43" s="167" t="s">
        <v>225</v>
      </c>
      <c r="D43" s="39" t="s">
        <v>173</v>
      </c>
      <c r="E43" s="40" t="s">
        <v>4558</v>
      </c>
      <c r="F43" s="39" t="s">
        <v>173</v>
      </c>
      <c r="G43" s="39"/>
      <c r="H43" s="39" t="s">
        <v>4272</v>
      </c>
      <c r="I43" s="81"/>
      <c r="J43" s="41" t="s">
        <v>4559</v>
      </c>
      <c r="K43" s="41" t="s">
        <v>4560</v>
      </c>
      <c r="L43" s="41" t="s">
        <v>4561</v>
      </c>
      <c r="M43" s="42" t="str">
        <f t="shared" si="16"/>
        <v>Violeta Córdoba Baeza</v>
      </c>
      <c r="N43" s="991" t="s">
        <v>1933</v>
      </c>
      <c r="O43" s="991" t="s">
        <v>1933</v>
      </c>
      <c r="P43" s="991" t="s">
        <v>4562</v>
      </c>
      <c r="Q43" s="992">
        <v>1543777.7</v>
      </c>
      <c r="R43" s="44">
        <f t="shared" si="11"/>
        <v>247004.432</v>
      </c>
      <c r="S43" s="45">
        <f t="shared" si="20"/>
        <v>1790782.132</v>
      </c>
      <c r="T43" s="46">
        <v>617511.07999999996</v>
      </c>
      <c r="U43" s="47">
        <f t="shared" si="12"/>
        <v>716312.85279999999</v>
      </c>
      <c r="V43" s="44">
        <f t="shared" si="17"/>
        <v>1716076.0819999999</v>
      </c>
      <c r="W43" s="993" t="s">
        <v>156</v>
      </c>
      <c r="X43" s="48">
        <v>44621</v>
      </c>
      <c r="Y43" s="39" t="s">
        <v>234</v>
      </c>
      <c r="Z43" s="48">
        <v>44621</v>
      </c>
      <c r="AA43" s="48">
        <v>44926</v>
      </c>
      <c r="AB43" s="38" t="s">
        <v>4500</v>
      </c>
      <c r="AC43" s="38"/>
      <c r="AD43" s="59"/>
      <c r="AE43" s="59"/>
      <c r="AF43" s="59"/>
      <c r="AG43" s="59"/>
      <c r="AH43" s="39"/>
      <c r="AI43" s="38" t="s">
        <v>4563</v>
      </c>
      <c r="AJ43" s="233" t="s">
        <v>4564</v>
      </c>
      <c r="AK43" s="234" t="s">
        <v>4565</v>
      </c>
      <c r="AL43" s="243">
        <v>-74706.05</v>
      </c>
      <c r="AM43" s="163" t="str">
        <f t="shared" ca="1" si="18"/>
        <v>MUERTO</v>
      </c>
      <c r="AN43" s="39"/>
      <c r="AO43" s="39"/>
      <c r="AP43" s="39" t="s">
        <v>234</v>
      </c>
      <c r="AQ43" s="39" t="s">
        <v>4566</v>
      </c>
      <c r="AR43" s="39" t="s">
        <v>234</v>
      </c>
      <c r="AS43" s="39"/>
      <c r="AT43" s="39"/>
      <c r="AU43" s="51"/>
      <c r="AV43" s="50"/>
      <c r="AW43" s="38"/>
      <c r="AX43" s="52"/>
      <c r="AY43" s="223" t="s">
        <v>4567</v>
      </c>
      <c r="AZ43" s="38"/>
      <c r="BA43" s="38" t="s">
        <v>4568</v>
      </c>
      <c r="BB43" s="73">
        <f t="shared" si="13"/>
        <v>0</v>
      </c>
      <c r="BC43" s="159"/>
      <c r="BD43" s="59" t="s">
        <v>4569</v>
      </c>
      <c r="BE43" s="58" t="s">
        <v>4570</v>
      </c>
      <c r="BF43" s="58" t="s">
        <v>4571</v>
      </c>
      <c r="BG43" s="59" t="str">
        <f t="shared" si="21"/>
        <v>01/03/2022
24/10/2022</v>
      </c>
      <c r="BH43" s="183" t="str">
        <f t="shared" si="19"/>
        <v>Contrato formalizad 25/03
1ER MODIFIC FORMALIZADO 06/04
TERMINACIÓN X MUTUO CONSENTIMIENTO FORMALIZADO 31/10/2022</v>
      </c>
      <c r="BI43" s="195" t="s">
        <v>4572</v>
      </c>
      <c r="BJ43" s="185" t="s">
        <v>4573</v>
      </c>
      <c r="BK43" s="186" t="str">
        <f t="shared" si="14"/>
        <v>Contrato formalizad 25/03
1ER MODIFIC FORMALIZADO 06/04
TERMINACIÓN X MUTUO CONSENTIMIENTO FORMALIZADO 31/10/2022</v>
      </c>
      <c r="BL43" s="84"/>
      <c r="BM43" s="84"/>
      <c r="BN43" s="84"/>
      <c r="BO43" s="84"/>
      <c r="BP43" s="84"/>
      <c r="BQ43"/>
      <c r="BR43"/>
      <c r="BS43"/>
    </row>
    <row r="44" spans="1:71" ht="60" x14ac:dyDescent="0.25">
      <c r="A44" s="168" t="s">
        <v>4574</v>
      </c>
      <c r="B44" s="3">
        <v>38</v>
      </c>
      <c r="C44" s="167" t="s">
        <v>225</v>
      </c>
      <c r="D44" s="39" t="s">
        <v>173</v>
      </c>
      <c r="E44" s="40" t="s">
        <v>4558</v>
      </c>
      <c r="F44" s="39" t="s">
        <v>173</v>
      </c>
      <c r="G44" s="39"/>
      <c r="H44" s="39" t="s">
        <v>4272</v>
      </c>
      <c r="I44" s="81" t="s">
        <v>446</v>
      </c>
      <c r="J44" s="41"/>
      <c r="K44" s="41"/>
      <c r="L44" s="41"/>
      <c r="M44" s="42" t="str">
        <f t="shared" si="16"/>
        <v xml:space="preserve">Internacional Proveedora de Industrias, S.A. de C.V.  </v>
      </c>
      <c r="N44" s="991" t="s">
        <v>1933</v>
      </c>
      <c r="O44" s="991" t="s">
        <v>1933</v>
      </c>
      <c r="P44" s="991" t="s">
        <v>4575</v>
      </c>
      <c r="Q44" s="992">
        <v>27495</v>
      </c>
      <c r="R44" s="44">
        <f t="shared" si="11"/>
        <v>4399.2</v>
      </c>
      <c r="S44" s="45">
        <f t="shared" si="20"/>
        <v>31894.2</v>
      </c>
      <c r="T44" s="46">
        <v>10998</v>
      </c>
      <c r="U44" s="47">
        <f t="shared" si="12"/>
        <v>12757.68</v>
      </c>
      <c r="V44" s="44">
        <f t="shared" si="17"/>
        <v>31894.2</v>
      </c>
      <c r="W44" s="993" t="s">
        <v>156</v>
      </c>
      <c r="X44" s="48">
        <v>44621</v>
      </c>
      <c r="Y44" s="39" t="s">
        <v>234</v>
      </c>
      <c r="Z44" s="48">
        <v>44621</v>
      </c>
      <c r="AA44" s="48">
        <v>44926</v>
      </c>
      <c r="AB44" s="38" t="s">
        <v>4500</v>
      </c>
      <c r="AC44" s="38"/>
      <c r="AD44" s="59"/>
      <c r="AE44" s="59"/>
      <c r="AF44" s="59"/>
      <c r="AG44" s="59"/>
      <c r="AH44" s="39"/>
      <c r="AI44" s="38"/>
      <c r="AJ44" s="38" t="s">
        <v>4301</v>
      </c>
      <c r="AK44" s="50"/>
      <c r="AL44" s="44"/>
      <c r="AM44" s="163" t="str">
        <f t="shared" ca="1" si="18"/>
        <v>MUERTO</v>
      </c>
      <c r="AN44" s="39"/>
      <c r="AO44" s="39"/>
      <c r="AP44" s="39" t="s">
        <v>234</v>
      </c>
      <c r="AQ44" s="39"/>
      <c r="AR44" s="39" t="s">
        <v>234</v>
      </c>
      <c r="AS44" s="39"/>
      <c r="AT44" s="39"/>
      <c r="AU44" s="51"/>
      <c r="AV44" s="50"/>
      <c r="AW44" s="38"/>
      <c r="AX44" s="52"/>
      <c r="AY44" s="170" t="s">
        <v>4576</v>
      </c>
      <c r="AZ44" s="38"/>
      <c r="BA44" s="38" t="str">
        <f>VLOOKUP(I44,[2]RFC!$1:$1048576,2,0)</f>
        <v>IPI860721MN1</v>
      </c>
      <c r="BB44" s="73">
        <f t="shared" si="13"/>
        <v>0</v>
      </c>
      <c r="BC44" s="159"/>
      <c r="BD44" s="59">
        <v>44616</v>
      </c>
      <c r="BE44" s="58">
        <v>44620</v>
      </c>
      <c r="BF44" s="58">
        <v>44621</v>
      </c>
      <c r="BG44" s="59">
        <f t="shared" si="21"/>
        <v>44621</v>
      </c>
      <c r="BH44" s="183" t="str">
        <f t="shared" si="19"/>
        <v>Contrato formalizado con FC 10/03</v>
      </c>
      <c r="BI44" s="195">
        <v>44629</v>
      </c>
      <c r="BJ44" s="185">
        <v>44627</v>
      </c>
      <c r="BK44" s="186" t="str">
        <f t="shared" si="14"/>
        <v>Contrato formalizado con FC 10/03</v>
      </c>
      <c r="BL44" s="84"/>
      <c r="BM44" s="84"/>
      <c r="BN44" s="84"/>
      <c r="BO44" s="84"/>
      <c r="BP44" s="84"/>
    </row>
    <row r="45" spans="1:71" ht="105" x14ac:dyDescent="0.25">
      <c r="A45" s="168" t="s">
        <v>4577</v>
      </c>
      <c r="B45" s="3">
        <v>39</v>
      </c>
      <c r="C45" s="167" t="s">
        <v>149</v>
      </c>
      <c r="D45" s="39" t="s">
        <v>163</v>
      </c>
      <c r="E45" s="40" t="s">
        <v>4578</v>
      </c>
      <c r="F45" s="3" t="s">
        <v>2237</v>
      </c>
      <c r="G45" s="685" t="s">
        <v>546</v>
      </c>
      <c r="H45" s="39" t="s">
        <v>3764</v>
      </c>
      <c r="I45" s="81" t="s">
        <v>2417</v>
      </c>
      <c r="J45" s="41"/>
      <c r="K45" s="41"/>
      <c r="L45" s="41"/>
      <c r="M45" s="42" t="str">
        <f t="shared" si="16"/>
        <v xml:space="preserve">Compañía Operadora de Estacionamientos Mexicanos, S.A. de C.V.  </v>
      </c>
      <c r="N45" s="991" t="s">
        <v>301</v>
      </c>
      <c r="O45" s="991" t="s">
        <v>301</v>
      </c>
      <c r="P45" s="991" t="s">
        <v>4579</v>
      </c>
      <c r="Q45" s="992">
        <v>4727224.5199999996</v>
      </c>
      <c r="R45" s="44">
        <f t="shared" si="11"/>
        <v>756355.92319999996</v>
      </c>
      <c r="S45" s="45">
        <f t="shared" si="20"/>
        <v>5483580.4431999996</v>
      </c>
      <c r="T45" s="46">
        <v>1890889.66</v>
      </c>
      <c r="U45" s="47">
        <f t="shared" si="12"/>
        <v>2193432.0055999998</v>
      </c>
      <c r="V45" s="44">
        <f t="shared" si="17"/>
        <v>5483580.4431999996</v>
      </c>
      <c r="W45" s="993" t="s">
        <v>156</v>
      </c>
      <c r="X45" s="48">
        <v>44621</v>
      </c>
      <c r="Y45" s="39" t="s">
        <v>234</v>
      </c>
      <c r="Z45" s="48">
        <v>44621</v>
      </c>
      <c r="AA45" s="48">
        <v>44926</v>
      </c>
      <c r="AB45" s="38" t="s">
        <v>4253</v>
      </c>
      <c r="AC45" s="38"/>
      <c r="AD45" s="59"/>
      <c r="AE45" s="59"/>
      <c r="AF45" s="59"/>
      <c r="AG45" s="59"/>
      <c r="AH45" s="39"/>
      <c r="AI45" s="38"/>
      <c r="AJ45" s="38"/>
      <c r="AK45" s="50"/>
      <c r="AL45" s="44"/>
      <c r="AM45" s="163" t="str">
        <f t="shared" ca="1" si="18"/>
        <v>MUERTO</v>
      </c>
      <c r="AN45" s="39"/>
      <c r="AO45" s="39"/>
      <c r="AP45" s="39" t="s">
        <v>234</v>
      </c>
      <c r="AQ45" s="39"/>
      <c r="AR45" s="39" t="s">
        <v>234</v>
      </c>
      <c r="AS45" s="39"/>
      <c r="AT45" s="39"/>
      <c r="AU45" s="51"/>
      <c r="AV45" s="50"/>
      <c r="AW45" s="38"/>
      <c r="AX45" s="52"/>
      <c r="AY45" s="170" t="s">
        <v>4580</v>
      </c>
      <c r="AZ45" s="38"/>
      <c r="BA45" s="38" t="s">
        <v>3272</v>
      </c>
      <c r="BB45" s="73">
        <f t="shared" si="13"/>
        <v>0</v>
      </c>
      <c r="BC45" s="159"/>
      <c r="BD45" s="59">
        <v>44617</v>
      </c>
      <c r="BE45" s="58">
        <v>44620</v>
      </c>
      <c r="BF45" s="58">
        <v>44621</v>
      </c>
      <c r="BG45" s="59">
        <f t="shared" si="21"/>
        <v>44621</v>
      </c>
      <c r="BH45" s="183" t="str">
        <f t="shared" si="19"/>
        <v>Contrato formalizado con FC Y PRC 25/03</v>
      </c>
      <c r="BI45" s="195">
        <f>BJ45</f>
        <v>44631</v>
      </c>
      <c r="BJ45" s="185">
        <v>44631</v>
      </c>
      <c r="BK45" s="186" t="str">
        <f t="shared" si="14"/>
        <v>Contrato formalizado con FC Y PRC 25/03</v>
      </c>
      <c r="BL45" s="84"/>
      <c r="BM45" s="84"/>
      <c r="BN45" s="84"/>
      <c r="BO45" s="84"/>
      <c r="BP45" s="84"/>
    </row>
    <row r="46" spans="1:71" ht="75" x14ac:dyDescent="0.25">
      <c r="A46" s="168" t="s">
        <v>4581</v>
      </c>
      <c r="B46" s="3">
        <v>40</v>
      </c>
      <c r="C46" s="167" t="s">
        <v>225</v>
      </c>
      <c r="D46" s="39" t="s">
        <v>163</v>
      </c>
      <c r="E46" s="40" t="s">
        <v>4578</v>
      </c>
      <c r="F46" s="3" t="s">
        <v>2237</v>
      </c>
      <c r="G46" s="685" t="s">
        <v>546</v>
      </c>
      <c r="H46" s="39" t="s">
        <v>3764</v>
      </c>
      <c r="I46" s="81" t="s">
        <v>4582</v>
      </c>
      <c r="J46" s="41"/>
      <c r="K46" s="41"/>
      <c r="L46" s="41"/>
      <c r="M46" s="42" t="str">
        <f t="shared" si="16"/>
        <v xml:space="preserve">TQRA tusalud, S. de R.L. de C.V.  </v>
      </c>
      <c r="N46" s="991" t="s">
        <v>763</v>
      </c>
      <c r="O46" s="991" t="s">
        <v>763</v>
      </c>
      <c r="P46" s="991" t="s">
        <v>4583</v>
      </c>
      <c r="Q46" s="992">
        <v>2110000</v>
      </c>
      <c r="R46" s="44">
        <f t="shared" si="11"/>
        <v>337600</v>
      </c>
      <c r="S46" s="45">
        <f t="shared" si="20"/>
        <v>2447600</v>
      </c>
      <c r="T46" s="46">
        <v>0</v>
      </c>
      <c r="U46" s="47">
        <f t="shared" si="12"/>
        <v>0</v>
      </c>
      <c r="V46" s="44">
        <f t="shared" si="17"/>
        <v>2447600</v>
      </c>
      <c r="W46" s="993" t="s">
        <v>156</v>
      </c>
      <c r="X46" s="48">
        <v>44622</v>
      </c>
      <c r="Y46" s="109" t="s">
        <v>234</v>
      </c>
      <c r="Z46" s="48">
        <v>44622</v>
      </c>
      <c r="AA46" s="48">
        <v>44648</v>
      </c>
      <c r="AB46" s="38" t="s">
        <v>3113</v>
      </c>
      <c r="AC46" s="38"/>
      <c r="AD46" s="59"/>
      <c r="AE46" s="59"/>
      <c r="AF46" s="59"/>
      <c r="AG46" s="59"/>
      <c r="AH46" s="39"/>
      <c r="AI46" s="38"/>
      <c r="AJ46" s="38"/>
      <c r="AK46" s="50"/>
      <c r="AL46" s="44"/>
      <c r="AM46" s="163" t="str">
        <f t="shared" ca="1" si="18"/>
        <v>MUERTO</v>
      </c>
      <c r="AN46" s="39"/>
      <c r="AO46" s="39"/>
      <c r="AP46" s="39" t="s">
        <v>234</v>
      </c>
      <c r="AQ46" s="39"/>
      <c r="AR46" s="39" t="s">
        <v>234</v>
      </c>
      <c r="AS46" s="39"/>
      <c r="AT46" s="39"/>
      <c r="AU46" s="51"/>
      <c r="AV46" s="50"/>
      <c r="AW46" s="38"/>
      <c r="AX46" s="52"/>
      <c r="AY46" s="170" t="s">
        <v>4584</v>
      </c>
      <c r="AZ46" s="38"/>
      <c r="BA46" s="38" t="s">
        <v>4221</v>
      </c>
      <c r="BB46" s="73">
        <f t="shared" si="13"/>
        <v>0</v>
      </c>
      <c r="BC46" s="159"/>
      <c r="BD46" s="59">
        <v>44617</v>
      </c>
      <c r="BE46" s="58">
        <v>44620</v>
      </c>
      <c r="BF46" s="58">
        <v>44623</v>
      </c>
      <c r="BG46" s="59">
        <f t="shared" si="21"/>
        <v>44623</v>
      </c>
      <c r="BH46" s="183" t="str">
        <f t="shared" si="19"/>
        <v>Formalizado contrato y FC en tesorería 08/03</v>
      </c>
      <c r="BI46" s="195">
        <v>44628</v>
      </c>
      <c r="BJ46" s="185">
        <v>44624</v>
      </c>
      <c r="BK46" s="186" t="str">
        <f t="shared" si="14"/>
        <v>Formalizado contrato y FC en tesorería 08/03</v>
      </c>
      <c r="BL46" s="84"/>
      <c r="BM46" s="84"/>
      <c r="BN46" s="84"/>
      <c r="BO46" s="84"/>
      <c r="BP46" s="84"/>
    </row>
    <row r="47" spans="1:71" s="468" customFormat="1" ht="60" x14ac:dyDescent="0.25">
      <c r="A47" s="168" t="s">
        <v>4585</v>
      </c>
      <c r="B47" s="3">
        <v>41</v>
      </c>
      <c r="C47" s="167" t="s">
        <v>225</v>
      </c>
      <c r="D47" s="39" t="s">
        <v>173</v>
      </c>
      <c r="E47" s="40" t="s">
        <v>4586</v>
      </c>
      <c r="F47" s="39" t="s">
        <v>173</v>
      </c>
      <c r="G47" s="39"/>
      <c r="H47" s="39" t="s">
        <v>3785</v>
      </c>
      <c r="I47" s="81" t="s">
        <v>679</v>
      </c>
      <c r="J47" s="41"/>
      <c r="K47" s="41"/>
      <c r="L47" s="41"/>
      <c r="M47" s="42" t="str">
        <f t="shared" si="16"/>
        <v xml:space="preserve">Mr. Limpieza, S.A. de C.V.  </v>
      </c>
      <c r="N47" s="991" t="s">
        <v>198</v>
      </c>
      <c r="O47" s="991" t="s">
        <v>198</v>
      </c>
      <c r="P47" s="991" t="s">
        <v>4587</v>
      </c>
      <c r="Q47" s="992">
        <v>413793.1</v>
      </c>
      <c r="R47" s="44">
        <f t="shared" si="11"/>
        <v>66206.895999999993</v>
      </c>
      <c r="S47" s="45">
        <f t="shared" si="20"/>
        <v>479999.99599999998</v>
      </c>
      <c r="T47" s="46">
        <v>165517.24</v>
      </c>
      <c r="U47" s="47">
        <f t="shared" si="12"/>
        <v>191999.99839999998</v>
      </c>
      <c r="V47" s="44">
        <f t="shared" si="17"/>
        <v>479999.99599999998</v>
      </c>
      <c r="W47" s="993" t="s">
        <v>156</v>
      </c>
      <c r="X47" s="48">
        <v>44623</v>
      </c>
      <c r="Y47" s="39" t="s">
        <v>234</v>
      </c>
      <c r="Z47" s="48">
        <v>44623</v>
      </c>
      <c r="AA47" s="48">
        <v>44926</v>
      </c>
      <c r="AB47" s="38" t="s">
        <v>3113</v>
      </c>
      <c r="AC47" s="38"/>
      <c r="AD47" s="59"/>
      <c r="AE47" s="59"/>
      <c r="AF47" s="59"/>
      <c r="AG47" s="59"/>
      <c r="AH47" s="39"/>
      <c r="AI47" s="38"/>
      <c r="AJ47" s="38"/>
      <c r="AK47" s="50"/>
      <c r="AL47" s="44"/>
      <c r="AM47" s="163" t="str">
        <f t="shared" ca="1" si="18"/>
        <v>MUERTO</v>
      </c>
      <c r="AN47" s="39"/>
      <c r="AO47" s="39"/>
      <c r="AP47" s="39" t="s">
        <v>234</v>
      </c>
      <c r="AQ47" s="39"/>
      <c r="AR47" s="39" t="s">
        <v>234</v>
      </c>
      <c r="AS47" s="39"/>
      <c r="AT47" s="39"/>
      <c r="AU47" s="51"/>
      <c r="AV47" s="50"/>
      <c r="AW47" s="38"/>
      <c r="AX47" s="52"/>
      <c r="AY47" s="170" t="s">
        <v>4588</v>
      </c>
      <c r="AZ47" s="38"/>
      <c r="BA47" s="38" t="str">
        <f>VLOOKUP(I47,[2]RFC!$1:$1048576,2,0)</f>
        <v>MLI0610289M7</v>
      </c>
      <c r="BB47" s="73">
        <f t="shared" si="13"/>
        <v>0</v>
      </c>
      <c r="BC47" s="159"/>
      <c r="BD47" s="59">
        <v>44620</v>
      </c>
      <c r="BE47" s="58">
        <v>44622</v>
      </c>
      <c r="BF47" s="58">
        <v>44624</v>
      </c>
      <c r="BG47" s="59">
        <f t="shared" si="21"/>
        <v>44624</v>
      </c>
      <c r="BH47" s="183" t="str">
        <f t="shared" si="19"/>
        <v>Formalizado con FC 14/03</v>
      </c>
      <c r="BI47" s="195">
        <v>44630</v>
      </c>
      <c r="BJ47" s="185">
        <v>44628</v>
      </c>
      <c r="BK47" s="186" t="str">
        <f t="shared" si="14"/>
        <v>Formalizado con FC 14/03</v>
      </c>
      <c r="BL47" s="84"/>
      <c r="BM47" s="84"/>
      <c r="BN47" s="84"/>
      <c r="BO47" s="84"/>
      <c r="BP47" s="84"/>
      <c r="BQ47"/>
      <c r="BR47"/>
      <c r="BS47"/>
    </row>
    <row r="48" spans="1:71" ht="105" x14ac:dyDescent="0.25">
      <c r="A48" s="196" t="s">
        <v>4589</v>
      </c>
      <c r="B48" s="3">
        <v>42</v>
      </c>
      <c r="C48" s="167" t="s">
        <v>225</v>
      </c>
      <c r="D48" s="39" t="s">
        <v>163</v>
      </c>
      <c r="E48" s="40" t="s">
        <v>4578</v>
      </c>
      <c r="F48" s="3" t="s">
        <v>2237</v>
      </c>
      <c r="G48" s="685" t="s">
        <v>546</v>
      </c>
      <c r="H48" s="39" t="s">
        <v>4185</v>
      </c>
      <c r="I48" s="81" t="s">
        <v>2132</v>
      </c>
      <c r="J48" s="41"/>
      <c r="K48" s="41"/>
      <c r="L48" s="41"/>
      <c r="M48" s="42" t="str">
        <f t="shared" si="16"/>
        <v xml:space="preserve">Detecno, S.A. de C.V.  </v>
      </c>
      <c r="N48" s="991" t="s">
        <v>461</v>
      </c>
      <c r="O48" s="991" t="s">
        <v>461</v>
      </c>
      <c r="P48" s="991" t="s">
        <v>4590</v>
      </c>
      <c r="Q48" s="992">
        <v>1568966</v>
      </c>
      <c r="R48" s="44">
        <f t="shared" si="11"/>
        <v>251034.56</v>
      </c>
      <c r="S48" s="45">
        <f t="shared" si="20"/>
        <v>1820000.56</v>
      </c>
      <c r="T48" s="46">
        <v>0</v>
      </c>
      <c r="U48" s="47">
        <f t="shared" si="12"/>
        <v>0</v>
      </c>
      <c r="V48" s="235">
        <f t="shared" si="17"/>
        <v>2184000.66</v>
      </c>
      <c r="W48" s="993" t="s">
        <v>156</v>
      </c>
      <c r="X48" s="48">
        <v>44623</v>
      </c>
      <c r="Y48" s="39" t="s">
        <v>234</v>
      </c>
      <c r="Z48" s="48">
        <v>44623</v>
      </c>
      <c r="AA48" s="241" t="s">
        <v>4591</v>
      </c>
      <c r="AB48" s="38" t="s">
        <v>3113</v>
      </c>
      <c r="AC48" s="38"/>
      <c r="AD48" s="59"/>
      <c r="AE48" s="59"/>
      <c r="AF48" s="59"/>
      <c r="AG48" s="59"/>
      <c r="AH48" s="39"/>
      <c r="AI48" s="38" t="s">
        <v>4592</v>
      </c>
      <c r="AJ48" s="233" t="s">
        <v>4593</v>
      </c>
      <c r="AK48" s="234">
        <v>44874</v>
      </c>
      <c r="AL48" s="235">
        <v>364000.1</v>
      </c>
      <c r="AM48" s="163" t="str">
        <f t="shared" ca="1" si="18"/>
        <v>VIGENTE</v>
      </c>
      <c r="AN48" s="39"/>
      <c r="AO48" s="39"/>
      <c r="AP48" s="39" t="s">
        <v>234</v>
      </c>
      <c r="AQ48" s="39" t="s">
        <v>892</v>
      </c>
      <c r="AR48" s="39" t="s">
        <v>234</v>
      </c>
      <c r="AS48" s="39"/>
      <c r="AT48" s="39"/>
      <c r="AU48" s="51"/>
      <c r="AV48" s="50"/>
      <c r="AW48" s="38"/>
      <c r="AX48" s="52"/>
      <c r="AY48" s="170" t="s">
        <v>4594</v>
      </c>
      <c r="AZ48" s="38"/>
      <c r="BA48" s="38" t="s">
        <v>4595</v>
      </c>
      <c r="BB48" s="73">
        <f t="shared" si="13"/>
        <v>0</v>
      </c>
      <c r="BC48" s="159"/>
      <c r="BD48" s="59">
        <v>44620</v>
      </c>
      <c r="BE48" s="58">
        <v>44621</v>
      </c>
      <c r="BF48" s="58">
        <v>44624</v>
      </c>
      <c r="BG48" s="59">
        <f t="shared" si="21"/>
        <v>44624</v>
      </c>
      <c r="BH48" s="183" t="str">
        <f t="shared" si="19"/>
        <v>Formalizado con FC 14/03
Modif  formalizado 23/11/22</v>
      </c>
      <c r="BI48" s="195" t="str">
        <f>BJ48</f>
        <v>11/03/2022
16/11/2022</v>
      </c>
      <c r="BJ48" s="185" t="s">
        <v>4596</v>
      </c>
      <c r="BK48" s="186" t="str">
        <f t="shared" si="14"/>
        <v>Formalizado con FC 14/03
Modif  formalizado 23/11/22</v>
      </c>
      <c r="BL48" s="84"/>
      <c r="BM48" s="84"/>
      <c r="BN48" s="84"/>
      <c r="BO48" s="84"/>
      <c r="BP48" s="84"/>
    </row>
    <row r="49" spans="1:71" ht="225" x14ac:dyDescent="0.25">
      <c r="A49" s="196" t="s">
        <v>4597</v>
      </c>
      <c r="B49" s="3">
        <v>43</v>
      </c>
      <c r="C49" s="167" t="s">
        <v>149</v>
      </c>
      <c r="D49" s="39" t="s">
        <v>163</v>
      </c>
      <c r="E49" s="40" t="s">
        <v>4578</v>
      </c>
      <c r="F49" s="3" t="s">
        <v>2237</v>
      </c>
      <c r="G49" s="685" t="s">
        <v>546</v>
      </c>
      <c r="H49" s="39" t="s">
        <v>4030</v>
      </c>
      <c r="I49" s="81" t="s">
        <v>2622</v>
      </c>
      <c r="J49" s="41"/>
      <c r="K49" s="41"/>
      <c r="L49" s="41"/>
      <c r="M49" s="42" t="str">
        <f t="shared" si="16"/>
        <v xml:space="preserve">Programma Comunicación, S.A. de C.V.  </v>
      </c>
      <c r="N49" s="991" t="s">
        <v>860</v>
      </c>
      <c r="O49" s="991" t="s">
        <v>220</v>
      </c>
      <c r="P49" s="991" t="s">
        <v>4598</v>
      </c>
      <c r="Q49" s="992">
        <v>3189659</v>
      </c>
      <c r="R49" s="44">
        <f t="shared" si="11"/>
        <v>510345.44</v>
      </c>
      <c r="S49" s="45">
        <f t="shared" si="20"/>
        <v>3700004.44</v>
      </c>
      <c r="T49" s="46">
        <v>0</v>
      </c>
      <c r="U49" s="47">
        <f t="shared" si="12"/>
        <v>0</v>
      </c>
      <c r="V49" s="215">
        <f t="shared" si="17"/>
        <v>4570593.72</v>
      </c>
      <c r="W49" s="993" t="s">
        <v>156</v>
      </c>
      <c r="X49" s="48">
        <v>44627</v>
      </c>
      <c r="Y49" s="39" t="s">
        <v>234</v>
      </c>
      <c r="Z49" s="48">
        <v>44627</v>
      </c>
      <c r="AA49" s="48">
        <v>44915</v>
      </c>
      <c r="AB49" s="38" t="s">
        <v>4500</v>
      </c>
      <c r="AC49" s="38"/>
      <c r="AD49" s="59"/>
      <c r="AE49" s="59"/>
      <c r="AF49" s="59"/>
      <c r="AG49" s="59"/>
      <c r="AH49" s="39"/>
      <c r="AI49" s="38" t="s">
        <v>4599</v>
      </c>
      <c r="AJ49" s="211" t="s">
        <v>4600</v>
      </c>
      <c r="AK49" s="218" t="s">
        <v>4601</v>
      </c>
      <c r="AL49" s="215">
        <v>870589.28</v>
      </c>
      <c r="AM49" s="163" t="str">
        <f t="shared" ca="1" si="18"/>
        <v>MUERTO</v>
      </c>
      <c r="AN49" s="39"/>
      <c r="AO49" s="39"/>
      <c r="AP49" s="39" t="s">
        <v>234</v>
      </c>
      <c r="AQ49" s="39" t="s">
        <v>4602</v>
      </c>
      <c r="AR49" s="39" t="s">
        <v>234</v>
      </c>
      <c r="AS49" s="39"/>
      <c r="AT49" s="39"/>
      <c r="AU49" s="51"/>
      <c r="AV49" s="50"/>
      <c r="AW49" s="38"/>
      <c r="AX49" s="52"/>
      <c r="AY49" s="170" t="s">
        <v>4603</v>
      </c>
      <c r="AZ49" s="38"/>
      <c r="BA49" s="38" t="e">
        <f>VLOOKUP(I49,[2]RFC!$1:$1048576,2,0)</f>
        <v>#N/A</v>
      </c>
      <c r="BB49" s="73">
        <f t="shared" si="13"/>
        <v>0</v>
      </c>
      <c r="BC49" s="159"/>
      <c r="BD49" s="59" t="s">
        <v>4604</v>
      </c>
      <c r="BE49" s="58" t="s">
        <v>4570</v>
      </c>
      <c r="BF49" s="58" t="s">
        <v>4605</v>
      </c>
      <c r="BG49" s="59" t="str">
        <f t="shared" si="21"/>
        <v>01/03/2022
24/10/2022
28/11/2022</v>
      </c>
      <c r="BH49" s="183" t="str">
        <f t="shared" si="19"/>
        <v>Contrato formalizado con FC 16/03
Modif formalizado con endoso de FC 09/11/22 
Convenio de terminación formalizado 05/12/22</v>
      </c>
      <c r="BI49" s="195" t="s">
        <v>4606</v>
      </c>
      <c r="BJ49" s="185" t="s">
        <v>4607</v>
      </c>
      <c r="BK49" s="186" t="str">
        <f t="shared" si="14"/>
        <v>Contrato formalizado con FC 16/03
Modif formalizado con endoso de FC 09/11/22 
Convenio de terminación formalizado 05/12/22</v>
      </c>
      <c r="BL49" s="84"/>
      <c r="BM49" s="84"/>
      <c r="BN49" s="84"/>
      <c r="BO49" s="84"/>
      <c r="BP49" s="84"/>
    </row>
    <row r="50" spans="1:71" ht="150" x14ac:dyDescent="0.25">
      <c r="A50" s="196" t="s">
        <v>4608</v>
      </c>
      <c r="B50" s="3">
        <v>44</v>
      </c>
      <c r="C50" s="167" t="s">
        <v>149</v>
      </c>
      <c r="D50" s="39" t="s">
        <v>151</v>
      </c>
      <c r="E50" s="40" t="s">
        <v>4609</v>
      </c>
      <c r="F50" s="39" t="s">
        <v>151</v>
      </c>
      <c r="G50" s="39"/>
      <c r="H50" s="39" t="s">
        <v>3793</v>
      </c>
      <c r="I50" s="81" t="s">
        <v>4610</v>
      </c>
      <c r="J50" s="41"/>
      <c r="K50" s="41"/>
      <c r="L50" s="41"/>
      <c r="M50" s="42" t="str">
        <f t="shared" si="16"/>
        <v xml:space="preserve">Ambiente Paisajismo y Ojo de Agua, S. de R.L. de C.V.  </v>
      </c>
      <c r="N50" s="991" t="s">
        <v>198</v>
      </c>
      <c r="O50" s="991" t="s">
        <v>198</v>
      </c>
      <c r="P50" s="991" t="s">
        <v>4611</v>
      </c>
      <c r="Q50" s="992">
        <v>845447.93</v>
      </c>
      <c r="R50" s="44">
        <f t="shared" si="11"/>
        <v>135271.66880000001</v>
      </c>
      <c r="S50" s="45">
        <f t="shared" si="20"/>
        <v>980719.59880000004</v>
      </c>
      <c r="T50" s="46">
        <v>517241.38</v>
      </c>
      <c r="U50" s="47">
        <f t="shared" si="12"/>
        <v>600000.00080000004</v>
      </c>
      <c r="V50" s="215">
        <f t="shared" si="17"/>
        <v>1225899.4987999999</v>
      </c>
      <c r="W50" s="993" t="s">
        <v>156</v>
      </c>
      <c r="X50" s="48">
        <v>44623</v>
      </c>
      <c r="Y50" s="39" t="s">
        <v>234</v>
      </c>
      <c r="Z50" s="48">
        <v>44623</v>
      </c>
      <c r="AA50" s="213">
        <v>44985</v>
      </c>
      <c r="AB50" s="38" t="s">
        <v>3787</v>
      </c>
      <c r="AC50" s="38"/>
      <c r="AD50" s="59"/>
      <c r="AE50" s="59"/>
      <c r="AF50" s="59"/>
      <c r="AG50" s="59"/>
      <c r="AH50" s="39"/>
      <c r="AI50" s="38" t="s">
        <v>4612</v>
      </c>
      <c r="AJ50" s="211" t="s">
        <v>4613</v>
      </c>
      <c r="AK50" s="218">
        <v>44910</v>
      </c>
      <c r="AL50" s="215">
        <v>245179.9</v>
      </c>
      <c r="AM50" s="163" t="str">
        <f t="shared" ca="1" si="18"/>
        <v>MUERTO</v>
      </c>
      <c r="AN50" s="39"/>
      <c r="AO50" s="39"/>
      <c r="AP50" s="39" t="s">
        <v>234</v>
      </c>
      <c r="AQ50" s="39" t="s">
        <v>924</v>
      </c>
      <c r="AR50" s="39" t="s">
        <v>234</v>
      </c>
      <c r="AS50" s="39"/>
      <c r="AT50" s="39"/>
      <c r="AU50" s="51"/>
      <c r="AV50" s="50"/>
      <c r="AW50" s="38"/>
      <c r="AX50" s="52"/>
      <c r="AY50" s="170" t="s">
        <v>4614</v>
      </c>
      <c r="AZ50" s="38"/>
      <c r="BA50" s="38" t="s">
        <v>4615</v>
      </c>
      <c r="BB50" s="73">
        <f t="shared" si="13"/>
        <v>0</v>
      </c>
      <c r="BC50" s="159"/>
      <c r="BD50" s="59">
        <v>44620</v>
      </c>
      <c r="BE50" s="58">
        <v>44621</v>
      </c>
      <c r="BF50" s="58">
        <v>44628</v>
      </c>
      <c r="BG50" s="59">
        <f t="shared" si="21"/>
        <v>44628</v>
      </c>
      <c r="BH50" s="183" t="str">
        <f t="shared" si="19"/>
        <v>CONTRATO FORMALIZADO CON FC Y PRC 16/03
Modificatorio formalizado con endosos 17/01/23</v>
      </c>
      <c r="BI50" s="195" t="s">
        <v>4616</v>
      </c>
      <c r="BJ50" s="185" t="s">
        <v>4617</v>
      </c>
      <c r="BK50" s="186" t="str">
        <f t="shared" si="14"/>
        <v>CONTRATO FORMALIZADO CON FC Y PRC 16/03
Modificatorio formalizado con endosos 17/01/23</v>
      </c>
      <c r="BL50" s="84"/>
      <c r="BM50" s="84"/>
      <c r="BN50" s="84"/>
      <c r="BO50" s="84"/>
      <c r="BP50" s="84"/>
    </row>
    <row r="51" spans="1:71" ht="180" x14ac:dyDescent="0.25">
      <c r="A51" s="196" t="s">
        <v>4618</v>
      </c>
      <c r="B51" s="3">
        <v>45</v>
      </c>
      <c r="C51" s="167" t="s">
        <v>225</v>
      </c>
      <c r="D51" s="39" t="s">
        <v>173</v>
      </c>
      <c r="E51" s="40" t="s">
        <v>4586</v>
      </c>
      <c r="F51" s="39" t="s">
        <v>173</v>
      </c>
      <c r="G51" s="39"/>
      <c r="H51" s="39" t="s">
        <v>3785</v>
      </c>
      <c r="I51" s="81"/>
      <c r="J51" s="41" t="s">
        <v>4619</v>
      </c>
      <c r="K51" s="41" t="s">
        <v>4620</v>
      </c>
      <c r="L51" s="41" t="s">
        <v>4621</v>
      </c>
      <c r="M51" s="42" t="str">
        <f t="shared" si="16"/>
        <v>Sergio  Campos Arias</v>
      </c>
      <c r="N51" s="991" t="s">
        <v>198</v>
      </c>
      <c r="O51" s="991" t="s">
        <v>198</v>
      </c>
      <c r="P51" s="991" t="s">
        <v>4622</v>
      </c>
      <c r="Q51" s="992">
        <v>2431034.48</v>
      </c>
      <c r="R51" s="44">
        <f t="shared" si="11"/>
        <v>388965.51679999998</v>
      </c>
      <c r="S51" s="45">
        <f t="shared" si="20"/>
        <v>2819999.9967999998</v>
      </c>
      <c r="T51" s="46">
        <v>972413.79</v>
      </c>
      <c r="U51" s="47">
        <f t="shared" si="12"/>
        <v>1127999.9964000001</v>
      </c>
      <c r="V51" s="215">
        <f t="shared" si="17"/>
        <v>2877499.9967999998</v>
      </c>
      <c r="W51" s="993" t="s">
        <v>156</v>
      </c>
      <c r="X51" s="48">
        <v>44623</v>
      </c>
      <c r="Y51" s="39" t="s">
        <v>234</v>
      </c>
      <c r="Z51" s="48">
        <v>44623</v>
      </c>
      <c r="AA51" s="48">
        <v>44926</v>
      </c>
      <c r="AB51" s="38" t="s">
        <v>3113</v>
      </c>
      <c r="AC51" s="38"/>
      <c r="AD51" s="59"/>
      <c r="AE51" s="59"/>
      <c r="AF51" s="59"/>
      <c r="AG51" s="59"/>
      <c r="AH51" s="39"/>
      <c r="AI51" s="38" t="s">
        <v>4623</v>
      </c>
      <c r="AJ51" s="211" t="s">
        <v>4624</v>
      </c>
      <c r="AK51" s="218">
        <v>44838</v>
      </c>
      <c r="AL51" s="215">
        <v>57500</v>
      </c>
      <c r="AM51" s="163" t="str">
        <f t="shared" ca="1" si="18"/>
        <v>MUERTO</v>
      </c>
      <c r="AN51" s="39"/>
      <c r="AO51" s="39"/>
      <c r="AP51" s="39" t="s">
        <v>234</v>
      </c>
      <c r="AQ51" s="39" t="s">
        <v>881</v>
      </c>
      <c r="AR51" s="39" t="s">
        <v>234</v>
      </c>
      <c r="AS51" s="39"/>
      <c r="AT51" s="39"/>
      <c r="AU51" s="51"/>
      <c r="AV51" s="50"/>
      <c r="AW51" s="38"/>
      <c r="AX51" s="52"/>
      <c r="AY51" s="170" t="s">
        <v>4625</v>
      </c>
      <c r="AZ51" s="38"/>
      <c r="BA51" s="38" t="s">
        <v>4626</v>
      </c>
      <c r="BB51" s="73">
        <f t="shared" si="13"/>
        <v>0</v>
      </c>
      <c r="BC51" s="159"/>
      <c r="BD51" s="59">
        <v>44620</v>
      </c>
      <c r="BE51" s="58">
        <v>44622</v>
      </c>
      <c r="BF51" s="58">
        <v>44628</v>
      </c>
      <c r="BG51" s="59">
        <f t="shared" si="21"/>
        <v>44628</v>
      </c>
      <c r="BH51" s="183" t="str">
        <f t="shared" si="19"/>
        <v>Contrato formalizado con FC 24/03
26/10 Modificatorio formalizado con endosos en tesoreria 26/10</v>
      </c>
      <c r="BI51" s="195" t="s">
        <v>4627</v>
      </c>
      <c r="BJ51" s="185" t="s">
        <v>4628</v>
      </c>
      <c r="BK51" s="186" t="str">
        <f t="shared" si="14"/>
        <v>Contrato formalizado con FC 24/03
26/10 Modificatorio formalizado con endosos en tesoreria 26/10</v>
      </c>
      <c r="BL51" s="84"/>
      <c r="BM51" s="84"/>
      <c r="BN51" s="84"/>
      <c r="BO51" s="84"/>
      <c r="BP51" s="84"/>
    </row>
    <row r="52" spans="1:71" ht="135" x14ac:dyDescent="0.25">
      <c r="A52" s="196" t="s">
        <v>4629</v>
      </c>
      <c r="B52" s="3">
        <v>46</v>
      </c>
      <c r="C52" s="167" t="s">
        <v>149</v>
      </c>
      <c r="D52" s="39" t="s">
        <v>151</v>
      </c>
      <c r="E52" s="40" t="s">
        <v>4630</v>
      </c>
      <c r="F52" s="39" t="s">
        <v>151</v>
      </c>
      <c r="G52" s="39"/>
      <c r="H52" s="39" t="s">
        <v>3793</v>
      </c>
      <c r="I52" s="81" t="s">
        <v>569</v>
      </c>
      <c r="J52" s="41"/>
      <c r="K52" s="41"/>
      <c r="L52" s="41"/>
      <c r="M52" s="42" t="str">
        <f t="shared" si="16"/>
        <v xml:space="preserve">Audio Video &amp; Control, S.A. de C.V.  </v>
      </c>
      <c r="N52" s="991" t="s">
        <v>4072</v>
      </c>
      <c r="O52" s="991" t="s">
        <v>4072</v>
      </c>
      <c r="P52" s="991" t="s">
        <v>4631</v>
      </c>
      <c r="Q52" s="992">
        <v>650000</v>
      </c>
      <c r="R52" s="44">
        <f t="shared" si="11"/>
        <v>104000</v>
      </c>
      <c r="S52" s="45">
        <f t="shared" si="20"/>
        <v>754000</v>
      </c>
      <c r="T52" s="46">
        <v>0</v>
      </c>
      <c r="U52" s="47">
        <f t="shared" si="12"/>
        <v>0</v>
      </c>
      <c r="V52" s="215">
        <f t="shared" si="17"/>
        <v>942500</v>
      </c>
      <c r="W52" s="993" t="s">
        <v>156</v>
      </c>
      <c r="X52" s="48">
        <v>44627</v>
      </c>
      <c r="Y52" s="39" t="s">
        <v>234</v>
      </c>
      <c r="Z52" s="48">
        <v>44627</v>
      </c>
      <c r="AA52" s="213">
        <v>45001</v>
      </c>
      <c r="AB52" s="38" t="s">
        <v>3787</v>
      </c>
      <c r="AC52" s="38"/>
      <c r="AD52" s="59"/>
      <c r="AE52" s="59"/>
      <c r="AF52" s="59"/>
      <c r="AG52" s="59"/>
      <c r="AH52" s="39"/>
      <c r="AI52" s="38" t="s">
        <v>4632</v>
      </c>
      <c r="AJ52" s="211" t="s">
        <v>4633</v>
      </c>
      <c r="AK52" s="218">
        <v>44918</v>
      </c>
      <c r="AL52" s="215">
        <v>188500</v>
      </c>
      <c r="AM52" s="163" t="str">
        <f t="shared" ca="1" si="18"/>
        <v>MUERTO</v>
      </c>
      <c r="AN52" s="39"/>
      <c r="AO52" s="39"/>
      <c r="AP52" s="39" t="s">
        <v>234</v>
      </c>
      <c r="AQ52" s="39" t="s">
        <v>924</v>
      </c>
      <c r="AR52" s="39" t="s">
        <v>234</v>
      </c>
      <c r="AS52" s="39"/>
      <c r="AT52" s="39"/>
      <c r="AU52" s="51"/>
      <c r="AV52" s="50"/>
      <c r="AW52" s="38"/>
      <c r="AX52" s="52"/>
      <c r="AY52" s="170" t="s">
        <v>4634</v>
      </c>
      <c r="AZ52" s="38"/>
      <c r="BA52" s="38" t="s">
        <v>4635</v>
      </c>
      <c r="BB52" s="73">
        <f t="shared" si="13"/>
        <v>0</v>
      </c>
      <c r="BC52" s="159"/>
      <c r="BD52" s="59">
        <v>44622</v>
      </c>
      <c r="BE52" s="58">
        <v>44623</v>
      </c>
      <c r="BF52" s="58" t="s">
        <v>4636</v>
      </c>
      <c r="BG52" s="59" t="str">
        <f t="shared" si="21"/>
        <v>08/03/2022
26/12/2022</v>
      </c>
      <c r="BH52" s="183" t="str">
        <f t="shared" si="19"/>
        <v>contrato formalizado  con FC y PRC  04/04
Modific formalizado con garantías 16/02/23</v>
      </c>
      <c r="BI52" s="195" t="s">
        <v>4637</v>
      </c>
      <c r="BJ52" s="185" t="s">
        <v>4638</v>
      </c>
      <c r="BK52" s="186" t="str">
        <f t="shared" si="14"/>
        <v>contrato formalizado  con FC y PRC  04/04
Modific formalizado con garantías 16/02/23</v>
      </c>
      <c r="BL52" s="84"/>
      <c r="BM52" s="84"/>
      <c r="BN52" s="84"/>
      <c r="BO52" s="84"/>
      <c r="BP52" s="84"/>
    </row>
    <row r="53" spans="1:71" ht="75" x14ac:dyDescent="0.25">
      <c r="A53" s="168" t="s">
        <v>4639</v>
      </c>
      <c r="B53" s="3">
        <v>47</v>
      </c>
      <c r="C53" s="167" t="s">
        <v>149</v>
      </c>
      <c r="D53" s="39" t="s">
        <v>163</v>
      </c>
      <c r="E53" s="39" t="s">
        <v>4640</v>
      </c>
      <c r="F53" s="3" t="s">
        <v>2237</v>
      </c>
      <c r="G53" s="685" t="s">
        <v>546</v>
      </c>
      <c r="H53" s="39" t="s">
        <v>3764</v>
      </c>
      <c r="I53" s="81" t="s">
        <v>2668</v>
      </c>
      <c r="J53" s="41"/>
      <c r="K53" s="41"/>
      <c r="L53" s="41"/>
      <c r="M53" s="42" t="str">
        <f t="shared" si="16"/>
        <v xml:space="preserve">Roka Instalaciones y Equipos, S.A. de C.V.  </v>
      </c>
      <c r="N53" s="991" t="s">
        <v>198</v>
      </c>
      <c r="O53" s="991" t="s">
        <v>198</v>
      </c>
      <c r="P53" s="991" t="s">
        <v>3420</v>
      </c>
      <c r="Q53" s="992">
        <v>786093.63</v>
      </c>
      <c r="R53" s="44">
        <f t="shared" si="11"/>
        <v>125774.9808</v>
      </c>
      <c r="S53" s="45">
        <f t="shared" si="20"/>
        <v>911868.61080000002</v>
      </c>
      <c r="T53" s="46">
        <v>0</v>
      </c>
      <c r="U53" s="47">
        <f t="shared" si="12"/>
        <v>0</v>
      </c>
      <c r="V53" s="44">
        <f t="shared" si="17"/>
        <v>911868.61080000002</v>
      </c>
      <c r="W53" s="993" t="s">
        <v>156</v>
      </c>
      <c r="X53" s="48">
        <v>44627</v>
      </c>
      <c r="Y53" s="39" t="s">
        <v>234</v>
      </c>
      <c r="Z53" s="48">
        <v>44627</v>
      </c>
      <c r="AA53" s="48">
        <v>44658</v>
      </c>
      <c r="AB53" s="38" t="s">
        <v>3787</v>
      </c>
      <c r="AC53" s="38"/>
      <c r="AD53" s="59"/>
      <c r="AE53" s="59"/>
      <c r="AF53" s="59"/>
      <c r="AG53" s="59"/>
      <c r="AH53" s="39"/>
      <c r="AI53" s="38"/>
      <c r="AJ53" s="38"/>
      <c r="AK53" s="50"/>
      <c r="AL53" s="44"/>
      <c r="AM53" s="163" t="str">
        <f t="shared" ca="1" si="18"/>
        <v>MUERTO</v>
      </c>
      <c r="AN53" s="39"/>
      <c r="AO53" s="39"/>
      <c r="AP53" s="39" t="s">
        <v>234</v>
      </c>
      <c r="AQ53" s="39"/>
      <c r="AR53" s="39" t="s">
        <v>234</v>
      </c>
      <c r="AS53" s="39"/>
      <c r="AT53" s="39"/>
      <c r="AU53" s="51"/>
      <c r="AV53" s="50"/>
      <c r="AW53" s="38"/>
      <c r="AX53" s="52"/>
      <c r="AY53" s="170" t="s">
        <v>4641</v>
      </c>
      <c r="AZ53" s="38"/>
      <c r="BA53" s="38" t="s">
        <v>4232</v>
      </c>
      <c r="BB53" s="73">
        <f t="shared" si="13"/>
        <v>0</v>
      </c>
      <c r="BC53" s="159"/>
      <c r="BD53" s="59">
        <v>44624</v>
      </c>
      <c r="BE53" s="58">
        <v>44624</v>
      </c>
      <c r="BF53" s="58">
        <v>44628</v>
      </c>
      <c r="BG53" s="59">
        <f t="shared" si="21"/>
        <v>44628</v>
      </c>
      <c r="BH53" s="183" t="str">
        <f t="shared" si="19"/>
        <v>Contrato formalizado con FC y PRC 21/4</v>
      </c>
      <c r="BI53" s="195">
        <v>44636</v>
      </c>
      <c r="BJ53" s="185">
        <v>44631</v>
      </c>
      <c r="BK53" s="186" t="str">
        <f t="shared" si="14"/>
        <v>Contrato formalizado con FC y PRC 21/4</v>
      </c>
      <c r="BL53" s="84"/>
      <c r="BM53" s="84"/>
      <c r="BN53" s="84"/>
      <c r="BO53" s="84"/>
      <c r="BP53" s="84"/>
    </row>
    <row r="54" spans="1:71" s="468" customFormat="1" ht="105" x14ac:dyDescent="0.25">
      <c r="A54" s="168" t="s">
        <v>4642</v>
      </c>
      <c r="B54" s="3">
        <v>48</v>
      </c>
      <c r="C54" s="167" t="s">
        <v>149</v>
      </c>
      <c r="D54" s="39" t="s">
        <v>163</v>
      </c>
      <c r="E54" s="40" t="s">
        <v>4643</v>
      </c>
      <c r="F54" s="39" t="s">
        <v>163</v>
      </c>
      <c r="G54" s="39" t="s">
        <v>163</v>
      </c>
      <c r="H54" s="39" t="s">
        <v>4004</v>
      </c>
      <c r="I54" s="81" t="s">
        <v>4644</v>
      </c>
      <c r="J54" s="41"/>
      <c r="K54" s="41"/>
      <c r="L54" s="41"/>
      <c r="M54" s="42" t="str">
        <f t="shared" si="16"/>
        <v xml:space="preserve">Gas Metropolitano, S.A. de C.V.  </v>
      </c>
      <c r="N54" s="991" t="s">
        <v>198</v>
      </c>
      <c r="O54" s="991" t="s">
        <v>198</v>
      </c>
      <c r="P54" s="991" t="s">
        <v>4645</v>
      </c>
      <c r="Q54" s="992">
        <v>627834.72</v>
      </c>
      <c r="R54" s="44">
        <f t="shared" si="11"/>
        <v>100453.5552</v>
      </c>
      <c r="S54" s="45">
        <f t="shared" si="20"/>
        <v>728288.27520000003</v>
      </c>
      <c r="T54" s="46">
        <v>387931.03399999999</v>
      </c>
      <c r="U54" s="47">
        <f t="shared" si="12"/>
        <v>449999.99943999999</v>
      </c>
      <c r="V54" s="44">
        <f t="shared" si="17"/>
        <v>728288.27520000003</v>
      </c>
      <c r="W54" s="993" t="s">
        <v>156</v>
      </c>
      <c r="X54" s="48">
        <v>44631</v>
      </c>
      <c r="Y54" s="39" t="s">
        <v>234</v>
      </c>
      <c r="Z54" s="48">
        <v>44631</v>
      </c>
      <c r="AA54" s="48">
        <v>44926</v>
      </c>
      <c r="AB54" s="38" t="s">
        <v>3787</v>
      </c>
      <c r="AC54" s="38"/>
      <c r="AD54" s="59"/>
      <c r="AE54" s="59"/>
      <c r="AF54" s="59"/>
      <c r="AG54" s="59"/>
      <c r="AH54" s="39"/>
      <c r="AI54" s="38"/>
      <c r="AJ54" s="38"/>
      <c r="AK54" s="50"/>
      <c r="AL54" s="44"/>
      <c r="AM54" s="163" t="str">
        <f t="shared" ca="1" si="18"/>
        <v>MUERTO</v>
      </c>
      <c r="AN54" s="39"/>
      <c r="AO54" s="39"/>
      <c r="AP54" s="39" t="s">
        <v>234</v>
      </c>
      <c r="AQ54" s="39"/>
      <c r="AR54" s="39" t="s">
        <v>234</v>
      </c>
      <c r="AS54" s="39"/>
      <c r="AT54" s="39"/>
      <c r="AU54" s="51"/>
      <c r="AV54" s="50"/>
      <c r="AW54" s="38"/>
      <c r="AX54" s="52"/>
      <c r="AY54" s="170" t="s">
        <v>4646</v>
      </c>
      <c r="AZ54" s="38"/>
      <c r="BA54" s="38" t="s">
        <v>4647</v>
      </c>
      <c r="BB54" s="73">
        <f t="shared" si="13"/>
        <v>0</v>
      </c>
      <c r="BC54" s="159"/>
      <c r="BD54" s="59">
        <v>44628</v>
      </c>
      <c r="BE54" s="58">
        <v>44628</v>
      </c>
      <c r="BF54" s="58">
        <v>44630</v>
      </c>
      <c r="BG54" s="59">
        <f t="shared" si="21"/>
        <v>44630</v>
      </c>
      <c r="BH54" s="183" t="str">
        <f t="shared" si="19"/>
        <v>Contrato formalizado con FC Y PRC 06/04</v>
      </c>
      <c r="BI54" s="195">
        <v>44636</v>
      </c>
      <c r="BJ54" s="185">
        <v>44630</v>
      </c>
      <c r="BK54" s="186" t="str">
        <f t="shared" si="14"/>
        <v>Contrato formalizado con FC Y PRC 06/04</v>
      </c>
      <c r="BL54" s="84"/>
      <c r="BM54" s="84"/>
      <c r="BN54" s="84"/>
      <c r="BO54" s="84"/>
      <c r="BP54" s="84"/>
      <c r="BQ54"/>
      <c r="BR54"/>
      <c r="BS54"/>
    </row>
    <row r="55" spans="1:71" ht="225" x14ac:dyDescent="0.25">
      <c r="A55" s="196" t="s">
        <v>4648</v>
      </c>
      <c r="B55" s="3">
        <v>49</v>
      </c>
      <c r="C55" s="167" t="s">
        <v>225</v>
      </c>
      <c r="D55" s="39" t="s">
        <v>151</v>
      </c>
      <c r="E55" s="40" t="s">
        <v>4649</v>
      </c>
      <c r="F55" s="39" t="s">
        <v>151</v>
      </c>
      <c r="G55" s="39"/>
      <c r="H55" s="39" t="s">
        <v>3793</v>
      </c>
      <c r="I55" s="81"/>
      <c r="J55" s="41" t="s">
        <v>4524</v>
      </c>
      <c r="K55" s="41" t="s">
        <v>467</v>
      </c>
      <c r="L55" s="41" t="s">
        <v>4525</v>
      </c>
      <c r="M55" s="42" t="str">
        <f t="shared" si="16"/>
        <v>Miguel Ángel Gutiérrez Gil</v>
      </c>
      <c r="N55" s="991" t="s">
        <v>198</v>
      </c>
      <c r="O55" s="991" t="s">
        <v>198</v>
      </c>
      <c r="P55" s="991" t="s">
        <v>4650</v>
      </c>
      <c r="Q55" s="992">
        <v>626961.52</v>
      </c>
      <c r="R55" s="44">
        <f t="shared" si="11"/>
        <v>100313.8432</v>
      </c>
      <c r="S55" s="45">
        <f t="shared" si="20"/>
        <v>727275.36320000002</v>
      </c>
      <c r="T55" s="46">
        <v>315517.24</v>
      </c>
      <c r="U55" s="47">
        <f t="shared" si="12"/>
        <v>365999.99839999998</v>
      </c>
      <c r="V55" s="215">
        <f t="shared" si="17"/>
        <v>909094.20319999999</v>
      </c>
      <c r="W55" s="993" t="s">
        <v>156</v>
      </c>
      <c r="X55" s="48">
        <v>44629</v>
      </c>
      <c r="Y55" s="39" t="s">
        <v>234</v>
      </c>
      <c r="Z55" s="48">
        <v>44629</v>
      </c>
      <c r="AA55" s="48">
        <v>44926</v>
      </c>
      <c r="AB55" s="38" t="s">
        <v>3113</v>
      </c>
      <c r="AC55" s="38"/>
      <c r="AD55" s="59"/>
      <c r="AE55" s="59"/>
      <c r="AF55" s="59"/>
      <c r="AG55" s="59"/>
      <c r="AH55" s="39"/>
      <c r="AI55" s="38" t="s">
        <v>4651</v>
      </c>
      <c r="AJ55" s="211" t="s">
        <v>4652</v>
      </c>
      <c r="AK55" s="218" t="s">
        <v>4653</v>
      </c>
      <c r="AL55" s="215">
        <v>181818.84</v>
      </c>
      <c r="AM55" s="163" t="str">
        <f t="shared" ca="1" si="18"/>
        <v>MUERTO</v>
      </c>
      <c r="AN55" s="39"/>
      <c r="AO55" s="39"/>
      <c r="AP55" s="39" t="s">
        <v>234</v>
      </c>
      <c r="AQ55" s="39" t="s">
        <v>881</v>
      </c>
      <c r="AR55" s="39" t="s">
        <v>234</v>
      </c>
      <c r="AS55" s="39"/>
      <c r="AT55" s="39"/>
      <c r="AU55" s="51"/>
      <c r="AV55" s="50"/>
      <c r="AW55" s="38"/>
      <c r="AX55" s="52"/>
      <c r="AY55" s="170" t="s">
        <v>4654</v>
      </c>
      <c r="AZ55" s="38"/>
      <c r="BA55" s="38" t="s">
        <v>4528</v>
      </c>
      <c r="BB55" s="73">
        <f t="shared" si="13"/>
        <v>0</v>
      </c>
      <c r="BC55" s="159"/>
      <c r="BD55" s="59" t="s">
        <v>4655</v>
      </c>
      <c r="BE55" s="58" t="s">
        <v>4656</v>
      </c>
      <c r="BF55" s="58" t="s">
        <v>4657</v>
      </c>
      <c r="BG55" s="59" t="str">
        <f t="shared" si="21"/>
        <v>10/03/2022
24/10/2022</v>
      </c>
      <c r="BH55" s="183" t="str">
        <f t="shared" si="19"/>
        <v>Contrato formalizado con FC 24/03
Modif formalizado con endoso de FC 09/11/22
Convenio de Terminación formalizado 13/12/22</v>
      </c>
      <c r="BI55" s="195" t="s">
        <v>4658</v>
      </c>
      <c r="BJ55" s="185" t="s">
        <v>4659</v>
      </c>
      <c r="BK55" s="186" t="str">
        <f t="shared" si="14"/>
        <v>Contrato formalizado con FC 24/03
Modif formalizado con endoso de FC 09/11/22
Convenio de Terminación formalizado 13/12/22</v>
      </c>
      <c r="BL55" s="84"/>
      <c r="BM55" s="84"/>
      <c r="BN55" s="84"/>
      <c r="BO55" s="84"/>
      <c r="BP55" s="84"/>
    </row>
    <row r="56" spans="1:71" ht="120" x14ac:dyDescent="0.25">
      <c r="A56" s="196" t="s">
        <v>4660</v>
      </c>
      <c r="B56" s="3">
        <v>50</v>
      </c>
      <c r="C56" s="167" t="s">
        <v>225</v>
      </c>
      <c r="D56" s="39" t="s">
        <v>173</v>
      </c>
      <c r="E56" s="40" t="s">
        <v>4661</v>
      </c>
      <c r="F56" s="39" t="s">
        <v>173</v>
      </c>
      <c r="G56" s="39"/>
      <c r="H56" s="39" t="s">
        <v>3785</v>
      </c>
      <c r="I56" s="81" t="s">
        <v>3065</v>
      </c>
      <c r="J56" s="41"/>
      <c r="K56" s="41"/>
      <c r="L56" s="41"/>
      <c r="M56" s="42" t="str">
        <f t="shared" si="16"/>
        <v xml:space="preserve">Especialidades Comerciales Reyes, S.A. de C.V.  </v>
      </c>
      <c r="N56" s="991" t="s">
        <v>4662</v>
      </c>
      <c r="O56" s="991" t="s">
        <v>4662</v>
      </c>
      <c r="P56" s="991" t="s">
        <v>4663</v>
      </c>
      <c r="Q56" s="992">
        <v>1827226.45</v>
      </c>
      <c r="R56" s="44">
        <f t="shared" si="11"/>
        <v>292356.23200000002</v>
      </c>
      <c r="S56" s="45">
        <f t="shared" si="20"/>
        <v>2119582.682</v>
      </c>
      <c r="T56" s="46">
        <v>430890.58</v>
      </c>
      <c r="U56" s="47">
        <f t="shared" si="12"/>
        <v>499833.07280000002</v>
      </c>
      <c r="V56" s="44">
        <f t="shared" si="17"/>
        <v>2119582.682</v>
      </c>
      <c r="W56" s="993" t="s">
        <v>156</v>
      </c>
      <c r="X56" s="48">
        <v>44631</v>
      </c>
      <c r="Y56" s="39" t="s">
        <v>234</v>
      </c>
      <c r="Z56" s="48">
        <v>44631</v>
      </c>
      <c r="AA56" s="48">
        <v>44926</v>
      </c>
      <c r="AB56" s="38" t="s">
        <v>3113</v>
      </c>
      <c r="AC56" s="38"/>
      <c r="AD56" s="59"/>
      <c r="AE56" s="59"/>
      <c r="AF56" s="59"/>
      <c r="AG56" s="59"/>
      <c r="AH56" s="39"/>
      <c r="AI56" s="229" t="s">
        <v>4664</v>
      </c>
      <c r="AJ56" s="211" t="s">
        <v>4665</v>
      </c>
      <c r="AK56" s="218">
        <v>44763</v>
      </c>
      <c r="AL56" s="44">
        <v>0</v>
      </c>
      <c r="AM56" s="163" t="str">
        <f t="shared" ca="1" si="18"/>
        <v>MUERTO</v>
      </c>
      <c r="AN56" s="39"/>
      <c r="AO56" s="39"/>
      <c r="AP56" s="39" t="s">
        <v>234</v>
      </c>
      <c r="AQ56" s="39"/>
      <c r="AR56" s="39" t="s">
        <v>234</v>
      </c>
      <c r="AS56" s="39"/>
      <c r="AT56" s="39"/>
      <c r="AU56" s="51"/>
      <c r="AV56" s="50"/>
      <c r="AW56" s="38"/>
      <c r="AX56" s="52"/>
      <c r="AY56" s="170" t="s">
        <v>4666</v>
      </c>
      <c r="AZ56" s="38"/>
      <c r="BA56" s="38" t="s">
        <v>4357</v>
      </c>
      <c r="BB56" s="73">
        <f t="shared" si="13"/>
        <v>0</v>
      </c>
      <c r="BC56" s="159"/>
      <c r="BD56" s="59">
        <v>44628</v>
      </c>
      <c r="BE56" s="58">
        <v>44630</v>
      </c>
      <c r="BF56" s="58">
        <v>44634</v>
      </c>
      <c r="BG56" s="59">
        <f t="shared" si="21"/>
        <v>44634</v>
      </c>
      <c r="BH56" s="183" t="str">
        <f t="shared" si="19"/>
        <v>Contrato formalizado con FC  06/04
Modificatorio formalizado 11/08</v>
      </c>
      <c r="BI56" s="195">
        <v>44644</v>
      </c>
      <c r="BJ56" s="185" t="s">
        <v>4667</v>
      </c>
      <c r="BK56" s="186" t="str">
        <f t="shared" si="14"/>
        <v>Contrato formalizado con FC  06/04
Modificatorio formalizado 11/08</v>
      </c>
      <c r="BL56" s="84"/>
      <c r="BM56" s="84"/>
      <c r="BN56" s="84"/>
      <c r="BO56" s="84"/>
      <c r="BP56" s="84"/>
    </row>
    <row r="57" spans="1:71" s="468" customFormat="1" ht="409.5" x14ac:dyDescent="0.25">
      <c r="A57" s="240" t="s">
        <v>4668</v>
      </c>
      <c r="B57" s="3">
        <v>51</v>
      </c>
      <c r="C57" s="167" t="s">
        <v>225</v>
      </c>
      <c r="D57" s="39" t="s">
        <v>173</v>
      </c>
      <c r="E57" s="40" t="s">
        <v>4661</v>
      </c>
      <c r="F57" s="39" t="s">
        <v>173</v>
      </c>
      <c r="G57" s="39"/>
      <c r="H57" s="39" t="s">
        <v>3785</v>
      </c>
      <c r="I57" s="81"/>
      <c r="J57" s="41" t="s">
        <v>4669</v>
      </c>
      <c r="K57" s="41" t="s">
        <v>4670</v>
      </c>
      <c r="L57" s="41" t="s">
        <v>4671</v>
      </c>
      <c r="M57" s="42" t="str">
        <f t="shared" si="16"/>
        <v>Ricardo Sinuhé Macías Esteban</v>
      </c>
      <c r="N57" s="991" t="s">
        <v>270</v>
      </c>
      <c r="O57" s="991" t="s">
        <v>270</v>
      </c>
      <c r="P57" s="991" t="s">
        <v>4672</v>
      </c>
      <c r="Q57" s="992">
        <v>312000</v>
      </c>
      <c r="R57" s="235">
        <v>0</v>
      </c>
      <c r="S57" s="45">
        <f t="shared" si="20"/>
        <v>312000</v>
      </c>
      <c r="T57" s="46">
        <v>124800</v>
      </c>
      <c r="U57" s="46">
        <v>124800</v>
      </c>
      <c r="V57" s="235">
        <f t="shared" si="17"/>
        <v>130658.75</v>
      </c>
      <c r="W57" s="993" t="s">
        <v>156</v>
      </c>
      <c r="X57" s="48">
        <v>44631</v>
      </c>
      <c r="Y57" s="39" t="s">
        <v>234</v>
      </c>
      <c r="Z57" s="48">
        <v>44631</v>
      </c>
      <c r="AA57" s="241" t="s">
        <v>4673</v>
      </c>
      <c r="AB57" s="38" t="s">
        <v>3113</v>
      </c>
      <c r="AC57" s="38"/>
      <c r="AD57" s="59"/>
      <c r="AE57" s="59"/>
      <c r="AF57" s="59"/>
      <c r="AG57" s="59"/>
      <c r="AH57" s="39"/>
      <c r="AI57" s="38" t="s">
        <v>4674</v>
      </c>
      <c r="AJ57" s="233" t="s">
        <v>4675</v>
      </c>
      <c r="AK57" s="234">
        <v>44819</v>
      </c>
      <c r="AL57" s="44">
        <v>-181341.25</v>
      </c>
      <c r="AM57" s="163" t="str">
        <f t="shared" ca="1" si="18"/>
        <v>VIGENTE</v>
      </c>
      <c r="AN57" s="39"/>
      <c r="AO57" s="39"/>
      <c r="AP57" s="39" t="s">
        <v>234</v>
      </c>
      <c r="AQ57" s="39" t="s">
        <v>863</v>
      </c>
      <c r="AR57" s="39" t="s">
        <v>234</v>
      </c>
      <c r="AS57" s="39"/>
      <c r="AT57" s="39"/>
      <c r="AU57" s="51"/>
      <c r="AV57" s="50"/>
      <c r="AW57" s="38"/>
      <c r="AX57" s="52"/>
      <c r="AY57" s="170" t="s">
        <v>4676</v>
      </c>
      <c r="AZ57" s="38"/>
      <c r="BA57" s="38" t="s">
        <v>4677</v>
      </c>
      <c r="BB57" s="73">
        <f t="shared" si="13"/>
        <v>0</v>
      </c>
      <c r="BC57" s="159"/>
      <c r="BD57" s="59">
        <v>44628</v>
      </c>
      <c r="BE57" s="58">
        <v>44630</v>
      </c>
      <c r="BF57" s="58">
        <v>44634</v>
      </c>
      <c r="BG57" s="59">
        <f t="shared" si="21"/>
        <v>44634</v>
      </c>
      <c r="BH57" s="183" t="str">
        <f t="shared" si="19"/>
        <v>Contrato formalizado  con FC  29/03
26/09 Terminación Anticipada formalizada en tesorería</v>
      </c>
      <c r="BI57" s="195" t="s">
        <v>4678</v>
      </c>
      <c r="BJ57" s="185" t="s">
        <v>4679</v>
      </c>
      <c r="BK57" s="186" t="str">
        <f t="shared" si="14"/>
        <v>Contrato formalizado  con FC  29/03
26/09 Terminación Anticipada formalizada en tesorería</v>
      </c>
      <c r="BL57" s="84"/>
      <c r="BM57" s="84"/>
      <c r="BN57" s="84"/>
      <c r="BO57" s="84"/>
      <c r="BP57" s="84"/>
      <c r="BQ57"/>
      <c r="BR57"/>
      <c r="BS57"/>
    </row>
    <row r="58" spans="1:71" s="468" customFormat="1" ht="60" x14ac:dyDescent="0.25">
      <c r="A58" s="168" t="s">
        <v>4680</v>
      </c>
      <c r="B58" s="3">
        <v>52</v>
      </c>
      <c r="C58" s="167" t="s">
        <v>225</v>
      </c>
      <c r="D58" s="39" t="s">
        <v>173</v>
      </c>
      <c r="E58" s="40" t="s">
        <v>4661</v>
      </c>
      <c r="F58" s="39" t="s">
        <v>173</v>
      </c>
      <c r="G58" s="39"/>
      <c r="H58" s="39" t="s">
        <v>3785</v>
      </c>
      <c r="I58" s="81" t="s">
        <v>528</v>
      </c>
      <c r="J58" s="41"/>
      <c r="K58" s="41"/>
      <c r="L58" s="41"/>
      <c r="M58" s="42" t="str">
        <f t="shared" si="16"/>
        <v xml:space="preserve">Café 1810, S.A. de C.V.  </v>
      </c>
      <c r="N58" s="991" t="s">
        <v>270</v>
      </c>
      <c r="O58" s="991" t="s">
        <v>270</v>
      </c>
      <c r="P58" s="991" t="s">
        <v>4681</v>
      </c>
      <c r="Q58" s="992">
        <v>1259614.08</v>
      </c>
      <c r="R58" s="235">
        <v>0</v>
      </c>
      <c r="S58" s="45">
        <f t="shared" si="20"/>
        <v>1259614.08</v>
      </c>
      <c r="T58" s="46">
        <v>503845.63</v>
      </c>
      <c r="U58" s="46">
        <v>503845.63</v>
      </c>
      <c r="V58" s="44">
        <f t="shared" si="17"/>
        <v>1259614.08</v>
      </c>
      <c r="W58" s="993" t="s">
        <v>156</v>
      </c>
      <c r="X58" s="48">
        <v>44631</v>
      </c>
      <c r="Y58" s="39" t="s">
        <v>234</v>
      </c>
      <c r="Z58" s="48">
        <v>44631</v>
      </c>
      <c r="AA58" s="48">
        <v>44926</v>
      </c>
      <c r="AB58" s="38" t="s">
        <v>3113</v>
      </c>
      <c r="AC58" s="38"/>
      <c r="AD58" s="59"/>
      <c r="AE58" s="59"/>
      <c r="AF58" s="59"/>
      <c r="AG58" s="59"/>
      <c r="AH58" s="39"/>
      <c r="AI58" s="38"/>
      <c r="AJ58" s="38"/>
      <c r="AK58" s="50"/>
      <c r="AL58" s="44"/>
      <c r="AM58" s="163" t="str">
        <f t="shared" ca="1" si="18"/>
        <v>MUERTO</v>
      </c>
      <c r="AN58" s="39"/>
      <c r="AO58" s="39"/>
      <c r="AP58" s="39" t="s">
        <v>234</v>
      </c>
      <c r="AQ58" s="39"/>
      <c r="AR58" s="39" t="s">
        <v>234</v>
      </c>
      <c r="AS58" s="39"/>
      <c r="AT58" s="39"/>
      <c r="AU58" s="51"/>
      <c r="AV58" s="50"/>
      <c r="AW58" s="38"/>
      <c r="AX58" s="52"/>
      <c r="AY58" s="170" t="s">
        <v>4682</v>
      </c>
      <c r="AZ58" s="38"/>
      <c r="BA58" s="38" t="s">
        <v>4683</v>
      </c>
      <c r="BB58" s="73">
        <f t="shared" ref="BB58:BB81" si="22">AN58</f>
        <v>0</v>
      </c>
      <c r="BC58" s="159"/>
      <c r="BD58" s="59">
        <v>44628</v>
      </c>
      <c r="BE58" s="58">
        <v>44630</v>
      </c>
      <c r="BF58" s="58">
        <v>44635</v>
      </c>
      <c r="BG58" s="59">
        <f t="shared" si="21"/>
        <v>44635</v>
      </c>
      <c r="BH58" s="183" t="str">
        <f t="shared" si="19"/>
        <v>contrato formalizado  con FC 04/04</v>
      </c>
      <c r="BI58" s="195">
        <v>44643</v>
      </c>
      <c r="BJ58" s="185">
        <v>44638</v>
      </c>
      <c r="BK58" s="186" t="str">
        <f t="shared" ref="BK58:BK90" si="23">AY58</f>
        <v>contrato formalizado  con FC 04/04</v>
      </c>
      <c r="BL58" s="84"/>
      <c r="BM58" s="84"/>
      <c r="BN58" s="84"/>
      <c r="BO58" s="84"/>
      <c r="BP58" s="84"/>
      <c r="BQ58"/>
      <c r="BR58"/>
      <c r="BS58"/>
    </row>
    <row r="59" spans="1:71" ht="60" x14ac:dyDescent="0.25">
      <c r="A59" s="168" t="s">
        <v>4684</v>
      </c>
      <c r="B59" s="3">
        <v>53</v>
      </c>
      <c r="C59" s="167" t="s">
        <v>149</v>
      </c>
      <c r="D59" s="39" t="s">
        <v>163</v>
      </c>
      <c r="E59" s="39" t="s">
        <v>4640</v>
      </c>
      <c r="F59" s="3" t="s">
        <v>2237</v>
      </c>
      <c r="G59" s="685" t="s">
        <v>546</v>
      </c>
      <c r="H59" s="39" t="s">
        <v>3764</v>
      </c>
      <c r="I59" s="81" t="s">
        <v>3323</v>
      </c>
      <c r="J59" s="41"/>
      <c r="K59" s="41"/>
      <c r="L59" s="41"/>
      <c r="M59" s="42" t="str">
        <f t="shared" si="16"/>
        <v xml:space="preserve">Dhimex Ciudad de México, S.A. de C.V.    </v>
      </c>
      <c r="N59" s="991" t="s">
        <v>4072</v>
      </c>
      <c r="O59" s="991" t="s">
        <v>4072</v>
      </c>
      <c r="P59" s="991" t="s">
        <v>4685</v>
      </c>
      <c r="Q59" s="992">
        <v>2489616.1800000002</v>
      </c>
      <c r="R59" s="44">
        <f t="shared" ref="R59:R93" si="24">Q59*0.16</f>
        <v>398338.58880000003</v>
      </c>
      <c r="S59" s="45">
        <f t="shared" si="20"/>
        <v>2887954.7688000002</v>
      </c>
      <c r="T59" s="46">
        <v>0</v>
      </c>
      <c r="U59" s="47">
        <f t="shared" ref="U59:U90" si="25">(T59*0.16)+(T59)</f>
        <v>0</v>
      </c>
      <c r="V59" s="44">
        <f t="shared" si="17"/>
        <v>2887954.7688000002</v>
      </c>
      <c r="W59" s="993" t="s">
        <v>156</v>
      </c>
      <c r="X59" s="48">
        <v>44642</v>
      </c>
      <c r="Y59" s="39" t="s">
        <v>234</v>
      </c>
      <c r="Z59" s="48">
        <v>44642</v>
      </c>
      <c r="AA59" s="48">
        <v>44926</v>
      </c>
      <c r="AB59" s="38" t="s">
        <v>3787</v>
      </c>
      <c r="AC59" s="38"/>
      <c r="AD59" s="59"/>
      <c r="AE59" s="59"/>
      <c r="AF59" s="59"/>
      <c r="AG59" s="59"/>
      <c r="AH59" s="39"/>
      <c r="AI59" s="38"/>
      <c r="AJ59" s="38"/>
      <c r="AK59" s="50"/>
      <c r="AL59" s="44"/>
      <c r="AM59" s="163" t="str">
        <f t="shared" ca="1" si="18"/>
        <v>MUERTO</v>
      </c>
      <c r="AN59" s="39"/>
      <c r="AO59" s="39"/>
      <c r="AP59" s="39" t="s">
        <v>234</v>
      </c>
      <c r="AQ59" s="39"/>
      <c r="AR59" s="39" t="s">
        <v>234</v>
      </c>
      <c r="AS59" s="39"/>
      <c r="AT59" s="39"/>
      <c r="AU59" s="51"/>
      <c r="AV59" s="50"/>
      <c r="AW59" s="38"/>
      <c r="AX59" s="52"/>
      <c r="AY59" s="170" t="s">
        <v>4686</v>
      </c>
      <c r="AZ59" s="38"/>
      <c r="BA59" s="38" t="s">
        <v>3921</v>
      </c>
      <c r="BB59" s="73">
        <f t="shared" si="22"/>
        <v>0</v>
      </c>
      <c r="BC59" s="159"/>
      <c r="BD59" s="59">
        <v>44624</v>
      </c>
      <c r="BE59" s="58">
        <v>44628</v>
      </c>
      <c r="BF59" s="58">
        <v>44636</v>
      </c>
      <c r="BG59" s="59">
        <f t="shared" si="21"/>
        <v>44636</v>
      </c>
      <c r="BH59" s="183" t="str">
        <f t="shared" si="19"/>
        <v>contrato formalizado  con FC y PRC  04/04</v>
      </c>
      <c r="BI59" s="195">
        <v>44642</v>
      </c>
      <c r="BJ59" s="185">
        <v>44636</v>
      </c>
      <c r="BK59" s="186" t="str">
        <f t="shared" si="23"/>
        <v>contrato formalizado  con FC y PRC  04/04</v>
      </c>
      <c r="BL59" s="84"/>
      <c r="BM59" s="84"/>
      <c r="BN59" s="84"/>
      <c r="BO59" s="84"/>
      <c r="BP59" s="84"/>
    </row>
    <row r="60" spans="1:71" ht="150" x14ac:dyDescent="0.25">
      <c r="A60" s="196" t="s">
        <v>4687</v>
      </c>
      <c r="B60" s="3">
        <v>54</v>
      </c>
      <c r="C60" s="167" t="s">
        <v>149</v>
      </c>
      <c r="D60" s="39" t="s">
        <v>163</v>
      </c>
      <c r="E60" s="40" t="s">
        <v>4688</v>
      </c>
      <c r="F60" s="39" t="s">
        <v>163</v>
      </c>
      <c r="G60" s="39" t="s">
        <v>163</v>
      </c>
      <c r="H60" s="39" t="s">
        <v>4004</v>
      </c>
      <c r="I60" s="81" t="s">
        <v>4689</v>
      </c>
      <c r="J60" s="41"/>
      <c r="K60" s="41"/>
      <c r="L60" s="41"/>
      <c r="M60" s="42" t="str">
        <f t="shared" si="16"/>
        <v xml:space="preserve">Soluciones y Suministros Frimar, S.A. de C.V.  </v>
      </c>
      <c r="N60" s="991" t="s">
        <v>198</v>
      </c>
      <c r="O60" s="991" t="s">
        <v>198</v>
      </c>
      <c r="P60" s="991" t="s">
        <v>3566</v>
      </c>
      <c r="Q60" s="992">
        <v>1090180.07</v>
      </c>
      <c r="R60" s="44">
        <f t="shared" si="24"/>
        <v>174428.81120000003</v>
      </c>
      <c r="S60" s="45">
        <f t="shared" si="20"/>
        <v>1264608.8812000002</v>
      </c>
      <c r="T60" s="46">
        <v>327054.02</v>
      </c>
      <c r="U60" s="47">
        <f t="shared" si="25"/>
        <v>379382.66320000001</v>
      </c>
      <c r="V60" s="215">
        <f t="shared" si="17"/>
        <v>1580761.1012000002</v>
      </c>
      <c r="W60" s="993" t="s">
        <v>156</v>
      </c>
      <c r="X60" s="48">
        <v>44634</v>
      </c>
      <c r="Y60" s="109" t="s">
        <v>234</v>
      </c>
      <c r="Z60" s="48">
        <v>44634</v>
      </c>
      <c r="AA60" s="48">
        <v>44926</v>
      </c>
      <c r="AB60" s="38" t="s">
        <v>3811</v>
      </c>
      <c r="AC60" s="38"/>
      <c r="AD60" s="59"/>
      <c r="AE60" s="59"/>
      <c r="AF60" s="59"/>
      <c r="AG60" s="59"/>
      <c r="AH60" s="39"/>
      <c r="AI60" s="38" t="s">
        <v>4690</v>
      </c>
      <c r="AJ60" s="211" t="s">
        <v>4691</v>
      </c>
      <c r="AK60" s="218">
        <v>44894</v>
      </c>
      <c r="AL60" s="215">
        <v>316152.21999999997</v>
      </c>
      <c r="AM60" s="163" t="str">
        <f t="shared" ca="1" si="18"/>
        <v>MUERTO</v>
      </c>
      <c r="AN60" s="39"/>
      <c r="AO60" s="39"/>
      <c r="AP60" s="39" t="s">
        <v>234</v>
      </c>
      <c r="AQ60" s="39" t="s">
        <v>892</v>
      </c>
      <c r="AR60" s="39" t="s">
        <v>234</v>
      </c>
      <c r="AS60" s="39"/>
      <c r="AT60" s="39"/>
      <c r="AU60" s="51"/>
      <c r="AV60" s="50"/>
      <c r="AW60" s="38"/>
      <c r="AX60" s="52"/>
      <c r="AY60" s="170" t="s">
        <v>4692</v>
      </c>
      <c r="AZ60" s="38"/>
      <c r="BA60" s="38" t="s">
        <v>4693</v>
      </c>
      <c r="BB60" s="73">
        <f t="shared" si="22"/>
        <v>0</v>
      </c>
      <c r="BC60" s="159"/>
      <c r="BD60" s="59">
        <v>44634</v>
      </c>
      <c r="BE60" s="58">
        <v>44634</v>
      </c>
      <c r="BF60" s="58">
        <v>44637</v>
      </c>
      <c r="BG60" s="59">
        <f t="shared" si="21"/>
        <v>44637</v>
      </c>
      <c r="BH60" s="183" t="str">
        <f t="shared" si="19"/>
        <v>Contrato formalizado  con FC  29/03
Modificatorio formalizado con endosos 28/12/22</v>
      </c>
      <c r="BI60" s="195" t="s">
        <v>4694</v>
      </c>
      <c r="BJ60" s="185" t="s">
        <v>4695</v>
      </c>
      <c r="BK60" s="186" t="str">
        <f t="shared" si="23"/>
        <v>Contrato formalizado  con FC  29/03
Modificatorio formalizado con endosos 28/12/22</v>
      </c>
      <c r="BL60" s="84"/>
      <c r="BM60" s="84"/>
      <c r="BN60" s="84"/>
      <c r="BO60" s="84"/>
      <c r="BP60" s="84"/>
    </row>
    <row r="61" spans="1:71" s="468" customFormat="1" ht="135" x14ac:dyDescent="0.25">
      <c r="A61" s="196" t="s">
        <v>4696</v>
      </c>
      <c r="B61" s="3">
        <v>55</v>
      </c>
      <c r="C61" s="167" t="s">
        <v>225</v>
      </c>
      <c r="D61" s="39" t="s">
        <v>151</v>
      </c>
      <c r="E61" s="40" t="s">
        <v>4697</v>
      </c>
      <c r="F61" s="39" t="s">
        <v>151</v>
      </c>
      <c r="G61" s="39"/>
      <c r="H61" s="39" t="s">
        <v>3793</v>
      </c>
      <c r="I61" s="81" t="s">
        <v>2505</v>
      </c>
      <c r="J61" s="41"/>
      <c r="K61" s="41"/>
      <c r="L61" s="41"/>
      <c r="M61" s="42" t="str">
        <f t="shared" si="16"/>
        <v xml:space="preserve">Grupo Antda, S.A. de C.V.  </v>
      </c>
      <c r="N61" s="991" t="s">
        <v>198</v>
      </c>
      <c r="O61" s="991" t="s">
        <v>198</v>
      </c>
      <c r="P61" s="991" t="s">
        <v>4698</v>
      </c>
      <c r="Q61" s="992">
        <v>1441880</v>
      </c>
      <c r="R61" s="44">
        <f t="shared" si="24"/>
        <v>230700.80000000002</v>
      </c>
      <c r="S61" s="45">
        <f t="shared" si="20"/>
        <v>1672580.8</v>
      </c>
      <c r="T61" s="46">
        <v>520200</v>
      </c>
      <c r="U61" s="47">
        <f t="shared" si="25"/>
        <v>603432</v>
      </c>
      <c r="V61" s="215">
        <f t="shared" si="17"/>
        <v>2090726</v>
      </c>
      <c r="W61" s="993" t="s">
        <v>156</v>
      </c>
      <c r="X61" s="48">
        <v>44635</v>
      </c>
      <c r="Y61" s="39" t="s">
        <v>234</v>
      </c>
      <c r="Z61" s="48">
        <v>44635</v>
      </c>
      <c r="AA61" s="48">
        <v>44926</v>
      </c>
      <c r="AB61" s="38" t="s">
        <v>3113</v>
      </c>
      <c r="AC61" s="38"/>
      <c r="AD61" s="59"/>
      <c r="AE61" s="59"/>
      <c r="AF61" s="59"/>
      <c r="AG61" s="59"/>
      <c r="AH61" s="39"/>
      <c r="AI61" s="38" t="s">
        <v>4699</v>
      </c>
      <c r="AJ61" s="211" t="s">
        <v>4700</v>
      </c>
      <c r="AK61" s="218">
        <v>44855</v>
      </c>
      <c r="AL61" s="44">
        <v>418145.2</v>
      </c>
      <c r="AM61" s="163" t="str">
        <f t="shared" ca="1" si="18"/>
        <v>MUERTO</v>
      </c>
      <c r="AN61" s="39"/>
      <c r="AO61" s="39"/>
      <c r="AP61" s="39" t="s">
        <v>234</v>
      </c>
      <c r="AQ61" s="39" t="s">
        <v>881</v>
      </c>
      <c r="AR61" s="39" t="s">
        <v>234</v>
      </c>
      <c r="AS61" s="39"/>
      <c r="AT61" s="39"/>
      <c r="AU61" s="51"/>
      <c r="AV61" s="50"/>
      <c r="AW61" s="38"/>
      <c r="AX61" s="52"/>
      <c r="AY61" s="170" t="s">
        <v>4701</v>
      </c>
      <c r="AZ61" s="38"/>
      <c r="BA61" s="38" t="e">
        <f>VLOOKUP(I61,[2]RFC!$1:$1048576,2,0)</f>
        <v>#N/A</v>
      </c>
      <c r="BB61" s="73">
        <f t="shared" si="22"/>
        <v>0</v>
      </c>
      <c r="BC61" s="159"/>
      <c r="BD61" s="59" t="s">
        <v>4628</v>
      </c>
      <c r="BE61" s="58" t="s">
        <v>4702</v>
      </c>
      <c r="BF61" s="58" t="s">
        <v>4703</v>
      </c>
      <c r="BG61" s="59" t="str">
        <f t="shared" si="21"/>
        <v>17/03/2022
24/10/22</v>
      </c>
      <c r="BH61" s="183" t="str">
        <f t="shared" si="19"/>
        <v>Contrato formalizado con FC 07/04
Modif formalizado con endoso de FC 09/11/22</v>
      </c>
      <c r="BI61" s="195" t="s">
        <v>4704</v>
      </c>
      <c r="BJ61" s="185" t="s">
        <v>4705</v>
      </c>
      <c r="BK61" s="186" t="str">
        <f t="shared" si="23"/>
        <v>Contrato formalizado con FC 07/04
Modif formalizado con endoso de FC 09/11/22</v>
      </c>
      <c r="BL61" s="84"/>
      <c r="BM61" s="84"/>
      <c r="BN61" s="84"/>
      <c r="BO61" s="84"/>
      <c r="BP61" s="84"/>
      <c r="BQ61"/>
      <c r="BR61"/>
      <c r="BS61"/>
    </row>
    <row r="62" spans="1:71" ht="60" x14ac:dyDescent="0.25">
      <c r="A62" s="168" t="s">
        <v>4706</v>
      </c>
      <c r="B62" s="3">
        <v>56</v>
      </c>
      <c r="C62" s="167" t="s">
        <v>149</v>
      </c>
      <c r="D62" s="39" t="s">
        <v>163</v>
      </c>
      <c r="E62" s="40" t="s">
        <v>4707</v>
      </c>
      <c r="F62" s="39" t="s">
        <v>163</v>
      </c>
      <c r="G62" s="39" t="s">
        <v>163</v>
      </c>
      <c r="H62" s="39" t="s">
        <v>2064</v>
      </c>
      <c r="I62" s="81" t="s">
        <v>4708</v>
      </c>
      <c r="J62" s="41"/>
      <c r="K62" s="41"/>
      <c r="L62" s="41"/>
      <c r="M62" s="42" t="str">
        <f t="shared" si="16"/>
        <v xml:space="preserve">Editores - Libreros, S.A. de C.V.  </v>
      </c>
      <c r="N62" s="991" t="s">
        <v>2065</v>
      </c>
      <c r="O62" s="991" t="s">
        <v>2579</v>
      </c>
      <c r="P62" s="991" t="s">
        <v>4709</v>
      </c>
      <c r="Q62" s="992">
        <v>844830</v>
      </c>
      <c r="R62" s="44">
        <f t="shared" si="24"/>
        <v>135172.79999999999</v>
      </c>
      <c r="S62" s="45">
        <f t="shared" si="20"/>
        <v>980002.8</v>
      </c>
      <c r="T62" s="46">
        <v>0</v>
      </c>
      <c r="U62" s="47">
        <f t="shared" si="25"/>
        <v>0</v>
      </c>
      <c r="V62" s="44">
        <f t="shared" si="17"/>
        <v>980002.8</v>
      </c>
      <c r="W62" s="993" t="s">
        <v>156</v>
      </c>
      <c r="X62" s="48">
        <v>44638</v>
      </c>
      <c r="Y62" s="109" t="s">
        <v>234</v>
      </c>
      <c r="Z62" s="48">
        <v>44641</v>
      </c>
      <c r="AA62" s="48">
        <v>44681</v>
      </c>
      <c r="AB62" s="38" t="s">
        <v>4710</v>
      </c>
      <c r="AC62" s="38"/>
      <c r="AD62" s="59"/>
      <c r="AE62" s="59"/>
      <c r="AF62" s="197">
        <v>392001.12</v>
      </c>
      <c r="AG62" s="59"/>
      <c r="AH62" s="39"/>
      <c r="AI62" s="38"/>
      <c r="AJ62" s="38"/>
      <c r="AK62" s="50"/>
      <c r="AL62" s="44"/>
      <c r="AM62" s="163" t="str">
        <f t="shared" ca="1" si="18"/>
        <v>MUERTO</v>
      </c>
      <c r="AN62" s="39"/>
      <c r="AO62" s="39"/>
      <c r="AP62" s="39" t="s">
        <v>234</v>
      </c>
      <c r="AQ62" s="39"/>
      <c r="AR62" s="39" t="s">
        <v>234</v>
      </c>
      <c r="AS62" s="39"/>
      <c r="AT62" s="39"/>
      <c r="AU62" s="51"/>
      <c r="AV62" s="50"/>
      <c r="AW62" s="38"/>
      <c r="AX62" s="52"/>
      <c r="AY62" s="170" t="s">
        <v>4711</v>
      </c>
      <c r="AZ62" s="38"/>
      <c r="BA62" s="38" t="s">
        <v>4712</v>
      </c>
      <c r="BB62" s="73">
        <f t="shared" si="22"/>
        <v>0</v>
      </c>
      <c r="BC62" s="159"/>
      <c r="BD62" s="59">
        <v>44620</v>
      </c>
      <c r="BE62" s="58">
        <v>44634</v>
      </c>
      <c r="BF62" s="58">
        <v>44644</v>
      </c>
      <c r="BG62" s="59">
        <f t="shared" si="21"/>
        <v>44644</v>
      </c>
      <c r="BH62" s="183" t="str">
        <f t="shared" si="19"/>
        <v>Contrato formalizado con FC 29/03</v>
      </c>
      <c r="BI62" s="195">
        <v>44645</v>
      </c>
      <c r="BJ62" s="185">
        <v>44644</v>
      </c>
      <c r="BK62" s="186" t="str">
        <f t="shared" si="23"/>
        <v>Contrato formalizado con FC 29/03</v>
      </c>
      <c r="BL62" s="84"/>
      <c r="BM62" s="84"/>
      <c r="BN62" s="84"/>
      <c r="BO62" s="84"/>
      <c r="BP62" s="84"/>
    </row>
    <row r="63" spans="1:71" ht="135" x14ac:dyDescent="0.25">
      <c r="A63" s="196" t="s">
        <v>4713</v>
      </c>
      <c r="B63" s="3">
        <v>57</v>
      </c>
      <c r="C63" s="167" t="s">
        <v>149</v>
      </c>
      <c r="D63" s="39" t="s">
        <v>163</v>
      </c>
      <c r="E63" s="40" t="s">
        <v>4714</v>
      </c>
      <c r="F63" s="39" t="s">
        <v>163</v>
      </c>
      <c r="G63" s="39" t="s">
        <v>163</v>
      </c>
      <c r="H63" s="39" t="s">
        <v>4004</v>
      </c>
      <c r="I63" s="81" t="s">
        <v>4715</v>
      </c>
      <c r="J63" s="41"/>
      <c r="K63" s="41"/>
      <c r="L63" s="41"/>
      <c r="M63" s="42" t="str">
        <f t="shared" si="16"/>
        <v xml:space="preserve">MERCB2B, S.A. DE C.V.  </v>
      </c>
      <c r="N63" s="991" t="s">
        <v>198</v>
      </c>
      <c r="O63" s="991" t="s">
        <v>198</v>
      </c>
      <c r="P63" s="991" t="s">
        <v>4716</v>
      </c>
      <c r="Q63" s="992">
        <v>689655.17200000002</v>
      </c>
      <c r="R63" s="44">
        <f t="shared" si="24"/>
        <v>110344.82752000001</v>
      </c>
      <c r="S63" s="45">
        <f t="shared" si="20"/>
        <v>799999.99952000007</v>
      </c>
      <c r="T63" s="46">
        <v>275862.06900000002</v>
      </c>
      <c r="U63" s="47">
        <f t="shared" si="25"/>
        <v>320000.00004000001</v>
      </c>
      <c r="V63" s="215">
        <f t="shared" si="17"/>
        <v>847999.98952000006</v>
      </c>
      <c r="W63" s="993" t="s">
        <v>156</v>
      </c>
      <c r="X63" s="48">
        <v>44643</v>
      </c>
      <c r="Y63" s="58" t="s">
        <v>234</v>
      </c>
      <c r="Z63" s="48">
        <v>44643</v>
      </c>
      <c r="AA63" s="48">
        <v>44926</v>
      </c>
      <c r="AB63" s="38" t="s">
        <v>4717</v>
      </c>
      <c r="AC63" s="38"/>
      <c r="AD63" s="59"/>
      <c r="AE63" s="59"/>
      <c r="AF63" s="59"/>
      <c r="AG63" s="59"/>
      <c r="AH63" s="39"/>
      <c r="AI63" s="211" t="s">
        <v>4718</v>
      </c>
      <c r="AJ63" s="211" t="s">
        <v>4719</v>
      </c>
      <c r="AK63" s="218">
        <v>44909</v>
      </c>
      <c r="AL63" s="215">
        <v>47999.99</v>
      </c>
      <c r="AM63" s="163" t="str">
        <f t="shared" ca="1" si="18"/>
        <v>MUERTO</v>
      </c>
      <c r="AN63" s="39"/>
      <c r="AO63" s="39"/>
      <c r="AP63" s="39" t="s">
        <v>234</v>
      </c>
      <c r="AQ63" s="39" t="s">
        <v>924</v>
      </c>
      <c r="AR63" s="39" t="s">
        <v>234</v>
      </c>
      <c r="AS63" s="39"/>
      <c r="AT63" s="39"/>
      <c r="AU63" s="51"/>
      <c r="AV63" s="50"/>
      <c r="AW63" s="38"/>
      <c r="AX63" s="52"/>
      <c r="AY63" s="170" t="s">
        <v>4720</v>
      </c>
      <c r="AZ63" s="38"/>
      <c r="BA63" s="38" t="s">
        <v>4721</v>
      </c>
      <c r="BB63" s="73">
        <f t="shared" si="22"/>
        <v>0</v>
      </c>
      <c r="BC63" s="159"/>
      <c r="BD63" s="59">
        <v>44638</v>
      </c>
      <c r="BE63" s="58">
        <v>44642</v>
      </c>
      <c r="BF63" s="58">
        <v>44643</v>
      </c>
      <c r="BG63" s="59">
        <f t="shared" si="21"/>
        <v>44643</v>
      </c>
      <c r="BH63" s="183" t="str">
        <f t="shared" si="19"/>
        <v>Contrato formalizado con FC y PRC 21/4
Modif formalizado con endosos 16/01/23</v>
      </c>
      <c r="BI63" s="195" t="s">
        <v>4722</v>
      </c>
      <c r="BJ63" s="185" t="s">
        <v>4723</v>
      </c>
      <c r="BK63" s="186" t="str">
        <f t="shared" si="23"/>
        <v>Contrato formalizado con FC y PRC 21/4
Modif formalizado con endosos 16/01/23</v>
      </c>
      <c r="BL63" s="84"/>
      <c r="BM63" s="84"/>
      <c r="BN63" s="84"/>
      <c r="BO63" s="84"/>
      <c r="BP63" s="84"/>
    </row>
    <row r="64" spans="1:71" s="468" customFormat="1" ht="120" x14ac:dyDescent="0.25">
      <c r="A64" s="168" t="s">
        <v>4724</v>
      </c>
      <c r="B64" s="3">
        <v>58</v>
      </c>
      <c r="C64" s="167" t="s">
        <v>811</v>
      </c>
      <c r="D64" s="39" t="s">
        <v>173</v>
      </c>
      <c r="E64" s="40" t="s">
        <v>4725</v>
      </c>
      <c r="F64" s="39" t="s">
        <v>173</v>
      </c>
      <c r="G64" s="39"/>
      <c r="H64" s="39" t="s">
        <v>3785</v>
      </c>
      <c r="I64" s="81" t="s">
        <v>1862</v>
      </c>
      <c r="J64" s="41"/>
      <c r="K64" s="41"/>
      <c r="L64" s="41"/>
      <c r="M64" s="42" t="str">
        <f t="shared" si="16"/>
        <v xml:space="preserve">Constructora Mozaco, S.A. de C.V.  </v>
      </c>
      <c r="N64" s="991" t="s">
        <v>198</v>
      </c>
      <c r="O64" s="991" t="s">
        <v>198</v>
      </c>
      <c r="P64" s="991" t="s">
        <v>4726</v>
      </c>
      <c r="Q64" s="992">
        <v>4963565.83</v>
      </c>
      <c r="R64" s="44">
        <f t="shared" si="24"/>
        <v>794170.53280000004</v>
      </c>
      <c r="S64" s="45">
        <f t="shared" si="20"/>
        <v>5757736.3628000002</v>
      </c>
      <c r="T64" s="46">
        <v>0</v>
      </c>
      <c r="U64" s="47">
        <f t="shared" si="25"/>
        <v>0</v>
      </c>
      <c r="V64" s="44">
        <f t="shared" si="17"/>
        <v>5757736.3628000002</v>
      </c>
      <c r="W64" s="993" t="s">
        <v>156</v>
      </c>
      <c r="X64" s="48">
        <v>44643</v>
      </c>
      <c r="Y64" s="109" t="s">
        <v>234</v>
      </c>
      <c r="Z64" s="48">
        <v>44643</v>
      </c>
      <c r="AA64" s="48">
        <v>44762</v>
      </c>
      <c r="AB64" s="38" t="s">
        <v>4727</v>
      </c>
      <c r="AC64" s="38"/>
      <c r="AD64" s="59"/>
      <c r="AE64" s="59"/>
      <c r="AF64" s="197">
        <v>1151547.27</v>
      </c>
      <c r="AG64" s="59"/>
      <c r="AH64" s="39"/>
      <c r="AI64" s="38"/>
      <c r="AJ64" s="38"/>
      <c r="AK64" s="50"/>
      <c r="AL64" s="44"/>
      <c r="AM64" s="163" t="str">
        <f t="shared" ca="1" si="18"/>
        <v>MUERTO</v>
      </c>
      <c r="AN64" s="39"/>
      <c r="AO64" s="39"/>
      <c r="AP64" s="39" t="s">
        <v>234</v>
      </c>
      <c r="AQ64" s="39"/>
      <c r="AR64" s="39" t="s">
        <v>234</v>
      </c>
      <c r="AS64" s="39"/>
      <c r="AT64" s="39"/>
      <c r="AU64" s="51"/>
      <c r="AV64" s="50"/>
      <c r="AW64" s="38"/>
      <c r="AX64" s="52"/>
      <c r="AY64" s="170" t="s">
        <v>4728</v>
      </c>
      <c r="AZ64" s="38"/>
      <c r="BA64" s="38" t="s">
        <v>4729</v>
      </c>
      <c r="BB64" s="73">
        <f t="shared" si="22"/>
        <v>0</v>
      </c>
      <c r="BC64" s="159"/>
      <c r="BD64" s="59">
        <v>44638</v>
      </c>
      <c r="BE64" s="58">
        <v>44643</v>
      </c>
      <c r="BF64" s="39"/>
      <c r="BG64" s="59">
        <f t="shared" si="21"/>
        <v>0</v>
      </c>
      <c r="BH64" s="183" t="str">
        <f t="shared" si="19"/>
        <v>Contrato formalizado con fianza de anticipo en tesorería 04/04  FC Y PRC 08/04</v>
      </c>
      <c r="BI64" s="195">
        <v>44652</v>
      </c>
      <c r="BJ64" s="185">
        <v>44649</v>
      </c>
      <c r="BK64" s="186" t="str">
        <f t="shared" si="23"/>
        <v>Contrato formalizado con fianza de anticipo en tesorería 04/04  FC Y PRC 08/04</v>
      </c>
      <c r="BL64" s="84"/>
      <c r="BM64" s="84"/>
      <c r="BN64" s="84"/>
      <c r="BO64" s="84"/>
      <c r="BP64" s="84"/>
      <c r="BQ64"/>
      <c r="BR64"/>
      <c r="BS64"/>
    </row>
    <row r="65" spans="1:71" ht="60" x14ac:dyDescent="0.25">
      <c r="A65" s="168" t="s">
        <v>4730</v>
      </c>
      <c r="B65" s="3">
        <v>59</v>
      </c>
      <c r="C65" s="167" t="s">
        <v>149</v>
      </c>
      <c r="D65" s="39" t="s">
        <v>151</v>
      </c>
      <c r="E65" s="39" t="s">
        <v>4731</v>
      </c>
      <c r="F65" s="39" t="s">
        <v>151</v>
      </c>
      <c r="G65" s="39"/>
      <c r="H65" s="39" t="s">
        <v>3793</v>
      </c>
      <c r="I65" s="81" t="s">
        <v>569</v>
      </c>
      <c r="J65" s="41"/>
      <c r="K65" s="41"/>
      <c r="L65" s="41"/>
      <c r="M65" s="42" t="str">
        <f t="shared" si="16"/>
        <v xml:space="preserve">Audio Video &amp; Control, S.A. de C.V.  </v>
      </c>
      <c r="N65" s="991" t="s">
        <v>190</v>
      </c>
      <c r="O65" s="991" t="s">
        <v>190</v>
      </c>
      <c r="P65" s="991" t="s">
        <v>4732</v>
      </c>
      <c r="Q65" s="992">
        <v>900000</v>
      </c>
      <c r="R65" s="44">
        <f t="shared" si="24"/>
        <v>144000</v>
      </c>
      <c r="S65" s="45">
        <f t="shared" si="20"/>
        <v>1044000</v>
      </c>
      <c r="T65" s="46">
        <v>300000</v>
      </c>
      <c r="U65" s="47">
        <f t="shared" si="25"/>
        <v>348000</v>
      </c>
      <c r="V65" s="44">
        <f t="shared" si="17"/>
        <v>1044000</v>
      </c>
      <c r="W65" s="993" t="s">
        <v>156</v>
      </c>
      <c r="X65" s="48">
        <v>44651</v>
      </c>
      <c r="Y65" s="109" t="s">
        <v>234</v>
      </c>
      <c r="Z65" s="48">
        <v>44651</v>
      </c>
      <c r="AA65" s="48">
        <v>44926</v>
      </c>
      <c r="AB65" s="38" t="s">
        <v>4733</v>
      </c>
      <c r="AC65" s="38"/>
      <c r="AD65" s="59"/>
      <c r="AE65" s="59"/>
      <c r="AF65" s="59"/>
      <c r="AG65" s="59"/>
      <c r="AH65" s="39"/>
      <c r="AI65" s="38"/>
      <c r="AJ65" s="38"/>
      <c r="AK65" s="50"/>
      <c r="AL65" s="44"/>
      <c r="AM65" s="163" t="str">
        <f t="shared" ca="1" si="18"/>
        <v>MUERTO</v>
      </c>
      <c r="AN65" s="39"/>
      <c r="AO65" s="39"/>
      <c r="AP65" s="39" t="s">
        <v>234</v>
      </c>
      <c r="AQ65" s="39"/>
      <c r="AR65" s="39" t="s">
        <v>234</v>
      </c>
      <c r="AS65" s="39"/>
      <c r="AT65" s="39"/>
      <c r="AU65" s="51"/>
      <c r="AV65" s="50"/>
      <c r="AW65" s="38"/>
      <c r="AX65" s="52"/>
      <c r="AY65" s="170" t="s">
        <v>4734</v>
      </c>
      <c r="AZ65" s="38"/>
      <c r="BA65" s="38" t="str">
        <f>VLOOKUP(I65,[2]RFC!$1:$1048576,2,0)</f>
        <v>AV&amp;060117UX0</v>
      </c>
      <c r="BB65" s="73">
        <f t="shared" si="22"/>
        <v>0</v>
      </c>
      <c r="BC65" s="159"/>
      <c r="BD65" s="59">
        <v>44648</v>
      </c>
      <c r="BE65" s="58">
        <v>44649</v>
      </c>
      <c r="BF65" s="58">
        <v>44651</v>
      </c>
      <c r="BG65" s="59">
        <f t="shared" si="21"/>
        <v>44651</v>
      </c>
      <c r="BH65" s="183" t="str">
        <f t="shared" si="19"/>
        <v>Contrato formalizado con Fc y PRC 25/04</v>
      </c>
      <c r="BI65" s="195">
        <v>44658</v>
      </c>
      <c r="BJ65" s="185">
        <v>44652</v>
      </c>
      <c r="BK65" s="186" t="str">
        <f t="shared" si="23"/>
        <v>Contrato formalizado con Fc y PRC 25/04</v>
      </c>
      <c r="BL65" s="84"/>
      <c r="BM65" s="84"/>
      <c r="BN65" s="84"/>
      <c r="BO65" s="84"/>
      <c r="BP65" s="84"/>
    </row>
    <row r="66" spans="1:71" ht="135" x14ac:dyDescent="0.25">
      <c r="A66" s="196" t="s">
        <v>4735</v>
      </c>
      <c r="B66" s="3">
        <v>60</v>
      </c>
      <c r="C66" s="167" t="s">
        <v>149</v>
      </c>
      <c r="D66" s="225" t="s">
        <v>173</v>
      </c>
      <c r="E66" s="39" t="s">
        <v>4736</v>
      </c>
      <c r="F66" s="39" t="s">
        <v>173</v>
      </c>
      <c r="G66" s="225"/>
      <c r="H66" s="225" t="s">
        <v>3785</v>
      </c>
      <c r="I66" s="81" t="s">
        <v>4537</v>
      </c>
      <c r="J66" s="41"/>
      <c r="K66" s="41"/>
      <c r="L66" s="41"/>
      <c r="M66" s="42" t="str">
        <f t="shared" si="16"/>
        <v xml:space="preserve">Escalator, Elevator &amp; Electromechanics Enterprise, S.A. de C.V.  </v>
      </c>
      <c r="N66" s="991" t="s">
        <v>198</v>
      </c>
      <c r="O66" s="991" t="s">
        <v>198</v>
      </c>
      <c r="P66" s="991" t="s">
        <v>4737</v>
      </c>
      <c r="Q66" s="992">
        <v>2979847.29</v>
      </c>
      <c r="R66" s="44">
        <f t="shared" si="24"/>
        <v>476775.56640000001</v>
      </c>
      <c r="S66" s="45">
        <f t="shared" si="20"/>
        <v>3456622.8563999999</v>
      </c>
      <c r="T66" s="46">
        <v>1489923.65</v>
      </c>
      <c r="U66" s="47">
        <f t="shared" si="25"/>
        <v>1728311.4339999999</v>
      </c>
      <c r="V66" s="215">
        <f t="shared" si="17"/>
        <v>4320778.5663999999</v>
      </c>
      <c r="W66" s="993" t="s">
        <v>156</v>
      </c>
      <c r="X66" s="48">
        <v>44652</v>
      </c>
      <c r="Y66" s="39" t="s">
        <v>333</v>
      </c>
      <c r="Z66" s="48">
        <v>44652</v>
      </c>
      <c r="AA66" s="213">
        <v>44985</v>
      </c>
      <c r="AB66" s="38" t="s">
        <v>4717</v>
      </c>
      <c r="AC66" s="38"/>
      <c r="AD66" s="59"/>
      <c r="AE66" s="59"/>
      <c r="AF66" s="59"/>
      <c r="AG66" s="59"/>
      <c r="AH66" s="39"/>
      <c r="AI66" s="38" t="s">
        <v>4738</v>
      </c>
      <c r="AJ66" s="211" t="s">
        <v>4739</v>
      </c>
      <c r="AK66" s="218">
        <v>44918</v>
      </c>
      <c r="AL66" s="215">
        <v>864155.71</v>
      </c>
      <c r="AM66" s="163" t="str">
        <f t="shared" ca="1" si="18"/>
        <v>MUERTO</v>
      </c>
      <c r="AN66" s="39"/>
      <c r="AO66" s="39"/>
      <c r="AP66" s="39" t="s">
        <v>333</v>
      </c>
      <c r="AQ66" s="39" t="s">
        <v>924</v>
      </c>
      <c r="AR66" s="39" t="s">
        <v>333</v>
      </c>
      <c r="AS66" s="39"/>
      <c r="AT66" s="39"/>
      <c r="AU66" s="51"/>
      <c r="AV66" s="50"/>
      <c r="AW66" s="38"/>
      <c r="AX66" s="52"/>
      <c r="AY66" s="170" t="s">
        <v>4740</v>
      </c>
      <c r="AZ66" s="38"/>
      <c r="BA66" s="38" t="str">
        <f>VLOOKUP(I66,[2]RFC!$1:$1048576,2,0)</f>
        <v>EEA1006077G5</v>
      </c>
      <c r="BB66" s="73">
        <f t="shared" si="22"/>
        <v>0</v>
      </c>
      <c r="BC66" s="159"/>
      <c r="BD66" s="59">
        <v>44645</v>
      </c>
      <c r="BE66" s="58">
        <v>44648</v>
      </c>
      <c r="BF66" s="58" t="s">
        <v>4741</v>
      </c>
      <c r="BG66" s="59" t="str">
        <f t="shared" si="21"/>
        <v>30/03/2022
26/12/2022</v>
      </c>
      <c r="BH66" s="183" t="str">
        <f t="shared" si="19"/>
        <v>Contrato formalizado con FC y PRC 18/04
Modificat formalizado con endosos 30/1/23</v>
      </c>
      <c r="BI66" s="195" t="s">
        <v>4742</v>
      </c>
      <c r="BJ66" s="185" t="s">
        <v>4743</v>
      </c>
      <c r="BK66" s="186" t="str">
        <f t="shared" si="23"/>
        <v>Contrato formalizado con FC y PRC 18/04
Modificat formalizado con endosos 30/1/23</v>
      </c>
      <c r="BL66" s="84"/>
      <c r="BM66" s="84"/>
      <c r="BN66" s="84"/>
      <c r="BO66" s="84"/>
      <c r="BP66" s="84"/>
    </row>
    <row r="67" spans="1:71" ht="135" x14ac:dyDescent="0.25">
      <c r="A67" s="196" t="s">
        <v>4744</v>
      </c>
      <c r="B67" s="3">
        <v>61</v>
      </c>
      <c r="C67" s="167" t="s">
        <v>225</v>
      </c>
      <c r="D67" s="39" t="s">
        <v>163</v>
      </c>
      <c r="E67" s="40" t="s">
        <v>4745</v>
      </c>
      <c r="F67" s="39" t="s">
        <v>163</v>
      </c>
      <c r="G67" s="39" t="s">
        <v>163</v>
      </c>
      <c r="H67" s="39" t="s">
        <v>4746</v>
      </c>
      <c r="I67" s="81"/>
      <c r="J67" s="41" t="s">
        <v>1469</v>
      </c>
      <c r="K67" s="41" t="s">
        <v>4747</v>
      </c>
      <c r="L67" s="41" t="s">
        <v>454</v>
      </c>
      <c r="M67" s="42" t="str">
        <f t="shared" ref="M67:M98" si="26">I67&amp;J67&amp;" "&amp;K67&amp;" "&amp;L67</f>
        <v>Claudia Angélica López  Flores</v>
      </c>
      <c r="N67" s="991" t="s">
        <v>301</v>
      </c>
      <c r="O67" s="991" t="s">
        <v>301</v>
      </c>
      <c r="P67" s="991" t="s">
        <v>4748</v>
      </c>
      <c r="Q67" s="992">
        <v>3034553</v>
      </c>
      <c r="R67" s="44">
        <f t="shared" si="24"/>
        <v>485528.48</v>
      </c>
      <c r="S67" s="45">
        <f t="shared" si="20"/>
        <v>3520081.48</v>
      </c>
      <c r="T67" s="46">
        <v>1213821.2</v>
      </c>
      <c r="U67" s="47">
        <f t="shared" si="25"/>
        <v>1408032.5919999999</v>
      </c>
      <c r="V67" s="44">
        <f t="shared" si="17"/>
        <v>3520081.48</v>
      </c>
      <c r="W67" s="993" t="s">
        <v>156</v>
      </c>
      <c r="X67" s="48">
        <v>44652</v>
      </c>
      <c r="Y67" s="109" t="s">
        <v>333</v>
      </c>
      <c r="Z67" s="48">
        <v>44652</v>
      </c>
      <c r="AA67" s="241" t="s">
        <v>4591</v>
      </c>
      <c r="AB67" s="38" t="s">
        <v>3113</v>
      </c>
      <c r="AC67" s="38"/>
      <c r="AD67" s="59"/>
      <c r="AE67" s="59"/>
      <c r="AF67" s="59"/>
      <c r="AG67" s="59"/>
      <c r="AH67" s="39"/>
      <c r="AI67" s="213" t="s">
        <v>4749</v>
      </c>
      <c r="AJ67" s="211" t="s">
        <v>4750</v>
      </c>
      <c r="AK67" s="218">
        <v>44874</v>
      </c>
      <c r="AL67" s="215">
        <v>0</v>
      </c>
      <c r="AM67" s="163" t="str">
        <f t="shared" ca="1" si="18"/>
        <v>VIGENTE</v>
      </c>
      <c r="AN67" s="39"/>
      <c r="AO67" s="39"/>
      <c r="AP67" s="39" t="s">
        <v>333</v>
      </c>
      <c r="AQ67" s="39" t="s">
        <v>892</v>
      </c>
      <c r="AR67" s="39" t="s">
        <v>333</v>
      </c>
      <c r="AS67" s="39"/>
      <c r="AT67" s="39"/>
      <c r="AU67" s="51"/>
      <c r="AV67" s="50"/>
      <c r="AW67" s="38"/>
      <c r="AX67" s="52"/>
      <c r="AY67" s="170" t="s">
        <v>4751</v>
      </c>
      <c r="AZ67" s="38"/>
      <c r="BA67" s="38" t="s">
        <v>4752</v>
      </c>
      <c r="BB67" s="73">
        <f t="shared" si="22"/>
        <v>0</v>
      </c>
      <c r="BC67" s="159"/>
      <c r="BD67" s="59">
        <v>44630</v>
      </c>
      <c r="BE67" s="58">
        <v>44634</v>
      </c>
      <c r="BF67" s="58">
        <v>44655</v>
      </c>
      <c r="BG67" s="59">
        <f t="shared" si="21"/>
        <v>44655</v>
      </c>
      <c r="BH67" s="183" t="str">
        <f t="shared" si="19"/>
        <v>Contrato formalizado con FC 25/04
Modif formalizado con Endoso 23/11/22</v>
      </c>
      <c r="BI67" s="195" t="s">
        <v>4753</v>
      </c>
      <c r="BJ67" s="185" t="s">
        <v>4754</v>
      </c>
      <c r="BK67" s="186" t="str">
        <f t="shared" si="23"/>
        <v>Contrato formalizado con FC 25/04
Modif formalizado con Endoso 23/11/22</v>
      </c>
      <c r="BL67" s="84"/>
      <c r="BM67" s="84"/>
      <c r="BN67" s="84"/>
      <c r="BO67" s="84"/>
      <c r="BP67" s="84"/>
    </row>
    <row r="68" spans="1:71" ht="255" x14ac:dyDescent="0.25">
      <c r="A68" s="196" t="s">
        <v>4755</v>
      </c>
      <c r="B68" s="3">
        <v>62</v>
      </c>
      <c r="C68" s="167" t="s">
        <v>149</v>
      </c>
      <c r="D68" s="39" t="s">
        <v>163</v>
      </c>
      <c r="E68" s="39" t="s">
        <v>4756</v>
      </c>
      <c r="F68" s="3" t="s">
        <v>2237</v>
      </c>
      <c r="G68" s="685" t="s">
        <v>546</v>
      </c>
      <c r="H68" s="39" t="s">
        <v>3764</v>
      </c>
      <c r="I68" s="81" t="s">
        <v>1162</v>
      </c>
      <c r="J68" s="41"/>
      <c r="K68" s="41"/>
      <c r="L68" s="41"/>
      <c r="M68" s="42" t="str">
        <f t="shared" si="26"/>
        <v xml:space="preserve">Lemonroy Business Solutions, S.A. de C.V.  </v>
      </c>
      <c r="N68" s="991" t="s">
        <v>198</v>
      </c>
      <c r="O68" s="991" t="s">
        <v>198</v>
      </c>
      <c r="P68" s="991" t="s">
        <v>4757</v>
      </c>
      <c r="Q68" s="1034">
        <v>2660186.59</v>
      </c>
      <c r="R68" s="44">
        <f t="shared" si="24"/>
        <v>425629.85440000001</v>
      </c>
      <c r="S68" s="45">
        <f t="shared" si="20"/>
        <v>3085816.4443999999</v>
      </c>
      <c r="T68" s="224">
        <v>1578182.4</v>
      </c>
      <c r="U68" s="47">
        <f t="shared" si="25"/>
        <v>1830691.5839999998</v>
      </c>
      <c r="V68" s="215">
        <f t="shared" si="17"/>
        <v>3497337.4643999999</v>
      </c>
      <c r="W68" s="993" t="s">
        <v>156</v>
      </c>
      <c r="X68" s="48">
        <v>44652</v>
      </c>
      <c r="Y68" s="109" t="s">
        <v>333</v>
      </c>
      <c r="Z68" s="48">
        <v>44652</v>
      </c>
      <c r="AA68" s="213">
        <v>44985</v>
      </c>
      <c r="AB68" s="38" t="s">
        <v>4717</v>
      </c>
      <c r="AC68" s="38"/>
      <c r="AD68" s="59"/>
      <c r="AE68" s="59"/>
      <c r="AF68" s="59"/>
      <c r="AG68" s="59"/>
      <c r="AH68" s="39"/>
      <c r="AI68" s="211" t="s">
        <v>4758</v>
      </c>
      <c r="AJ68" s="211" t="s">
        <v>4759</v>
      </c>
      <c r="AK68" s="218" t="s">
        <v>4760</v>
      </c>
      <c r="AL68" s="215">
        <v>411521.02</v>
      </c>
      <c r="AM68" s="163" t="str">
        <f t="shared" ca="1" si="18"/>
        <v>MUERTO</v>
      </c>
      <c r="AN68" s="39"/>
      <c r="AO68" s="39"/>
      <c r="AP68" s="39" t="s">
        <v>333</v>
      </c>
      <c r="AQ68" s="39" t="s">
        <v>924</v>
      </c>
      <c r="AR68" s="39" t="s">
        <v>333</v>
      </c>
      <c r="AS68" s="39"/>
      <c r="AT68" s="39"/>
      <c r="AU68" s="51"/>
      <c r="AV68" s="50"/>
      <c r="AW68" s="38"/>
      <c r="AX68" s="52"/>
      <c r="AY68" s="170" t="s">
        <v>4761</v>
      </c>
      <c r="AZ68" s="38"/>
      <c r="BA68" s="38" t="s">
        <v>4762</v>
      </c>
      <c r="BB68" s="73">
        <f t="shared" si="22"/>
        <v>0</v>
      </c>
      <c r="BC68" s="159"/>
      <c r="BD68" s="59">
        <v>44648</v>
      </c>
      <c r="BE68" s="58">
        <v>44648</v>
      </c>
      <c r="BF68" s="58" t="s">
        <v>4763</v>
      </c>
      <c r="BG68" s="59" t="str">
        <f t="shared" si="21"/>
        <v>31/03/2022
26/12/2022</v>
      </c>
      <c r="BH68" s="183" t="str">
        <f t="shared" si="19"/>
        <v>Contrato formalizado con FC y PRC 08/04
Convenio Modificatorio formalizado con endoso de FC y PRC 17/05
2do Modif formalizado con endosos 26/01/23</v>
      </c>
      <c r="BI68" s="195" t="s">
        <v>4764</v>
      </c>
      <c r="BJ68" s="185" t="s">
        <v>4765</v>
      </c>
      <c r="BK68" s="186" t="str">
        <f t="shared" si="23"/>
        <v>Contrato formalizado con FC y PRC 08/04
Convenio Modificatorio formalizado con endoso de FC y PRC 17/05
2do Modif formalizado con endosos 26/01/23</v>
      </c>
      <c r="BL68" s="84"/>
      <c r="BM68" s="84"/>
      <c r="BN68" s="84"/>
      <c r="BO68" s="84"/>
      <c r="BP68" s="84"/>
    </row>
    <row r="69" spans="1:71" ht="210" x14ac:dyDescent="0.25">
      <c r="A69" s="168" t="s">
        <v>4766</v>
      </c>
      <c r="B69" s="3">
        <v>63</v>
      </c>
      <c r="C69" s="167" t="s">
        <v>149</v>
      </c>
      <c r="D69" s="39" t="s">
        <v>163</v>
      </c>
      <c r="E69" s="39" t="s">
        <v>4767</v>
      </c>
      <c r="F69" s="3" t="s">
        <v>2237</v>
      </c>
      <c r="G69" s="685" t="s">
        <v>546</v>
      </c>
      <c r="H69" s="39" t="s">
        <v>4185</v>
      </c>
      <c r="I69" s="81" t="s">
        <v>711</v>
      </c>
      <c r="J69" s="41"/>
      <c r="K69" s="41"/>
      <c r="L69" s="41"/>
      <c r="M69" s="42" t="str">
        <f t="shared" si="26"/>
        <v xml:space="preserve">Carlos Corral y Asociados, S.C.  </v>
      </c>
      <c r="N69" s="991" t="s">
        <v>270</v>
      </c>
      <c r="O69" s="991" t="s">
        <v>270</v>
      </c>
      <c r="P69" s="991" t="s">
        <v>4768</v>
      </c>
      <c r="Q69" s="992">
        <v>1479255</v>
      </c>
      <c r="R69" s="44">
        <f t="shared" si="24"/>
        <v>236680.80000000002</v>
      </c>
      <c r="S69" s="45">
        <f t="shared" si="20"/>
        <v>1715935.8</v>
      </c>
      <c r="T69" s="46">
        <v>0</v>
      </c>
      <c r="U69" s="47">
        <f t="shared" si="25"/>
        <v>0</v>
      </c>
      <c r="V69" s="44">
        <f t="shared" si="17"/>
        <v>1715935.8</v>
      </c>
      <c r="W69" s="993" t="s">
        <v>156</v>
      </c>
      <c r="X69" s="48">
        <v>44652</v>
      </c>
      <c r="Y69" s="109" t="s">
        <v>333</v>
      </c>
      <c r="Z69" s="48">
        <v>44652</v>
      </c>
      <c r="AA69" s="48">
        <v>44727</v>
      </c>
      <c r="AB69" s="38" t="s">
        <v>4717</v>
      </c>
      <c r="AC69" s="38"/>
      <c r="AD69" s="59"/>
      <c r="AE69" s="59"/>
      <c r="AF69" s="59"/>
      <c r="AG69" s="59"/>
      <c r="AH69" s="39"/>
      <c r="AI69" s="38"/>
      <c r="AJ69" s="38"/>
      <c r="AK69" s="50"/>
      <c r="AL69" s="44"/>
      <c r="AM69" s="163" t="str">
        <f t="shared" ca="1" si="18"/>
        <v>MUERTO</v>
      </c>
      <c r="AN69" s="39"/>
      <c r="AO69" s="39"/>
      <c r="AP69" s="39" t="s">
        <v>333</v>
      </c>
      <c r="AQ69" s="39"/>
      <c r="AR69" s="39" t="s">
        <v>333</v>
      </c>
      <c r="AS69" s="39"/>
      <c r="AT69" s="39"/>
      <c r="AU69" s="51"/>
      <c r="AV69" s="50"/>
      <c r="AW69" s="38"/>
      <c r="AX69" s="52"/>
      <c r="AY69" s="170" t="s">
        <v>4769</v>
      </c>
      <c r="AZ69" s="38"/>
      <c r="BA69" s="38" t="str">
        <f>VLOOKUP(I69,[2]RFC!$1:$1048576,2,0)</f>
        <v>CCA890918423</v>
      </c>
      <c r="BB69" s="73">
        <f t="shared" si="22"/>
        <v>0</v>
      </c>
      <c r="BC69" s="159"/>
      <c r="BD69" s="59">
        <v>44651</v>
      </c>
      <c r="BE69" s="58">
        <v>44651</v>
      </c>
      <c r="BF69" s="58">
        <v>44655</v>
      </c>
      <c r="BG69" s="59">
        <f t="shared" si="21"/>
        <v>44655</v>
      </c>
      <c r="BH69" s="183" t="str">
        <f t="shared" si="19"/>
        <v>Contrato formalizado con FC y PRC 03/05</v>
      </c>
      <c r="BI69" s="195">
        <v>44658</v>
      </c>
      <c r="BJ69" s="185">
        <v>44656</v>
      </c>
      <c r="BK69" s="186" t="str">
        <f t="shared" si="23"/>
        <v>Contrato formalizado con FC y PRC 03/05</v>
      </c>
      <c r="BL69" s="84"/>
      <c r="BM69" s="84"/>
      <c r="BN69" s="84"/>
      <c r="BO69" s="84"/>
      <c r="BP69" s="84"/>
    </row>
    <row r="70" spans="1:71" s="468" customFormat="1" ht="90" x14ac:dyDescent="0.25">
      <c r="A70" s="168" t="s">
        <v>4770</v>
      </c>
      <c r="B70" s="3">
        <v>64</v>
      </c>
      <c r="C70" s="167" t="s">
        <v>149</v>
      </c>
      <c r="D70" s="39" t="s">
        <v>163</v>
      </c>
      <c r="E70" s="39" t="s">
        <v>4767</v>
      </c>
      <c r="F70" s="3" t="s">
        <v>2237</v>
      </c>
      <c r="G70" s="685" t="s">
        <v>546</v>
      </c>
      <c r="H70" s="39" t="s">
        <v>4030</v>
      </c>
      <c r="I70" s="81" t="s">
        <v>4771</v>
      </c>
      <c r="J70" s="41"/>
      <c r="K70" s="41"/>
      <c r="L70" s="41"/>
      <c r="M70" s="42" t="str">
        <f t="shared" si="26"/>
        <v xml:space="preserve">Sístemas Neumáticos de Envíos, S.A. de C.V.  </v>
      </c>
      <c r="N70" s="991" t="s">
        <v>301</v>
      </c>
      <c r="O70" s="991" t="s">
        <v>301</v>
      </c>
      <c r="P70" s="991" t="s">
        <v>4772</v>
      </c>
      <c r="Q70" s="992">
        <v>2313801.33</v>
      </c>
      <c r="R70" s="44">
        <f t="shared" si="24"/>
        <v>370208.21280000004</v>
      </c>
      <c r="S70" s="45">
        <f t="shared" si="20"/>
        <v>2684009.5427999999</v>
      </c>
      <c r="T70" s="46">
        <v>1600715.48</v>
      </c>
      <c r="U70" s="47">
        <f t="shared" si="25"/>
        <v>1856829.9568</v>
      </c>
      <c r="V70" s="44">
        <f t="shared" ref="V70:V101" si="27">S70+AL70</f>
        <v>2684009.5427999999</v>
      </c>
      <c r="W70" s="993" t="s">
        <v>156</v>
      </c>
      <c r="X70" s="48">
        <v>44652</v>
      </c>
      <c r="Y70" s="109" t="s">
        <v>333</v>
      </c>
      <c r="Z70" s="48">
        <v>44652</v>
      </c>
      <c r="AA70" s="48">
        <v>44926</v>
      </c>
      <c r="AB70" s="38" t="s">
        <v>4773</v>
      </c>
      <c r="AC70" s="38"/>
      <c r="AD70" s="59"/>
      <c r="AE70" s="59"/>
      <c r="AF70" s="59"/>
      <c r="AG70" s="59"/>
      <c r="AH70" s="39"/>
      <c r="AI70" s="38"/>
      <c r="AJ70" s="38"/>
      <c r="AK70" s="50"/>
      <c r="AL70" s="44"/>
      <c r="AM70" s="163" t="str">
        <f t="shared" ref="AM70:AM101" ca="1" si="28">IF(ISBLANK(AA70),"",IF(AA70&gt;=TODAY(),"VIGENTE","MUERTO"))</f>
        <v>MUERTO</v>
      </c>
      <c r="AN70" s="39"/>
      <c r="AO70" s="39"/>
      <c r="AP70" s="39" t="s">
        <v>333</v>
      </c>
      <c r="AQ70" s="39"/>
      <c r="AR70" s="39" t="s">
        <v>333</v>
      </c>
      <c r="AS70" s="39"/>
      <c r="AT70" s="39"/>
      <c r="AU70" s="51"/>
      <c r="AV70" s="50"/>
      <c r="AW70" s="38"/>
      <c r="AX70" s="52"/>
      <c r="AY70" s="170" t="s">
        <v>4769</v>
      </c>
      <c r="AZ70" s="38"/>
      <c r="BA70" s="38" t="s">
        <v>4774</v>
      </c>
      <c r="BB70" s="73">
        <f t="shared" si="22"/>
        <v>0</v>
      </c>
      <c r="BC70" s="159"/>
      <c r="BD70" s="59">
        <v>44651</v>
      </c>
      <c r="BE70" s="58">
        <v>44651</v>
      </c>
      <c r="BF70" s="58">
        <v>44655</v>
      </c>
      <c r="BG70" s="59">
        <f t="shared" si="21"/>
        <v>44655</v>
      </c>
      <c r="BH70" s="183" t="str">
        <f t="shared" ref="BH70:BH101" si="29">AY70</f>
        <v>Contrato formalizado con FC y PRC 03/05</v>
      </c>
      <c r="BI70" s="195">
        <v>44663</v>
      </c>
      <c r="BJ70" s="185">
        <v>44658</v>
      </c>
      <c r="BK70" s="186" t="str">
        <f t="shared" si="23"/>
        <v>Contrato formalizado con FC y PRC 03/05</v>
      </c>
      <c r="BL70" s="84"/>
      <c r="BM70" s="84"/>
      <c r="BN70" s="84"/>
      <c r="BO70" s="84"/>
      <c r="BP70" s="84"/>
      <c r="BQ70"/>
      <c r="BR70"/>
      <c r="BS70"/>
    </row>
    <row r="71" spans="1:71" ht="360" x14ac:dyDescent="0.25">
      <c r="A71" s="196" t="s">
        <v>4775</v>
      </c>
      <c r="B71" s="3">
        <v>65</v>
      </c>
      <c r="C71" s="167" t="s">
        <v>149</v>
      </c>
      <c r="D71" s="39" t="s">
        <v>173</v>
      </c>
      <c r="E71" s="40" t="s">
        <v>4776</v>
      </c>
      <c r="F71" s="39" t="s">
        <v>173</v>
      </c>
      <c r="G71" s="39"/>
      <c r="H71" s="39" t="s">
        <v>3785</v>
      </c>
      <c r="I71" s="81" t="s">
        <v>1738</v>
      </c>
      <c r="J71" s="41"/>
      <c r="K71" s="41"/>
      <c r="L71" s="41"/>
      <c r="M71" s="42" t="str">
        <f t="shared" si="26"/>
        <v xml:space="preserve">Equipos y Climas de México, S.A. de C.V.  </v>
      </c>
      <c r="N71" s="991" t="s">
        <v>198</v>
      </c>
      <c r="O71" s="991" t="s">
        <v>198</v>
      </c>
      <c r="P71" s="991" t="s">
        <v>4777</v>
      </c>
      <c r="Q71" s="992">
        <v>7883534.5199999996</v>
      </c>
      <c r="R71" s="44">
        <f t="shared" si="24"/>
        <v>1261365.5231999999</v>
      </c>
      <c r="S71" s="45">
        <f t="shared" ref="S71:S102" si="30">Q71+R71</f>
        <v>9144900.0431999993</v>
      </c>
      <c r="T71" s="46">
        <v>5335612.2699999996</v>
      </c>
      <c r="U71" s="47">
        <f t="shared" si="25"/>
        <v>6189310.2331999997</v>
      </c>
      <c r="V71" s="215">
        <f t="shared" si="27"/>
        <v>11431125.053199999</v>
      </c>
      <c r="W71" s="993" t="s">
        <v>156</v>
      </c>
      <c r="X71" s="48">
        <v>44659</v>
      </c>
      <c r="Y71" s="39" t="s">
        <v>333</v>
      </c>
      <c r="Z71" s="48">
        <v>44659</v>
      </c>
      <c r="AA71" s="48">
        <v>44926</v>
      </c>
      <c r="AB71" s="38" t="s">
        <v>4717</v>
      </c>
      <c r="AC71" s="38"/>
      <c r="AD71" s="59"/>
      <c r="AE71" s="59"/>
      <c r="AF71" s="59"/>
      <c r="AG71" s="59"/>
      <c r="AH71" s="39"/>
      <c r="AI71" s="229" t="s">
        <v>4778</v>
      </c>
      <c r="AJ71" s="211" t="s">
        <v>4779</v>
      </c>
      <c r="AK71" s="218" t="s">
        <v>4780</v>
      </c>
      <c r="AL71" s="215">
        <v>2286225.0099999998</v>
      </c>
      <c r="AM71" s="163" t="str">
        <f t="shared" ca="1" si="28"/>
        <v>MUERTO</v>
      </c>
      <c r="AN71" s="39"/>
      <c r="AO71" s="39"/>
      <c r="AP71" s="39" t="s">
        <v>333</v>
      </c>
      <c r="AQ71" s="39" t="s">
        <v>4781</v>
      </c>
      <c r="AR71" s="39" t="s">
        <v>333</v>
      </c>
      <c r="AS71" s="39"/>
      <c r="AT71" s="39"/>
      <c r="AU71" s="51"/>
      <c r="AV71" s="50"/>
      <c r="AW71" s="38"/>
      <c r="AX71" s="52"/>
      <c r="AY71" s="170" t="s">
        <v>4782</v>
      </c>
      <c r="AZ71" s="38"/>
      <c r="BA71" s="38" t="str">
        <f>VLOOKUP(I71,[2]RFC!$1:$1048576,2,0)</f>
        <v>ECM840330286</v>
      </c>
      <c r="BB71" s="73">
        <f t="shared" si="22"/>
        <v>0</v>
      </c>
      <c r="BC71" s="159"/>
      <c r="BD71" s="59">
        <v>44649</v>
      </c>
      <c r="BE71" s="58">
        <v>44656</v>
      </c>
      <c r="BF71" s="39" t="s">
        <v>4783</v>
      </c>
      <c r="BG71" s="59" t="str">
        <f t="shared" si="21"/>
        <v>2do modif 19/12/22</v>
      </c>
      <c r="BH71" s="183" t="str">
        <f t="shared" si="29"/>
        <v>Contrato formalizado con FC 06/05
Modif formalizado 05/12/22
2do modif formalizado 28/12/22</v>
      </c>
      <c r="BI71" s="195" t="s">
        <v>4784</v>
      </c>
      <c r="BJ71" s="185" t="s">
        <v>4785</v>
      </c>
      <c r="BK71" s="186" t="str">
        <f t="shared" si="23"/>
        <v>Contrato formalizado con FC 06/05
Modif formalizado 05/12/22
2do modif formalizado 28/12/22</v>
      </c>
      <c r="BL71" s="84"/>
      <c r="BM71" s="84"/>
      <c r="BN71" s="84"/>
      <c r="BO71" s="84"/>
      <c r="BP71" s="84"/>
    </row>
    <row r="72" spans="1:71" ht="150" x14ac:dyDescent="0.25">
      <c r="A72" s="196" t="s">
        <v>4786</v>
      </c>
      <c r="B72" s="3">
        <v>66</v>
      </c>
      <c r="C72" s="167" t="s">
        <v>225</v>
      </c>
      <c r="D72" s="39" t="s">
        <v>163</v>
      </c>
      <c r="E72" s="39" t="s">
        <v>4767</v>
      </c>
      <c r="F72" s="3" t="s">
        <v>2237</v>
      </c>
      <c r="G72" s="685" t="s">
        <v>546</v>
      </c>
      <c r="H72" s="39" t="s">
        <v>4030</v>
      </c>
      <c r="I72" s="81" t="s">
        <v>1254</v>
      </c>
      <c r="J72" s="41"/>
      <c r="K72" s="41"/>
      <c r="L72" s="41"/>
      <c r="M72" s="42" t="str">
        <f t="shared" si="26"/>
        <v xml:space="preserve">Intercomza, S.A. de C.V.  </v>
      </c>
      <c r="N72" s="991" t="s">
        <v>198</v>
      </c>
      <c r="O72" s="991" t="s">
        <v>198</v>
      </c>
      <c r="P72" s="991" t="s">
        <v>4787</v>
      </c>
      <c r="Q72" s="992">
        <v>1293103.45</v>
      </c>
      <c r="R72" s="44">
        <f t="shared" si="24"/>
        <v>206896.552</v>
      </c>
      <c r="S72" s="45">
        <f t="shared" si="30"/>
        <v>1500000.0019999999</v>
      </c>
      <c r="T72" s="46">
        <v>517241.38</v>
      </c>
      <c r="U72" s="47">
        <f t="shared" si="25"/>
        <v>600000.00080000004</v>
      </c>
      <c r="V72" s="215">
        <f t="shared" si="27"/>
        <v>1875000.0019999999</v>
      </c>
      <c r="W72" s="993" t="s">
        <v>156</v>
      </c>
      <c r="X72" s="48">
        <v>44662</v>
      </c>
      <c r="Y72" s="39" t="s">
        <v>333</v>
      </c>
      <c r="Z72" s="48">
        <v>44662</v>
      </c>
      <c r="AA72" s="48">
        <v>44926</v>
      </c>
      <c r="AB72" s="38" t="s">
        <v>3113</v>
      </c>
      <c r="AC72" s="38"/>
      <c r="AD72" s="59"/>
      <c r="AE72" s="59"/>
      <c r="AF72" s="59"/>
      <c r="AG72" s="59"/>
      <c r="AH72" s="39"/>
      <c r="AI72" s="38" t="s">
        <v>4788</v>
      </c>
      <c r="AJ72" s="211" t="s">
        <v>4789</v>
      </c>
      <c r="AK72" s="218">
        <v>44855</v>
      </c>
      <c r="AL72" s="215">
        <v>375000</v>
      </c>
      <c r="AM72" s="163" t="str">
        <f t="shared" ca="1" si="28"/>
        <v>MUERTO</v>
      </c>
      <c r="AN72" s="39"/>
      <c r="AO72" s="39"/>
      <c r="AP72" s="39" t="s">
        <v>333</v>
      </c>
      <c r="AQ72" s="39" t="s">
        <v>881</v>
      </c>
      <c r="AR72" s="39" t="s">
        <v>333</v>
      </c>
      <c r="AS72" s="39"/>
      <c r="AT72" s="39"/>
      <c r="AU72" s="51"/>
      <c r="AV72" s="50"/>
      <c r="AW72" s="38"/>
      <c r="AX72" s="52"/>
      <c r="AY72" s="170" t="s">
        <v>4790</v>
      </c>
      <c r="AZ72" s="38"/>
      <c r="BA72" s="38" t="s">
        <v>4034</v>
      </c>
      <c r="BB72" s="73">
        <f t="shared" si="22"/>
        <v>0</v>
      </c>
      <c r="BC72" s="159"/>
      <c r="BD72" s="59" t="s">
        <v>4791</v>
      </c>
      <c r="BE72" s="58" t="s">
        <v>4792</v>
      </c>
      <c r="BF72" s="58" t="s">
        <v>4793</v>
      </c>
      <c r="BG72" s="59" t="str">
        <f t="shared" si="21"/>
        <v>07/04/2022
24/10/2022</v>
      </c>
      <c r="BH72" s="183" t="str">
        <f t="shared" si="29"/>
        <v>Contrato formalizado con FC 25/04
Modificatorio formalizado con endosos 07/11/2022</v>
      </c>
      <c r="BI72" s="195" t="s">
        <v>4794</v>
      </c>
      <c r="BJ72" s="185" t="s">
        <v>4795</v>
      </c>
      <c r="BK72" s="186" t="str">
        <f t="shared" si="23"/>
        <v>Contrato formalizado con FC 25/04
Modificatorio formalizado con endosos 07/11/2022</v>
      </c>
      <c r="BL72" s="84"/>
      <c r="BM72" s="84"/>
      <c r="BN72" s="84"/>
      <c r="BO72" s="84"/>
      <c r="BP72" s="84"/>
    </row>
    <row r="73" spans="1:71" ht="54" customHeight="1" x14ac:dyDescent="0.25">
      <c r="A73" s="168" t="s">
        <v>4796</v>
      </c>
      <c r="B73" s="3">
        <v>67</v>
      </c>
      <c r="C73" s="167" t="s">
        <v>225</v>
      </c>
      <c r="D73" s="39" t="s">
        <v>173</v>
      </c>
      <c r="E73" s="40" t="s">
        <v>4797</v>
      </c>
      <c r="F73" s="39" t="s">
        <v>173</v>
      </c>
      <c r="G73" s="39"/>
      <c r="H73" s="39" t="s">
        <v>3785</v>
      </c>
      <c r="I73" s="81" t="s">
        <v>4078</v>
      </c>
      <c r="J73" s="41"/>
      <c r="K73" s="41"/>
      <c r="L73" s="41"/>
      <c r="M73" s="42" t="str">
        <f t="shared" si="26"/>
        <v xml:space="preserve">Cen Systems, S,A, de C.V.  </v>
      </c>
      <c r="N73" s="991" t="s">
        <v>656</v>
      </c>
      <c r="O73" s="991" t="s">
        <v>209</v>
      </c>
      <c r="P73" s="991" t="s">
        <v>4798</v>
      </c>
      <c r="Q73" s="992">
        <v>2073200.19</v>
      </c>
      <c r="R73" s="44">
        <f t="shared" si="24"/>
        <v>331712.03039999999</v>
      </c>
      <c r="S73" s="45">
        <f t="shared" si="30"/>
        <v>2404912.2204</v>
      </c>
      <c r="T73" s="46">
        <v>0</v>
      </c>
      <c r="U73" s="47">
        <f t="shared" si="25"/>
        <v>0</v>
      </c>
      <c r="V73" s="44">
        <f t="shared" si="27"/>
        <v>2404912.2204</v>
      </c>
      <c r="W73" s="993" t="s">
        <v>156</v>
      </c>
      <c r="X73" s="48">
        <v>44670</v>
      </c>
      <c r="Y73" s="39" t="s">
        <v>333</v>
      </c>
      <c r="Z73" s="48">
        <v>44670</v>
      </c>
      <c r="AA73" s="48">
        <v>44712</v>
      </c>
      <c r="AB73" s="38" t="s">
        <v>3113</v>
      </c>
      <c r="AC73" s="38"/>
      <c r="AD73" s="59"/>
      <c r="AE73" s="59"/>
      <c r="AF73" s="59"/>
      <c r="AG73" s="59"/>
      <c r="AH73" s="39"/>
      <c r="AI73" s="38"/>
      <c r="AJ73" s="38"/>
      <c r="AK73" s="50"/>
      <c r="AL73" s="44"/>
      <c r="AM73" s="163" t="str">
        <f t="shared" ca="1" si="28"/>
        <v>MUERTO</v>
      </c>
      <c r="AN73" s="39"/>
      <c r="AO73" s="39"/>
      <c r="AP73" s="39" t="s">
        <v>333</v>
      </c>
      <c r="AQ73" s="39"/>
      <c r="AR73" s="39" t="s">
        <v>333</v>
      </c>
      <c r="AS73" s="39"/>
      <c r="AT73" s="39"/>
      <c r="AU73" s="51"/>
      <c r="AV73" s="50"/>
      <c r="AW73" s="38"/>
      <c r="AX73" s="52"/>
      <c r="AY73" s="170" t="s">
        <v>4799</v>
      </c>
      <c r="AZ73" s="38"/>
      <c r="BA73" s="38" t="s">
        <v>4080</v>
      </c>
      <c r="BB73" s="73">
        <f t="shared" si="22"/>
        <v>0</v>
      </c>
      <c r="BC73" s="159"/>
      <c r="BD73" s="59">
        <v>44663</v>
      </c>
      <c r="BE73" s="58">
        <v>44663</v>
      </c>
      <c r="BF73" s="58">
        <v>44669</v>
      </c>
      <c r="BG73" s="59">
        <f t="shared" si="21"/>
        <v>44669</v>
      </c>
      <c r="BH73" s="183" t="str">
        <f t="shared" si="29"/>
        <v>Contrato formalizado con FC 10/05</v>
      </c>
      <c r="BI73" s="195">
        <v>44676</v>
      </c>
      <c r="BJ73" s="185">
        <v>44671</v>
      </c>
      <c r="BK73" s="186" t="str">
        <f t="shared" si="23"/>
        <v>Contrato formalizado con FC 10/05</v>
      </c>
      <c r="BL73" s="84"/>
      <c r="BM73" s="84"/>
      <c r="BN73" s="84"/>
      <c r="BO73" s="84"/>
      <c r="BP73" s="84"/>
    </row>
    <row r="74" spans="1:71" ht="60" x14ac:dyDescent="0.25">
      <c r="A74" s="168" t="s">
        <v>4800</v>
      </c>
      <c r="B74" s="3">
        <v>68</v>
      </c>
      <c r="C74" s="167" t="s">
        <v>225</v>
      </c>
      <c r="D74" s="39" t="s">
        <v>173</v>
      </c>
      <c r="E74" s="40" t="s">
        <v>4801</v>
      </c>
      <c r="F74" s="39" t="s">
        <v>173</v>
      </c>
      <c r="G74" s="39"/>
      <c r="H74" s="39" t="s">
        <v>3785</v>
      </c>
      <c r="I74" s="81" t="s">
        <v>1850</v>
      </c>
      <c r="J74" s="41"/>
      <c r="K74" s="41"/>
      <c r="L74" s="41"/>
      <c r="M74" s="42" t="str">
        <f t="shared" si="26"/>
        <v xml:space="preserve">Medingenium, S.A. de C.V.  </v>
      </c>
      <c r="N74" s="991" t="s">
        <v>763</v>
      </c>
      <c r="O74" s="991" t="s">
        <v>763</v>
      </c>
      <c r="P74" s="991" t="s">
        <v>4802</v>
      </c>
      <c r="Q74" s="992">
        <v>490000</v>
      </c>
      <c r="R74" s="44">
        <f t="shared" si="24"/>
        <v>78400</v>
      </c>
      <c r="S74" s="45">
        <f t="shared" si="30"/>
        <v>568400</v>
      </c>
      <c r="T74" s="46">
        <v>100000</v>
      </c>
      <c r="U74" s="47">
        <f t="shared" si="25"/>
        <v>116000</v>
      </c>
      <c r="V74" s="44">
        <f t="shared" si="27"/>
        <v>568400</v>
      </c>
      <c r="W74" s="993" t="s">
        <v>156</v>
      </c>
      <c r="X74" s="48">
        <v>44671</v>
      </c>
      <c r="Y74" s="39" t="s">
        <v>333</v>
      </c>
      <c r="Z74" s="48">
        <v>44671</v>
      </c>
      <c r="AA74" s="48">
        <v>44926</v>
      </c>
      <c r="AB74" s="38" t="s">
        <v>3113</v>
      </c>
      <c r="AC74" s="38"/>
      <c r="AD74" s="59"/>
      <c r="AE74" s="59"/>
      <c r="AF74" s="59"/>
      <c r="AG74" s="59"/>
      <c r="AH74" s="39"/>
      <c r="AI74" s="38"/>
      <c r="AJ74" s="38"/>
      <c r="AK74" s="50"/>
      <c r="AL74" s="44"/>
      <c r="AM74" s="163" t="str">
        <f t="shared" ca="1" si="28"/>
        <v>MUERTO</v>
      </c>
      <c r="AN74" s="39"/>
      <c r="AO74" s="39"/>
      <c r="AP74" s="39" t="s">
        <v>333</v>
      </c>
      <c r="AQ74" s="39"/>
      <c r="AR74" s="39" t="s">
        <v>333</v>
      </c>
      <c r="AS74" s="39"/>
      <c r="AT74" s="39"/>
      <c r="AU74" s="51"/>
      <c r="AV74" s="50"/>
      <c r="AW74" s="38"/>
      <c r="AX74" s="52"/>
      <c r="AY74" s="170" t="s">
        <v>4803</v>
      </c>
      <c r="AZ74" s="38"/>
      <c r="BA74" s="38" t="str">
        <f>VLOOKUP(I74,[2]RFC!$1:$1048576,2,0)</f>
        <v>MED090630739</v>
      </c>
      <c r="BB74" s="73">
        <f t="shared" si="22"/>
        <v>0</v>
      </c>
      <c r="BC74" s="159"/>
      <c r="BD74" s="59">
        <v>44669</v>
      </c>
      <c r="BE74" s="58">
        <v>44669</v>
      </c>
      <c r="BF74" s="58">
        <v>44671</v>
      </c>
      <c r="BG74" s="59">
        <f t="shared" si="21"/>
        <v>44671</v>
      </c>
      <c r="BH74" s="183" t="str">
        <f t="shared" si="29"/>
        <v>Contrato formalizado con FC 27/04</v>
      </c>
      <c r="BI74" s="195">
        <v>44677</v>
      </c>
      <c r="BJ74" s="185">
        <v>44671</v>
      </c>
      <c r="BK74" s="186" t="str">
        <f t="shared" si="23"/>
        <v>Contrato formalizado con FC 27/04</v>
      </c>
      <c r="BL74" s="84"/>
      <c r="BM74" s="84"/>
      <c r="BN74" s="84"/>
      <c r="BO74" s="84"/>
      <c r="BP74" s="84"/>
    </row>
    <row r="75" spans="1:71" ht="180" x14ac:dyDescent="0.25">
      <c r="A75" s="196" t="s">
        <v>4804</v>
      </c>
      <c r="B75" s="3">
        <v>69</v>
      </c>
      <c r="C75" s="167" t="s">
        <v>149</v>
      </c>
      <c r="D75" s="39" t="s">
        <v>151</v>
      </c>
      <c r="E75" s="40" t="s">
        <v>4805</v>
      </c>
      <c r="F75" s="39" t="s">
        <v>151</v>
      </c>
      <c r="G75" s="39"/>
      <c r="H75" s="39" t="s">
        <v>3793</v>
      </c>
      <c r="I75" s="81" t="s">
        <v>1692</v>
      </c>
      <c r="J75" s="41"/>
      <c r="K75" s="41"/>
      <c r="L75" s="41"/>
      <c r="M75" s="42" t="str">
        <f t="shared" si="26"/>
        <v xml:space="preserve">Enforcer Units Fire Service Pluse México, S.A. de C.V.  </v>
      </c>
      <c r="N75" s="991" t="s">
        <v>315</v>
      </c>
      <c r="O75" s="991" t="s">
        <v>315</v>
      </c>
      <c r="P75" s="991" t="s">
        <v>4806</v>
      </c>
      <c r="Q75" s="992">
        <v>762019.02</v>
      </c>
      <c r="R75" s="44">
        <f t="shared" si="24"/>
        <v>121923.0432</v>
      </c>
      <c r="S75" s="45">
        <f t="shared" si="30"/>
        <v>883942.06319999998</v>
      </c>
      <c r="T75" s="46">
        <v>0</v>
      </c>
      <c r="U75" s="47">
        <f t="shared" si="25"/>
        <v>0</v>
      </c>
      <c r="V75" s="215">
        <f t="shared" si="27"/>
        <v>1080373.6332</v>
      </c>
      <c r="W75" s="993" t="s">
        <v>156</v>
      </c>
      <c r="X75" s="48">
        <v>44676</v>
      </c>
      <c r="Y75" s="39" t="s">
        <v>333</v>
      </c>
      <c r="Z75" s="48">
        <v>44676</v>
      </c>
      <c r="AA75" s="213">
        <v>44985</v>
      </c>
      <c r="AB75" s="38" t="s">
        <v>4717</v>
      </c>
      <c r="AC75" s="38"/>
      <c r="AD75" s="59"/>
      <c r="AE75" s="59"/>
      <c r="AF75" s="59"/>
      <c r="AG75" s="59"/>
      <c r="AH75" s="39"/>
      <c r="AI75" s="38" t="s">
        <v>4807</v>
      </c>
      <c r="AJ75" s="211" t="s">
        <v>4808</v>
      </c>
      <c r="AK75" s="218">
        <v>44922</v>
      </c>
      <c r="AL75" s="215">
        <v>196431.57</v>
      </c>
      <c r="AM75" s="163" t="str">
        <f t="shared" ca="1" si="28"/>
        <v>MUERTO</v>
      </c>
      <c r="AN75" s="39"/>
      <c r="AO75" s="39"/>
      <c r="AP75" s="39" t="s">
        <v>333</v>
      </c>
      <c r="AQ75" s="39" t="s">
        <v>924</v>
      </c>
      <c r="AR75" s="39" t="s">
        <v>333</v>
      </c>
      <c r="AS75" s="39"/>
      <c r="AT75" s="39"/>
      <c r="AU75" s="51"/>
      <c r="AV75" s="50"/>
      <c r="AW75" s="38"/>
      <c r="AX75" s="52"/>
      <c r="AY75" s="170" t="s">
        <v>4809</v>
      </c>
      <c r="AZ75" s="38"/>
      <c r="BA75" s="38" t="e">
        <f>VLOOKUP(I75,[2]RFC!$1:$1048576,2,0)</f>
        <v>#N/A</v>
      </c>
      <c r="BB75" s="73">
        <f t="shared" si="22"/>
        <v>0</v>
      </c>
      <c r="BC75" s="159"/>
      <c r="BD75" s="59">
        <v>44672</v>
      </c>
      <c r="BE75" s="58">
        <v>44676</v>
      </c>
      <c r="BF75" s="58">
        <v>44676</v>
      </c>
      <c r="BG75" s="59" t="s">
        <v>4810</v>
      </c>
      <c r="BH75" s="183" t="str">
        <f t="shared" si="29"/>
        <v>Contrato formalizado con FC Y PRC 27/05
Modific formalizado con endosos 27/01/23</v>
      </c>
      <c r="BI75" s="195" t="s">
        <v>4811</v>
      </c>
      <c r="BJ75" s="185" t="s">
        <v>4812</v>
      </c>
      <c r="BK75" s="186" t="str">
        <f t="shared" si="23"/>
        <v>Contrato formalizado con FC Y PRC 27/05
Modific formalizado con endosos 27/01/23</v>
      </c>
      <c r="BL75" s="84"/>
      <c r="BM75" s="84"/>
      <c r="BN75" s="84"/>
      <c r="BO75" s="84"/>
      <c r="BP75" s="84"/>
    </row>
    <row r="76" spans="1:71" ht="60" x14ac:dyDescent="0.25">
      <c r="A76" s="168" t="s">
        <v>4813</v>
      </c>
      <c r="B76" s="3">
        <v>70</v>
      </c>
      <c r="C76" s="167" t="s">
        <v>149</v>
      </c>
      <c r="D76" s="39" t="s">
        <v>173</v>
      </c>
      <c r="E76" s="40" t="s">
        <v>4814</v>
      </c>
      <c r="F76" s="39" t="s">
        <v>173</v>
      </c>
      <c r="G76" s="39"/>
      <c r="H76" s="39" t="s">
        <v>3785</v>
      </c>
      <c r="I76" s="81" t="s">
        <v>4455</v>
      </c>
      <c r="J76" s="41"/>
      <c r="K76" s="41"/>
      <c r="L76" s="41"/>
      <c r="M76" s="42" t="str">
        <f t="shared" si="26"/>
        <v xml:space="preserve">Programas y Aplicaciónes Certificadas, S.A. de C.V.  </v>
      </c>
      <c r="N76" s="991" t="s">
        <v>179</v>
      </c>
      <c r="O76" s="991" t="s">
        <v>179</v>
      </c>
      <c r="P76" s="991" t="s">
        <v>4815</v>
      </c>
      <c r="Q76" s="992">
        <v>17241379.309999999</v>
      </c>
      <c r="R76" s="44">
        <f t="shared" si="24"/>
        <v>2758620.6895999997</v>
      </c>
      <c r="S76" s="45">
        <f t="shared" si="30"/>
        <v>19999999.999599997</v>
      </c>
      <c r="T76" s="46">
        <v>14655172.41</v>
      </c>
      <c r="U76" s="47">
        <f t="shared" si="25"/>
        <v>16999999.9956</v>
      </c>
      <c r="V76" s="44">
        <f t="shared" si="27"/>
        <v>19999999.999599997</v>
      </c>
      <c r="W76" s="993" t="s">
        <v>156</v>
      </c>
      <c r="X76" s="48">
        <v>44680</v>
      </c>
      <c r="Y76" s="109" t="s">
        <v>333</v>
      </c>
      <c r="Z76" s="48">
        <v>44680</v>
      </c>
      <c r="AA76" s="48">
        <v>44926</v>
      </c>
      <c r="AB76" s="38" t="s">
        <v>4816</v>
      </c>
      <c r="AC76" s="38"/>
      <c r="AD76" s="59"/>
      <c r="AE76" s="59"/>
      <c r="AF76" s="59"/>
      <c r="AG76" s="59"/>
      <c r="AH76" s="39"/>
      <c r="AI76" s="38"/>
      <c r="AJ76" s="38"/>
      <c r="AK76" s="50"/>
      <c r="AL76" s="44"/>
      <c r="AM76" s="163" t="str">
        <f t="shared" ca="1" si="28"/>
        <v>MUERTO</v>
      </c>
      <c r="AN76" s="39"/>
      <c r="AO76" s="39"/>
      <c r="AP76" s="39" t="s">
        <v>333</v>
      </c>
      <c r="AQ76" s="39"/>
      <c r="AR76" s="39" t="s">
        <v>333</v>
      </c>
      <c r="AS76" s="39"/>
      <c r="AT76" s="39"/>
      <c r="AU76" s="51"/>
      <c r="AV76" s="50"/>
      <c r="AW76" s="38"/>
      <c r="AX76" s="52"/>
      <c r="AY76" s="170" t="s">
        <v>4817</v>
      </c>
      <c r="AZ76" s="38"/>
      <c r="BA76" s="38" t="s">
        <v>4458</v>
      </c>
      <c r="BB76" s="73">
        <f t="shared" si="22"/>
        <v>0</v>
      </c>
      <c r="BC76" s="159"/>
      <c r="BD76" s="59">
        <v>44677</v>
      </c>
      <c r="BE76" s="58">
        <v>44679</v>
      </c>
      <c r="BF76" s="58">
        <v>44683</v>
      </c>
      <c r="BG76" s="59">
        <f>BF76</f>
        <v>44683</v>
      </c>
      <c r="BH76" s="183" t="str">
        <f t="shared" si="29"/>
        <v>Contrato formalizado con FC Y PRC 25/05</v>
      </c>
      <c r="BI76" s="195">
        <v>44690</v>
      </c>
      <c r="BJ76" s="185">
        <v>44684</v>
      </c>
      <c r="BK76" s="186" t="str">
        <f t="shared" si="23"/>
        <v>Contrato formalizado con FC Y PRC 25/05</v>
      </c>
      <c r="BL76" s="84"/>
      <c r="BM76" s="84"/>
      <c r="BN76" s="84"/>
      <c r="BO76" s="84"/>
      <c r="BP76" s="84"/>
    </row>
    <row r="77" spans="1:71" ht="150" x14ac:dyDescent="0.25">
      <c r="A77" s="196" t="s">
        <v>4818</v>
      </c>
      <c r="B77" s="3">
        <v>71</v>
      </c>
      <c r="C77" s="167" t="s">
        <v>149</v>
      </c>
      <c r="D77" s="39" t="s">
        <v>163</v>
      </c>
      <c r="E77" s="40" t="s">
        <v>4819</v>
      </c>
      <c r="F77" s="3" t="s">
        <v>2237</v>
      </c>
      <c r="G77" s="685" t="s">
        <v>546</v>
      </c>
      <c r="H77" s="39" t="s">
        <v>3764</v>
      </c>
      <c r="I77" s="81" t="s">
        <v>1844</v>
      </c>
      <c r="J77" s="41"/>
      <c r="K77" s="41"/>
      <c r="L77" s="41"/>
      <c r="M77" s="42" t="str">
        <f t="shared" si="26"/>
        <v xml:space="preserve">Estafeta Mexicana, S.A. de C.V.  </v>
      </c>
      <c r="N77" s="991" t="s">
        <v>301</v>
      </c>
      <c r="O77" s="991" t="s">
        <v>301</v>
      </c>
      <c r="P77" s="991" t="s">
        <v>4820</v>
      </c>
      <c r="Q77" s="992">
        <v>1587530</v>
      </c>
      <c r="R77" s="44">
        <f t="shared" si="24"/>
        <v>254004.80000000002</v>
      </c>
      <c r="S77" s="45">
        <f t="shared" si="30"/>
        <v>1841534.8</v>
      </c>
      <c r="T77" s="46">
        <v>635012</v>
      </c>
      <c r="U77" s="47">
        <f t="shared" si="25"/>
        <v>736613.92</v>
      </c>
      <c r="V77" s="44">
        <f t="shared" si="27"/>
        <v>1841534.8</v>
      </c>
      <c r="W77" s="993" t="s">
        <v>156</v>
      </c>
      <c r="X77" s="48">
        <v>44683</v>
      </c>
      <c r="Y77" s="109" t="s">
        <v>559</v>
      </c>
      <c r="Z77" s="48">
        <v>44683</v>
      </c>
      <c r="AA77" s="213">
        <v>44985</v>
      </c>
      <c r="AB77" s="38" t="s">
        <v>4044</v>
      </c>
      <c r="AC77" s="38"/>
      <c r="AD77" s="59"/>
      <c r="AE77" s="59"/>
      <c r="AF77" s="59"/>
      <c r="AG77" s="59"/>
      <c r="AH77" s="39"/>
      <c r="AI77" s="38" t="s">
        <v>4821</v>
      </c>
      <c r="AJ77" s="211" t="s">
        <v>4822</v>
      </c>
      <c r="AK77" s="218">
        <v>44911</v>
      </c>
      <c r="AL77" s="215">
        <v>0</v>
      </c>
      <c r="AM77" s="163" t="str">
        <f t="shared" ca="1" si="28"/>
        <v>MUERTO</v>
      </c>
      <c r="AN77" s="39"/>
      <c r="AO77" s="39"/>
      <c r="AP77" s="39" t="s">
        <v>559</v>
      </c>
      <c r="AQ77" s="39" t="s">
        <v>924</v>
      </c>
      <c r="AR77" s="39" t="s">
        <v>559</v>
      </c>
      <c r="AS77" s="39"/>
      <c r="AT77" s="39"/>
      <c r="AU77" s="51"/>
      <c r="AV77" s="50"/>
      <c r="AW77" s="38"/>
      <c r="AX77" s="52"/>
      <c r="AY77" s="170" t="s">
        <v>4823</v>
      </c>
      <c r="AZ77" s="38"/>
      <c r="BA77" s="38" t="e">
        <f>VLOOKUP(I77,[2]RFC!$1:$1048576,2,0)</f>
        <v>#N/A</v>
      </c>
      <c r="BB77" s="73">
        <f t="shared" si="22"/>
        <v>0</v>
      </c>
      <c r="BC77" s="159"/>
      <c r="BD77" s="59">
        <v>44680</v>
      </c>
      <c r="BE77" s="58">
        <v>44680</v>
      </c>
      <c r="BF77" s="58">
        <v>44698</v>
      </c>
      <c r="BG77" s="59">
        <f>BF77</f>
        <v>44698</v>
      </c>
      <c r="BH77" s="183" t="str">
        <f t="shared" si="29"/>
        <v>Contrato formalizado con FC, PRC 02/06
Modificatorio formalizado con endosos 02/01/23</v>
      </c>
      <c r="BI77" s="195" t="s">
        <v>4824</v>
      </c>
      <c r="BJ77" s="185" t="s">
        <v>4825</v>
      </c>
      <c r="BK77" s="186" t="str">
        <f t="shared" si="23"/>
        <v>Contrato formalizado con FC, PRC 02/06
Modificatorio formalizado con endosos 02/01/23</v>
      </c>
      <c r="BL77" s="84"/>
      <c r="BM77" s="84"/>
      <c r="BN77" s="84"/>
      <c r="BO77" s="84"/>
      <c r="BP77" s="84"/>
    </row>
    <row r="78" spans="1:71" ht="120" x14ac:dyDescent="0.25">
      <c r="A78" s="196" t="s">
        <v>4826</v>
      </c>
      <c r="B78" s="3">
        <v>72</v>
      </c>
      <c r="C78" s="167" t="s">
        <v>149</v>
      </c>
      <c r="D78" s="39" t="s">
        <v>163</v>
      </c>
      <c r="E78" s="40" t="s">
        <v>4819</v>
      </c>
      <c r="F78" s="3" t="s">
        <v>2237</v>
      </c>
      <c r="G78" s="685" t="s">
        <v>546</v>
      </c>
      <c r="H78" s="39" t="s">
        <v>4030</v>
      </c>
      <c r="I78" s="81" t="s">
        <v>4827</v>
      </c>
      <c r="J78" s="41"/>
      <c r="K78" s="41"/>
      <c r="L78" s="41"/>
      <c r="M78" s="42" t="str">
        <f t="shared" si="26"/>
        <v xml:space="preserve">Catorce Dias, S.A. de C.V.  </v>
      </c>
      <c r="N78" s="991" t="s">
        <v>860</v>
      </c>
      <c r="O78" s="991" t="s">
        <v>860</v>
      </c>
      <c r="P78" s="991" t="s">
        <v>4828</v>
      </c>
      <c r="Q78" s="992">
        <v>540000</v>
      </c>
      <c r="R78" s="44">
        <f t="shared" si="24"/>
        <v>86400</v>
      </c>
      <c r="S78" s="45">
        <f t="shared" si="30"/>
        <v>626400</v>
      </c>
      <c r="T78" s="46">
        <v>0</v>
      </c>
      <c r="U78" s="47">
        <f t="shared" si="25"/>
        <v>0</v>
      </c>
      <c r="V78" s="44">
        <f t="shared" si="27"/>
        <v>626400</v>
      </c>
      <c r="W78" s="993" t="s">
        <v>156</v>
      </c>
      <c r="X78" s="48">
        <v>44690</v>
      </c>
      <c r="Y78" s="109" t="s">
        <v>559</v>
      </c>
      <c r="Z78" s="48">
        <v>44690</v>
      </c>
      <c r="AA78" s="213">
        <v>44825</v>
      </c>
      <c r="AB78" s="38" t="s">
        <v>3113</v>
      </c>
      <c r="AC78" s="38"/>
      <c r="AD78" s="59"/>
      <c r="AE78" s="59"/>
      <c r="AF78" s="59"/>
      <c r="AG78" s="59"/>
      <c r="AH78" s="39"/>
      <c r="AI78" s="38" t="s">
        <v>4829</v>
      </c>
      <c r="AJ78" s="211" t="s">
        <v>4830</v>
      </c>
      <c r="AK78" s="218">
        <v>44799</v>
      </c>
      <c r="AL78" s="215">
        <v>0</v>
      </c>
      <c r="AM78" s="163" t="str">
        <f t="shared" ca="1" si="28"/>
        <v>MUERTO</v>
      </c>
      <c r="AN78" s="39"/>
      <c r="AO78" s="39"/>
      <c r="AP78" s="39" t="s">
        <v>559</v>
      </c>
      <c r="AQ78" s="39" t="s">
        <v>815</v>
      </c>
      <c r="AR78" s="39" t="s">
        <v>559</v>
      </c>
      <c r="AS78" s="39"/>
      <c r="AT78" s="39"/>
      <c r="AU78" s="51"/>
      <c r="AV78" s="50"/>
      <c r="AW78" s="38"/>
      <c r="AX78" s="52"/>
      <c r="AY78" s="170" t="s">
        <v>4831</v>
      </c>
      <c r="AZ78" s="38"/>
      <c r="BA78" s="38" t="s">
        <v>4176</v>
      </c>
      <c r="BB78" s="73">
        <f t="shared" si="22"/>
        <v>0</v>
      </c>
      <c r="BC78" s="159"/>
      <c r="BD78" s="59">
        <v>44680</v>
      </c>
      <c r="BE78" s="58">
        <v>44683</v>
      </c>
      <c r="BF78" s="58" t="s">
        <v>4832</v>
      </c>
      <c r="BG78" s="59" t="str">
        <f>BF78</f>
        <v>04/05/2022
29/08/2022</v>
      </c>
      <c r="BH78" s="183" t="str">
        <f t="shared" si="29"/>
        <v>Contrato formalizado con FC Y PRC 27/05
Modificatorio formalizado 12/09/22</v>
      </c>
      <c r="BI78" s="195" t="s">
        <v>4833</v>
      </c>
      <c r="BJ78" s="185" t="s">
        <v>4834</v>
      </c>
      <c r="BK78" s="186" t="str">
        <f t="shared" si="23"/>
        <v>Contrato formalizado con FC Y PRC 27/05
Modificatorio formalizado 12/09/22</v>
      </c>
      <c r="BL78" s="84"/>
      <c r="BM78" s="84"/>
      <c r="BN78" s="84"/>
      <c r="BO78" s="84"/>
      <c r="BP78" s="84"/>
    </row>
    <row r="79" spans="1:71" ht="60" x14ac:dyDescent="0.25">
      <c r="A79" s="168" t="s">
        <v>4835</v>
      </c>
      <c r="B79" s="3">
        <v>73</v>
      </c>
      <c r="C79" s="167" t="s">
        <v>149</v>
      </c>
      <c r="D79" s="39" t="s">
        <v>151</v>
      </c>
      <c r="E79" s="40" t="s">
        <v>4836</v>
      </c>
      <c r="F79" s="39" t="s">
        <v>151</v>
      </c>
      <c r="G79" s="39"/>
      <c r="H79" s="39" t="s">
        <v>3793</v>
      </c>
      <c r="I79" s="81" t="s">
        <v>4837</v>
      </c>
      <c r="J79" s="41"/>
      <c r="K79" s="41"/>
      <c r="L79" s="41"/>
      <c r="M79" s="42" t="str">
        <f t="shared" si="26"/>
        <v xml:space="preserve">Promad Soluciones Computarizadas, S.A. de C.V.  </v>
      </c>
      <c r="N79" s="991" t="s">
        <v>656</v>
      </c>
      <c r="O79" s="991" t="s">
        <v>667</v>
      </c>
      <c r="P79" s="991" t="s">
        <v>4838</v>
      </c>
      <c r="Q79" s="992">
        <v>862068.96</v>
      </c>
      <c r="R79" s="44">
        <f t="shared" si="24"/>
        <v>137931.0336</v>
      </c>
      <c r="S79" s="45">
        <f t="shared" si="30"/>
        <v>999999.99359999993</v>
      </c>
      <c r="T79" s="46">
        <v>300000</v>
      </c>
      <c r="U79" s="47">
        <f t="shared" si="25"/>
        <v>348000</v>
      </c>
      <c r="V79" s="44">
        <f t="shared" si="27"/>
        <v>999999.99359999993</v>
      </c>
      <c r="W79" s="993" t="s">
        <v>156</v>
      </c>
      <c r="X79" s="48">
        <v>44693</v>
      </c>
      <c r="Y79" s="109" t="s">
        <v>559</v>
      </c>
      <c r="Z79" s="48">
        <v>44693</v>
      </c>
      <c r="AA79" s="48">
        <v>44926</v>
      </c>
      <c r="AB79" s="38" t="s">
        <v>3811</v>
      </c>
      <c r="AC79" s="38"/>
      <c r="AD79" s="59"/>
      <c r="AE79" s="59"/>
      <c r="AF79" s="59"/>
      <c r="AG79" s="59"/>
      <c r="AH79" s="39"/>
      <c r="AI79" s="38"/>
      <c r="AJ79" s="38"/>
      <c r="AK79" s="50"/>
      <c r="AL79" s="44"/>
      <c r="AM79" s="163" t="str">
        <f t="shared" ca="1" si="28"/>
        <v>MUERTO</v>
      </c>
      <c r="AN79" s="39"/>
      <c r="AO79" s="39"/>
      <c r="AP79" s="39" t="s">
        <v>559</v>
      </c>
      <c r="AQ79" s="39"/>
      <c r="AR79" s="39" t="s">
        <v>559</v>
      </c>
      <c r="AS79" s="39"/>
      <c r="AT79" s="39"/>
      <c r="AU79" s="51"/>
      <c r="AV79" s="50"/>
      <c r="AW79" s="38"/>
      <c r="AX79" s="52"/>
      <c r="AY79" s="170" t="s">
        <v>4839</v>
      </c>
      <c r="AZ79" s="38"/>
      <c r="BA79" s="38" t="s">
        <v>4840</v>
      </c>
      <c r="BB79" s="73">
        <f t="shared" si="22"/>
        <v>0</v>
      </c>
      <c r="BC79" s="159"/>
      <c r="BD79" s="59">
        <v>44690</v>
      </c>
      <c r="BE79" s="58">
        <v>44692</v>
      </c>
      <c r="BF79" s="58">
        <v>44697</v>
      </c>
      <c r="BG79" s="59">
        <f>BF79</f>
        <v>44697</v>
      </c>
      <c r="BH79" s="183" t="str">
        <f t="shared" si="29"/>
        <v>Contrato formalizado con FC y PRc 09/06</v>
      </c>
      <c r="BI79" s="195">
        <v>44707</v>
      </c>
      <c r="BJ79" s="185">
        <v>44699</v>
      </c>
      <c r="BK79" s="186" t="str">
        <f t="shared" si="23"/>
        <v>Contrato formalizado con FC y PRc 09/06</v>
      </c>
      <c r="BL79" s="84"/>
      <c r="BM79" s="84"/>
      <c r="BN79" s="84"/>
      <c r="BO79" s="84"/>
      <c r="BP79" s="84"/>
    </row>
    <row r="80" spans="1:71" s="468" customFormat="1" ht="135" x14ac:dyDescent="0.25">
      <c r="A80" s="196" t="s">
        <v>4841</v>
      </c>
      <c r="B80" s="3">
        <v>74</v>
      </c>
      <c r="C80" s="167" t="s">
        <v>149</v>
      </c>
      <c r="D80" s="39" t="s">
        <v>151</v>
      </c>
      <c r="E80" s="40" t="s">
        <v>4842</v>
      </c>
      <c r="F80" s="39" t="s">
        <v>151</v>
      </c>
      <c r="G80" s="39"/>
      <c r="H80" s="39" t="s">
        <v>3793</v>
      </c>
      <c r="I80" s="81" t="s">
        <v>4537</v>
      </c>
      <c r="J80" s="41"/>
      <c r="K80" s="41"/>
      <c r="L80" s="41"/>
      <c r="M80" s="42" t="str">
        <f t="shared" si="26"/>
        <v xml:space="preserve">Escalator, Elevator &amp; Electromechanics Enterprise, S.A. de C.V.  </v>
      </c>
      <c r="N80" s="991" t="s">
        <v>198</v>
      </c>
      <c r="O80" s="991" t="s">
        <v>198</v>
      </c>
      <c r="P80" s="991" t="s">
        <v>4843</v>
      </c>
      <c r="Q80" s="992">
        <v>819200</v>
      </c>
      <c r="R80" s="44">
        <f t="shared" si="24"/>
        <v>131072</v>
      </c>
      <c r="S80" s="45">
        <f t="shared" si="30"/>
        <v>950272</v>
      </c>
      <c r="T80" s="46">
        <v>0</v>
      </c>
      <c r="U80" s="47">
        <f t="shared" si="25"/>
        <v>0</v>
      </c>
      <c r="V80" s="215">
        <f t="shared" si="27"/>
        <v>1187840</v>
      </c>
      <c r="W80" s="993" t="s">
        <v>156</v>
      </c>
      <c r="X80" s="48">
        <v>44693</v>
      </c>
      <c r="Y80" s="109" t="s">
        <v>559</v>
      </c>
      <c r="Z80" s="48">
        <v>44693</v>
      </c>
      <c r="AA80" s="213">
        <v>44984</v>
      </c>
      <c r="AB80" s="38" t="s">
        <v>3787</v>
      </c>
      <c r="AC80" s="38"/>
      <c r="AD80" s="59"/>
      <c r="AE80" s="59"/>
      <c r="AF80" s="59"/>
      <c r="AG80" s="59"/>
      <c r="AH80" s="39"/>
      <c r="AI80" s="38" t="s">
        <v>4844</v>
      </c>
      <c r="AJ80" s="211" t="s">
        <v>4845</v>
      </c>
      <c r="AK80" s="218">
        <v>44918</v>
      </c>
      <c r="AL80" s="215">
        <v>237568</v>
      </c>
      <c r="AM80" s="163" t="str">
        <f t="shared" ca="1" si="28"/>
        <v>MUERTO</v>
      </c>
      <c r="AN80" s="39"/>
      <c r="AO80" s="39"/>
      <c r="AP80" s="39" t="s">
        <v>559</v>
      </c>
      <c r="AQ80" s="39" t="s">
        <v>924</v>
      </c>
      <c r="AR80" s="39" t="s">
        <v>559</v>
      </c>
      <c r="AS80" s="39"/>
      <c r="AT80" s="39"/>
      <c r="AU80" s="51"/>
      <c r="AV80" s="50"/>
      <c r="AW80" s="38"/>
      <c r="AX80" s="52"/>
      <c r="AY80" s="170" t="s">
        <v>4846</v>
      </c>
      <c r="AZ80" s="38"/>
      <c r="BA80" s="38" t="str">
        <f>VLOOKUP(I80,[2]RFC!$1:$1048576,2,0)</f>
        <v>EEA1006077G5</v>
      </c>
      <c r="BB80" s="73">
        <f t="shared" si="22"/>
        <v>0</v>
      </c>
      <c r="BC80" s="159"/>
      <c r="BD80" s="59">
        <v>44690</v>
      </c>
      <c r="BE80" s="58">
        <v>44692</v>
      </c>
      <c r="BF80" s="58" t="s">
        <v>4847</v>
      </c>
      <c r="BG80" s="59" t="str">
        <f>BF80</f>
        <v>12/05/2022
26/12/2022</v>
      </c>
      <c r="BH80" s="183" t="str">
        <f t="shared" si="29"/>
        <v>Contrato formalizado con FC y PRC 25/05
Modif formalizado con endosos 27/01/23</v>
      </c>
      <c r="BI80" s="195" t="s">
        <v>4848</v>
      </c>
      <c r="BJ80" s="185" t="s">
        <v>4849</v>
      </c>
      <c r="BK80" s="186" t="str">
        <f t="shared" si="23"/>
        <v>Contrato formalizado con FC y PRC 25/05
Modif formalizado con endosos 27/01/23</v>
      </c>
      <c r="BL80" s="84"/>
      <c r="BM80" s="84"/>
      <c r="BN80" s="84"/>
      <c r="BO80" s="84"/>
      <c r="BP80" s="84"/>
      <c r="BQ80"/>
      <c r="BR80"/>
      <c r="BS80"/>
    </row>
    <row r="81" spans="1:68" ht="135" x14ac:dyDescent="0.25">
      <c r="A81" s="196" t="s">
        <v>4850</v>
      </c>
      <c r="B81" s="3">
        <v>75</v>
      </c>
      <c r="C81" s="167" t="s">
        <v>149</v>
      </c>
      <c r="D81" s="39" t="s">
        <v>163</v>
      </c>
      <c r="E81" s="40" t="s">
        <v>4851</v>
      </c>
      <c r="F81" s="39" t="s">
        <v>163</v>
      </c>
      <c r="G81" s="39" t="s">
        <v>163</v>
      </c>
      <c r="H81" s="39" t="s">
        <v>4004</v>
      </c>
      <c r="I81" s="81" t="s">
        <v>1038</v>
      </c>
      <c r="J81" s="41"/>
      <c r="K81" s="41"/>
      <c r="L81" s="41"/>
      <c r="M81" s="42" t="str">
        <f t="shared" si="26"/>
        <v xml:space="preserve">Sistemas Neumáticos de Envíos, S.A. de C.V.  </v>
      </c>
      <c r="N81" s="991" t="s">
        <v>198</v>
      </c>
      <c r="O81" s="991" t="s">
        <v>198</v>
      </c>
      <c r="P81" s="991" t="s">
        <v>4852</v>
      </c>
      <c r="Q81" s="992">
        <v>513720.68</v>
      </c>
      <c r="R81" s="44">
        <f t="shared" si="24"/>
        <v>82195.308799999999</v>
      </c>
      <c r="S81" s="45">
        <f t="shared" si="30"/>
        <v>595915.98879999993</v>
      </c>
      <c r="T81" s="46">
        <v>205488.28</v>
      </c>
      <c r="U81" s="47">
        <f t="shared" si="25"/>
        <v>238366.40479999999</v>
      </c>
      <c r="V81" s="215">
        <f t="shared" si="27"/>
        <v>744894.97879999992</v>
      </c>
      <c r="W81" s="993" t="s">
        <v>156</v>
      </c>
      <c r="X81" s="48">
        <v>44697</v>
      </c>
      <c r="Y81" s="109" t="s">
        <v>559</v>
      </c>
      <c r="Z81" s="48">
        <v>44697</v>
      </c>
      <c r="AA81" s="213">
        <v>44983</v>
      </c>
      <c r="AB81" s="38" t="s">
        <v>3787</v>
      </c>
      <c r="AC81" s="38"/>
      <c r="AD81" s="59"/>
      <c r="AE81" s="59"/>
      <c r="AF81" s="59"/>
      <c r="AG81" s="59"/>
      <c r="AH81" s="39"/>
      <c r="AI81" s="38" t="s">
        <v>4853</v>
      </c>
      <c r="AJ81" s="211" t="s">
        <v>4854</v>
      </c>
      <c r="AK81" s="218">
        <v>44917</v>
      </c>
      <c r="AL81" s="215">
        <v>148978.99</v>
      </c>
      <c r="AM81" s="163" t="str">
        <f t="shared" ca="1" si="28"/>
        <v>MUERTO</v>
      </c>
      <c r="AN81" s="39"/>
      <c r="AO81" s="39"/>
      <c r="AP81" s="39" t="s">
        <v>559</v>
      </c>
      <c r="AQ81" s="39" t="s">
        <v>924</v>
      </c>
      <c r="AR81" s="39" t="s">
        <v>559</v>
      </c>
      <c r="AS81" s="39"/>
      <c r="AT81" s="39"/>
      <c r="AU81" s="51"/>
      <c r="AV81" s="50"/>
      <c r="AW81" s="38"/>
      <c r="AX81" s="52"/>
      <c r="AY81" s="170" t="s">
        <v>4855</v>
      </c>
      <c r="AZ81" s="38"/>
      <c r="BA81" s="38" t="str">
        <f>VLOOKUP(I81,[2]RFC!$1:$1048576,2,0)</f>
        <v>SNE8902146C0</v>
      </c>
      <c r="BB81" s="73">
        <f t="shared" si="22"/>
        <v>0</v>
      </c>
      <c r="BC81" s="159"/>
      <c r="BD81" s="59">
        <v>44690</v>
      </c>
      <c r="BE81" s="58">
        <v>44693</v>
      </c>
      <c r="BF81" s="58">
        <v>44694</v>
      </c>
      <c r="BG81" s="59" t="s">
        <v>4856</v>
      </c>
      <c r="BH81" s="183" t="str">
        <f t="shared" si="29"/>
        <v>Contrato formalizado co FC y PRC 21/06
Modific formalizado con endosos 02/02/23</v>
      </c>
      <c r="BI81" s="195" t="s">
        <v>4857</v>
      </c>
      <c r="BJ81" s="185" t="s">
        <v>4858</v>
      </c>
      <c r="BK81" s="186" t="str">
        <f t="shared" si="23"/>
        <v>Contrato formalizado co FC y PRC 21/06
Modific formalizado con endosos 02/02/23</v>
      </c>
      <c r="BL81" s="84"/>
      <c r="BM81" s="84"/>
      <c r="BN81" s="84"/>
      <c r="BO81" s="84"/>
      <c r="BP81" s="84"/>
    </row>
    <row r="82" spans="1:68" ht="60" x14ac:dyDescent="0.25">
      <c r="A82" s="168" t="s">
        <v>4859</v>
      </c>
      <c r="B82" s="3">
        <v>76</v>
      </c>
      <c r="C82" s="167" t="s">
        <v>225</v>
      </c>
      <c r="D82" s="39" t="s">
        <v>163</v>
      </c>
      <c r="E82" s="40" t="s">
        <v>4860</v>
      </c>
      <c r="F82" s="39" t="s">
        <v>163</v>
      </c>
      <c r="G82" s="39" t="s">
        <v>163</v>
      </c>
      <c r="H82" s="39" t="s">
        <v>4004</v>
      </c>
      <c r="I82" s="81" t="s">
        <v>4861</v>
      </c>
      <c r="J82" s="41"/>
      <c r="K82" s="41"/>
      <c r="L82" s="41"/>
      <c r="M82" s="42" t="str">
        <f t="shared" si="26"/>
        <v xml:space="preserve">Maya Hermanos, S.A. de C.V.  </v>
      </c>
      <c r="N82" s="991" t="s">
        <v>656</v>
      </c>
      <c r="O82" s="991" t="s">
        <v>667</v>
      </c>
      <c r="P82" s="991" t="s">
        <v>4862</v>
      </c>
      <c r="Q82" s="992">
        <v>862068.97</v>
      </c>
      <c r="R82" s="44">
        <f t="shared" si="24"/>
        <v>137931.03519999998</v>
      </c>
      <c r="S82" s="45">
        <f t="shared" si="30"/>
        <v>1000000.0052</v>
      </c>
      <c r="T82" s="46">
        <v>300000</v>
      </c>
      <c r="U82" s="47">
        <f t="shared" si="25"/>
        <v>348000</v>
      </c>
      <c r="V82" s="44">
        <f t="shared" si="27"/>
        <v>1000000.0052</v>
      </c>
      <c r="W82" s="993" t="s">
        <v>156</v>
      </c>
      <c r="X82" s="48">
        <v>44711</v>
      </c>
      <c r="Y82" s="109" t="s">
        <v>559</v>
      </c>
      <c r="Z82" s="48">
        <v>44711</v>
      </c>
      <c r="AA82" s="48">
        <v>44926</v>
      </c>
      <c r="AB82" s="38" t="s">
        <v>3113</v>
      </c>
      <c r="AC82" s="38"/>
      <c r="AD82" s="59"/>
      <c r="AE82" s="59"/>
      <c r="AF82" s="59"/>
      <c r="AG82" s="59"/>
      <c r="AH82" s="39"/>
      <c r="AI82" s="38"/>
      <c r="AJ82" s="38"/>
      <c r="AK82" s="50"/>
      <c r="AL82" s="44"/>
      <c r="AM82" s="163" t="str">
        <f t="shared" ca="1" si="28"/>
        <v>MUERTO</v>
      </c>
      <c r="AN82" s="39"/>
      <c r="AO82" s="39"/>
      <c r="AP82" s="39" t="s">
        <v>559</v>
      </c>
      <c r="AQ82" s="39"/>
      <c r="AR82" s="39" t="s">
        <v>559</v>
      </c>
      <c r="AS82" s="39"/>
      <c r="AT82" s="39"/>
      <c r="AU82" s="51"/>
      <c r="AV82" s="50"/>
      <c r="AW82" s="38"/>
      <c r="AX82" s="52"/>
      <c r="AY82" s="170" t="s">
        <v>4863</v>
      </c>
      <c r="AZ82" s="38"/>
      <c r="BA82" s="38" t="s">
        <v>4864</v>
      </c>
      <c r="BB82" s="73"/>
      <c r="BC82" s="159"/>
      <c r="BD82" s="59">
        <v>44704</v>
      </c>
      <c r="BE82" s="59">
        <v>44705</v>
      </c>
      <c r="BF82" s="58">
        <v>44708</v>
      </c>
      <c r="BG82" s="59">
        <f t="shared" ref="BG82:BG94" si="31">BF82</f>
        <v>44708</v>
      </c>
      <c r="BH82" s="183" t="str">
        <f t="shared" si="29"/>
        <v>Contrato formalizado co FC  21/06</v>
      </c>
      <c r="BI82" s="195">
        <v>44718</v>
      </c>
      <c r="BJ82" s="185">
        <v>44711</v>
      </c>
      <c r="BK82" s="186" t="str">
        <f t="shared" si="23"/>
        <v>Contrato formalizado co FC  21/06</v>
      </c>
      <c r="BL82" s="84"/>
      <c r="BM82" s="84"/>
      <c r="BN82" s="84"/>
      <c r="BO82" s="84"/>
      <c r="BP82" s="84"/>
    </row>
    <row r="83" spans="1:68" ht="60" x14ac:dyDescent="0.25">
      <c r="A83" s="168" t="s">
        <v>4865</v>
      </c>
      <c r="B83" s="3">
        <v>77</v>
      </c>
      <c r="C83" s="167" t="s">
        <v>225</v>
      </c>
      <c r="D83" s="39" t="s">
        <v>163</v>
      </c>
      <c r="E83" s="40" t="s">
        <v>4866</v>
      </c>
      <c r="F83" s="39" t="s">
        <v>163</v>
      </c>
      <c r="G83" s="39" t="s">
        <v>163</v>
      </c>
      <c r="H83" s="39" t="s">
        <v>4867</v>
      </c>
      <c r="I83" s="81"/>
      <c r="J83" s="41" t="s">
        <v>4559</v>
      </c>
      <c r="K83" s="41" t="s">
        <v>4560</v>
      </c>
      <c r="L83" s="41" t="s">
        <v>4561</v>
      </c>
      <c r="M83" s="42" t="str">
        <f t="shared" si="26"/>
        <v>Violeta Córdoba Baeza</v>
      </c>
      <c r="N83" s="991" t="s">
        <v>656</v>
      </c>
      <c r="O83" s="991" t="s">
        <v>667</v>
      </c>
      <c r="P83" s="991" t="s">
        <v>4868</v>
      </c>
      <c r="Q83" s="992">
        <v>1500000</v>
      </c>
      <c r="R83" s="44">
        <f t="shared" si="24"/>
        <v>240000</v>
      </c>
      <c r="S83" s="45">
        <f t="shared" si="30"/>
        <v>1740000</v>
      </c>
      <c r="T83" s="46">
        <v>600000</v>
      </c>
      <c r="U83" s="47">
        <f t="shared" si="25"/>
        <v>696000</v>
      </c>
      <c r="V83" s="44">
        <f t="shared" si="27"/>
        <v>1740000</v>
      </c>
      <c r="W83" s="993" t="s">
        <v>156</v>
      </c>
      <c r="X83" s="48">
        <v>44711</v>
      </c>
      <c r="Y83" s="109" t="s">
        <v>559</v>
      </c>
      <c r="Z83" s="48">
        <v>44711</v>
      </c>
      <c r="AA83" s="48">
        <v>44926</v>
      </c>
      <c r="AB83" s="38" t="s">
        <v>3113</v>
      </c>
      <c r="AC83" s="38"/>
      <c r="AD83" s="59"/>
      <c r="AE83" s="59"/>
      <c r="AF83" s="59"/>
      <c r="AG83" s="59"/>
      <c r="AH83" s="39"/>
      <c r="AI83" s="38"/>
      <c r="AJ83" s="38"/>
      <c r="AK83" s="50"/>
      <c r="AL83" s="44"/>
      <c r="AM83" s="163" t="str">
        <f t="shared" ca="1" si="28"/>
        <v>MUERTO</v>
      </c>
      <c r="AN83" s="39"/>
      <c r="AO83" s="39"/>
      <c r="AP83" s="39" t="s">
        <v>559</v>
      </c>
      <c r="AQ83" s="39"/>
      <c r="AR83" s="39" t="s">
        <v>559</v>
      </c>
      <c r="AS83" s="39"/>
      <c r="AT83" s="39"/>
      <c r="AU83" s="51"/>
      <c r="AV83" s="50"/>
      <c r="AW83" s="38"/>
      <c r="AX83" s="52"/>
      <c r="AY83" s="170" t="s">
        <v>4863</v>
      </c>
      <c r="AZ83" s="38"/>
      <c r="BA83" s="38" t="s">
        <v>4568</v>
      </c>
      <c r="BB83" s="73">
        <f t="shared" ref="BB83:BB90" si="32">AN83</f>
        <v>0</v>
      </c>
      <c r="BC83" s="159"/>
      <c r="BD83" s="59">
        <v>44704</v>
      </c>
      <c r="BE83" s="59">
        <v>44705</v>
      </c>
      <c r="BF83" s="58">
        <v>44711</v>
      </c>
      <c r="BG83" s="59">
        <f t="shared" si="31"/>
        <v>44711</v>
      </c>
      <c r="BH83" s="183" t="str">
        <f t="shared" si="29"/>
        <v>Contrato formalizado co FC  21/06</v>
      </c>
      <c r="BI83" s="195">
        <v>44718</v>
      </c>
      <c r="BJ83" s="185">
        <v>44713</v>
      </c>
      <c r="BK83" s="186" t="str">
        <f t="shared" si="23"/>
        <v>Contrato formalizado co FC  21/06</v>
      </c>
      <c r="BL83" s="84"/>
      <c r="BM83" s="84"/>
      <c r="BN83" s="84"/>
      <c r="BO83" s="84"/>
      <c r="BP83" s="84"/>
    </row>
    <row r="84" spans="1:68" ht="75" x14ac:dyDescent="0.25">
      <c r="A84" s="168" t="s">
        <v>4869</v>
      </c>
      <c r="B84" s="3">
        <v>78</v>
      </c>
      <c r="C84" s="167" t="s">
        <v>149</v>
      </c>
      <c r="D84" s="39" t="s">
        <v>163</v>
      </c>
      <c r="E84" s="40" t="s">
        <v>4870</v>
      </c>
      <c r="F84" s="39" t="s">
        <v>163</v>
      </c>
      <c r="G84" s="39" t="s">
        <v>163</v>
      </c>
      <c r="H84" s="39" t="s">
        <v>2064</v>
      </c>
      <c r="I84" s="81" t="s">
        <v>4708</v>
      </c>
      <c r="J84" s="41"/>
      <c r="K84" s="41"/>
      <c r="L84" s="41"/>
      <c r="M84" s="42" t="str">
        <f t="shared" si="26"/>
        <v xml:space="preserve">Editores - Libreros, S.A. de C.V.  </v>
      </c>
      <c r="N84" s="42" t="s">
        <v>2065</v>
      </c>
      <c r="O84" s="42" t="s">
        <v>2579</v>
      </c>
      <c r="P84" s="991" t="s">
        <v>4871</v>
      </c>
      <c r="Q84" s="992">
        <v>400302</v>
      </c>
      <c r="R84" s="44">
        <f t="shared" si="24"/>
        <v>64048.32</v>
      </c>
      <c r="S84" s="45">
        <f t="shared" si="30"/>
        <v>464350.32</v>
      </c>
      <c r="T84" s="46">
        <v>0</v>
      </c>
      <c r="U84" s="47">
        <f t="shared" si="25"/>
        <v>0</v>
      </c>
      <c r="V84" s="44">
        <f t="shared" si="27"/>
        <v>464350.32</v>
      </c>
      <c r="W84" s="993" t="s">
        <v>156</v>
      </c>
      <c r="X84" s="48">
        <v>44715</v>
      </c>
      <c r="Y84" s="39" t="s">
        <v>496</v>
      </c>
      <c r="Z84" s="48">
        <v>44715</v>
      </c>
      <c r="AA84" s="48">
        <v>44742</v>
      </c>
      <c r="AB84" s="38" t="s">
        <v>2050</v>
      </c>
      <c r="AC84" s="38"/>
      <c r="AD84" s="59"/>
      <c r="AE84" s="59"/>
      <c r="AF84" s="59"/>
      <c r="AG84" s="59"/>
      <c r="AH84" s="39"/>
      <c r="AI84" s="38"/>
      <c r="AJ84" s="38"/>
      <c r="AK84" s="50"/>
      <c r="AL84" s="44"/>
      <c r="AM84" s="163" t="str">
        <f t="shared" ca="1" si="28"/>
        <v>MUERTO</v>
      </c>
      <c r="AN84" s="39"/>
      <c r="AO84" s="39"/>
      <c r="AP84" s="39" t="s">
        <v>496</v>
      </c>
      <c r="AQ84" s="39"/>
      <c r="AR84" s="39" t="s">
        <v>496</v>
      </c>
      <c r="AS84" s="39"/>
      <c r="AT84" s="39"/>
      <c r="AU84" s="51"/>
      <c r="AV84" s="50"/>
      <c r="AW84" s="38"/>
      <c r="AX84" s="52"/>
      <c r="AY84" s="170" t="s">
        <v>4872</v>
      </c>
      <c r="AZ84" s="38"/>
      <c r="BA84" s="38" t="s">
        <v>4712</v>
      </c>
      <c r="BB84" s="73">
        <f t="shared" si="32"/>
        <v>0</v>
      </c>
      <c r="BC84" s="159"/>
      <c r="BD84" s="59">
        <v>44708</v>
      </c>
      <c r="BE84" s="59">
        <v>44708</v>
      </c>
      <c r="BF84" s="58">
        <v>44714</v>
      </c>
      <c r="BG84" s="59">
        <f t="shared" si="31"/>
        <v>44714</v>
      </c>
      <c r="BH84" s="183" t="str">
        <f t="shared" si="29"/>
        <v>Contrato formalizado en Tesorería 09/06</v>
      </c>
      <c r="BI84" s="195">
        <v>44720</v>
      </c>
      <c r="BJ84" s="185">
        <v>44718</v>
      </c>
      <c r="BK84" s="186" t="str">
        <f t="shared" si="23"/>
        <v>Contrato formalizado en Tesorería 09/06</v>
      </c>
      <c r="BL84" s="84"/>
      <c r="BM84" s="84"/>
      <c r="BN84" s="84"/>
      <c r="BO84" s="84"/>
      <c r="BP84" s="84"/>
    </row>
    <row r="85" spans="1:68" ht="90" x14ac:dyDescent="0.25">
      <c r="A85" s="168" t="s">
        <v>4873</v>
      </c>
      <c r="B85" s="3">
        <v>79</v>
      </c>
      <c r="C85" s="167" t="s">
        <v>149</v>
      </c>
      <c r="D85" s="39" t="s">
        <v>163</v>
      </c>
      <c r="E85" s="40" t="s">
        <v>4874</v>
      </c>
      <c r="F85" s="3" t="s">
        <v>2237</v>
      </c>
      <c r="G85" s="685" t="s">
        <v>546</v>
      </c>
      <c r="H85" s="39" t="s">
        <v>4030</v>
      </c>
      <c r="I85" s="81"/>
      <c r="J85" s="41" t="s">
        <v>4875</v>
      </c>
      <c r="K85" s="41" t="s">
        <v>3743</v>
      </c>
      <c r="L85" s="41" t="s">
        <v>2745</v>
      </c>
      <c r="M85" s="42" t="str">
        <f t="shared" si="26"/>
        <v>Jorge Occelli Carranco</v>
      </c>
      <c r="N85" s="991" t="s">
        <v>860</v>
      </c>
      <c r="O85" s="991" t="s">
        <v>220</v>
      </c>
      <c r="P85" s="991" t="s">
        <v>4876</v>
      </c>
      <c r="Q85" s="992">
        <v>930000</v>
      </c>
      <c r="R85" s="44">
        <f t="shared" si="24"/>
        <v>148800</v>
      </c>
      <c r="S85" s="45">
        <f t="shared" si="30"/>
        <v>1078800</v>
      </c>
      <c r="T85" s="46">
        <v>0</v>
      </c>
      <c r="U85" s="47">
        <f t="shared" si="25"/>
        <v>0</v>
      </c>
      <c r="V85" s="44">
        <f t="shared" si="27"/>
        <v>1078800</v>
      </c>
      <c r="W85" s="993" t="s">
        <v>156</v>
      </c>
      <c r="X85" s="48">
        <v>44718</v>
      </c>
      <c r="Y85" s="109" t="s">
        <v>496</v>
      </c>
      <c r="Z85" s="48">
        <v>44718</v>
      </c>
      <c r="AA85" s="48">
        <v>44771</v>
      </c>
      <c r="AB85" s="38" t="s">
        <v>3113</v>
      </c>
      <c r="AC85" s="38"/>
      <c r="AD85" s="59"/>
      <c r="AE85" s="59"/>
      <c r="AF85" s="59"/>
      <c r="AG85" s="59"/>
      <c r="AH85" s="39"/>
      <c r="AI85" s="38"/>
      <c r="AJ85" s="38"/>
      <c r="AK85" s="50"/>
      <c r="AL85" s="44"/>
      <c r="AM85" s="163" t="str">
        <f t="shared" ca="1" si="28"/>
        <v>MUERTO</v>
      </c>
      <c r="AN85" s="39"/>
      <c r="AO85" s="39"/>
      <c r="AP85" s="39" t="s">
        <v>496</v>
      </c>
      <c r="AQ85" s="39"/>
      <c r="AR85" s="39" t="s">
        <v>496</v>
      </c>
      <c r="AS85" s="39"/>
      <c r="AT85" s="39"/>
      <c r="AU85" s="51"/>
      <c r="AV85" s="50"/>
      <c r="AW85" s="38"/>
      <c r="AX85" s="52"/>
      <c r="AY85" s="170" t="s">
        <v>4877</v>
      </c>
      <c r="AZ85" s="38"/>
      <c r="BA85" s="38" t="s">
        <v>3746</v>
      </c>
      <c r="BB85" s="73">
        <f t="shared" si="32"/>
        <v>0</v>
      </c>
      <c r="BC85" s="159"/>
      <c r="BD85" s="59">
        <v>44708</v>
      </c>
      <c r="BE85" s="58">
        <v>44712</v>
      </c>
      <c r="BF85" s="58">
        <v>44714</v>
      </c>
      <c r="BG85" s="59">
        <f t="shared" si="31"/>
        <v>44714</v>
      </c>
      <c r="BH85" s="183" t="str">
        <f t="shared" si="29"/>
        <v>Contrato formalizado en tesoreria con FC 15/06</v>
      </c>
      <c r="BI85" s="195">
        <v>44719</v>
      </c>
      <c r="BJ85" s="185">
        <v>44715</v>
      </c>
      <c r="BK85" s="186" t="str">
        <f t="shared" si="23"/>
        <v>Contrato formalizado en tesoreria con FC 15/06</v>
      </c>
      <c r="BL85" s="84"/>
      <c r="BM85" s="84"/>
      <c r="BN85" s="84"/>
      <c r="BO85" s="84"/>
      <c r="BP85" s="84"/>
    </row>
    <row r="86" spans="1:68" ht="120" x14ac:dyDescent="0.25">
      <c r="A86" s="168" t="s">
        <v>4878</v>
      </c>
      <c r="B86" s="3">
        <v>80</v>
      </c>
      <c r="C86" s="167" t="s">
        <v>149</v>
      </c>
      <c r="D86" s="39" t="s">
        <v>163</v>
      </c>
      <c r="E86" s="40" t="s">
        <v>4874</v>
      </c>
      <c r="F86" s="3" t="s">
        <v>2237</v>
      </c>
      <c r="G86" s="685" t="s">
        <v>546</v>
      </c>
      <c r="H86" s="39" t="s">
        <v>4030</v>
      </c>
      <c r="I86" s="81"/>
      <c r="J86" s="41" t="s">
        <v>4879</v>
      </c>
      <c r="K86" s="41" t="s">
        <v>4880</v>
      </c>
      <c r="L86" s="41" t="s">
        <v>3870</v>
      </c>
      <c r="M86" s="42" t="str">
        <f t="shared" si="26"/>
        <v>Sharon  Negrete Cruz</v>
      </c>
      <c r="N86" s="991" t="s">
        <v>860</v>
      </c>
      <c r="O86" s="991" t="s">
        <v>220</v>
      </c>
      <c r="P86" s="991" t="s">
        <v>4881</v>
      </c>
      <c r="Q86" s="992">
        <v>504000</v>
      </c>
      <c r="R86" s="44">
        <f t="shared" si="24"/>
        <v>80640</v>
      </c>
      <c r="S86" s="45">
        <f t="shared" si="30"/>
        <v>584640</v>
      </c>
      <c r="T86" s="46">
        <v>0</v>
      </c>
      <c r="U86" s="47">
        <f t="shared" si="25"/>
        <v>0</v>
      </c>
      <c r="V86" s="44">
        <f t="shared" si="27"/>
        <v>584640</v>
      </c>
      <c r="W86" s="993" t="s">
        <v>156</v>
      </c>
      <c r="X86" s="48">
        <v>44718</v>
      </c>
      <c r="Y86" s="109" t="s">
        <v>496</v>
      </c>
      <c r="Z86" s="48">
        <v>44718</v>
      </c>
      <c r="AA86" s="48">
        <v>44865</v>
      </c>
      <c r="AB86" s="38" t="s">
        <v>3113</v>
      </c>
      <c r="AC86" s="38"/>
      <c r="AD86" s="59"/>
      <c r="AE86" s="59"/>
      <c r="AF86" s="59"/>
      <c r="AG86" s="59"/>
      <c r="AH86" s="39"/>
      <c r="AI86" s="38"/>
      <c r="AJ86" s="38"/>
      <c r="AK86" s="50"/>
      <c r="AL86" s="44"/>
      <c r="AM86" s="163" t="str">
        <f t="shared" ca="1" si="28"/>
        <v>MUERTO</v>
      </c>
      <c r="AN86" s="39"/>
      <c r="AO86" s="39"/>
      <c r="AP86" s="39" t="s">
        <v>496</v>
      </c>
      <c r="AQ86" s="39"/>
      <c r="AR86" s="39" t="s">
        <v>496</v>
      </c>
      <c r="AS86" s="39"/>
      <c r="AT86" s="39"/>
      <c r="AU86" s="51"/>
      <c r="AV86" s="50"/>
      <c r="AW86" s="38"/>
      <c r="AX86" s="52"/>
      <c r="AY86" s="170" t="s">
        <v>4882</v>
      </c>
      <c r="AZ86" s="38"/>
      <c r="BA86" s="38" t="s">
        <v>4883</v>
      </c>
      <c r="BB86" s="73">
        <f t="shared" si="32"/>
        <v>0</v>
      </c>
      <c r="BC86" s="159"/>
      <c r="BD86" s="59">
        <v>44708</v>
      </c>
      <c r="BE86" s="58">
        <v>44712</v>
      </c>
      <c r="BF86" s="58">
        <v>44714</v>
      </c>
      <c r="BG86" s="59">
        <f t="shared" si="31"/>
        <v>44714</v>
      </c>
      <c r="BH86" s="183" t="str">
        <f t="shared" si="29"/>
        <v>Formalizado en tesorería 01/07.. No me copiaron julio me comentó</v>
      </c>
      <c r="BI86" s="195">
        <v>44719</v>
      </c>
      <c r="BJ86" s="185">
        <v>44715</v>
      </c>
      <c r="BK86" s="186" t="str">
        <f t="shared" si="23"/>
        <v>Formalizado en tesorería 01/07.. No me copiaron julio me comentó</v>
      </c>
      <c r="BL86" s="84"/>
      <c r="BM86" s="84"/>
      <c r="BN86" s="84"/>
      <c r="BO86" s="84"/>
      <c r="BP86" s="84"/>
    </row>
    <row r="87" spans="1:68" ht="60" x14ac:dyDescent="0.25">
      <c r="A87" s="168" t="s">
        <v>4884</v>
      </c>
      <c r="B87" s="3">
        <v>81</v>
      </c>
      <c r="C87" s="167" t="s">
        <v>149</v>
      </c>
      <c r="D87" s="39" t="s">
        <v>163</v>
      </c>
      <c r="E87" s="40" t="s">
        <v>4874</v>
      </c>
      <c r="F87" s="3" t="s">
        <v>2237</v>
      </c>
      <c r="G87" s="685" t="s">
        <v>546</v>
      </c>
      <c r="H87" s="39" t="s">
        <v>4030</v>
      </c>
      <c r="I87" s="81" t="s">
        <v>2602</v>
      </c>
      <c r="J87" s="41"/>
      <c r="K87" s="41"/>
      <c r="L87" s="41"/>
      <c r="M87" s="42" t="str">
        <f t="shared" si="26"/>
        <v xml:space="preserve">Rayuela Digital, S.A. de C.V.  </v>
      </c>
      <c r="N87" s="991" t="s">
        <v>860</v>
      </c>
      <c r="O87" s="991" t="s">
        <v>220</v>
      </c>
      <c r="P87" s="991" t="s">
        <v>4885</v>
      </c>
      <c r="Q87" s="992">
        <v>1300000</v>
      </c>
      <c r="R87" s="44">
        <f t="shared" si="24"/>
        <v>208000</v>
      </c>
      <c r="S87" s="45">
        <f t="shared" si="30"/>
        <v>1508000</v>
      </c>
      <c r="T87" s="46">
        <v>0</v>
      </c>
      <c r="U87" s="47">
        <f t="shared" si="25"/>
        <v>0</v>
      </c>
      <c r="V87" s="44">
        <f t="shared" si="27"/>
        <v>1508000</v>
      </c>
      <c r="W87" s="993" t="s">
        <v>156</v>
      </c>
      <c r="X87" s="48">
        <v>44718</v>
      </c>
      <c r="Y87" s="109" t="s">
        <v>496</v>
      </c>
      <c r="Z87" s="48">
        <v>44718</v>
      </c>
      <c r="AA87" s="48">
        <v>44910</v>
      </c>
      <c r="AB87" s="38" t="s">
        <v>3113</v>
      </c>
      <c r="AC87" s="38"/>
      <c r="AD87" s="59"/>
      <c r="AE87" s="59"/>
      <c r="AF87" s="59"/>
      <c r="AG87" s="59"/>
      <c r="AH87" s="39"/>
      <c r="AI87" s="38"/>
      <c r="AJ87" s="38"/>
      <c r="AK87" s="50"/>
      <c r="AL87" s="44"/>
      <c r="AM87" s="163" t="str">
        <f t="shared" ca="1" si="28"/>
        <v>MUERTO</v>
      </c>
      <c r="AN87" s="39"/>
      <c r="AO87" s="39"/>
      <c r="AP87" s="39" t="s">
        <v>496</v>
      </c>
      <c r="AQ87" s="39"/>
      <c r="AR87" s="39" t="s">
        <v>496</v>
      </c>
      <c r="AS87" s="39"/>
      <c r="AT87" s="39"/>
      <c r="AU87" s="51"/>
      <c r="AV87" s="50"/>
      <c r="AW87" s="38"/>
      <c r="AX87" s="52"/>
      <c r="AY87" s="170" t="s">
        <v>4886</v>
      </c>
      <c r="AZ87" s="38"/>
      <c r="BA87" s="38" t="e">
        <f>VLOOKUP(I87,[2]RFC!$1:$1048576,2,0)</f>
        <v>#N/A</v>
      </c>
      <c r="BB87" s="73">
        <f t="shared" si="32"/>
        <v>0</v>
      </c>
      <c r="BC87" s="159"/>
      <c r="BD87" s="59">
        <v>44708</v>
      </c>
      <c r="BE87" s="58">
        <v>44712</v>
      </c>
      <c r="BF87" s="58">
        <v>44714</v>
      </c>
      <c r="BG87" s="59">
        <f t="shared" si="31"/>
        <v>44714</v>
      </c>
      <c r="BH87" s="183" t="str">
        <f t="shared" si="29"/>
        <v>Contrato formalizado con FC y PRC 24/06</v>
      </c>
      <c r="BI87" s="195">
        <v>44719</v>
      </c>
      <c r="BJ87" s="185">
        <v>44715</v>
      </c>
      <c r="BK87" s="186" t="str">
        <f t="shared" si="23"/>
        <v>Contrato formalizado con FC y PRC 24/06</v>
      </c>
      <c r="BL87" s="84"/>
      <c r="BM87" s="84"/>
      <c r="BN87" s="84"/>
      <c r="BO87" s="84"/>
      <c r="BP87" s="84"/>
    </row>
    <row r="88" spans="1:68" ht="405" x14ac:dyDescent="0.25">
      <c r="A88" s="196" t="s">
        <v>4887</v>
      </c>
      <c r="B88" s="3">
        <v>82</v>
      </c>
      <c r="C88" s="167" t="s">
        <v>225</v>
      </c>
      <c r="D88" s="39" t="s">
        <v>151</v>
      </c>
      <c r="E88" s="40" t="s">
        <v>4888</v>
      </c>
      <c r="F88" s="39" t="s">
        <v>151</v>
      </c>
      <c r="G88" s="39"/>
      <c r="H88" s="39" t="s">
        <v>3793</v>
      </c>
      <c r="I88" s="81" t="s">
        <v>4889</v>
      </c>
      <c r="J88" s="41"/>
      <c r="K88" s="41"/>
      <c r="L88" s="41"/>
      <c r="M88" s="42" t="str">
        <f t="shared" si="26"/>
        <v xml:space="preserve">Medical Care Group Abe, S.A. de C.V.  </v>
      </c>
      <c r="N88" s="991" t="s">
        <v>763</v>
      </c>
      <c r="O88" s="991" t="s">
        <v>763</v>
      </c>
      <c r="P88" s="991" t="s">
        <v>4890</v>
      </c>
      <c r="Q88" s="992">
        <v>360000</v>
      </c>
      <c r="R88" s="44">
        <f t="shared" si="24"/>
        <v>57600</v>
      </c>
      <c r="S88" s="45">
        <f t="shared" si="30"/>
        <v>417600</v>
      </c>
      <c r="T88" s="46">
        <v>150000</v>
      </c>
      <c r="U88" s="47">
        <f t="shared" si="25"/>
        <v>174000</v>
      </c>
      <c r="V88" s="215">
        <f t="shared" si="27"/>
        <v>421242.69</v>
      </c>
      <c r="W88" s="993" t="s">
        <v>156</v>
      </c>
      <c r="X88" s="48">
        <v>44715</v>
      </c>
      <c r="Y88" s="109" t="s">
        <v>496</v>
      </c>
      <c r="Z88" s="48">
        <v>44715</v>
      </c>
      <c r="AA88" s="48">
        <v>44926</v>
      </c>
      <c r="AB88" s="38" t="s">
        <v>3113</v>
      </c>
      <c r="AC88" s="38"/>
      <c r="AD88" s="59"/>
      <c r="AE88" s="59"/>
      <c r="AF88" s="59"/>
      <c r="AG88" s="59"/>
      <c r="AH88" s="39"/>
      <c r="AI88" s="38" t="s">
        <v>4891</v>
      </c>
      <c r="AJ88" s="211" t="s">
        <v>4892</v>
      </c>
      <c r="AK88" s="218" t="s">
        <v>4893</v>
      </c>
      <c r="AL88" s="215">
        <v>3642.69</v>
      </c>
      <c r="AM88" s="163" t="str">
        <f t="shared" ca="1" si="28"/>
        <v>MUERTO</v>
      </c>
      <c r="AN88" s="39"/>
      <c r="AO88" s="39"/>
      <c r="AP88" s="39" t="s">
        <v>496</v>
      </c>
      <c r="AQ88" s="39" t="s">
        <v>4894</v>
      </c>
      <c r="AR88" s="39" t="s">
        <v>496</v>
      </c>
      <c r="AS88" s="39"/>
      <c r="AT88" s="39"/>
      <c r="AU88" s="51"/>
      <c r="AV88" s="50"/>
      <c r="AW88" s="38"/>
      <c r="AX88" s="52"/>
      <c r="AY88" s="217" t="s">
        <v>4895</v>
      </c>
      <c r="AZ88" s="38"/>
      <c r="BA88" s="38" t="s">
        <v>4896</v>
      </c>
      <c r="BB88" s="73">
        <f t="shared" si="32"/>
        <v>0</v>
      </c>
      <c r="BC88" s="159"/>
      <c r="BD88" s="59">
        <v>44712</v>
      </c>
      <c r="BE88" s="58">
        <v>44713</v>
      </c>
      <c r="BF88" s="58" t="s">
        <v>4897</v>
      </c>
      <c r="BG88" s="59" t="str">
        <f t="shared" si="31"/>
        <v>03/06/2022
26/12/2022</v>
      </c>
      <c r="BH88" s="183" t="str">
        <f t="shared" si="29"/>
        <v xml:space="preserve">Contrato formalizado con FC 14/06/22
Modificatorio formalizado 23/08/2022
2do Modif formalizado 07/11/22
3er Modif formalizado 20/12/22
4to Modif formalizado con endosos 26/01/23
</v>
      </c>
      <c r="BI88" s="195" t="s">
        <v>4898</v>
      </c>
      <c r="BJ88" s="185" t="s">
        <v>4899</v>
      </c>
      <c r="BK88" s="186" t="str">
        <f t="shared" si="23"/>
        <v xml:space="preserve">Contrato formalizado con FC 14/06/22
Modificatorio formalizado 23/08/2022
2do Modif formalizado 07/11/22
3er Modif formalizado 20/12/22
4to Modif formalizado con endosos 26/01/23
</v>
      </c>
      <c r="BL88" s="84"/>
      <c r="BM88" s="84"/>
      <c r="BN88" s="84"/>
      <c r="BO88" s="84"/>
      <c r="BP88" s="84"/>
    </row>
    <row r="89" spans="1:68" ht="60" x14ac:dyDescent="0.25">
      <c r="A89" s="168" t="s">
        <v>4900</v>
      </c>
      <c r="B89" s="3">
        <v>83</v>
      </c>
      <c r="C89" s="167" t="s">
        <v>149</v>
      </c>
      <c r="D89" s="39" t="s">
        <v>163</v>
      </c>
      <c r="E89" s="40" t="s">
        <v>4874</v>
      </c>
      <c r="F89" s="3" t="s">
        <v>2237</v>
      </c>
      <c r="G89" s="685" t="s">
        <v>546</v>
      </c>
      <c r="H89" s="39" t="s">
        <v>4030</v>
      </c>
      <c r="I89" s="81" t="s">
        <v>4901</v>
      </c>
      <c r="J89" s="41"/>
      <c r="K89" s="41"/>
      <c r="L89" s="41"/>
      <c r="M89" s="42" t="str">
        <f t="shared" si="26"/>
        <v xml:space="preserve">Imaginación y Mass, S. de R.L. de C.V.  </v>
      </c>
      <c r="N89" s="991" t="s">
        <v>860</v>
      </c>
      <c r="O89" s="991" t="s">
        <v>220</v>
      </c>
      <c r="P89" s="991" t="s">
        <v>4902</v>
      </c>
      <c r="Q89" s="992">
        <v>1118000</v>
      </c>
      <c r="R89" s="44">
        <f t="shared" si="24"/>
        <v>178880</v>
      </c>
      <c r="S89" s="45">
        <f t="shared" si="30"/>
        <v>1296880</v>
      </c>
      <c r="T89" s="46">
        <v>0</v>
      </c>
      <c r="U89" s="47">
        <f t="shared" si="25"/>
        <v>0</v>
      </c>
      <c r="V89" s="44">
        <f t="shared" si="27"/>
        <v>1296880</v>
      </c>
      <c r="W89" s="993" t="s">
        <v>156</v>
      </c>
      <c r="X89" s="48">
        <v>44718</v>
      </c>
      <c r="Y89" s="109" t="s">
        <v>496</v>
      </c>
      <c r="Z89" s="48">
        <v>44718</v>
      </c>
      <c r="AA89" s="48">
        <v>44834</v>
      </c>
      <c r="AB89" s="38" t="s">
        <v>3113</v>
      </c>
      <c r="AC89" s="38"/>
      <c r="AD89" s="59"/>
      <c r="AE89" s="59"/>
      <c r="AF89" s="59"/>
      <c r="AG89" s="59"/>
      <c r="AH89" s="39"/>
      <c r="AI89" s="38"/>
      <c r="AJ89" s="38"/>
      <c r="AK89" s="50"/>
      <c r="AL89" s="44"/>
      <c r="AM89" s="163" t="str">
        <f t="shared" ca="1" si="28"/>
        <v>MUERTO</v>
      </c>
      <c r="AN89" s="39"/>
      <c r="AO89" s="39"/>
      <c r="AP89" s="39" t="s">
        <v>496</v>
      </c>
      <c r="AQ89" s="39"/>
      <c r="AR89" s="39" t="s">
        <v>496</v>
      </c>
      <c r="AS89" s="39"/>
      <c r="AT89" s="39"/>
      <c r="AU89" s="51"/>
      <c r="AV89" s="50"/>
      <c r="AW89" s="38"/>
      <c r="AX89" s="52"/>
      <c r="AY89" s="170" t="s">
        <v>4863</v>
      </c>
      <c r="AZ89" s="38"/>
      <c r="BA89" s="38" t="s">
        <v>4903</v>
      </c>
      <c r="BB89" s="73">
        <f t="shared" si="32"/>
        <v>0</v>
      </c>
      <c r="BC89" s="159"/>
      <c r="BD89" s="59">
        <v>44708</v>
      </c>
      <c r="BE89" s="58">
        <v>44713</v>
      </c>
      <c r="BF89" s="58">
        <v>44715</v>
      </c>
      <c r="BG89" s="59">
        <f t="shared" si="31"/>
        <v>44715</v>
      </c>
      <c r="BH89" s="183" t="str">
        <f t="shared" si="29"/>
        <v>Contrato formalizado co FC  21/06</v>
      </c>
      <c r="BI89" s="195">
        <v>44720</v>
      </c>
      <c r="BJ89" s="185">
        <v>44718</v>
      </c>
      <c r="BK89" s="186" t="str">
        <f t="shared" si="23"/>
        <v>Contrato formalizado co FC  21/06</v>
      </c>
      <c r="BL89" s="84"/>
      <c r="BM89" s="84"/>
      <c r="BN89" s="84"/>
      <c r="BO89" s="84"/>
      <c r="BP89" s="84"/>
    </row>
    <row r="90" spans="1:68" ht="90" x14ac:dyDescent="0.25">
      <c r="A90" s="168" t="s">
        <v>4904</v>
      </c>
      <c r="B90" s="3">
        <v>84</v>
      </c>
      <c r="C90" s="167" t="s">
        <v>149</v>
      </c>
      <c r="D90" s="39" t="s">
        <v>163</v>
      </c>
      <c r="E90" s="40" t="s">
        <v>4874</v>
      </c>
      <c r="F90" s="3" t="s">
        <v>2237</v>
      </c>
      <c r="G90" s="685" t="s">
        <v>546</v>
      </c>
      <c r="H90" s="39" t="s">
        <v>4030</v>
      </c>
      <c r="I90" s="81" t="s">
        <v>4905</v>
      </c>
      <c r="J90" s="41"/>
      <c r="K90" s="41"/>
      <c r="L90" s="41"/>
      <c r="M90" s="42" t="str">
        <f t="shared" si="26"/>
        <v xml:space="preserve">Comercializadora Amezfier, S.A. de C.V.  </v>
      </c>
      <c r="N90" s="991" t="s">
        <v>860</v>
      </c>
      <c r="O90" s="991" t="s">
        <v>860</v>
      </c>
      <c r="P90" s="991" t="s">
        <v>4906</v>
      </c>
      <c r="Q90" s="992">
        <v>1242000</v>
      </c>
      <c r="R90" s="44">
        <f t="shared" si="24"/>
        <v>198720</v>
      </c>
      <c r="S90" s="45">
        <f t="shared" si="30"/>
        <v>1440720</v>
      </c>
      <c r="T90" s="46">
        <v>0</v>
      </c>
      <c r="U90" s="47">
        <f t="shared" si="25"/>
        <v>0</v>
      </c>
      <c r="V90" s="44">
        <f t="shared" si="27"/>
        <v>1440720</v>
      </c>
      <c r="W90" s="993" t="s">
        <v>156</v>
      </c>
      <c r="X90" s="48">
        <v>44718</v>
      </c>
      <c r="Y90" s="109" t="s">
        <v>496</v>
      </c>
      <c r="Z90" s="48">
        <v>44718</v>
      </c>
      <c r="AA90" s="48">
        <v>44804</v>
      </c>
      <c r="AB90" s="38" t="s">
        <v>3113</v>
      </c>
      <c r="AC90" s="38"/>
      <c r="AD90" s="59"/>
      <c r="AE90" s="59"/>
      <c r="AF90" s="59"/>
      <c r="AG90" s="59"/>
      <c r="AH90" s="39"/>
      <c r="AI90" s="229" t="s">
        <v>4907</v>
      </c>
      <c r="AJ90" s="38"/>
      <c r="AK90" s="50"/>
      <c r="AL90" s="44"/>
      <c r="AM90" s="163" t="str">
        <f t="shared" ca="1" si="28"/>
        <v>MUERTO</v>
      </c>
      <c r="AN90" s="39"/>
      <c r="AO90" s="39"/>
      <c r="AP90" s="39" t="s">
        <v>496</v>
      </c>
      <c r="AQ90" s="39"/>
      <c r="AR90" s="39" t="s">
        <v>496</v>
      </c>
      <c r="AS90" s="39"/>
      <c r="AT90" s="39"/>
      <c r="AU90" s="51"/>
      <c r="AV90" s="50"/>
      <c r="AW90" s="38"/>
      <c r="AX90" s="52"/>
      <c r="AY90" s="170" t="s">
        <v>4863</v>
      </c>
      <c r="AZ90" s="38"/>
      <c r="BA90" s="38" t="s">
        <v>4908</v>
      </c>
      <c r="BB90" s="73">
        <f t="shared" si="32"/>
        <v>0</v>
      </c>
      <c r="BC90" s="159"/>
      <c r="BD90" s="59">
        <v>44708</v>
      </c>
      <c r="BE90" s="58">
        <v>44712</v>
      </c>
      <c r="BF90" s="58">
        <v>44720</v>
      </c>
      <c r="BG90" s="59">
        <f t="shared" si="31"/>
        <v>44720</v>
      </c>
      <c r="BH90" s="183" t="str">
        <f t="shared" si="29"/>
        <v>Contrato formalizado co FC  21/06</v>
      </c>
      <c r="BI90" s="195">
        <v>44727</v>
      </c>
      <c r="BJ90" s="185">
        <v>44726</v>
      </c>
      <c r="BK90" s="186" t="str">
        <f t="shared" si="23"/>
        <v>Contrato formalizado co FC  21/06</v>
      </c>
      <c r="BL90" s="84"/>
      <c r="BM90" s="84"/>
      <c r="BN90" s="84"/>
      <c r="BO90" s="84"/>
      <c r="BP90" s="84"/>
    </row>
    <row r="91" spans="1:68" ht="60" x14ac:dyDescent="0.25">
      <c r="A91" s="168" t="s">
        <v>4909</v>
      </c>
      <c r="B91" s="3">
        <v>85</v>
      </c>
      <c r="C91" s="167" t="s">
        <v>225</v>
      </c>
      <c r="D91" s="39" t="s">
        <v>163</v>
      </c>
      <c r="E91" s="40" t="s">
        <v>4874</v>
      </c>
      <c r="F91" s="3" t="s">
        <v>2237</v>
      </c>
      <c r="G91" s="685" t="s">
        <v>546</v>
      </c>
      <c r="H91" s="39" t="s">
        <v>3764</v>
      </c>
      <c r="I91" s="81" t="s">
        <v>4910</v>
      </c>
      <c r="J91" s="41"/>
      <c r="K91" s="41"/>
      <c r="L91" s="41"/>
      <c r="M91" s="42" t="str">
        <f t="shared" si="26"/>
        <v xml:space="preserve">Axtro Medic, S.A. de C.V.  </v>
      </c>
      <c r="N91" s="991" t="s">
        <v>763</v>
      </c>
      <c r="O91" s="991" t="s">
        <v>763</v>
      </c>
      <c r="P91" s="991" t="s">
        <v>4911</v>
      </c>
      <c r="Q91" s="992">
        <v>1170561</v>
      </c>
      <c r="R91" s="44">
        <f t="shared" si="24"/>
        <v>187289.76</v>
      </c>
      <c r="S91" s="45">
        <f t="shared" si="30"/>
        <v>1357850.76</v>
      </c>
      <c r="T91" s="46">
        <v>0</v>
      </c>
      <c r="U91" s="47">
        <f t="shared" ref="U91:U117" si="33">(T91*0.16)+(T91)</f>
        <v>0</v>
      </c>
      <c r="V91" s="44">
        <f t="shared" si="27"/>
        <v>1357850.76</v>
      </c>
      <c r="W91" s="993" t="s">
        <v>156</v>
      </c>
      <c r="X91" s="48">
        <v>44728</v>
      </c>
      <c r="Y91" s="109" t="s">
        <v>496</v>
      </c>
      <c r="Z91" s="48">
        <v>44728</v>
      </c>
      <c r="AA91" s="48">
        <v>44812</v>
      </c>
      <c r="AB91" s="48" t="s">
        <v>4912</v>
      </c>
      <c r="AC91" s="38"/>
      <c r="AD91" s="59"/>
      <c r="AE91" s="59"/>
      <c r="AF91" s="59"/>
      <c r="AG91" s="59"/>
      <c r="AH91" s="39"/>
      <c r="AI91" s="38"/>
      <c r="AJ91" s="38"/>
      <c r="AK91" s="50"/>
      <c r="AL91" s="44"/>
      <c r="AM91" s="163" t="str">
        <f t="shared" ca="1" si="28"/>
        <v>MUERTO</v>
      </c>
      <c r="AN91" s="39"/>
      <c r="AO91" s="39"/>
      <c r="AP91" s="39" t="s">
        <v>496</v>
      </c>
      <c r="AQ91" s="39"/>
      <c r="AR91" s="39" t="s">
        <v>496</v>
      </c>
      <c r="AS91" s="39"/>
      <c r="AT91" s="39"/>
      <c r="AU91" s="51"/>
      <c r="AV91" s="50"/>
      <c r="AW91" s="38"/>
      <c r="AX91" s="52"/>
      <c r="AY91" s="170" t="s">
        <v>4913</v>
      </c>
      <c r="AZ91" s="38"/>
      <c r="BA91" s="38"/>
      <c r="BB91" s="73"/>
      <c r="BC91" s="159"/>
      <c r="BD91" s="59">
        <v>44708</v>
      </c>
      <c r="BE91" s="58">
        <v>44720</v>
      </c>
      <c r="BF91" s="58">
        <v>44722</v>
      </c>
      <c r="BG91" s="59">
        <f t="shared" si="31"/>
        <v>44722</v>
      </c>
      <c r="BH91" s="183" t="str">
        <f t="shared" si="29"/>
        <v>Contrato formalizado con FC y PRC 26/07</v>
      </c>
      <c r="BI91" s="195">
        <v>44735</v>
      </c>
      <c r="BJ91" s="185">
        <v>44728</v>
      </c>
      <c r="BK91" s="186" t="str">
        <f>BH91</f>
        <v>Contrato formalizado con FC y PRC 26/07</v>
      </c>
      <c r="BL91" s="84"/>
      <c r="BM91" s="84"/>
      <c r="BN91" s="84"/>
      <c r="BO91" s="84"/>
      <c r="BP91" s="84"/>
    </row>
    <row r="92" spans="1:68" ht="90" x14ac:dyDescent="0.25">
      <c r="A92" s="168" t="s">
        <v>4914</v>
      </c>
      <c r="B92" s="3">
        <v>86</v>
      </c>
      <c r="C92" s="167" t="s">
        <v>225</v>
      </c>
      <c r="D92" s="39" t="s">
        <v>173</v>
      </c>
      <c r="E92" s="40" t="s">
        <v>4915</v>
      </c>
      <c r="F92" s="39" t="s">
        <v>173</v>
      </c>
      <c r="G92" s="39"/>
      <c r="H92" s="39" t="s">
        <v>3785</v>
      </c>
      <c r="I92" s="81" t="s">
        <v>3323</v>
      </c>
      <c r="J92" s="41"/>
      <c r="K92" s="41"/>
      <c r="L92" s="41"/>
      <c r="M92" s="42" t="str">
        <f t="shared" si="26"/>
        <v xml:space="preserve">Dhimex Ciudad de México, S.A. de C.V.    </v>
      </c>
      <c r="N92" s="991" t="s">
        <v>198</v>
      </c>
      <c r="O92" s="991" t="s">
        <v>198</v>
      </c>
      <c r="P92" s="991" t="s">
        <v>4916</v>
      </c>
      <c r="Q92" s="992">
        <v>5790900.5499999998</v>
      </c>
      <c r="R92" s="44">
        <f t="shared" si="24"/>
        <v>926544.08799999999</v>
      </c>
      <c r="S92" s="45">
        <f t="shared" si="30"/>
        <v>6717444.6380000003</v>
      </c>
      <c r="T92" s="46">
        <v>0</v>
      </c>
      <c r="U92" s="47">
        <f t="shared" si="33"/>
        <v>0</v>
      </c>
      <c r="V92" s="44">
        <f t="shared" si="27"/>
        <v>6717444.6380000003</v>
      </c>
      <c r="W92" s="993" t="s">
        <v>156</v>
      </c>
      <c r="X92" s="48">
        <v>44721</v>
      </c>
      <c r="Y92" s="109" t="s">
        <v>496</v>
      </c>
      <c r="Z92" s="48">
        <v>44721</v>
      </c>
      <c r="AA92" s="48">
        <v>44926</v>
      </c>
      <c r="AB92" s="38" t="s">
        <v>4917</v>
      </c>
      <c r="AC92" s="38"/>
      <c r="AD92" s="59">
        <v>44736</v>
      </c>
      <c r="AE92" s="59">
        <v>44736</v>
      </c>
      <c r="AF92" s="226" t="s">
        <v>4918</v>
      </c>
      <c r="AG92" s="59"/>
      <c r="AH92" s="39"/>
      <c r="AI92" s="38"/>
      <c r="AJ92" s="38"/>
      <c r="AK92" s="50"/>
      <c r="AL92" s="44"/>
      <c r="AM92" s="163" t="str">
        <f t="shared" ca="1" si="28"/>
        <v>MUERTO</v>
      </c>
      <c r="AN92" s="39"/>
      <c r="AO92" s="39"/>
      <c r="AP92" s="39" t="s">
        <v>496</v>
      </c>
      <c r="AQ92" s="39"/>
      <c r="AR92" s="39" t="s">
        <v>496</v>
      </c>
      <c r="AS92" s="39"/>
      <c r="AT92" s="39"/>
      <c r="AU92" s="51"/>
      <c r="AV92" s="50"/>
      <c r="AW92" s="38"/>
      <c r="AX92" s="52"/>
      <c r="AY92" s="170" t="s">
        <v>4863</v>
      </c>
      <c r="AZ92" s="38"/>
      <c r="BA92" s="38" t="s">
        <v>3921</v>
      </c>
      <c r="BB92" s="73">
        <f>AN92</f>
        <v>0</v>
      </c>
      <c r="BC92" s="159"/>
      <c r="BD92" s="59">
        <v>44718</v>
      </c>
      <c r="BE92" s="58">
        <v>44720</v>
      </c>
      <c r="BF92" s="58">
        <v>44725</v>
      </c>
      <c r="BG92" s="59">
        <f t="shared" si="31"/>
        <v>44725</v>
      </c>
      <c r="BH92" s="183" t="str">
        <f t="shared" si="29"/>
        <v>Contrato formalizado co FC  21/06</v>
      </c>
      <c r="BI92" s="195">
        <v>44727</v>
      </c>
      <c r="BJ92" s="185">
        <v>44725</v>
      </c>
      <c r="BK92" s="186" t="str">
        <f t="shared" ref="BK92:BK123" si="34">AY92</f>
        <v>Contrato formalizado co FC  21/06</v>
      </c>
      <c r="BL92" s="84"/>
      <c r="BM92" s="84"/>
      <c r="BN92" s="84"/>
      <c r="BO92" s="84"/>
      <c r="BP92" s="84"/>
    </row>
    <row r="93" spans="1:68" ht="90" x14ac:dyDescent="0.25">
      <c r="A93" s="168" t="s">
        <v>4919</v>
      </c>
      <c r="B93" s="3">
        <v>87</v>
      </c>
      <c r="C93" s="167" t="s">
        <v>225</v>
      </c>
      <c r="D93" s="39" t="s">
        <v>173</v>
      </c>
      <c r="E93" s="40" t="s">
        <v>4920</v>
      </c>
      <c r="F93" s="39" t="s">
        <v>173</v>
      </c>
      <c r="G93" s="39"/>
      <c r="H93" s="39" t="s">
        <v>3785</v>
      </c>
      <c r="I93" s="81" t="s">
        <v>4921</v>
      </c>
      <c r="J93" s="41"/>
      <c r="K93" s="41"/>
      <c r="L93" s="41"/>
      <c r="M93" s="42" t="str">
        <f t="shared" si="26"/>
        <v xml:space="preserve">Arquisofv, S.A. de C.V.  </v>
      </c>
      <c r="N93" s="991" t="s">
        <v>198</v>
      </c>
      <c r="O93" s="991" t="s">
        <v>198</v>
      </c>
      <c r="P93" s="991" t="s">
        <v>4922</v>
      </c>
      <c r="Q93" s="992">
        <v>19154698.949999999</v>
      </c>
      <c r="R93" s="44">
        <f t="shared" si="24"/>
        <v>3064751.8319999999</v>
      </c>
      <c r="S93" s="45">
        <f t="shared" si="30"/>
        <v>22219450.781999998</v>
      </c>
      <c r="T93" s="46">
        <v>0</v>
      </c>
      <c r="U93" s="47">
        <f t="shared" si="33"/>
        <v>0</v>
      </c>
      <c r="V93" s="44">
        <f t="shared" si="27"/>
        <v>22219450.781999998</v>
      </c>
      <c r="W93" s="993" t="s">
        <v>156</v>
      </c>
      <c r="X93" s="48">
        <v>44722</v>
      </c>
      <c r="Y93" s="39" t="s">
        <v>496</v>
      </c>
      <c r="Z93" s="48">
        <v>44722</v>
      </c>
      <c r="AA93" s="48">
        <v>44926</v>
      </c>
      <c r="AB93" s="38" t="s">
        <v>4917</v>
      </c>
      <c r="AC93" s="38"/>
      <c r="AD93" s="59"/>
      <c r="AE93" s="59"/>
      <c r="AF93" s="226" t="s">
        <v>4923</v>
      </c>
      <c r="AG93" s="59"/>
      <c r="AH93" s="39"/>
      <c r="AI93" s="38"/>
      <c r="AJ93" s="38"/>
      <c r="AK93" s="50"/>
      <c r="AL93" s="44"/>
      <c r="AM93" s="163" t="str">
        <f t="shared" ca="1" si="28"/>
        <v>MUERTO</v>
      </c>
      <c r="AN93" s="39"/>
      <c r="AO93" s="39"/>
      <c r="AP93" s="39" t="s">
        <v>496</v>
      </c>
      <c r="AQ93" s="39"/>
      <c r="AR93" s="39" t="s">
        <v>496</v>
      </c>
      <c r="AS93" s="39"/>
      <c r="AT93" s="39"/>
      <c r="AU93" s="51"/>
      <c r="AV93" s="50"/>
      <c r="AW93" s="38"/>
      <c r="AX93" s="52"/>
      <c r="AY93" s="170" t="s">
        <v>4924</v>
      </c>
      <c r="AZ93" s="38"/>
      <c r="BA93" s="38" t="s">
        <v>4925</v>
      </c>
      <c r="BB93" s="73">
        <f>AN93</f>
        <v>0</v>
      </c>
      <c r="BC93" s="159"/>
      <c r="BD93" s="59">
        <v>44719</v>
      </c>
      <c r="BE93" s="58">
        <v>44721</v>
      </c>
      <c r="BF93" s="58">
        <v>44725</v>
      </c>
      <c r="BG93" s="59">
        <f t="shared" si="31"/>
        <v>44725</v>
      </c>
      <c r="BH93" s="183" t="str">
        <f t="shared" si="29"/>
        <v>Contrato formalizado con FC Y PRC 05/07</v>
      </c>
      <c r="BI93" s="195">
        <v>44729</v>
      </c>
      <c r="BJ93" s="185">
        <v>44727</v>
      </c>
      <c r="BK93" s="186" t="str">
        <f t="shared" si="34"/>
        <v>Contrato formalizado con FC Y PRC 05/07</v>
      </c>
      <c r="BL93" s="84"/>
      <c r="BM93" s="84"/>
      <c r="BN93" s="84"/>
      <c r="BO93" s="84"/>
      <c r="BP93" s="84"/>
    </row>
    <row r="94" spans="1:68" ht="45" x14ac:dyDescent="0.25">
      <c r="A94" s="168" t="s">
        <v>4926</v>
      </c>
      <c r="B94" s="3">
        <v>88</v>
      </c>
      <c r="C94" s="167" t="s">
        <v>225</v>
      </c>
      <c r="D94" s="39" t="s">
        <v>163</v>
      </c>
      <c r="E94" s="40" t="s">
        <v>4927</v>
      </c>
      <c r="F94" s="39" t="s">
        <v>163</v>
      </c>
      <c r="G94" s="39" t="s">
        <v>163</v>
      </c>
      <c r="H94" s="39" t="s">
        <v>2064</v>
      </c>
      <c r="I94" s="81" t="s">
        <v>719</v>
      </c>
      <c r="J94" s="41"/>
      <c r="K94" s="41"/>
      <c r="L94" s="41"/>
      <c r="M94" s="42" t="str">
        <f t="shared" si="26"/>
        <v xml:space="preserve">Sí Vale México, S.A. de C.V.  </v>
      </c>
      <c r="N94" s="991" t="s">
        <v>370</v>
      </c>
      <c r="O94" s="991" t="s">
        <v>370</v>
      </c>
      <c r="P94" s="991" t="s">
        <v>4928</v>
      </c>
      <c r="Q94" s="992">
        <v>536000</v>
      </c>
      <c r="R94" s="44">
        <v>0</v>
      </c>
      <c r="S94" s="45">
        <f t="shared" si="30"/>
        <v>536000</v>
      </c>
      <c r="T94" s="46">
        <v>0</v>
      </c>
      <c r="U94" s="47">
        <f t="shared" si="33"/>
        <v>0</v>
      </c>
      <c r="V94" s="44">
        <f t="shared" si="27"/>
        <v>536000</v>
      </c>
      <c r="W94" s="993" t="s">
        <v>156</v>
      </c>
      <c r="X94" s="48">
        <v>44726</v>
      </c>
      <c r="Y94" s="39" t="s">
        <v>496</v>
      </c>
      <c r="Z94" s="48">
        <v>44726</v>
      </c>
      <c r="AA94" s="48">
        <v>44771</v>
      </c>
      <c r="AB94" s="38" t="s">
        <v>2050</v>
      </c>
      <c r="AC94" s="38"/>
      <c r="AD94" s="59"/>
      <c r="AE94" s="59"/>
      <c r="AF94" s="226"/>
      <c r="AG94" s="59"/>
      <c r="AH94" s="39"/>
      <c r="AI94" s="38"/>
      <c r="AJ94" s="38"/>
      <c r="AK94" s="50"/>
      <c r="AL94" s="44"/>
      <c r="AM94" s="39" t="str">
        <f t="shared" ca="1" si="28"/>
        <v>MUERTO</v>
      </c>
      <c r="AN94" s="39"/>
      <c r="AO94" s="39"/>
      <c r="AP94" s="39" t="s">
        <v>496</v>
      </c>
      <c r="AQ94" s="39"/>
      <c r="AR94" s="39" t="s">
        <v>496</v>
      </c>
      <c r="AS94" s="39"/>
      <c r="AT94" s="39"/>
      <c r="AU94" s="51"/>
      <c r="AV94" s="50"/>
      <c r="AW94" s="38"/>
      <c r="AX94" s="52"/>
      <c r="AY94" s="170" t="s">
        <v>4929</v>
      </c>
      <c r="AZ94" s="38"/>
      <c r="BA94" s="38"/>
      <c r="BB94" s="39"/>
      <c r="BC94" s="55"/>
      <c r="BD94" s="59"/>
      <c r="BE94" s="58"/>
      <c r="BF94" s="58">
        <v>44728</v>
      </c>
      <c r="BG94" s="59">
        <f t="shared" si="31"/>
        <v>44728</v>
      </c>
      <c r="BH94" s="183" t="str">
        <f t="shared" si="29"/>
        <v>Contrato formalizado 01/07</v>
      </c>
      <c r="BI94" s="195">
        <v>44741</v>
      </c>
      <c r="BJ94" s="185">
        <v>44735</v>
      </c>
      <c r="BK94" s="186" t="str">
        <f t="shared" si="34"/>
        <v>Contrato formalizado 01/07</v>
      </c>
      <c r="BL94" s="84"/>
      <c r="BM94" s="84"/>
      <c r="BN94" s="84"/>
      <c r="BO94" s="84"/>
      <c r="BP94" s="84"/>
    </row>
    <row r="95" spans="1:68" ht="120" x14ac:dyDescent="0.25">
      <c r="A95" s="196" t="s">
        <v>4930</v>
      </c>
      <c r="B95" s="3">
        <v>89</v>
      </c>
      <c r="C95" s="167" t="s">
        <v>149</v>
      </c>
      <c r="D95" s="39" t="s">
        <v>163</v>
      </c>
      <c r="E95" s="40" t="s">
        <v>4931</v>
      </c>
      <c r="F95" s="39" t="s">
        <v>163</v>
      </c>
      <c r="G95" s="39" t="s">
        <v>163</v>
      </c>
      <c r="H95" s="39" t="s">
        <v>3986</v>
      </c>
      <c r="I95" s="81" t="s">
        <v>4199</v>
      </c>
      <c r="J95" s="41"/>
      <c r="K95" s="41"/>
      <c r="L95" s="41"/>
      <c r="M95" s="42" t="str">
        <f t="shared" si="26"/>
        <v xml:space="preserve">TVMDIGITAL, S. DE R.L. DE C.V.  </v>
      </c>
      <c r="N95" s="991" t="s">
        <v>179</v>
      </c>
      <c r="O95" s="991" t="s">
        <v>179</v>
      </c>
      <c r="P95" s="991" t="s">
        <v>4932</v>
      </c>
      <c r="Q95" s="992">
        <v>1821725</v>
      </c>
      <c r="R95" s="44">
        <f t="shared" ref="R95:R114" si="35">Q95*0.16</f>
        <v>291476</v>
      </c>
      <c r="S95" s="45">
        <f t="shared" si="30"/>
        <v>2113201</v>
      </c>
      <c r="T95" s="46">
        <v>728690.8</v>
      </c>
      <c r="U95" s="47">
        <f t="shared" si="33"/>
        <v>845281.3280000001</v>
      </c>
      <c r="V95" s="44">
        <f t="shared" si="27"/>
        <v>2641501.25</v>
      </c>
      <c r="W95" s="993" t="s">
        <v>156</v>
      </c>
      <c r="X95" s="48">
        <v>44727</v>
      </c>
      <c r="Y95" s="39" t="s">
        <v>496</v>
      </c>
      <c r="Z95" s="48">
        <v>44727</v>
      </c>
      <c r="AA95" s="48">
        <v>44974</v>
      </c>
      <c r="AB95" s="38" t="s">
        <v>4007</v>
      </c>
      <c r="AC95" s="38"/>
      <c r="AD95" s="59"/>
      <c r="AE95" s="59"/>
      <c r="AF95" s="59"/>
      <c r="AG95" s="59"/>
      <c r="AH95" s="39"/>
      <c r="AI95" s="38" t="s">
        <v>4933</v>
      </c>
      <c r="AJ95" s="211" t="s">
        <v>4934</v>
      </c>
      <c r="AK95" s="218">
        <v>44925</v>
      </c>
      <c r="AL95" s="215">
        <v>528300.25</v>
      </c>
      <c r="AM95" s="163" t="str">
        <f t="shared" ca="1" si="28"/>
        <v>MUERTO</v>
      </c>
      <c r="AN95" s="39"/>
      <c r="AO95" s="39"/>
      <c r="AP95" s="39" t="s">
        <v>496</v>
      </c>
      <c r="AQ95" s="39" t="s">
        <v>924</v>
      </c>
      <c r="AR95" s="39" t="s">
        <v>496</v>
      </c>
      <c r="AS95" s="39"/>
      <c r="AT95" s="39"/>
      <c r="AU95" s="51"/>
      <c r="AV95" s="50"/>
      <c r="AW95" s="38"/>
      <c r="AX95" s="52"/>
      <c r="AY95" s="170" t="s">
        <v>4935</v>
      </c>
      <c r="AZ95" s="38"/>
      <c r="BA95" s="38" t="e">
        <f>VLOOKUP(I95,[2]RFC!$1:$1048576,2,0)</f>
        <v>#N/A</v>
      </c>
      <c r="BB95" s="73">
        <f t="shared" ref="BB95:BB107" si="36">AN95</f>
        <v>0</v>
      </c>
      <c r="BC95" s="159"/>
      <c r="BD95" s="59">
        <v>44722</v>
      </c>
      <c r="BE95" s="58">
        <v>44726</v>
      </c>
      <c r="BF95" s="58">
        <v>44727</v>
      </c>
      <c r="BG95" s="59" t="s">
        <v>4936</v>
      </c>
      <c r="BH95" s="183" t="str">
        <f t="shared" si="29"/>
        <v>Contrato formalizado con FC y PRC 07/07</v>
      </c>
      <c r="BI95" s="195" t="s">
        <v>4937</v>
      </c>
      <c r="BJ95" s="185" t="s">
        <v>4938</v>
      </c>
      <c r="BK95" s="186" t="str">
        <f t="shared" si="34"/>
        <v>Contrato formalizado con FC y PRC 07/07</v>
      </c>
      <c r="BL95" s="84"/>
      <c r="BM95" s="84"/>
      <c r="BN95" s="84"/>
      <c r="BO95" s="84"/>
      <c r="BP95" s="84"/>
    </row>
    <row r="96" spans="1:68" ht="60" x14ac:dyDescent="0.25">
      <c r="A96" s="168" t="s">
        <v>4939</v>
      </c>
      <c r="B96" s="3">
        <v>90</v>
      </c>
      <c r="C96" s="167" t="s">
        <v>225</v>
      </c>
      <c r="D96" s="39" t="s">
        <v>151</v>
      </c>
      <c r="E96" s="40" t="s">
        <v>4940</v>
      </c>
      <c r="F96" s="39" t="s">
        <v>151</v>
      </c>
      <c r="G96" s="39"/>
      <c r="H96" s="39" t="s">
        <v>3793</v>
      </c>
      <c r="I96" s="81" t="s">
        <v>4941</v>
      </c>
      <c r="J96" s="41"/>
      <c r="K96" s="41"/>
      <c r="L96" s="41"/>
      <c r="M96" s="42" t="str">
        <f t="shared" si="26"/>
        <v xml:space="preserve">AS TEAS, S. DE R.L. DE C.V.  </v>
      </c>
      <c r="N96" s="991" t="s">
        <v>370</v>
      </c>
      <c r="O96" s="991" t="s">
        <v>370</v>
      </c>
      <c r="P96" s="991" t="s">
        <v>4942</v>
      </c>
      <c r="Q96" s="992">
        <v>271431.52</v>
      </c>
      <c r="R96" s="44">
        <f t="shared" si="35"/>
        <v>43429.043200000007</v>
      </c>
      <c r="S96" s="45">
        <f t="shared" si="30"/>
        <v>314860.56320000003</v>
      </c>
      <c r="T96" s="46">
        <v>0</v>
      </c>
      <c r="U96" s="47">
        <f t="shared" si="33"/>
        <v>0</v>
      </c>
      <c r="V96" s="44">
        <f t="shared" si="27"/>
        <v>314860.56320000003</v>
      </c>
      <c r="W96" s="993" t="s">
        <v>156</v>
      </c>
      <c r="X96" s="48">
        <v>44727</v>
      </c>
      <c r="Y96" s="39" t="s">
        <v>496</v>
      </c>
      <c r="Z96" s="48">
        <v>44727</v>
      </c>
      <c r="AA96" s="48">
        <v>44865</v>
      </c>
      <c r="AB96" s="39" t="s">
        <v>4943</v>
      </c>
      <c r="AC96" s="38"/>
      <c r="AD96" s="59"/>
      <c r="AE96" s="59"/>
      <c r="AF96" s="59"/>
      <c r="AG96" s="59"/>
      <c r="AH96" s="39"/>
      <c r="AI96" s="38"/>
      <c r="AJ96" s="38"/>
      <c r="AK96" s="50"/>
      <c r="AL96" s="44">
        <v>0</v>
      </c>
      <c r="AM96" s="163" t="str">
        <f t="shared" ca="1" si="28"/>
        <v>MUERTO</v>
      </c>
      <c r="AN96" s="39"/>
      <c r="AO96" s="39"/>
      <c r="AP96" s="39" t="s">
        <v>496</v>
      </c>
      <c r="AQ96" s="39"/>
      <c r="AR96" s="39" t="s">
        <v>496</v>
      </c>
      <c r="AS96" s="39"/>
      <c r="AT96" s="39"/>
      <c r="AU96" s="51"/>
      <c r="AV96" s="50"/>
      <c r="AW96" s="38"/>
      <c r="AX96" s="52"/>
      <c r="AY96" s="170" t="s">
        <v>4944</v>
      </c>
      <c r="AZ96" s="38"/>
      <c r="BA96" s="38" t="s">
        <v>4945</v>
      </c>
      <c r="BB96" s="73">
        <f t="shared" si="36"/>
        <v>0</v>
      </c>
      <c r="BC96" s="159"/>
      <c r="BD96" s="59">
        <v>44722</v>
      </c>
      <c r="BE96" s="58">
        <v>44725</v>
      </c>
      <c r="BF96" s="58">
        <v>44732</v>
      </c>
      <c r="BG96" s="59">
        <f t="shared" ref="BG96:BG133" si="37">BF96</f>
        <v>44732</v>
      </c>
      <c r="BH96" s="183" t="str">
        <f t="shared" si="29"/>
        <v>Contrato formalizado con FC 12/07</v>
      </c>
      <c r="BI96" s="195">
        <v>44741</v>
      </c>
      <c r="BJ96" s="185">
        <v>44735</v>
      </c>
      <c r="BK96" s="186" t="str">
        <f t="shared" si="34"/>
        <v>Contrato formalizado con FC 12/07</v>
      </c>
      <c r="BL96" s="84"/>
      <c r="BM96" s="84"/>
      <c r="BN96" s="84"/>
      <c r="BO96" s="84"/>
      <c r="BP96" s="84"/>
    </row>
    <row r="97" spans="1:71" ht="60" x14ac:dyDescent="0.25">
      <c r="A97" s="168" t="s">
        <v>4946</v>
      </c>
      <c r="B97" s="3">
        <v>91</v>
      </c>
      <c r="C97" s="167" t="s">
        <v>225</v>
      </c>
      <c r="D97" s="39" t="s">
        <v>151</v>
      </c>
      <c r="E97" s="40" t="s">
        <v>4940</v>
      </c>
      <c r="F97" s="39" t="s">
        <v>151</v>
      </c>
      <c r="G97" s="39"/>
      <c r="H97" s="39" t="s">
        <v>3793</v>
      </c>
      <c r="I97" s="81" t="s">
        <v>4947</v>
      </c>
      <c r="J97" s="41"/>
      <c r="K97" s="41"/>
      <c r="L97" s="41"/>
      <c r="M97" s="42" t="str">
        <f t="shared" si="26"/>
        <v xml:space="preserve">Comercialización Hawa Laredo, S.A. de C.V.  </v>
      </c>
      <c r="N97" s="991" t="s">
        <v>370</v>
      </c>
      <c r="O97" s="991" t="s">
        <v>370</v>
      </c>
      <c r="P97" s="991" t="s">
        <v>4948</v>
      </c>
      <c r="Q97" s="992">
        <v>247766.76</v>
      </c>
      <c r="R97" s="44">
        <f t="shared" si="35"/>
        <v>39642.681600000004</v>
      </c>
      <c r="S97" s="45">
        <f t="shared" si="30"/>
        <v>287409.44160000002</v>
      </c>
      <c r="T97" s="46">
        <v>0</v>
      </c>
      <c r="U97" s="47">
        <f t="shared" si="33"/>
        <v>0</v>
      </c>
      <c r="V97" s="44">
        <f t="shared" si="27"/>
        <v>287409.44160000002</v>
      </c>
      <c r="W97" s="993" t="s">
        <v>156</v>
      </c>
      <c r="X97" s="48">
        <v>44727</v>
      </c>
      <c r="Y97" s="39" t="s">
        <v>496</v>
      </c>
      <c r="Z97" s="48">
        <v>44727</v>
      </c>
      <c r="AA97" s="48">
        <v>44865</v>
      </c>
      <c r="AB97" s="39" t="s">
        <v>4943</v>
      </c>
      <c r="AC97" s="38"/>
      <c r="AD97" s="59"/>
      <c r="AE97" s="59"/>
      <c r="AF97" s="59"/>
      <c r="AG97" s="59"/>
      <c r="AH97" s="39"/>
      <c r="AI97" s="38"/>
      <c r="AJ97" s="38"/>
      <c r="AK97" s="50"/>
      <c r="AL97" s="44"/>
      <c r="AM97" s="163" t="str">
        <f t="shared" ca="1" si="28"/>
        <v>MUERTO</v>
      </c>
      <c r="AN97" s="39"/>
      <c r="AO97" s="39"/>
      <c r="AP97" s="39" t="s">
        <v>496</v>
      </c>
      <c r="AQ97" s="39"/>
      <c r="AR97" s="39" t="s">
        <v>496</v>
      </c>
      <c r="AS97" s="39"/>
      <c r="AT97" s="39"/>
      <c r="AU97" s="51"/>
      <c r="AV97" s="50"/>
      <c r="AW97" s="38"/>
      <c r="AX97" s="52"/>
      <c r="AY97" s="170" t="s">
        <v>4949</v>
      </c>
      <c r="AZ97" s="38"/>
      <c r="BA97" s="38" t="s">
        <v>4950</v>
      </c>
      <c r="BB97" s="73">
        <f t="shared" si="36"/>
        <v>0</v>
      </c>
      <c r="BC97" s="159"/>
      <c r="BD97" s="59">
        <v>44722</v>
      </c>
      <c r="BE97" s="58">
        <v>44726</v>
      </c>
      <c r="BF97" s="58">
        <v>44732</v>
      </c>
      <c r="BG97" s="59">
        <f t="shared" si="37"/>
        <v>44732</v>
      </c>
      <c r="BH97" s="183" t="str">
        <f t="shared" si="29"/>
        <v>Contrato formalizado con FC 04/07</v>
      </c>
      <c r="BI97" s="195">
        <v>44741</v>
      </c>
      <c r="BJ97" s="185">
        <v>44739</v>
      </c>
      <c r="BK97" s="186" t="str">
        <f t="shared" si="34"/>
        <v>Contrato formalizado con FC 04/07</v>
      </c>
      <c r="BL97" s="84"/>
      <c r="BM97" s="84"/>
      <c r="BN97" s="84"/>
      <c r="BO97" s="84"/>
      <c r="BP97" s="84"/>
    </row>
    <row r="98" spans="1:71" ht="60" x14ac:dyDescent="0.25">
      <c r="A98" s="168" t="s">
        <v>4951</v>
      </c>
      <c r="B98" s="3">
        <v>92</v>
      </c>
      <c r="C98" s="167" t="s">
        <v>225</v>
      </c>
      <c r="D98" s="39" t="s">
        <v>151</v>
      </c>
      <c r="E98" s="40" t="s">
        <v>4940</v>
      </c>
      <c r="F98" s="39" t="s">
        <v>151</v>
      </c>
      <c r="G98" s="39"/>
      <c r="H98" s="39" t="s">
        <v>3793</v>
      </c>
      <c r="I98" s="81" t="s">
        <v>2830</v>
      </c>
      <c r="J98" s="41"/>
      <c r="K98" s="41"/>
      <c r="L98" s="41"/>
      <c r="M98" s="42" t="str">
        <f t="shared" si="26"/>
        <v xml:space="preserve">Men´s International Collection, S.A. de C.V.  </v>
      </c>
      <c r="N98" s="991" t="s">
        <v>370</v>
      </c>
      <c r="O98" s="991" t="s">
        <v>370</v>
      </c>
      <c r="P98" s="991" t="s">
        <v>4952</v>
      </c>
      <c r="Q98" s="992">
        <v>566783.96</v>
      </c>
      <c r="R98" s="44">
        <f t="shared" si="35"/>
        <v>90685.433599999989</v>
      </c>
      <c r="S98" s="45">
        <f t="shared" si="30"/>
        <v>657469.39359999995</v>
      </c>
      <c r="T98" s="46">
        <v>0</v>
      </c>
      <c r="U98" s="47">
        <f t="shared" si="33"/>
        <v>0</v>
      </c>
      <c r="V98" s="44">
        <f t="shared" si="27"/>
        <v>657469.39359999995</v>
      </c>
      <c r="W98" s="993" t="s">
        <v>156</v>
      </c>
      <c r="X98" s="48">
        <v>44727</v>
      </c>
      <c r="Y98" s="39" t="s">
        <v>496</v>
      </c>
      <c r="Z98" s="48">
        <v>44727</v>
      </c>
      <c r="AA98" s="48">
        <v>44865</v>
      </c>
      <c r="AB98" s="39" t="s">
        <v>4943</v>
      </c>
      <c r="AC98" s="38"/>
      <c r="AD98" s="59"/>
      <c r="AE98" s="59"/>
      <c r="AF98" s="59"/>
      <c r="AG98" s="59"/>
      <c r="AH98" s="39"/>
      <c r="AI98" s="38"/>
      <c r="AJ98" s="38"/>
      <c r="AK98" s="50"/>
      <c r="AL98" s="44"/>
      <c r="AM98" s="163" t="str">
        <f t="shared" ca="1" si="28"/>
        <v>MUERTO</v>
      </c>
      <c r="AN98" s="39"/>
      <c r="AO98" s="39"/>
      <c r="AP98" s="39" t="s">
        <v>496</v>
      </c>
      <c r="AQ98" s="39"/>
      <c r="AR98" s="39" t="s">
        <v>496</v>
      </c>
      <c r="AS98" s="39"/>
      <c r="AT98" s="39"/>
      <c r="AU98" s="51"/>
      <c r="AV98" s="50"/>
      <c r="AW98" s="38"/>
      <c r="AX98" s="52"/>
      <c r="AY98" s="170" t="s">
        <v>4953</v>
      </c>
      <c r="AZ98" s="38"/>
      <c r="BA98" s="38" t="s">
        <v>3751</v>
      </c>
      <c r="BB98" s="73">
        <f t="shared" si="36"/>
        <v>0</v>
      </c>
      <c r="BC98" s="159"/>
      <c r="BD98" s="59">
        <v>44722</v>
      </c>
      <c r="BE98" s="58">
        <v>44726</v>
      </c>
      <c r="BF98" s="58">
        <v>44732</v>
      </c>
      <c r="BG98" s="59">
        <f t="shared" si="37"/>
        <v>44732</v>
      </c>
      <c r="BH98" s="183" t="str">
        <f t="shared" si="29"/>
        <v>Contrato formalizado con FC 29/06</v>
      </c>
      <c r="BI98" s="195">
        <v>44741</v>
      </c>
      <c r="BJ98" s="185">
        <v>44733</v>
      </c>
      <c r="BK98" s="186" t="str">
        <f t="shared" si="34"/>
        <v>Contrato formalizado con FC 29/06</v>
      </c>
      <c r="BL98" s="84"/>
      <c r="BM98" s="84"/>
      <c r="BN98" s="84"/>
      <c r="BO98" s="84"/>
      <c r="BP98" s="84"/>
    </row>
    <row r="99" spans="1:71" ht="90" x14ac:dyDescent="0.25">
      <c r="A99" s="168" t="s">
        <v>4954</v>
      </c>
      <c r="B99" s="3">
        <v>93</v>
      </c>
      <c r="C99" s="167" t="s">
        <v>149</v>
      </c>
      <c r="D99" s="39" t="s">
        <v>163</v>
      </c>
      <c r="E99" s="40" t="s">
        <v>4955</v>
      </c>
      <c r="F99" s="39" t="s">
        <v>163</v>
      </c>
      <c r="G99" s="39" t="s">
        <v>163</v>
      </c>
      <c r="H99" s="39" t="s">
        <v>4004</v>
      </c>
      <c r="I99" s="81" t="s">
        <v>4956</v>
      </c>
      <c r="J99" s="41"/>
      <c r="K99" s="41"/>
      <c r="L99" s="41"/>
      <c r="M99" s="42" t="str">
        <f t="shared" ref="M99:M130" si="38">I99&amp;J99&amp;" "&amp;K99&amp;" "&amp;L99</f>
        <v xml:space="preserve">Integración de Servicios Arquitectónicos y de Ingeniería Gama, S.A. de C.V.  </v>
      </c>
      <c r="N99" s="991" t="s">
        <v>198</v>
      </c>
      <c r="O99" s="991" t="s">
        <v>198</v>
      </c>
      <c r="P99" s="991" t="s">
        <v>4957</v>
      </c>
      <c r="Q99" s="992">
        <v>1028214</v>
      </c>
      <c r="R99" s="44">
        <f t="shared" si="35"/>
        <v>164514.23999999999</v>
      </c>
      <c r="S99" s="45">
        <f t="shared" si="30"/>
        <v>1192728.24</v>
      </c>
      <c r="T99" s="46">
        <v>0</v>
      </c>
      <c r="U99" s="47">
        <f t="shared" si="33"/>
        <v>0</v>
      </c>
      <c r="V99" s="44">
        <f t="shared" si="27"/>
        <v>1192728.24</v>
      </c>
      <c r="W99" s="993" t="s">
        <v>156</v>
      </c>
      <c r="X99" s="48">
        <v>44725</v>
      </c>
      <c r="Y99" s="39" t="s">
        <v>496</v>
      </c>
      <c r="Z99" s="48">
        <v>44725</v>
      </c>
      <c r="AA99" s="48">
        <v>44742</v>
      </c>
      <c r="AB99" s="38" t="s">
        <v>4717</v>
      </c>
      <c r="AC99" s="38"/>
      <c r="AD99" s="236"/>
      <c r="AE99" s="59"/>
      <c r="AF99" s="59"/>
      <c r="AG99" s="59"/>
      <c r="AH99" s="39"/>
      <c r="AI99" s="38"/>
      <c r="AJ99" s="38"/>
      <c r="AK99" s="50"/>
      <c r="AL99" s="44"/>
      <c r="AM99" s="163" t="str">
        <f t="shared" ca="1" si="28"/>
        <v>MUERTO</v>
      </c>
      <c r="AN99" s="39"/>
      <c r="AO99" s="39"/>
      <c r="AP99" s="39" t="s">
        <v>496</v>
      </c>
      <c r="AQ99" s="39"/>
      <c r="AR99" s="39" t="s">
        <v>496</v>
      </c>
      <c r="AS99" s="39"/>
      <c r="AT99" s="39"/>
      <c r="AU99" s="51"/>
      <c r="AV99" s="50"/>
      <c r="AW99" s="38"/>
      <c r="AX99" s="52"/>
      <c r="AY99" s="170" t="s">
        <v>4958</v>
      </c>
      <c r="AZ99" s="38"/>
      <c r="BA99" s="38" t="s">
        <v>4959</v>
      </c>
      <c r="BB99" s="73">
        <f t="shared" si="36"/>
        <v>0</v>
      </c>
      <c r="BC99" s="159"/>
      <c r="BD99" s="59">
        <v>44720</v>
      </c>
      <c r="BE99" s="58">
        <v>44722</v>
      </c>
      <c r="BF99" s="58">
        <v>44732</v>
      </c>
      <c r="BG99" s="59">
        <f t="shared" si="37"/>
        <v>44732</v>
      </c>
      <c r="BH99" s="183" t="str">
        <f t="shared" si="29"/>
        <v>Contrato formalizado con FC y PRC 08/07/22</v>
      </c>
      <c r="BI99" s="195">
        <v>44735</v>
      </c>
      <c r="BJ99" s="185">
        <v>44732</v>
      </c>
      <c r="BK99" s="186" t="str">
        <f t="shared" si="34"/>
        <v>Contrato formalizado con FC y PRC 08/07/22</v>
      </c>
      <c r="BL99" s="84"/>
      <c r="BM99" s="84"/>
      <c r="BN99" s="84"/>
      <c r="BO99" s="84"/>
      <c r="BP99" s="84"/>
    </row>
    <row r="100" spans="1:71" ht="105" x14ac:dyDescent="0.25">
      <c r="A100" s="196" t="s">
        <v>4960</v>
      </c>
      <c r="B100" s="3">
        <v>94</v>
      </c>
      <c r="C100" s="167" t="s">
        <v>811</v>
      </c>
      <c r="D100" s="39" t="s">
        <v>151</v>
      </c>
      <c r="E100" s="40" t="s">
        <v>4961</v>
      </c>
      <c r="F100" s="39" t="s">
        <v>151</v>
      </c>
      <c r="G100" s="39"/>
      <c r="H100" s="39" t="s">
        <v>3793</v>
      </c>
      <c r="I100" s="81" t="s">
        <v>4962</v>
      </c>
      <c r="J100" s="41"/>
      <c r="K100" s="41"/>
      <c r="L100" s="41"/>
      <c r="M100" s="42" t="str">
        <f t="shared" si="38"/>
        <v xml:space="preserve">Smart Proyectos y Tecnología, S.A. de C.V.  </v>
      </c>
      <c r="N100" s="991" t="s">
        <v>198</v>
      </c>
      <c r="O100" s="991" t="s">
        <v>198</v>
      </c>
      <c r="P100" s="991" t="s">
        <v>4963</v>
      </c>
      <c r="Q100" s="992">
        <v>1460220.11</v>
      </c>
      <c r="R100" s="44">
        <f t="shared" si="35"/>
        <v>233635.21760000003</v>
      </c>
      <c r="S100" s="45">
        <f t="shared" si="30"/>
        <v>1693855.3276000002</v>
      </c>
      <c r="T100" s="46">
        <v>0</v>
      </c>
      <c r="U100" s="47">
        <f t="shared" si="33"/>
        <v>0</v>
      </c>
      <c r="V100" s="235">
        <f t="shared" si="27"/>
        <v>1633557.3908000002</v>
      </c>
      <c r="W100" s="993" t="s">
        <v>156</v>
      </c>
      <c r="X100" s="48">
        <v>44728</v>
      </c>
      <c r="Y100" s="39" t="s">
        <v>496</v>
      </c>
      <c r="Z100" s="48">
        <v>44728</v>
      </c>
      <c r="AA100" s="48">
        <v>44772</v>
      </c>
      <c r="AB100" s="38" t="s">
        <v>4964</v>
      </c>
      <c r="AC100" s="38" t="s">
        <v>4965</v>
      </c>
      <c r="AD100" s="59"/>
      <c r="AE100" s="59"/>
      <c r="AF100" s="59"/>
      <c r="AG100" s="59"/>
      <c r="AH100" s="39"/>
      <c r="AI100" s="53" t="s">
        <v>4966</v>
      </c>
      <c r="AJ100" s="233" t="s">
        <v>4967</v>
      </c>
      <c r="AK100" s="234">
        <v>44771</v>
      </c>
      <c r="AL100" s="235">
        <v>-60297.936800000003</v>
      </c>
      <c r="AM100" s="163" t="str">
        <f t="shared" ca="1" si="28"/>
        <v>MUERTO</v>
      </c>
      <c r="AN100" s="39"/>
      <c r="AO100" s="39"/>
      <c r="AP100" s="39" t="s">
        <v>496</v>
      </c>
      <c r="AQ100" s="39"/>
      <c r="AR100" s="39" t="s">
        <v>496</v>
      </c>
      <c r="AS100" s="39"/>
      <c r="AT100" s="39"/>
      <c r="AU100" s="51"/>
      <c r="AV100" s="50"/>
      <c r="AW100" s="38"/>
      <c r="AX100" s="52"/>
      <c r="AY100" s="170" t="s">
        <v>4968</v>
      </c>
      <c r="AZ100" s="38"/>
      <c r="BA100" s="38" t="s">
        <v>4969</v>
      </c>
      <c r="BB100" s="73">
        <f t="shared" si="36"/>
        <v>0</v>
      </c>
      <c r="BC100" s="159"/>
      <c r="BD100" s="59">
        <v>44725</v>
      </c>
      <c r="BE100" s="58">
        <v>44727</v>
      </c>
      <c r="BF100" s="58">
        <v>44732</v>
      </c>
      <c r="BG100" s="59">
        <f t="shared" si="37"/>
        <v>44732</v>
      </c>
      <c r="BH100" s="183" t="str">
        <f t="shared" si="29"/>
        <v>Contrato formalizada con FC y PRC 01/07
Modific formalizado 05/08</v>
      </c>
      <c r="BI100" s="195" t="s">
        <v>4970</v>
      </c>
      <c r="BJ100" s="185" t="s">
        <v>4971</v>
      </c>
      <c r="BK100" s="186" t="str">
        <f t="shared" si="34"/>
        <v>Contrato formalizada con FC y PRC 01/07
Modific formalizado 05/08</v>
      </c>
      <c r="BL100" s="84"/>
      <c r="BM100" s="84"/>
      <c r="BN100" s="84"/>
      <c r="BO100" s="84"/>
      <c r="BP100" s="84"/>
    </row>
    <row r="101" spans="1:71" ht="90" x14ac:dyDescent="0.25">
      <c r="A101" s="168" t="s">
        <v>4972</v>
      </c>
      <c r="B101" s="3">
        <v>95</v>
      </c>
      <c r="C101" s="167" t="s">
        <v>225</v>
      </c>
      <c r="D101" s="39" t="s">
        <v>173</v>
      </c>
      <c r="E101" s="40" t="s">
        <v>4973</v>
      </c>
      <c r="F101" s="39" t="s">
        <v>173</v>
      </c>
      <c r="G101" s="39"/>
      <c r="H101" s="39" t="s">
        <v>3785</v>
      </c>
      <c r="I101" s="81" t="s">
        <v>2039</v>
      </c>
      <c r="J101" s="41"/>
      <c r="K101" s="41"/>
      <c r="L101" s="41"/>
      <c r="M101" s="42" t="str">
        <f t="shared" si="38"/>
        <v xml:space="preserve">Desarrollo de Proyectos Especializados, S.A. de C.V.  </v>
      </c>
      <c r="N101" s="991" t="s">
        <v>198</v>
      </c>
      <c r="O101" s="991" t="s">
        <v>198</v>
      </c>
      <c r="P101" s="991" t="s">
        <v>4974</v>
      </c>
      <c r="Q101" s="992">
        <v>23696600</v>
      </c>
      <c r="R101" s="44">
        <f t="shared" si="35"/>
        <v>3791456</v>
      </c>
      <c r="S101" s="45">
        <f t="shared" si="30"/>
        <v>27488056</v>
      </c>
      <c r="T101" s="46">
        <v>0</v>
      </c>
      <c r="U101" s="47">
        <f t="shared" si="33"/>
        <v>0</v>
      </c>
      <c r="V101" s="44">
        <f t="shared" si="27"/>
        <v>27488056</v>
      </c>
      <c r="W101" s="993" t="s">
        <v>156</v>
      </c>
      <c r="X101" s="48">
        <v>44729</v>
      </c>
      <c r="Y101" s="39" t="s">
        <v>496</v>
      </c>
      <c r="Z101" s="48">
        <v>44729</v>
      </c>
      <c r="AA101" s="48">
        <v>44926</v>
      </c>
      <c r="AB101" s="38" t="s">
        <v>4816</v>
      </c>
      <c r="AC101" s="38"/>
      <c r="AD101" s="59"/>
      <c r="AE101" s="59"/>
      <c r="AF101" s="59"/>
      <c r="AG101" s="59"/>
      <c r="AH101" s="39"/>
      <c r="AI101" s="38"/>
      <c r="AJ101" s="38"/>
      <c r="AK101" s="50"/>
      <c r="AL101" s="44"/>
      <c r="AM101" s="163" t="str">
        <f t="shared" ca="1" si="28"/>
        <v>MUERTO</v>
      </c>
      <c r="AN101" s="39"/>
      <c r="AO101" s="39"/>
      <c r="AP101" s="39" t="s">
        <v>496</v>
      </c>
      <c r="AQ101" s="39"/>
      <c r="AR101" s="39" t="s">
        <v>496</v>
      </c>
      <c r="AS101" s="39"/>
      <c r="AT101" s="39"/>
      <c r="AU101" s="51"/>
      <c r="AV101" s="50"/>
      <c r="AW101" s="38"/>
      <c r="AX101" s="52"/>
      <c r="AY101" s="170" t="s">
        <v>4949</v>
      </c>
      <c r="AZ101" s="38"/>
      <c r="BA101" s="38" t="s">
        <v>3950</v>
      </c>
      <c r="BB101" s="73">
        <f t="shared" si="36"/>
        <v>0</v>
      </c>
      <c r="BC101" s="159"/>
      <c r="BD101" s="59">
        <v>44726</v>
      </c>
      <c r="BE101" s="58">
        <v>44727</v>
      </c>
      <c r="BF101" s="58">
        <v>44732</v>
      </c>
      <c r="BG101" s="59">
        <f t="shared" si="37"/>
        <v>44732</v>
      </c>
      <c r="BH101" s="183" t="str">
        <f t="shared" si="29"/>
        <v>Contrato formalizado con FC 04/07</v>
      </c>
      <c r="BI101" s="195">
        <v>44736</v>
      </c>
      <c r="BJ101" s="185">
        <v>44732</v>
      </c>
      <c r="BK101" s="186" t="str">
        <f t="shared" si="34"/>
        <v>Contrato formalizado con FC 04/07</v>
      </c>
      <c r="BL101" s="84"/>
      <c r="BM101" s="84"/>
      <c r="BN101" s="84"/>
      <c r="BO101" s="84"/>
      <c r="BP101" s="84"/>
    </row>
    <row r="102" spans="1:71" ht="150" x14ac:dyDescent="0.25">
      <c r="A102" s="196" t="s">
        <v>4975</v>
      </c>
      <c r="B102" s="3">
        <v>96</v>
      </c>
      <c r="C102" s="167" t="s">
        <v>149</v>
      </c>
      <c r="D102" s="39" t="s">
        <v>163</v>
      </c>
      <c r="E102" s="40" t="s">
        <v>4976</v>
      </c>
      <c r="F102" s="39" t="s">
        <v>163</v>
      </c>
      <c r="G102" s="39" t="s">
        <v>163</v>
      </c>
      <c r="H102" s="39" t="s">
        <v>4004</v>
      </c>
      <c r="I102" s="81" t="s">
        <v>1862</v>
      </c>
      <c r="J102" s="41"/>
      <c r="K102" s="41"/>
      <c r="L102" s="41"/>
      <c r="M102" s="42" t="str">
        <f t="shared" si="38"/>
        <v xml:space="preserve">Constructora Mozaco, S.A. de C.V.  </v>
      </c>
      <c r="N102" s="991" t="s">
        <v>198</v>
      </c>
      <c r="O102" s="991" t="s">
        <v>198</v>
      </c>
      <c r="P102" s="991" t="s">
        <v>4977</v>
      </c>
      <c r="Q102" s="992">
        <v>1284444.18</v>
      </c>
      <c r="R102" s="44">
        <f t="shared" si="35"/>
        <v>205511.06880000001</v>
      </c>
      <c r="S102" s="45">
        <f t="shared" si="30"/>
        <v>1489955.2487999999</v>
      </c>
      <c r="T102" s="46">
        <v>0</v>
      </c>
      <c r="U102" s="47">
        <f t="shared" si="33"/>
        <v>0</v>
      </c>
      <c r="V102" s="235">
        <f t="shared" ref="V102:V134" si="39">S102+AL102</f>
        <v>617374.45879999991</v>
      </c>
      <c r="W102" s="993" t="s">
        <v>156</v>
      </c>
      <c r="X102" s="48">
        <v>44733</v>
      </c>
      <c r="Y102" s="39" t="s">
        <v>496</v>
      </c>
      <c r="Z102" s="48">
        <v>44733</v>
      </c>
      <c r="AA102" s="48">
        <v>44803</v>
      </c>
      <c r="AB102" s="38" t="s">
        <v>4964</v>
      </c>
      <c r="AC102" s="38"/>
      <c r="AD102" s="59"/>
      <c r="AE102" s="59"/>
      <c r="AF102" s="59"/>
      <c r="AG102" s="59"/>
      <c r="AH102" s="39"/>
      <c r="AI102" s="38" t="s">
        <v>4978</v>
      </c>
      <c r="AJ102" s="233" t="s">
        <v>4979</v>
      </c>
      <c r="AK102" s="234">
        <v>44802</v>
      </c>
      <c r="AL102" s="235">
        <v>-872580.79</v>
      </c>
      <c r="AM102" s="163" t="str">
        <f t="shared" ref="AM102:AM133" ca="1" si="40">IF(ISBLANK(AA102),"",IF(AA102&gt;=TODAY(),"VIGENTE","MUERTO"))</f>
        <v>MUERTO</v>
      </c>
      <c r="AN102" s="39"/>
      <c r="AO102" s="39"/>
      <c r="AP102" s="39" t="s">
        <v>496</v>
      </c>
      <c r="AQ102" s="39" t="s">
        <v>815</v>
      </c>
      <c r="AR102" s="39" t="s">
        <v>496</v>
      </c>
      <c r="AS102" s="39"/>
      <c r="AT102" s="39"/>
      <c r="AU102" s="51"/>
      <c r="AV102" s="50"/>
      <c r="AW102" s="38"/>
      <c r="AX102" s="52"/>
      <c r="AY102" s="170" t="s">
        <v>4980</v>
      </c>
      <c r="AZ102" s="38"/>
      <c r="BA102" s="38" t="e">
        <f>VLOOKUP(I102,[2]RFC!$1:$1048576,2,0)</f>
        <v>#N/A</v>
      </c>
      <c r="BB102" s="73">
        <f t="shared" si="36"/>
        <v>0</v>
      </c>
      <c r="BC102" s="159"/>
      <c r="BD102" s="59">
        <v>44727</v>
      </c>
      <c r="BE102" s="58">
        <v>44729</v>
      </c>
      <c r="BF102" s="58">
        <v>44733</v>
      </c>
      <c r="BG102" s="59">
        <f t="shared" si="37"/>
        <v>44733</v>
      </c>
      <c r="BH102" s="183" t="str">
        <f t="shared" ref="BH102:BH133" si="41">AY102</f>
        <v>Contrato formalizada con FC y PRC 01/07
Modificatorio formalizado con endosos 21/09</v>
      </c>
      <c r="BI102" s="195" t="s">
        <v>4981</v>
      </c>
      <c r="BJ102" s="185" t="s">
        <v>4982</v>
      </c>
      <c r="BK102" s="186" t="str">
        <f t="shared" si="34"/>
        <v>Contrato formalizada con FC y PRC 01/07
Modificatorio formalizado con endosos 21/09</v>
      </c>
      <c r="BL102" s="84"/>
      <c r="BM102" s="84"/>
      <c r="BN102" s="84"/>
      <c r="BO102" s="84"/>
      <c r="BP102" s="84"/>
    </row>
    <row r="103" spans="1:71" ht="135" x14ac:dyDescent="0.25">
      <c r="A103" s="196" t="s">
        <v>4983</v>
      </c>
      <c r="B103" s="3">
        <v>97</v>
      </c>
      <c r="C103" s="167" t="s">
        <v>225</v>
      </c>
      <c r="D103" s="39" t="s">
        <v>173</v>
      </c>
      <c r="E103" s="40" t="s">
        <v>4984</v>
      </c>
      <c r="F103" s="39" t="s">
        <v>173</v>
      </c>
      <c r="G103" s="39"/>
      <c r="H103" s="39" t="s">
        <v>3785</v>
      </c>
      <c r="I103" s="81" t="s">
        <v>4985</v>
      </c>
      <c r="J103" s="41"/>
      <c r="K103" s="41"/>
      <c r="L103" s="41"/>
      <c r="M103" s="42" t="str">
        <f t="shared" si="38"/>
        <v xml:space="preserve">Abastecedora y Distribuidora del Sureste García Hnos, S.A. de C.V.  </v>
      </c>
      <c r="N103" s="991" t="s">
        <v>198</v>
      </c>
      <c r="O103" s="991" t="s">
        <v>198</v>
      </c>
      <c r="P103" s="991" t="s">
        <v>4986</v>
      </c>
      <c r="Q103" s="992">
        <v>1115185</v>
      </c>
      <c r="R103" s="44">
        <f t="shared" si="35"/>
        <v>178429.6</v>
      </c>
      <c r="S103" s="45">
        <f t="shared" ref="S103:S134" si="42">Q103+R103</f>
        <v>1293614.6000000001</v>
      </c>
      <c r="T103" s="46">
        <v>350300</v>
      </c>
      <c r="U103" s="47">
        <f t="shared" si="33"/>
        <v>406348</v>
      </c>
      <c r="V103" s="235">
        <f t="shared" si="39"/>
        <v>1617018.25</v>
      </c>
      <c r="W103" s="993" t="s">
        <v>156</v>
      </c>
      <c r="X103" s="48">
        <v>44741</v>
      </c>
      <c r="Y103" s="39" t="s">
        <v>496</v>
      </c>
      <c r="Z103" s="48">
        <v>44741</v>
      </c>
      <c r="AA103" s="48">
        <v>44926</v>
      </c>
      <c r="AB103" s="38" t="s">
        <v>3113</v>
      </c>
      <c r="AC103" s="38"/>
      <c r="AD103" s="59"/>
      <c r="AE103" s="59"/>
      <c r="AF103" s="59"/>
      <c r="AG103" s="59"/>
      <c r="AH103" s="39"/>
      <c r="AI103" s="38" t="s">
        <v>4987</v>
      </c>
      <c r="AJ103" s="233" t="s">
        <v>4988</v>
      </c>
      <c r="AK103" s="234">
        <v>44874</v>
      </c>
      <c r="AL103" s="235">
        <v>323403.65000000002</v>
      </c>
      <c r="AM103" s="163" t="str">
        <f t="shared" ca="1" si="40"/>
        <v>MUERTO</v>
      </c>
      <c r="AN103" s="39"/>
      <c r="AO103" s="39"/>
      <c r="AP103" s="39" t="s">
        <v>496</v>
      </c>
      <c r="AQ103" s="39" t="s">
        <v>892</v>
      </c>
      <c r="AR103" s="39" t="s">
        <v>496</v>
      </c>
      <c r="AS103" s="39"/>
      <c r="AT103" s="39"/>
      <c r="AU103" s="51"/>
      <c r="AV103" s="50"/>
      <c r="AW103" s="38"/>
      <c r="AX103" s="52"/>
      <c r="AY103" s="170" t="s">
        <v>4989</v>
      </c>
      <c r="AZ103" s="38"/>
      <c r="BA103" s="38" t="s">
        <v>4990</v>
      </c>
      <c r="BB103" s="73">
        <f t="shared" si="36"/>
        <v>0</v>
      </c>
      <c r="BC103" s="159"/>
      <c r="BD103" s="59">
        <v>44736</v>
      </c>
      <c r="BE103" s="59">
        <v>44739</v>
      </c>
      <c r="BF103" s="58">
        <v>44742</v>
      </c>
      <c r="BG103" s="59">
        <f t="shared" si="37"/>
        <v>44742</v>
      </c>
      <c r="BH103" s="183" t="str">
        <f t="shared" si="41"/>
        <v>Contrato formalizado con FC 12/07
Modif formalizado con endosos 05/12</v>
      </c>
      <c r="BI103" s="195" t="s">
        <v>4991</v>
      </c>
      <c r="BJ103" s="185" t="s">
        <v>4992</v>
      </c>
      <c r="BK103" s="186" t="str">
        <f t="shared" si="34"/>
        <v>Contrato formalizado con FC 12/07
Modif formalizado con endosos 05/12</v>
      </c>
      <c r="BL103" s="84"/>
      <c r="BM103" s="84"/>
      <c r="BN103" s="84"/>
      <c r="BO103" s="84"/>
      <c r="BP103" s="84"/>
    </row>
    <row r="104" spans="1:71" ht="150" x14ac:dyDescent="0.25">
      <c r="A104" s="196" t="s">
        <v>4993</v>
      </c>
      <c r="B104" s="3">
        <v>98</v>
      </c>
      <c r="C104" s="167" t="s">
        <v>225</v>
      </c>
      <c r="D104" s="39" t="s">
        <v>173</v>
      </c>
      <c r="E104" s="40" t="s">
        <v>4984</v>
      </c>
      <c r="F104" s="39" t="s">
        <v>173</v>
      </c>
      <c r="G104" s="39"/>
      <c r="H104" s="39" t="s">
        <v>3785</v>
      </c>
      <c r="I104" s="42" t="s">
        <v>1761</v>
      </c>
      <c r="J104" s="41"/>
      <c r="K104" s="41"/>
      <c r="L104" s="41"/>
      <c r="M104" s="42" t="str">
        <f t="shared" si="38"/>
        <v xml:space="preserve">Interamericana CMH, S.A. de C.V.  </v>
      </c>
      <c r="N104" s="991" t="s">
        <v>198</v>
      </c>
      <c r="O104" s="991" t="s">
        <v>198</v>
      </c>
      <c r="P104" s="991" t="s">
        <v>4994</v>
      </c>
      <c r="Q104" s="992">
        <v>822300</v>
      </c>
      <c r="R104" s="44">
        <f t="shared" si="35"/>
        <v>131568</v>
      </c>
      <c r="S104" s="45">
        <f t="shared" si="42"/>
        <v>953868</v>
      </c>
      <c r="T104" s="46">
        <v>366700</v>
      </c>
      <c r="U104" s="47">
        <f t="shared" si="33"/>
        <v>425372</v>
      </c>
      <c r="V104" s="235">
        <f t="shared" si="39"/>
        <v>1192335</v>
      </c>
      <c r="W104" s="993" t="s">
        <v>156</v>
      </c>
      <c r="X104" s="48">
        <v>44741</v>
      </c>
      <c r="Y104" s="39" t="s">
        <v>496</v>
      </c>
      <c r="Z104" s="48">
        <v>44741</v>
      </c>
      <c r="AA104" s="48">
        <v>44926</v>
      </c>
      <c r="AB104" s="38" t="s">
        <v>3113</v>
      </c>
      <c r="AC104" s="38"/>
      <c r="AD104" s="59"/>
      <c r="AE104" s="59"/>
      <c r="AF104" s="59"/>
      <c r="AG104" s="59"/>
      <c r="AH104" s="39"/>
      <c r="AI104" s="38" t="s">
        <v>4987</v>
      </c>
      <c r="AJ104" s="233" t="s">
        <v>4988</v>
      </c>
      <c r="AK104" s="234">
        <v>44873</v>
      </c>
      <c r="AL104" s="235">
        <v>238467</v>
      </c>
      <c r="AM104" s="163" t="str">
        <f t="shared" ca="1" si="40"/>
        <v>MUERTO</v>
      </c>
      <c r="AN104" s="39"/>
      <c r="AO104" s="39"/>
      <c r="AP104" s="39" t="s">
        <v>496</v>
      </c>
      <c r="AQ104" s="39" t="s">
        <v>892</v>
      </c>
      <c r="AR104" s="39" t="s">
        <v>496</v>
      </c>
      <c r="AS104" s="39"/>
      <c r="AT104" s="39"/>
      <c r="AU104" s="51"/>
      <c r="AV104" s="50"/>
      <c r="AW104" s="38"/>
      <c r="AX104" s="52"/>
      <c r="AY104" s="170" t="s">
        <v>4995</v>
      </c>
      <c r="AZ104" s="38"/>
      <c r="BA104" s="38" t="s">
        <v>4996</v>
      </c>
      <c r="BB104" s="73">
        <f t="shared" si="36"/>
        <v>0</v>
      </c>
      <c r="BC104" s="159"/>
      <c r="BD104" s="59">
        <v>44736</v>
      </c>
      <c r="BE104" s="59">
        <v>44739</v>
      </c>
      <c r="BF104" s="58">
        <v>44742</v>
      </c>
      <c r="BG104" s="59">
        <f t="shared" si="37"/>
        <v>44742</v>
      </c>
      <c r="BH104" s="183" t="str">
        <f t="shared" si="41"/>
        <v>Contrato formalizado con FC 15/7
Modificatorio formalizado con endoso de FC 30/11/22</v>
      </c>
      <c r="BI104" s="195" t="s">
        <v>4997</v>
      </c>
      <c r="BJ104" s="185" t="s">
        <v>4998</v>
      </c>
      <c r="BK104" s="186" t="str">
        <f t="shared" si="34"/>
        <v>Contrato formalizado con FC 15/7
Modificatorio formalizado con endoso de FC 30/11/22</v>
      </c>
      <c r="BL104" s="84"/>
      <c r="BM104" s="84"/>
      <c r="BN104" s="84"/>
      <c r="BO104" s="84"/>
      <c r="BP104" s="84"/>
    </row>
    <row r="105" spans="1:71" ht="135" x14ac:dyDescent="0.25">
      <c r="A105" s="196" t="s">
        <v>4999</v>
      </c>
      <c r="B105" s="3">
        <v>99</v>
      </c>
      <c r="C105" s="167" t="s">
        <v>225</v>
      </c>
      <c r="D105" s="39" t="s">
        <v>173</v>
      </c>
      <c r="E105" s="40" t="s">
        <v>4984</v>
      </c>
      <c r="F105" s="39" t="s">
        <v>173</v>
      </c>
      <c r="G105" s="39"/>
      <c r="H105" s="39" t="s">
        <v>3785</v>
      </c>
      <c r="I105" s="42"/>
      <c r="J105" s="41" t="s">
        <v>392</v>
      </c>
      <c r="K105" s="41" t="s">
        <v>3851</v>
      </c>
      <c r="L105" s="41" t="s">
        <v>3852</v>
      </c>
      <c r="M105" s="42" t="str">
        <f t="shared" si="38"/>
        <v>Roberto Blanco Senties</v>
      </c>
      <c r="N105" s="991" t="s">
        <v>198</v>
      </c>
      <c r="O105" s="991" t="s">
        <v>198</v>
      </c>
      <c r="P105" s="991" t="s">
        <v>5000</v>
      </c>
      <c r="Q105" s="992">
        <v>1678200</v>
      </c>
      <c r="R105" s="44">
        <f t="shared" si="35"/>
        <v>268512</v>
      </c>
      <c r="S105" s="45">
        <f t="shared" si="42"/>
        <v>1946712</v>
      </c>
      <c r="T105" s="46">
        <v>757300</v>
      </c>
      <c r="U105" s="47">
        <f t="shared" si="33"/>
        <v>878468</v>
      </c>
      <c r="V105" s="235">
        <f t="shared" si="39"/>
        <v>2433390</v>
      </c>
      <c r="W105" s="993" t="s">
        <v>156</v>
      </c>
      <c r="X105" s="48">
        <v>44741</v>
      </c>
      <c r="Y105" s="39" t="s">
        <v>496</v>
      </c>
      <c r="Z105" s="48">
        <v>44741</v>
      </c>
      <c r="AA105" s="48">
        <v>44926</v>
      </c>
      <c r="AB105" s="38" t="s">
        <v>3113</v>
      </c>
      <c r="AC105" s="38"/>
      <c r="AD105" s="59"/>
      <c r="AE105" s="59"/>
      <c r="AF105" s="59"/>
      <c r="AG105" s="59"/>
      <c r="AH105" s="39"/>
      <c r="AI105" s="38" t="s">
        <v>4987</v>
      </c>
      <c r="AJ105" s="233" t="s">
        <v>4988</v>
      </c>
      <c r="AK105" s="234">
        <v>44873</v>
      </c>
      <c r="AL105" s="235">
        <v>486678</v>
      </c>
      <c r="AM105" s="163" t="str">
        <f t="shared" ca="1" si="40"/>
        <v>MUERTO</v>
      </c>
      <c r="AN105" s="39"/>
      <c r="AO105" s="39"/>
      <c r="AP105" s="39" t="s">
        <v>496</v>
      </c>
      <c r="AQ105" s="39" t="s">
        <v>892</v>
      </c>
      <c r="AR105" s="39" t="s">
        <v>496</v>
      </c>
      <c r="AS105" s="39"/>
      <c r="AT105" s="39"/>
      <c r="AU105" s="51"/>
      <c r="AV105" s="50"/>
      <c r="AW105" s="38"/>
      <c r="AX105" s="52"/>
      <c r="AY105" s="170" t="s">
        <v>5001</v>
      </c>
      <c r="AZ105" s="38"/>
      <c r="BA105" s="38" t="s">
        <v>5002</v>
      </c>
      <c r="BB105" s="73">
        <f t="shared" si="36"/>
        <v>0</v>
      </c>
      <c r="BC105" s="159"/>
      <c r="BD105" s="59">
        <v>44739</v>
      </c>
      <c r="BE105" s="59">
        <v>44739</v>
      </c>
      <c r="BF105" s="58">
        <v>44742</v>
      </c>
      <c r="BG105" s="59">
        <f t="shared" si="37"/>
        <v>44742</v>
      </c>
      <c r="BH105" s="183" t="str">
        <f t="shared" si="41"/>
        <v>Contrato formalizado con FC 12/07
Modific formalizado con endoso de FC 05/12/22</v>
      </c>
      <c r="BI105" s="195" t="s">
        <v>5003</v>
      </c>
      <c r="BJ105" s="185" t="s">
        <v>5004</v>
      </c>
      <c r="BK105" s="186" t="str">
        <f t="shared" si="34"/>
        <v>Contrato formalizado con FC 12/07
Modific formalizado con endoso de FC 05/12/22</v>
      </c>
      <c r="BL105" s="84"/>
      <c r="BM105" s="84"/>
      <c r="BN105" s="84"/>
      <c r="BO105" s="84"/>
      <c r="BP105" s="84"/>
    </row>
    <row r="106" spans="1:71" s="468" customFormat="1" ht="60" x14ac:dyDescent="0.25">
      <c r="A106" s="168" t="s">
        <v>5005</v>
      </c>
      <c r="B106" s="3">
        <v>100</v>
      </c>
      <c r="C106" s="167" t="s">
        <v>149</v>
      </c>
      <c r="D106" s="39" t="s">
        <v>151</v>
      </c>
      <c r="E106" s="40" t="s">
        <v>5006</v>
      </c>
      <c r="F106" s="39" t="s">
        <v>151</v>
      </c>
      <c r="G106" s="39"/>
      <c r="H106" s="39" t="s">
        <v>3793</v>
      </c>
      <c r="I106" s="42" t="s">
        <v>1900</v>
      </c>
      <c r="J106" s="41"/>
      <c r="K106" s="41"/>
      <c r="L106" s="41"/>
      <c r="M106" s="42" t="str">
        <f t="shared" si="38"/>
        <v xml:space="preserve">Especialistas en Acabados Profesionales, S.A. de C.V.  </v>
      </c>
      <c r="N106" s="991" t="s">
        <v>198</v>
      </c>
      <c r="O106" s="991" t="s">
        <v>198</v>
      </c>
      <c r="P106" s="991" t="s">
        <v>5007</v>
      </c>
      <c r="Q106" s="992">
        <v>1397896.034</v>
      </c>
      <c r="R106" s="44">
        <f t="shared" si="35"/>
        <v>223663.36543999999</v>
      </c>
      <c r="S106" s="45">
        <f t="shared" si="42"/>
        <v>1621559.3994400001</v>
      </c>
      <c r="T106" s="46">
        <v>0</v>
      </c>
      <c r="U106" s="47">
        <f t="shared" si="33"/>
        <v>0</v>
      </c>
      <c r="V106" s="44">
        <f t="shared" si="39"/>
        <v>1621559.3994400001</v>
      </c>
      <c r="W106" s="993" t="s">
        <v>156</v>
      </c>
      <c r="X106" s="48">
        <v>44742</v>
      </c>
      <c r="Y106" s="39" t="s">
        <v>496</v>
      </c>
      <c r="Z106" s="48">
        <v>44742</v>
      </c>
      <c r="AA106" s="48">
        <v>44845</v>
      </c>
      <c r="AB106" s="38" t="s">
        <v>4816</v>
      </c>
      <c r="AC106" s="38"/>
      <c r="AD106" s="59"/>
      <c r="AE106" s="59"/>
      <c r="AF106" s="59"/>
      <c r="AG106" s="59"/>
      <c r="AH106" s="39"/>
      <c r="AI106" s="38"/>
      <c r="AJ106" s="38"/>
      <c r="AK106" s="50"/>
      <c r="AL106" s="44"/>
      <c r="AM106" s="163" t="str">
        <f t="shared" ca="1" si="40"/>
        <v>MUERTO</v>
      </c>
      <c r="AN106" s="39"/>
      <c r="AO106" s="39"/>
      <c r="AP106" s="39" t="s">
        <v>496</v>
      </c>
      <c r="AQ106" s="39"/>
      <c r="AR106" s="39" t="s">
        <v>496</v>
      </c>
      <c r="AS106" s="39"/>
      <c r="AT106" s="39"/>
      <c r="AU106" s="51"/>
      <c r="AV106" s="50"/>
      <c r="AW106" s="38"/>
      <c r="AX106" s="52"/>
      <c r="AY106" s="170" t="s">
        <v>5008</v>
      </c>
      <c r="AZ106" s="38"/>
      <c r="BA106" s="38" t="s">
        <v>5009</v>
      </c>
      <c r="BB106" s="73">
        <f t="shared" si="36"/>
        <v>0</v>
      </c>
      <c r="BC106" s="159"/>
      <c r="BD106" s="59">
        <v>44739</v>
      </c>
      <c r="BE106" s="59">
        <v>44740</v>
      </c>
      <c r="BF106" s="58" t="s">
        <v>5010</v>
      </c>
      <c r="BG106" s="59" t="str">
        <f t="shared" si="37"/>
        <v xml:space="preserve">  </v>
      </c>
      <c r="BH106" s="183" t="str">
        <f t="shared" si="41"/>
        <v>Contrato formalizado con FC y PRC 14/07</v>
      </c>
      <c r="BI106" s="195">
        <v>44753</v>
      </c>
      <c r="BJ106" s="185">
        <v>44747</v>
      </c>
      <c r="BK106" s="186" t="str">
        <f t="shared" si="34"/>
        <v>Contrato formalizado con FC y PRC 14/07</v>
      </c>
      <c r="BL106" s="84"/>
      <c r="BM106" s="84"/>
      <c r="BN106" s="84"/>
      <c r="BO106" s="84"/>
      <c r="BP106" s="84"/>
      <c r="BQ106"/>
      <c r="BR106"/>
      <c r="BS106"/>
    </row>
    <row r="107" spans="1:71" ht="75" x14ac:dyDescent="0.25">
      <c r="A107" s="168" t="s">
        <v>5011</v>
      </c>
      <c r="B107" s="3">
        <v>101</v>
      </c>
      <c r="C107" s="167" t="s">
        <v>149</v>
      </c>
      <c r="D107" s="39" t="s">
        <v>173</v>
      </c>
      <c r="E107" s="40" t="s">
        <v>5012</v>
      </c>
      <c r="F107" s="39" t="s">
        <v>173</v>
      </c>
      <c r="G107" s="39"/>
      <c r="H107" s="39" t="s">
        <v>3785</v>
      </c>
      <c r="I107" s="42" t="s">
        <v>655</v>
      </c>
      <c r="J107" s="41"/>
      <c r="K107" s="41"/>
      <c r="L107" s="41"/>
      <c r="M107" s="42" t="str">
        <f t="shared" si="38"/>
        <v xml:space="preserve">Neixar Systems, S.A. de C.V.  </v>
      </c>
      <c r="N107" s="991" t="s">
        <v>656</v>
      </c>
      <c r="O107" s="991" t="s">
        <v>656</v>
      </c>
      <c r="P107" s="991" t="s">
        <v>5013</v>
      </c>
      <c r="Q107" s="992">
        <v>7494999.9900000002</v>
      </c>
      <c r="R107" s="44">
        <f t="shared" si="35"/>
        <v>1199199.9984000002</v>
      </c>
      <c r="S107" s="45">
        <f t="shared" si="42"/>
        <v>8694199.9884000011</v>
      </c>
      <c r="T107" s="46">
        <v>0</v>
      </c>
      <c r="U107" s="47">
        <f t="shared" si="33"/>
        <v>0</v>
      </c>
      <c r="V107" s="44">
        <f t="shared" si="39"/>
        <v>8694199.9884000011</v>
      </c>
      <c r="W107" s="993" t="s">
        <v>156</v>
      </c>
      <c r="X107" s="48">
        <v>44754</v>
      </c>
      <c r="Y107" s="39" t="s">
        <v>696</v>
      </c>
      <c r="Z107" s="48">
        <v>44754</v>
      </c>
      <c r="AA107" s="48">
        <v>44926</v>
      </c>
      <c r="AB107" s="38" t="s">
        <v>5014</v>
      </c>
      <c r="AC107" s="38"/>
      <c r="AD107" s="59"/>
      <c r="AE107" s="59"/>
      <c r="AF107" s="59"/>
      <c r="AG107" s="59"/>
      <c r="AH107" s="39"/>
      <c r="AI107" s="38"/>
      <c r="AJ107" s="38"/>
      <c r="AK107" s="50"/>
      <c r="AL107" s="44"/>
      <c r="AM107" s="163" t="str">
        <f t="shared" ca="1" si="40"/>
        <v>MUERTO</v>
      </c>
      <c r="AN107" s="39"/>
      <c r="AO107" s="39"/>
      <c r="AP107" s="39" t="s">
        <v>696</v>
      </c>
      <c r="AQ107" s="39"/>
      <c r="AR107" s="39" t="s">
        <v>696</v>
      </c>
      <c r="AS107" s="39"/>
      <c r="AT107" s="58">
        <v>44960</v>
      </c>
      <c r="AU107" s="51"/>
      <c r="AV107" s="50"/>
      <c r="AW107" s="38"/>
      <c r="AX107" s="52"/>
      <c r="AY107" s="170" t="s">
        <v>5015</v>
      </c>
      <c r="AZ107" s="38"/>
      <c r="BA107" s="38"/>
      <c r="BB107" s="73">
        <f t="shared" si="36"/>
        <v>0</v>
      </c>
      <c r="BC107" s="159"/>
      <c r="BD107" s="59">
        <v>44749</v>
      </c>
      <c r="BE107" s="59">
        <v>44750</v>
      </c>
      <c r="BF107" s="58">
        <v>44754</v>
      </c>
      <c r="BG107" s="59">
        <f t="shared" si="37"/>
        <v>44754</v>
      </c>
      <c r="BH107" s="183" t="str">
        <f t="shared" si="41"/>
        <v>Contrato formalizado con garantías 08/08</v>
      </c>
      <c r="BI107" s="195">
        <v>44757</v>
      </c>
      <c r="BJ107" s="185">
        <v>44755</v>
      </c>
      <c r="BK107" s="186" t="str">
        <f t="shared" si="34"/>
        <v>Contrato formalizado con garantías 08/08</v>
      </c>
      <c r="BL107" s="84"/>
      <c r="BM107" s="84"/>
      <c r="BN107" s="84"/>
      <c r="BO107" s="84"/>
      <c r="BP107" s="84"/>
    </row>
    <row r="108" spans="1:71" s="468" customFormat="1" ht="105" x14ac:dyDescent="0.25">
      <c r="A108" s="168" t="s">
        <v>5016</v>
      </c>
      <c r="B108" s="3">
        <v>102</v>
      </c>
      <c r="C108" s="167" t="s">
        <v>149</v>
      </c>
      <c r="D108" s="39" t="s">
        <v>173</v>
      </c>
      <c r="E108" s="40" t="s">
        <v>5017</v>
      </c>
      <c r="F108" s="39" t="s">
        <v>173</v>
      </c>
      <c r="G108" s="39"/>
      <c r="H108" s="39" t="s">
        <v>3785</v>
      </c>
      <c r="I108" s="42" t="s">
        <v>1966</v>
      </c>
      <c r="J108" s="41"/>
      <c r="K108" s="41"/>
      <c r="L108" s="41"/>
      <c r="M108" s="42" t="str">
        <f t="shared" si="38"/>
        <v xml:space="preserve">Corporate Accon en Conocimientos e Ingeniería, S.A. de C.V.  </v>
      </c>
      <c r="N108" s="991" t="s">
        <v>198</v>
      </c>
      <c r="O108" s="991" t="s">
        <v>198</v>
      </c>
      <c r="P108" s="991" t="s">
        <v>5018</v>
      </c>
      <c r="Q108" s="1035">
        <v>4381490.0199999996</v>
      </c>
      <c r="R108" s="44">
        <f t="shared" si="35"/>
        <v>701038.40319999994</v>
      </c>
      <c r="S108" s="45">
        <f t="shared" si="42"/>
        <v>5082528.4231999991</v>
      </c>
      <c r="T108" s="46">
        <v>0</v>
      </c>
      <c r="U108" s="47">
        <f t="shared" si="33"/>
        <v>0</v>
      </c>
      <c r="V108" s="44">
        <f t="shared" si="39"/>
        <v>5082528.4231999991</v>
      </c>
      <c r="W108" s="993" t="s">
        <v>156</v>
      </c>
      <c r="X108" s="48">
        <v>44755</v>
      </c>
      <c r="Y108" s="39" t="s">
        <v>696</v>
      </c>
      <c r="Z108" s="48">
        <v>44755</v>
      </c>
      <c r="AA108" s="48">
        <v>44865</v>
      </c>
      <c r="AB108" s="38" t="s">
        <v>5019</v>
      </c>
      <c r="AC108" s="38"/>
      <c r="AD108" s="59"/>
      <c r="AE108" s="59"/>
      <c r="AF108" s="59"/>
      <c r="AG108" s="59"/>
      <c r="AH108" s="39"/>
      <c r="AI108" s="38" t="s">
        <v>5020</v>
      </c>
      <c r="AJ108" s="38"/>
      <c r="AK108" s="50"/>
      <c r="AL108" s="44"/>
      <c r="AM108" s="163" t="str">
        <f t="shared" ca="1" si="40"/>
        <v>MUERTO</v>
      </c>
      <c r="AN108" s="39"/>
      <c r="AO108" s="39"/>
      <c r="AP108" s="39" t="s">
        <v>696</v>
      </c>
      <c r="AQ108" s="39"/>
      <c r="AR108" s="39" t="s">
        <v>696</v>
      </c>
      <c r="AS108" s="39"/>
      <c r="AT108" s="58">
        <v>44960</v>
      </c>
      <c r="AU108" s="51"/>
      <c r="AV108" s="50"/>
      <c r="AW108" s="38"/>
      <c r="AX108" s="52"/>
      <c r="AY108" s="170" t="s">
        <v>5021</v>
      </c>
      <c r="AZ108" s="38"/>
      <c r="BA108" s="38"/>
      <c r="BB108" s="73"/>
      <c r="BC108" s="55"/>
      <c r="BD108" s="59">
        <v>44753</v>
      </c>
      <c r="BE108" s="59">
        <v>44754</v>
      </c>
      <c r="BF108" s="58">
        <v>44756</v>
      </c>
      <c r="BG108" s="59">
        <f t="shared" si="37"/>
        <v>44756</v>
      </c>
      <c r="BH108" s="183" t="str">
        <f t="shared" si="41"/>
        <v>Contrato formalizado con garantías 09/08</v>
      </c>
      <c r="BI108" s="227">
        <v>44775</v>
      </c>
      <c r="BJ108" s="185">
        <v>44761</v>
      </c>
      <c r="BK108" s="186" t="str">
        <f t="shared" si="34"/>
        <v>Contrato formalizado con garantías 09/08</v>
      </c>
      <c r="BL108" s="84"/>
      <c r="BM108" s="84"/>
      <c r="BN108" s="84"/>
      <c r="BO108" s="84"/>
      <c r="BP108" s="84"/>
      <c r="BQ108"/>
      <c r="BR108"/>
      <c r="BS108"/>
    </row>
    <row r="109" spans="1:71" ht="105" x14ac:dyDescent="0.25">
      <c r="A109" s="168" t="s">
        <v>5022</v>
      </c>
      <c r="B109" s="3">
        <v>103</v>
      </c>
      <c r="C109" s="167" t="s">
        <v>149</v>
      </c>
      <c r="D109" s="39" t="s">
        <v>163</v>
      </c>
      <c r="E109" s="40" t="s">
        <v>5023</v>
      </c>
      <c r="F109" s="39" t="s">
        <v>163</v>
      </c>
      <c r="G109" s="39" t="s">
        <v>163</v>
      </c>
      <c r="H109" s="39" t="s">
        <v>2064</v>
      </c>
      <c r="I109" s="42"/>
      <c r="J109" s="41" t="s">
        <v>5024</v>
      </c>
      <c r="K109" s="41" t="s">
        <v>5025</v>
      </c>
      <c r="L109" s="41" t="s">
        <v>5026</v>
      </c>
      <c r="M109" s="42" t="str">
        <f t="shared" si="38"/>
        <v xml:space="preserve">María Yuriria Álvarez Madrid  </v>
      </c>
      <c r="N109" s="991" t="s">
        <v>5027</v>
      </c>
      <c r="O109" s="991" t="s">
        <v>5027</v>
      </c>
      <c r="P109" s="991" t="s">
        <v>5028</v>
      </c>
      <c r="Q109" s="992">
        <v>2652000</v>
      </c>
      <c r="R109" s="44">
        <f t="shared" si="35"/>
        <v>424320</v>
      </c>
      <c r="S109" s="45">
        <f t="shared" si="42"/>
        <v>3076320</v>
      </c>
      <c r="T109" s="46">
        <v>0</v>
      </c>
      <c r="U109" s="47">
        <f t="shared" si="33"/>
        <v>0</v>
      </c>
      <c r="V109" s="44">
        <f t="shared" si="39"/>
        <v>3076320</v>
      </c>
      <c r="W109" s="993" t="s">
        <v>156</v>
      </c>
      <c r="X109" s="48">
        <v>44764</v>
      </c>
      <c r="Y109" s="39" t="s">
        <v>696</v>
      </c>
      <c r="Z109" s="48">
        <v>44764</v>
      </c>
      <c r="AA109" s="48">
        <v>44910</v>
      </c>
      <c r="AB109" s="38" t="s">
        <v>2050</v>
      </c>
      <c r="AC109" s="38"/>
      <c r="AD109" s="59"/>
      <c r="AE109" s="59"/>
      <c r="AF109" s="59"/>
      <c r="AG109" s="59"/>
      <c r="AH109" s="39"/>
      <c r="AI109" s="38"/>
      <c r="AJ109" s="38"/>
      <c r="AK109" s="50"/>
      <c r="AL109" s="44"/>
      <c r="AM109" s="163" t="str">
        <f t="shared" ca="1" si="40"/>
        <v>MUERTO</v>
      </c>
      <c r="AN109" s="39"/>
      <c r="AO109" s="39"/>
      <c r="AP109" s="39" t="s">
        <v>696</v>
      </c>
      <c r="AQ109" s="39"/>
      <c r="AR109" s="39" t="s">
        <v>696</v>
      </c>
      <c r="AS109" s="39"/>
      <c r="AT109" s="58">
        <v>44960</v>
      </c>
      <c r="AU109" s="51"/>
      <c r="AV109" s="50"/>
      <c r="AW109" s="38"/>
      <c r="AX109" s="52"/>
      <c r="AY109" s="170" t="s">
        <v>5029</v>
      </c>
      <c r="AZ109" s="38"/>
      <c r="BA109" s="38"/>
      <c r="BB109" s="73">
        <f t="shared" ref="BB109:BB128" si="43">AN109</f>
        <v>0</v>
      </c>
      <c r="BC109" s="159"/>
      <c r="BD109" s="59">
        <v>44762</v>
      </c>
      <c r="BE109" s="59">
        <v>44763</v>
      </c>
      <c r="BF109" s="58">
        <v>44763</v>
      </c>
      <c r="BG109" s="59">
        <f t="shared" si="37"/>
        <v>44763</v>
      </c>
      <c r="BH109" s="183" t="str">
        <f t="shared" si="41"/>
        <v>Contrato formalizado en tesorería 25/07</v>
      </c>
      <c r="BI109" s="227">
        <v>44767</v>
      </c>
      <c r="BJ109" s="185">
        <v>44764</v>
      </c>
      <c r="BK109" s="186" t="str">
        <f t="shared" si="34"/>
        <v>Contrato formalizado en tesorería 25/07</v>
      </c>
      <c r="BL109" s="84"/>
      <c r="BM109" s="84"/>
      <c r="BN109" s="84"/>
      <c r="BO109" s="84"/>
      <c r="BP109" s="84"/>
    </row>
    <row r="110" spans="1:71" ht="210" x14ac:dyDescent="0.25">
      <c r="A110" s="196" t="s">
        <v>5030</v>
      </c>
      <c r="B110" s="3">
        <v>104</v>
      </c>
      <c r="C110" s="167" t="s">
        <v>225</v>
      </c>
      <c r="D110" s="39" t="s">
        <v>151</v>
      </c>
      <c r="E110" s="40" t="s">
        <v>5031</v>
      </c>
      <c r="F110" s="39" t="s">
        <v>151</v>
      </c>
      <c r="G110" s="39"/>
      <c r="H110" s="39" t="s">
        <v>3793</v>
      </c>
      <c r="I110" s="42"/>
      <c r="J110" s="41" t="s">
        <v>4287</v>
      </c>
      <c r="K110" s="41" t="s">
        <v>4288</v>
      </c>
      <c r="L110" s="41" t="s">
        <v>5032</v>
      </c>
      <c r="M110" s="42" t="str">
        <f t="shared" si="38"/>
        <v>Oscar Alonso Olguín Osnaya</v>
      </c>
      <c r="N110" s="991" t="s">
        <v>763</v>
      </c>
      <c r="O110" s="991" t="s">
        <v>763</v>
      </c>
      <c r="P110" s="991" t="s">
        <v>5033</v>
      </c>
      <c r="Q110" s="992">
        <v>1457500</v>
      </c>
      <c r="R110" s="44">
        <f t="shared" si="35"/>
        <v>233200</v>
      </c>
      <c r="S110" s="45">
        <f t="shared" si="42"/>
        <v>1690700</v>
      </c>
      <c r="T110" s="46">
        <v>0</v>
      </c>
      <c r="U110" s="47">
        <f t="shared" si="33"/>
        <v>0</v>
      </c>
      <c r="V110" s="44">
        <f t="shared" si="39"/>
        <v>1690700</v>
      </c>
      <c r="W110" s="993" t="s">
        <v>156</v>
      </c>
      <c r="X110" s="48">
        <v>44764</v>
      </c>
      <c r="Y110" s="39" t="s">
        <v>696</v>
      </c>
      <c r="Z110" s="48">
        <v>44764</v>
      </c>
      <c r="AA110" s="48">
        <v>44788</v>
      </c>
      <c r="AB110" s="211" t="s">
        <v>5034</v>
      </c>
      <c r="AC110" s="38"/>
      <c r="AD110" s="59"/>
      <c r="AE110" s="59"/>
      <c r="AF110" s="59"/>
      <c r="AG110" s="59"/>
      <c r="AH110" s="39"/>
      <c r="AI110" s="38" t="s">
        <v>5035</v>
      </c>
      <c r="AJ110" s="233" t="s">
        <v>5036</v>
      </c>
      <c r="AK110" s="234">
        <v>44774</v>
      </c>
      <c r="AL110" s="235">
        <v>0</v>
      </c>
      <c r="AM110" s="163" t="str">
        <f t="shared" ca="1" si="40"/>
        <v>MUERTO</v>
      </c>
      <c r="AN110" s="39"/>
      <c r="AO110" s="39"/>
      <c r="AP110" s="39" t="s">
        <v>696</v>
      </c>
      <c r="AQ110" s="39" t="s">
        <v>815</v>
      </c>
      <c r="AR110" s="39" t="s">
        <v>696</v>
      </c>
      <c r="AS110" s="39"/>
      <c r="AT110" s="58">
        <v>44960</v>
      </c>
      <c r="AU110" s="51"/>
      <c r="AV110" s="50"/>
      <c r="AW110" s="38"/>
      <c r="AX110" s="52"/>
      <c r="AY110" s="232" t="s">
        <v>5037</v>
      </c>
      <c r="AZ110" s="38"/>
      <c r="BA110" s="38"/>
      <c r="BB110" s="73">
        <f t="shared" si="43"/>
        <v>0</v>
      </c>
      <c r="BC110" s="159"/>
      <c r="BD110" s="59">
        <v>44761</v>
      </c>
      <c r="BE110" s="59">
        <v>44763</v>
      </c>
      <c r="BF110" s="58">
        <v>44764</v>
      </c>
      <c r="BG110" s="59">
        <f t="shared" si="37"/>
        <v>44764</v>
      </c>
      <c r="BH110" s="183" t="str">
        <f t="shared" si="41"/>
        <v>Contrato Formalizado y  Convenio de Terminación de Contrato 03/08</v>
      </c>
      <c r="BI110" s="228" t="s">
        <v>5038</v>
      </c>
      <c r="BJ110" s="185" t="s">
        <v>5039</v>
      </c>
      <c r="BK110" s="186" t="str">
        <f t="shared" si="34"/>
        <v>Contrato Formalizado y  Convenio de Terminación de Contrato 03/08</v>
      </c>
      <c r="BL110" s="84"/>
      <c r="BM110" s="84"/>
      <c r="BN110" s="84"/>
      <c r="BO110" s="84"/>
      <c r="BP110" s="84"/>
    </row>
    <row r="111" spans="1:71" ht="60" x14ac:dyDescent="0.25">
      <c r="A111" s="168" t="s">
        <v>5040</v>
      </c>
      <c r="B111" s="3">
        <v>105</v>
      </c>
      <c r="C111" s="167" t="s">
        <v>149</v>
      </c>
      <c r="D111" s="39" t="s">
        <v>173</v>
      </c>
      <c r="E111" s="40" t="s">
        <v>5041</v>
      </c>
      <c r="F111" s="39" t="s">
        <v>173</v>
      </c>
      <c r="G111" s="39"/>
      <c r="H111" s="39" t="s">
        <v>3785</v>
      </c>
      <c r="I111" s="42" t="s">
        <v>5042</v>
      </c>
      <c r="J111" s="41"/>
      <c r="K111" s="41"/>
      <c r="L111" s="41"/>
      <c r="M111" s="42" t="str">
        <f t="shared" si="38"/>
        <v xml:space="preserve">Cryptex Seguridad Privada Mexicana, S.A. de C.V.  </v>
      </c>
      <c r="N111" s="991" t="s">
        <v>860</v>
      </c>
      <c r="O111" s="991" t="s">
        <v>860</v>
      </c>
      <c r="P111" s="991" t="s">
        <v>5043</v>
      </c>
      <c r="Q111" s="992">
        <v>4905000</v>
      </c>
      <c r="R111" s="44">
        <f t="shared" si="35"/>
        <v>784800</v>
      </c>
      <c r="S111" s="45">
        <f t="shared" si="42"/>
        <v>5689800</v>
      </c>
      <c r="T111" s="46">
        <v>0</v>
      </c>
      <c r="U111" s="47">
        <f t="shared" si="33"/>
        <v>0</v>
      </c>
      <c r="V111" s="44">
        <f t="shared" si="39"/>
        <v>5689800</v>
      </c>
      <c r="W111" s="993" t="s">
        <v>156</v>
      </c>
      <c r="X111" s="48">
        <v>44764</v>
      </c>
      <c r="Y111" s="39" t="s">
        <v>696</v>
      </c>
      <c r="Z111" s="48">
        <v>44764</v>
      </c>
      <c r="AA111" s="48">
        <v>44926</v>
      </c>
      <c r="AB111" s="38" t="s">
        <v>3113</v>
      </c>
      <c r="AC111" s="38"/>
      <c r="AD111" s="59"/>
      <c r="AE111" s="59"/>
      <c r="AF111" s="59"/>
      <c r="AG111" s="59"/>
      <c r="AH111" s="39"/>
      <c r="AI111" s="38"/>
      <c r="AJ111" s="38"/>
      <c r="AK111" s="50"/>
      <c r="AL111" s="44"/>
      <c r="AM111" s="163" t="str">
        <f t="shared" ca="1" si="40"/>
        <v>MUERTO</v>
      </c>
      <c r="AN111" s="39"/>
      <c r="AO111" s="39"/>
      <c r="AP111" s="39" t="s">
        <v>696</v>
      </c>
      <c r="AQ111" s="39"/>
      <c r="AR111" s="39" t="s">
        <v>696</v>
      </c>
      <c r="AS111" s="39"/>
      <c r="AT111" s="58">
        <v>44960</v>
      </c>
      <c r="AU111" s="51"/>
      <c r="AV111" s="50"/>
      <c r="AW111" s="38"/>
      <c r="AX111" s="52"/>
      <c r="AY111" s="170" t="s">
        <v>5044</v>
      </c>
      <c r="AZ111" s="38"/>
      <c r="BA111" s="38"/>
      <c r="BB111" s="73">
        <f t="shared" si="43"/>
        <v>0</v>
      </c>
      <c r="BC111" s="159"/>
      <c r="BD111" s="59">
        <v>44761</v>
      </c>
      <c r="BE111" s="59">
        <v>44763</v>
      </c>
      <c r="BF111" s="58">
        <v>44767</v>
      </c>
      <c r="BG111" s="59">
        <f t="shared" si="37"/>
        <v>44767</v>
      </c>
      <c r="BH111" s="183" t="str">
        <f t="shared" si="41"/>
        <v>Contrato formalizado con FC 12/08</v>
      </c>
      <c r="BI111" s="195">
        <v>44769</v>
      </c>
      <c r="BJ111" s="185">
        <v>44767</v>
      </c>
      <c r="BK111" s="186" t="str">
        <f t="shared" si="34"/>
        <v>Contrato formalizado con FC 12/08</v>
      </c>
      <c r="BL111" s="84"/>
      <c r="BM111" s="84"/>
      <c r="BN111" s="84"/>
      <c r="BO111" s="84"/>
      <c r="BP111" s="84"/>
    </row>
    <row r="112" spans="1:71" s="468" customFormat="1" ht="75" x14ac:dyDescent="0.25">
      <c r="A112" s="168" t="s">
        <v>5045</v>
      </c>
      <c r="B112" s="3">
        <v>106</v>
      </c>
      <c r="C112" s="167" t="s">
        <v>149</v>
      </c>
      <c r="D112" s="39" t="s">
        <v>163</v>
      </c>
      <c r="E112" s="40" t="s">
        <v>5046</v>
      </c>
      <c r="F112" s="3" t="s">
        <v>2237</v>
      </c>
      <c r="G112" s="685" t="s">
        <v>546</v>
      </c>
      <c r="H112" s="39" t="s">
        <v>4185</v>
      </c>
      <c r="I112" s="42" t="s">
        <v>2979</v>
      </c>
      <c r="J112" s="41"/>
      <c r="K112" s="41"/>
      <c r="L112" s="41"/>
      <c r="M112" s="42" t="str">
        <f t="shared" si="38"/>
        <v xml:space="preserve">Ingenieros Mafur, S.A. de C.V.  </v>
      </c>
      <c r="N112" s="991" t="s">
        <v>5047</v>
      </c>
      <c r="O112" s="991" t="s">
        <v>5047</v>
      </c>
      <c r="P112" s="991" t="s">
        <v>5048</v>
      </c>
      <c r="Q112" s="992">
        <v>6700000</v>
      </c>
      <c r="R112" s="44">
        <f t="shared" si="35"/>
        <v>1072000</v>
      </c>
      <c r="S112" s="45">
        <f t="shared" si="42"/>
        <v>7772000</v>
      </c>
      <c r="T112" s="46">
        <v>0</v>
      </c>
      <c r="U112" s="47">
        <f t="shared" si="33"/>
        <v>0</v>
      </c>
      <c r="V112" s="44">
        <f t="shared" si="39"/>
        <v>7772000</v>
      </c>
      <c r="W112" s="993" t="s">
        <v>156</v>
      </c>
      <c r="X112" s="48">
        <v>44769</v>
      </c>
      <c r="Y112" s="39" t="s">
        <v>696</v>
      </c>
      <c r="Z112" s="48">
        <v>44769</v>
      </c>
      <c r="AA112" s="48">
        <v>44926</v>
      </c>
      <c r="AB112" s="38" t="s">
        <v>5049</v>
      </c>
      <c r="AC112" s="38"/>
      <c r="AD112" s="59"/>
      <c r="AE112" s="59"/>
      <c r="AF112" s="59"/>
      <c r="AG112" s="59"/>
      <c r="AH112" s="39"/>
      <c r="AI112" s="38"/>
      <c r="AJ112" s="38"/>
      <c r="AK112" s="50"/>
      <c r="AL112" s="44"/>
      <c r="AM112" s="163" t="str">
        <f t="shared" ca="1" si="40"/>
        <v>MUERTO</v>
      </c>
      <c r="AN112" s="39"/>
      <c r="AO112" s="39"/>
      <c r="AP112" s="39" t="s">
        <v>696</v>
      </c>
      <c r="AQ112" s="39"/>
      <c r="AR112" s="39" t="s">
        <v>696</v>
      </c>
      <c r="AS112" s="39"/>
      <c r="AT112" s="58">
        <v>44960</v>
      </c>
      <c r="AU112" s="51"/>
      <c r="AV112" s="50"/>
      <c r="AW112" s="38"/>
      <c r="AX112" s="52"/>
      <c r="AY112" s="170" t="s">
        <v>5050</v>
      </c>
      <c r="AZ112" s="38"/>
      <c r="BA112" s="38"/>
      <c r="BB112" s="73">
        <f t="shared" si="43"/>
        <v>0</v>
      </c>
      <c r="BC112" s="159"/>
      <c r="BD112" s="59">
        <v>44764</v>
      </c>
      <c r="BE112" s="59">
        <v>44764</v>
      </c>
      <c r="BF112" s="58">
        <v>44767</v>
      </c>
      <c r="BG112" s="59">
        <f t="shared" si="37"/>
        <v>44767</v>
      </c>
      <c r="BH112" s="183" t="str">
        <f t="shared" si="41"/>
        <v>Contrato formalizado con FC y PRC 05/08</v>
      </c>
      <c r="BI112" s="195">
        <v>44770</v>
      </c>
      <c r="BJ112" s="185">
        <v>44768</v>
      </c>
      <c r="BK112" s="186" t="str">
        <f t="shared" si="34"/>
        <v>Contrato formalizado con FC y PRC 05/08</v>
      </c>
      <c r="BL112" s="84"/>
      <c r="BM112" s="84"/>
      <c r="BN112" s="84"/>
      <c r="BO112" s="84"/>
      <c r="BP112" s="84"/>
      <c r="BQ112"/>
      <c r="BR112"/>
      <c r="BS112"/>
    </row>
    <row r="113" spans="1:71" ht="105" x14ac:dyDescent="0.25">
      <c r="A113" s="168" t="s">
        <v>5051</v>
      </c>
      <c r="B113" s="3">
        <v>107</v>
      </c>
      <c r="C113" s="167" t="s">
        <v>225</v>
      </c>
      <c r="D113" s="39" t="s">
        <v>173</v>
      </c>
      <c r="E113" s="40" t="s">
        <v>5052</v>
      </c>
      <c r="F113" s="39" t="s">
        <v>173</v>
      </c>
      <c r="G113" s="39"/>
      <c r="H113" s="39" t="s">
        <v>3785</v>
      </c>
      <c r="I113" s="42" t="s">
        <v>3323</v>
      </c>
      <c r="J113" s="41"/>
      <c r="K113" s="41"/>
      <c r="L113" s="41"/>
      <c r="M113" s="42" t="str">
        <f t="shared" si="38"/>
        <v xml:space="preserve">Dhimex Ciudad de México, S.A. de C.V.    </v>
      </c>
      <c r="N113" s="991" t="s">
        <v>198</v>
      </c>
      <c r="O113" s="991" t="s">
        <v>198</v>
      </c>
      <c r="P113" s="991" t="s">
        <v>5053</v>
      </c>
      <c r="Q113" s="992">
        <v>3186941.0384999998</v>
      </c>
      <c r="R113" s="44">
        <f t="shared" si="35"/>
        <v>509910.56615999999</v>
      </c>
      <c r="S113" s="45">
        <f t="shared" si="42"/>
        <v>3696851.6046599997</v>
      </c>
      <c r="T113" s="46">
        <v>0</v>
      </c>
      <c r="U113" s="47">
        <f t="shared" si="33"/>
        <v>0</v>
      </c>
      <c r="V113" s="44">
        <f t="shared" si="39"/>
        <v>3696851.6046599997</v>
      </c>
      <c r="W113" s="993" t="s">
        <v>156</v>
      </c>
      <c r="X113" s="48">
        <v>44770</v>
      </c>
      <c r="Y113" s="39" t="s">
        <v>696</v>
      </c>
      <c r="Z113" s="48">
        <v>44770</v>
      </c>
      <c r="AA113" s="48">
        <v>44926</v>
      </c>
      <c r="AB113" s="38" t="s">
        <v>5049</v>
      </c>
      <c r="AC113" s="38"/>
      <c r="AD113" s="59"/>
      <c r="AE113" s="59"/>
      <c r="AF113" s="230" t="s">
        <v>5054</v>
      </c>
      <c r="AG113" s="59"/>
      <c r="AH113" s="39"/>
      <c r="AI113" s="38"/>
      <c r="AJ113" s="38"/>
      <c r="AK113" s="50"/>
      <c r="AL113" s="44"/>
      <c r="AM113" s="163" t="str">
        <f t="shared" ca="1" si="40"/>
        <v>MUERTO</v>
      </c>
      <c r="AN113" s="39"/>
      <c r="AO113" s="39"/>
      <c r="AP113" s="39" t="s">
        <v>696</v>
      </c>
      <c r="AQ113" s="39"/>
      <c r="AR113" s="39" t="s">
        <v>696</v>
      </c>
      <c r="AS113" s="39"/>
      <c r="AT113" s="58">
        <v>44960</v>
      </c>
      <c r="AU113" s="51"/>
      <c r="AV113" s="50"/>
      <c r="AW113" s="38"/>
      <c r="AX113" s="52"/>
      <c r="AY113" s="170" t="s">
        <v>5055</v>
      </c>
      <c r="AZ113" s="38"/>
      <c r="BA113" s="38"/>
      <c r="BB113" s="73">
        <f t="shared" si="43"/>
        <v>0</v>
      </c>
      <c r="BC113" s="159"/>
      <c r="BD113" s="59">
        <v>44767</v>
      </c>
      <c r="BE113" s="59">
        <v>44768</v>
      </c>
      <c r="BF113" s="58">
        <v>44769</v>
      </c>
      <c r="BG113" s="59">
        <f t="shared" si="37"/>
        <v>44769</v>
      </c>
      <c r="BH113" s="183" t="str">
        <f t="shared" si="41"/>
        <v>Contrato formalizado con Fianza de Anticipo 04/08</v>
      </c>
      <c r="BI113" s="195">
        <v>44777</v>
      </c>
      <c r="BJ113" s="185">
        <v>44774</v>
      </c>
      <c r="BK113" s="186" t="str">
        <f t="shared" si="34"/>
        <v>Contrato formalizado con Fianza de Anticipo 04/08</v>
      </c>
      <c r="BL113" s="84"/>
      <c r="BM113" s="84"/>
      <c r="BN113" s="84"/>
      <c r="BO113" s="84"/>
      <c r="BP113" s="84"/>
    </row>
    <row r="114" spans="1:71" ht="75" x14ac:dyDescent="0.25">
      <c r="A114" s="168" t="s">
        <v>5056</v>
      </c>
      <c r="B114" s="3">
        <v>108</v>
      </c>
      <c r="C114" s="167" t="s">
        <v>149</v>
      </c>
      <c r="D114" s="39" t="s">
        <v>151</v>
      </c>
      <c r="E114" s="40" t="s">
        <v>5057</v>
      </c>
      <c r="F114" s="39" t="s">
        <v>151</v>
      </c>
      <c r="G114" s="39"/>
      <c r="H114" s="39" t="s">
        <v>3793</v>
      </c>
      <c r="I114" s="42" t="s">
        <v>2958</v>
      </c>
      <c r="J114" s="41"/>
      <c r="K114" s="41"/>
      <c r="L114" s="41"/>
      <c r="M114" s="42" t="str">
        <f t="shared" si="38"/>
        <v xml:space="preserve">Stagemen, S.A. de C.V.  </v>
      </c>
      <c r="N114" s="991" t="s">
        <v>198</v>
      </c>
      <c r="O114" s="991" t="s">
        <v>198</v>
      </c>
      <c r="P114" s="991" t="s">
        <v>5058</v>
      </c>
      <c r="Q114" s="992">
        <v>768541</v>
      </c>
      <c r="R114" s="44">
        <f t="shared" si="35"/>
        <v>122966.56</v>
      </c>
      <c r="S114" s="45">
        <f t="shared" si="42"/>
        <v>891507.56</v>
      </c>
      <c r="T114" s="46">
        <v>0</v>
      </c>
      <c r="U114" s="47">
        <f t="shared" si="33"/>
        <v>0</v>
      </c>
      <c r="V114" s="44">
        <f t="shared" si="39"/>
        <v>891507.56</v>
      </c>
      <c r="W114" s="993" t="s">
        <v>156</v>
      </c>
      <c r="X114" s="48">
        <v>44771</v>
      </c>
      <c r="Y114" s="39" t="s">
        <v>696</v>
      </c>
      <c r="Z114" s="48">
        <v>44771</v>
      </c>
      <c r="AA114" s="48">
        <v>44804</v>
      </c>
      <c r="AB114" s="38" t="s">
        <v>5059</v>
      </c>
      <c r="AC114" s="38"/>
      <c r="AD114" s="59"/>
      <c r="AE114" s="59"/>
      <c r="AF114" s="59"/>
      <c r="AG114" s="59"/>
      <c r="AH114" s="39"/>
      <c r="AI114" s="38"/>
      <c r="AJ114" s="38"/>
      <c r="AK114" s="50"/>
      <c r="AL114" s="44"/>
      <c r="AM114" s="163" t="str">
        <f t="shared" ca="1" si="40"/>
        <v>MUERTO</v>
      </c>
      <c r="AN114" s="39"/>
      <c r="AO114" s="39"/>
      <c r="AP114" s="39" t="s">
        <v>696</v>
      </c>
      <c r="AQ114" s="39"/>
      <c r="AR114" s="39" t="s">
        <v>696</v>
      </c>
      <c r="AS114" s="39"/>
      <c r="AT114" s="58">
        <v>44960</v>
      </c>
      <c r="AU114" s="51"/>
      <c r="AV114" s="50"/>
      <c r="AW114" s="38"/>
      <c r="AX114" s="52"/>
      <c r="AY114" s="170" t="s">
        <v>5060</v>
      </c>
      <c r="AZ114" s="38"/>
      <c r="BA114" s="38"/>
      <c r="BB114" s="73">
        <f t="shared" si="43"/>
        <v>0</v>
      </c>
      <c r="BC114" s="159"/>
      <c r="BD114" s="59">
        <v>44768</v>
      </c>
      <c r="BE114" s="59">
        <v>44769</v>
      </c>
      <c r="BF114" s="58">
        <v>44771</v>
      </c>
      <c r="BG114" s="59">
        <f t="shared" si="37"/>
        <v>44771</v>
      </c>
      <c r="BH114" s="183" t="str">
        <f t="shared" si="41"/>
        <v>Contrato formalizado con FC y PRc 11/08</v>
      </c>
      <c r="BI114" s="195">
        <v>44777</v>
      </c>
      <c r="BJ114" s="185">
        <v>44774</v>
      </c>
      <c r="BK114" s="186" t="str">
        <f t="shared" si="34"/>
        <v>Contrato formalizado con FC y PRc 11/08</v>
      </c>
      <c r="BL114" s="84"/>
      <c r="BM114" s="84"/>
      <c r="BN114" s="84"/>
      <c r="BO114" s="84"/>
      <c r="BP114" s="84"/>
    </row>
    <row r="115" spans="1:71" ht="60" x14ac:dyDescent="0.25">
      <c r="A115" s="168" t="s">
        <v>5061</v>
      </c>
      <c r="B115" s="3">
        <v>109</v>
      </c>
      <c r="C115" s="167" t="s">
        <v>149</v>
      </c>
      <c r="D115" s="39" t="s">
        <v>163</v>
      </c>
      <c r="E115" s="40" t="s">
        <v>5062</v>
      </c>
      <c r="F115" s="3" t="s">
        <v>2237</v>
      </c>
      <c r="G115" s="685" t="s">
        <v>546</v>
      </c>
      <c r="H115" s="39" t="s">
        <v>3764</v>
      </c>
      <c r="I115" s="42" t="s">
        <v>2693</v>
      </c>
      <c r="J115" s="41"/>
      <c r="K115" s="41"/>
      <c r="L115" s="41"/>
      <c r="M115" s="42" t="str">
        <f t="shared" si="38"/>
        <v xml:space="preserve">Universidad del Desarrollo Profesional, S.C.  </v>
      </c>
      <c r="N115" s="991" t="s">
        <v>2528</v>
      </c>
      <c r="O115" s="991" t="s">
        <v>2528</v>
      </c>
      <c r="P115" s="991" t="s">
        <v>5063</v>
      </c>
      <c r="Q115" s="992">
        <v>10400000</v>
      </c>
      <c r="R115" s="235">
        <v>0</v>
      </c>
      <c r="S115" s="45">
        <f t="shared" si="42"/>
        <v>10400000</v>
      </c>
      <c r="T115" s="46">
        <v>0</v>
      </c>
      <c r="U115" s="47">
        <f t="shared" si="33"/>
        <v>0</v>
      </c>
      <c r="V115" s="44">
        <f t="shared" si="39"/>
        <v>10400000</v>
      </c>
      <c r="W115" s="993" t="s">
        <v>183</v>
      </c>
      <c r="X115" s="48">
        <v>44776</v>
      </c>
      <c r="Y115" s="39" t="s">
        <v>815</v>
      </c>
      <c r="Z115" s="48">
        <v>44809</v>
      </c>
      <c r="AA115" s="48">
        <v>45291</v>
      </c>
      <c r="AB115" s="38" t="s">
        <v>4020</v>
      </c>
      <c r="AC115" s="38"/>
      <c r="AD115" s="59"/>
      <c r="AE115" s="59"/>
      <c r="AF115" s="59"/>
      <c r="AG115" s="59"/>
      <c r="AH115" s="39"/>
      <c r="AI115" s="38"/>
      <c r="AJ115" s="38"/>
      <c r="AK115" s="50"/>
      <c r="AL115" s="44"/>
      <c r="AM115" s="163" t="str">
        <f t="shared" ca="1" si="40"/>
        <v>MUERTO</v>
      </c>
      <c r="AN115" s="39"/>
      <c r="AO115" s="39"/>
      <c r="AP115" s="39" t="s">
        <v>863</v>
      </c>
      <c r="AQ115" s="39"/>
      <c r="AR115" s="39" t="s">
        <v>863</v>
      </c>
      <c r="AS115" s="39"/>
      <c r="AT115" s="58">
        <v>44960</v>
      </c>
      <c r="AU115" s="51"/>
      <c r="AV115" s="50"/>
      <c r="AW115" s="38"/>
      <c r="AX115" s="52"/>
      <c r="AY115" s="170" t="s">
        <v>5064</v>
      </c>
      <c r="AZ115" s="38"/>
      <c r="BA115" s="38"/>
      <c r="BB115" s="73">
        <f t="shared" si="43"/>
        <v>0</v>
      </c>
      <c r="BC115" s="159"/>
      <c r="BD115" s="59">
        <v>44771</v>
      </c>
      <c r="BE115" s="59">
        <v>44774</v>
      </c>
      <c r="BF115" s="58">
        <v>44777</v>
      </c>
      <c r="BG115" s="59">
        <f t="shared" si="37"/>
        <v>44777</v>
      </c>
      <c r="BH115" s="183" t="str">
        <f t="shared" si="41"/>
        <v>Contrato formalizado 29/08/22</v>
      </c>
      <c r="BI115" s="195">
        <v>44788</v>
      </c>
      <c r="BJ115" s="185">
        <v>44781</v>
      </c>
      <c r="BK115" s="186" t="str">
        <f t="shared" si="34"/>
        <v>Contrato formalizado 29/08/22</v>
      </c>
      <c r="BL115" s="84"/>
      <c r="BM115" s="84"/>
      <c r="BN115" s="84"/>
      <c r="BO115" s="84"/>
      <c r="BP115" s="84"/>
    </row>
    <row r="116" spans="1:71" ht="75" x14ac:dyDescent="0.25">
      <c r="A116" s="168" t="s">
        <v>5065</v>
      </c>
      <c r="B116" s="3">
        <v>110</v>
      </c>
      <c r="C116" s="167" t="s">
        <v>149</v>
      </c>
      <c r="D116" s="39" t="s">
        <v>163</v>
      </c>
      <c r="E116" s="40" t="s">
        <v>5066</v>
      </c>
      <c r="F116" s="3" t="s">
        <v>2237</v>
      </c>
      <c r="G116" s="39" t="s">
        <v>163</v>
      </c>
      <c r="H116" s="39" t="s">
        <v>4054</v>
      </c>
      <c r="I116" s="42" t="s">
        <v>5067</v>
      </c>
      <c r="J116" s="41"/>
      <c r="K116" s="41"/>
      <c r="L116" s="41"/>
      <c r="M116" s="42" t="str">
        <f t="shared" si="38"/>
        <v xml:space="preserve">Epsilonpi Ingeniería en Sistemas Estructurales y Protección Civil, S.A. de C.V.  </v>
      </c>
      <c r="N116" s="991" t="s">
        <v>198</v>
      </c>
      <c r="O116" s="991" t="s">
        <v>198</v>
      </c>
      <c r="P116" s="991" t="s">
        <v>5068</v>
      </c>
      <c r="Q116" s="992">
        <v>660000</v>
      </c>
      <c r="R116" s="44">
        <f>Q116*0.16</f>
        <v>105600</v>
      </c>
      <c r="S116" s="45">
        <f t="shared" si="42"/>
        <v>765600</v>
      </c>
      <c r="T116" s="46">
        <v>0</v>
      </c>
      <c r="U116" s="47">
        <f t="shared" si="33"/>
        <v>0</v>
      </c>
      <c r="V116" s="44">
        <f t="shared" si="39"/>
        <v>765600</v>
      </c>
      <c r="W116" s="993" t="s">
        <v>156</v>
      </c>
      <c r="X116" s="48">
        <v>44776</v>
      </c>
      <c r="Y116" s="39" t="s">
        <v>815</v>
      </c>
      <c r="Z116" s="48">
        <v>44776</v>
      </c>
      <c r="AA116" s="48">
        <v>44795</v>
      </c>
      <c r="AB116" s="38" t="s">
        <v>4020</v>
      </c>
      <c r="AC116" s="38"/>
      <c r="AD116" s="59"/>
      <c r="AE116" s="59"/>
      <c r="AF116" s="59"/>
      <c r="AG116" s="59"/>
      <c r="AH116" s="39"/>
      <c r="AI116" s="38"/>
      <c r="AJ116" s="38"/>
      <c r="AK116" s="50"/>
      <c r="AL116" s="44"/>
      <c r="AM116" s="163" t="str">
        <f t="shared" ca="1" si="40"/>
        <v>MUERTO</v>
      </c>
      <c r="AN116" s="39"/>
      <c r="AO116" s="39"/>
      <c r="AP116" s="39" t="s">
        <v>863</v>
      </c>
      <c r="AQ116" s="39"/>
      <c r="AR116" s="39" t="s">
        <v>863</v>
      </c>
      <c r="AS116" s="39"/>
      <c r="AT116" s="58">
        <v>44960</v>
      </c>
      <c r="AU116" s="51"/>
      <c r="AV116" s="50"/>
      <c r="AW116" s="38"/>
      <c r="AX116" s="52"/>
      <c r="AY116" s="170" t="s">
        <v>5069</v>
      </c>
      <c r="AZ116" s="38"/>
      <c r="BA116" s="38"/>
      <c r="BB116" s="73">
        <f t="shared" si="43"/>
        <v>0</v>
      </c>
      <c r="BC116" s="159"/>
      <c r="BD116" s="59">
        <v>44771</v>
      </c>
      <c r="BE116" s="59">
        <v>44774</v>
      </c>
      <c r="BF116" s="58">
        <v>44783</v>
      </c>
      <c r="BG116" s="59">
        <f t="shared" si="37"/>
        <v>44783</v>
      </c>
      <c r="BH116" s="183" t="str">
        <f t="shared" si="41"/>
        <v>Contrato y FC Formalizado 24/08/22</v>
      </c>
      <c r="BI116" s="195">
        <v>44792</v>
      </c>
      <c r="BJ116" s="185">
        <v>44789</v>
      </c>
      <c r="BK116" s="186" t="str">
        <f t="shared" si="34"/>
        <v>Contrato y FC Formalizado 24/08/22</v>
      </c>
      <c r="BL116" s="84"/>
      <c r="BM116" s="84"/>
      <c r="BN116" s="84"/>
      <c r="BO116" s="84"/>
      <c r="BP116" s="84"/>
    </row>
    <row r="117" spans="1:71" s="468" customFormat="1" ht="60" x14ac:dyDescent="0.25">
      <c r="A117" s="168" t="s">
        <v>5070</v>
      </c>
      <c r="B117" s="3">
        <v>111</v>
      </c>
      <c r="C117" s="167" t="s">
        <v>225</v>
      </c>
      <c r="D117" s="39" t="s">
        <v>151</v>
      </c>
      <c r="E117" s="40" t="s">
        <v>5071</v>
      </c>
      <c r="F117" s="39" t="s">
        <v>151</v>
      </c>
      <c r="G117" s="39"/>
      <c r="H117" s="39" t="s">
        <v>3793</v>
      </c>
      <c r="I117" s="42" t="s">
        <v>4078</v>
      </c>
      <c r="J117" s="41"/>
      <c r="K117" s="41"/>
      <c r="L117" s="41"/>
      <c r="M117" s="42" t="str">
        <f t="shared" si="38"/>
        <v xml:space="preserve">Cen Systems, S,A, de C.V.  </v>
      </c>
      <c r="N117" s="991" t="s">
        <v>656</v>
      </c>
      <c r="O117" s="991" t="s">
        <v>656</v>
      </c>
      <c r="P117" s="991" t="s">
        <v>5072</v>
      </c>
      <c r="Q117" s="992">
        <v>472815</v>
      </c>
      <c r="R117" s="44">
        <f>Q117*0.16</f>
        <v>75650.400000000009</v>
      </c>
      <c r="S117" s="45">
        <f t="shared" si="42"/>
        <v>548465.4</v>
      </c>
      <c r="T117" s="46">
        <v>0</v>
      </c>
      <c r="U117" s="47">
        <f t="shared" si="33"/>
        <v>0</v>
      </c>
      <c r="V117" s="44">
        <f t="shared" si="39"/>
        <v>548465.4</v>
      </c>
      <c r="W117" s="993" t="s">
        <v>156</v>
      </c>
      <c r="X117" s="48">
        <v>44795</v>
      </c>
      <c r="Y117" s="39" t="s">
        <v>815</v>
      </c>
      <c r="Z117" s="48">
        <v>44795</v>
      </c>
      <c r="AA117" s="48">
        <v>44926</v>
      </c>
      <c r="AB117" s="38" t="s">
        <v>4020</v>
      </c>
      <c r="AC117" s="38"/>
      <c r="AD117" s="59"/>
      <c r="AE117" s="59"/>
      <c r="AF117" s="59"/>
      <c r="AG117" s="59"/>
      <c r="AH117" s="39"/>
      <c r="AI117" s="38"/>
      <c r="AJ117" s="38"/>
      <c r="AK117" s="50"/>
      <c r="AL117" s="44"/>
      <c r="AM117" s="163" t="str">
        <f t="shared" ca="1" si="40"/>
        <v>MUERTO</v>
      </c>
      <c r="AN117" s="39"/>
      <c r="AO117" s="39"/>
      <c r="AP117" s="39" t="s">
        <v>863</v>
      </c>
      <c r="AQ117" s="39"/>
      <c r="AR117" s="39" t="s">
        <v>863</v>
      </c>
      <c r="AS117" s="39"/>
      <c r="AT117" s="58">
        <v>44960</v>
      </c>
      <c r="AU117" s="51"/>
      <c r="AV117" s="50"/>
      <c r="AW117" s="38"/>
      <c r="AX117" s="52"/>
      <c r="AY117" s="170" t="s">
        <v>5073</v>
      </c>
      <c r="AZ117" s="38"/>
      <c r="BA117" s="38"/>
      <c r="BB117" s="73">
        <f t="shared" si="43"/>
        <v>0</v>
      </c>
      <c r="BC117" s="159"/>
      <c r="BD117" s="59">
        <v>44789</v>
      </c>
      <c r="BE117" s="59">
        <v>44790</v>
      </c>
      <c r="BF117" s="58">
        <v>44792</v>
      </c>
      <c r="BG117" s="59">
        <f t="shared" si="37"/>
        <v>44792</v>
      </c>
      <c r="BH117" s="183" t="str">
        <f t="shared" si="41"/>
        <v>Contrato formalizado con Fc 01/09</v>
      </c>
      <c r="BI117" s="195">
        <v>44797</v>
      </c>
      <c r="BJ117" s="185">
        <v>44795</v>
      </c>
      <c r="BK117" s="186" t="str">
        <f t="shared" si="34"/>
        <v>Contrato formalizado con Fc 01/09</v>
      </c>
      <c r="BL117" s="84"/>
      <c r="BM117" s="84"/>
      <c r="BN117" s="84"/>
      <c r="BO117" s="84"/>
      <c r="BP117" s="84"/>
      <c r="BQ117"/>
      <c r="BR117"/>
      <c r="BS117"/>
    </row>
    <row r="118" spans="1:71" ht="60" x14ac:dyDescent="0.25">
      <c r="A118" s="168" t="s">
        <v>5074</v>
      </c>
      <c r="B118" s="3">
        <v>112</v>
      </c>
      <c r="C118" s="167" t="s">
        <v>225</v>
      </c>
      <c r="D118" s="39" t="s">
        <v>163</v>
      </c>
      <c r="E118" s="40" t="s">
        <v>5075</v>
      </c>
      <c r="F118" s="39" t="s">
        <v>163</v>
      </c>
      <c r="G118" s="39" t="s">
        <v>163</v>
      </c>
      <c r="H118" s="39" t="s">
        <v>4004</v>
      </c>
      <c r="I118" s="42" t="s">
        <v>5076</v>
      </c>
      <c r="J118" s="41"/>
      <c r="K118" s="41"/>
      <c r="L118" s="41"/>
      <c r="M118" s="42" t="str">
        <f t="shared" si="38"/>
        <v xml:space="preserve">Medisalud MLR, S. de R.L. de C.V.  </v>
      </c>
      <c r="N118" s="991" t="s">
        <v>763</v>
      </c>
      <c r="O118" s="991" t="s">
        <v>763</v>
      </c>
      <c r="P118" s="991" t="s">
        <v>5077</v>
      </c>
      <c r="Q118" s="992">
        <v>1000000</v>
      </c>
      <c r="R118" s="235">
        <v>0</v>
      </c>
      <c r="S118" s="45">
        <f t="shared" si="42"/>
        <v>1000000</v>
      </c>
      <c r="T118" s="46">
        <v>0</v>
      </c>
      <c r="U118" s="47">
        <v>100000</v>
      </c>
      <c r="V118" s="44">
        <f t="shared" si="39"/>
        <v>1000000</v>
      </c>
      <c r="W118" s="993" t="s">
        <v>156</v>
      </c>
      <c r="X118" s="48">
        <v>44796</v>
      </c>
      <c r="Y118" s="39" t="s">
        <v>815</v>
      </c>
      <c r="Z118" s="48">
        <v>44796</v>
      </c>
      <c r="AA118" s="48">
        <v>44926</v>
      </c>
      <c r="AB118" s="38" t="s">
        <v>4020</v>
      </c>
      <c r="AC118" s="38"/>
      <c r="AD118" s="59"/>
      <c r="AE118" s="59"/>
      <c r="AF118" s="59"/>
      <c r="AG118" s="59"/>
      <c r="AH118" s="39"/>
      <c r="AI118" s="38"/>
      <c r="AJ118" s="38"/>
      <c r="AK118" s="50"/>
      <c r="AL118" s="44"/>
      <c r="AM118" s="163" t="str">
        <f t="shared" ca="1" si="40"/>
        <v>MUERTO</v>
      </c>
      <c r="AN118" s="39"/>
      <c r="AO118" s="39"/>
      <c r="AP118" s="39" t="s">
        <v>863</v>
      </c>
      <c r="AQ118" s="39"/>
      <c r="AR118" s="39" t="s">
        <v>863</v>
      </c>
      <c r="AS118" s="39"/>
      <c r="AT118" s="58">
        <v>44960</v>
      </c>
      <c r="AU118" s="51"/>
      <c r="AV118" s="50"/>
      <c r="AW118" s="38"/>
      <c r="AX118" s="52"/>
      <c r="AY118" s="170" t="s">
        <v>5073</v>
      </c>
      <c r="AZ118" s="38"/>
      <c r="BA118" s="38"/>
      <c r="BB118" s="73">
        <f t="shared" si="43"/>
        <v>0</v>
      </c>
      <c r="BC118" s="159"/>
      <c r="BD118" s="59">
        <v>44790</v>
      </c>
      <c r="BE118" s="59">
        <v>44791</v>
      </c>
      <c r="BF118" s="58">
        <v>44796</v>
      </c>
      <c r="BG118" s="59">
        <f t="shared" si="37"/>
        <v>44796</v>
      </c>
      <c r="BH118" s="183" t="str">
        <f t="shared" si="41"/>
        <v>Contrato formalizado con Fc 01/09</v>
      </c>
      <c r="BI118" s="195">
        <v>44805</v>
      </c>
      <c r="BJ118" s="185">
        <v>44798</v>
      </c>
      <c r="BK118" s="186" t="str">
        <f t="shared" si="34"/>
        <v>Contrato formalizado con Fc 01/09</v>
      </c>
      <c r="BL118" s="84"/>
      <c r="BM118" s="84"/>
      <c r="BN118" s="84"/>
      <c r="BO118" s="84"/>
      <c r="BP118" s="84"/>
    </row>
    <row r="119" spans="1:71" ht="60" x14ac:dyDescent="0.25">
      <c r="A119" s="168" t="s">
        <v>5078</v>
      </c>
      <c r="B119" s="3">
        <v>113</v>
      </c>
      <c r="C119" s="167" t="s">
        <v>225</v>
      </c>
      <c r="D119" s="39" t="s">
        <v>151</v>
      </c>
      <c r="E119" s="40" t="s">
        <v>5079</v>
      </c>
      <c r="F119" s="39" t="s">
        <v>151</v>
      </c>
      <c r="G119" s="39"/>
      <c r="H119" s="39" t="s">
        <v>3793</v>
      </c>
      <c r="I119" s="42" t="s">
        <v>2436</v>
      </c>
      <c r="J119" s="41"/>
      <c r="K119" s="41"/>
      <c r="L119" s="41"/>
      <c r="M119" s="42" t="str">
        <f t="shared" si="38"/>
        <v xml:space="preserve">Teletec de México, S.A.P.I. de C.V.  </v>
      </c>
      <c r="N119" s="991" t="s">
        <v>860</v>
      </c>
      <c r="O119" s="991" t="s">
        <v>860</v>
      </c>
      <c r="P119" s="991" t="s">
        <v>5080</v>
      </c>
      <c r="Q119" s="992">
        <v>757321</v>
      </c>
      <c r="R119" s="44">
        <f t="shared" ref="R119:R134" si="44">Q119*0.16</f>
        <v>121171.36</v>
      </c>
      <c r="S119" s="45">
        <f t="shared" si="42"/>
        <v>878492.36</v>
      </c>
      <c r="T119" s="46">
        <v>0</v>
      </c>
      <c r="U119" s="47">
        <f t="shared" ref="U119:U139" si="45">(T119*0.16)+(T119)</f>
        <v>0</v>
      </c>
      <c r="V119" s="44">
        <f t="shared" si="39"/>
        <v>878492.36</v>
      </c>
      <c r="W119" s="993" t="s">
        <v>156</v>
      </c>
      <c r="X119" s="48">
        <v>44799</v>
      </c>
      <c r="Y119" s="39" t="s">
        <v>815</v>
      </c>
      <c r="Z119" s="48">
        <v>44799</v>
      </c>
      <c r="AA119" s="48">
        <v>44910</v>
      </c>
      <c r="AB119" s="38" t="s">
        <v>4717</v>
      </c>
      <c r="AC119" s="38"/>
      <c r="AD119" s="59"/>
      <c r="AE119" s="59"/>
      <c r="AF119" s="59"/>
      <c r="AG119" s="59"/>
      <c r="AH119" s="39"/>
      <c r="AI119" s="38"/>
      <c r="AJ119" s="38"/>
      <c r="AK119" s="50"/>
      <c r="AL119" s="44"/>
      <c r="AM119" s="163" t="str">
        <f t="shared" ca="1" si="40"/>
        <v>MUERTO</v>
      </c>
      <c r="AN119" s="39"/>
      <c r="AO119" s="39"/>
      <c r="AP119" s="39" t="s">
        <v>863</v>
      </c>
      <c r="AQ119" s="39"/>
      <c r="AR119" s="39" t="s">
        <v>863</v>
      </c>
      <c r="AS119" s="39"/>
      <c r="AT119" s="58">
        <v>44960</v>
      </c>
      <c r="AU119" s="51"/>
      <c r="AV119" s="50"/>
      <c r="AW119" s="38"/>
      <c r="AX119" s="52"/>
      <c r="AY119" s="170" t="s">
        <v>5081</v>
      </c>
      <c r="AZ119" s="38"/>
      <c r="BA119" s="38"/>
      <c r="BB119" s="73">
        <f t="shared" si="43"/>
        <v>0</v>
      </c>
      <c r="BC119" s="159"/>
      <c r="BD119" s="59">
        <v>44796</v>
      </c>
      <c r="BE119" s="59">
        <v>44797</v>
      </c>
      <c r="BF119" s="58">
        <v>44799</v>
      </c>
      <c r="BG119" s="59">
        <f t="shared" si="37"/>
        <v>44799</v>
      </c>
      <c r="BH119" s="183" t="str">
        <f t="shared" si="41"/>
        <v>Contrato formalizado con FC 19/09</v>
      </c>
      <c r="BI119" s="195">
        <v>44812</v>
      </c>
      <c r="BJ119" s="185">
        <v>44810</v>
      </c>
      <c r="BK119" s="186" t="str">
        <f t="shared" si="34"/>
        <v>Contrato formalizado con FC 19/09</v>
      </c>
      <c r="BL119" s="84"/>
      <c r="BM119" s="84"/>
      <c r="BN119" s="84"/>
      <c r="BO119" s="84"/>
      <c r="BP119" s="84"/>
    </row>
    <row r="120" spans="1:71" s="468" customFormat="1" ht="150" x14ac:dyDescent="0.25">
      <c r="A120" s="196" t="s">
        <v>5082</v>
      </c>
      <c r="B120" s="3">
        <v>114</v>
      </c>
      <c r="C120" s="167" t="s">
        <v>811</v>
      </c>
      <c r="D120" s="39" t="s">
        <v>163</v>
      </c>
      <c r="E120" s="40" t="s">
        <v>5083</v>
      </c>
      <c r="F120" s="3" t="s">
        <v>2237</v>
      </c>
      <c r="G120" s="685" t="s">
        <v>546</v>
      </c>
      <c r="H120" s="39" t="s">
        <v>3764</v>
      </c>
      <c r="I120" s="42" t="s">
        <v>5084</v>
      </c>
      <c r="J120" s="41"/>
      <c r="K120" s="41"/>
      <c r="L120" s="41"/>
      <c r="M120" s="42" t="str">
        <f t="shared" si="38"/>
        <v xml:space="preserve">Restaura Conservación Inmueble, S.A. de C.V.  </v>
      </c>
      <c r="N120" s="991" t="s">
        <v>198</v>
      </c>
      <c r="O120" s="991" t="s">
        <v>198</v>
      </c>
      <c r="P120" s="991" t="s">
        <v>5085</v>
      </c>
      <c r="Q120" s="992">
        <v>8226278.5300000003</v>
      </c>
      <c r="R120" s="44">
        <f t="shared" si="44"/>
        <v>1316204.5648000001</v>
      </c>
      <c r="S120" s="45">
        <f t="shared" si="42"/>
        <v>9542483.094800001</v>
      </c>
      <c r="T120" s="46">
        <v>0</v>
      </c>
      <c r="U120" s="47">
        <f t="shared" si="45"/>
        <v>0</v>
      </c>
      <c r="V120" s="215">
        <f t="shared" si="39"/>
        <v>10591524.984800002</v>
      </c>
      <c r="W120" s="993" t="s">
        <v>156</v>
      </c>
      <c r="X120" s="48">
        <v>44805</v>
      </c>
      <c r="Y120" s="39" t="s">
        <v>863</v>
      </c>
      <c r="Z120" s="48">
        <v>44805</v>
      </c>
      <c r="AA120" s="48">
        <v>44926</v>
      </c>
      <c r="AB120" s="38" t="s">
        <v>5086</v>
      </c>
      <c r="AC120" s="38"/>
      <c r="AD120" s="59"/>
      <c r="AE120" s="59"/>
      <c r="AF120" s="237">
        <v>1908496.62</v>
      </c>
      <c r="AG120" s="59"/>
      <c r="AH120" s="39"/>
      <c r="AI120" s="38" t="s">
        <v>5087</v>
      </c>
      <c r="AJ120" s="211" t="s">
        <v>5088</v>
      </c>
      <c r="AK120" s="218">
        <v>44918</v>
      </c>
      <c r="AL120" s="215">
        <v>1049041.8899999999</v>
      </c>
      <c r="AM120" s="163" t="str">
        <f t="shared" ca="1" si="40"/>
        <v>MUERTO</v>
      </c>
      <c r="AN120" s="39"/>
      <c r="AO120" s="39"/>
      <c r="AP120" s="39" t="s">
        <v>863</v>
      </c>
      <c r="AQ120" s="39" t="s">
        <v>924</v>
      </c>
      <c r="AR120" s="39" t="s">
        <v>863</v>
      </c>
      <c r="AS120" s="39"/>
      <c r="AT120" s="58">
        <v>44960</v>
      </c>
      <c r="AU120" s="51"/>
      <c r="AV120" s="50"/>
      <c r="AW120" s="38"/>
      <c r="AX120" s="52"/>
      <c r="AY120" s="170" t="s">
        <v>5089</v>
      </c>
      <c r="AZ120" s="38"/>
      <c r="BA120" s="38"/>
      <c r="BB120" s="73">
        <f t="shared" si="43"/>
        <v>0</v>
      </c>
      <c r="BC120" s="159"/>
      <c r="BD120" s="59">
        <v>44799</v>
      </c>
      <c r="BE120" s="59">
        <v>44802</v>
      </c>
      <c r="BF120" s="58" t="s">
        <v>5090</v>
      </c>
      <c r="BG120" s="59" t="str">
        <f t="shared" si="37"/>
        <v>01/09/2022
26/12/2022</v>
      </c>
      <c r="BH120" s="183" t="str">
        <f t="shared" si="41"/>
        <v>Contrato formalizado con F.Anticipo 12/09
Modific formalizado con endosos 02/01/23</v>
      </c>
      <c r="BI120" s="227" t="s">
        <v>5091</v>
      </c>
      <c r="BJ120" s="185" t="s">
        <v>5092</v>
      </c>
      <c r="BK120" s="186" t="str">
        <f t="shared" si="34"/>
        <v>Contrato formalizado con F.Anticipo 12/09
Modific formalizado con endosos 02/01/23</v>
      </c>
      <c r="BL120" s="84"/>
      <c r="BM120" s="84"/>
      <c r="BN120" s="84"/>
      <c r="BO120" s="84"/>
      <c r="BP120" s="84"/>
      <c r="BQ120"/>
      <c r="BR120"/>
      <c r="BS120"/>
    </row>
    <row r="121" spans="1:71" ht="60" x14ac:dyDescent="0.25">
      <c r="A121" s="168" t="s">
        <v>5093</v>
      </c>
      <c r="B121" s="3">
        <v>115</v>
      </c>
      <c r="C121" s="167" t="s">
        <v>149</v>
      </c>
      <c r="D121" s="39" t="s">
        <v>173</v>
      </c>
      <c r="E121" s="40" t="s">
        <v>5094</v>
      </c>
      <c r="F121" s="39" t="s">
        <v>173</v>
      </c>
      <c r="G121" s="39"/>
      <c r="H121" s="39" t="s">
        <v>3785</v>
      </c>
      <c r="I121" s="42" t="s">
        <v>1876</v>
      </c>
      <c r="J121" s="41"/>
      <c r="K121" s="41"/>
      <c r="L121" s="41"/>
      <c r="M121" s="42" t="str">
        <f t="shared" si="38"/>
        <v xml:space="preserve">Silent4business, S.A. de C.V.  </v>
      </c>
      <c r="N121" s="991" t="s">
        <v>656</v>
      </c>
      <c r="O121" s="991" t="s">
        <v>656</v>
      </c>
      <c r="P121" s="991" t="s">
        <v>5095</v>
      </c>
      <c r="Q121" s="992">
        <v>6882932</v>
      </c>
      <c r="R121" s="44">
        <f t="shared" si="44"/>
        <v>1101269.1200000001</v>
      </c>
      <c r="S121" s="45">
        <f t="shared" si="42"/>
        <v>7984201.1200000001</v>
      </c>
      <c r="T121" s="46">
        <v>0</v>
      </c>
      <c r="U121" s="47">
        <f t="shared" si="45"/>
        <v>0</v>
      </c>
      <c r="V121" s="44">
        <f t="shared" si="39"/>
        <v>7984201.1200000001</v>
      </c>
      <c r="W121" s="993" t="s">
        <v>156</v>
      </c>
      <c r="X121" s="48">
        <v>44806</v>
      </c>
      <c r="Y121" s="39" t="s">
        <v>863</v>
      </c>
      <c r="Z121" s="48">
        <v>44806</v>
      </c>
      <c r="AA121" s="48">
        <v>44926</v>
      </c>
      <c r="AB121" s="38" t="s">
        <v>4007</v>
      </c>
      <c r="AC121" s="38"/>
      <c r="AD121" s="59"/>
      <c r="AE121" s="59"/>
      <c r="AF121" s="59"/>
      <c r="AG121" s="59"/>
      <c r="AH121" s="39"/>
      <c r="AI121" s="38"/>
      <c r="AJ121" s="38"/>
      <c r="AK121" s="50"/>
      <c r="AL121" s="44"/>
      <c r="AM121" s="163" t="str">
        <f t="shared" ca="1" si="40"/>
        <v>MUERTO</v>
      </c>
      <c r="AN121" s="39"/>
      <c r="AO121" s="39"/>
      <c r="AP121" s="39" t="s">
        <v>863</v>
      </c>
      <c r="AQ121" s="39"/>
      <c r="AR121" s="39" t="s">
        <v>863</v>
      </c>
      <c r="AS121" s="39"/>
      <c r="AT121" s="58">
        <v>44960</v>
      </c>
      <c r="AU121" s="51"/>
      <c r="AV121" s="50"/>
      <c r="AW121" s="38"/>
      <c r="AX121" s="52"/>
      <c r="AY121" s="170" t="s">
        <v>5096</v>
      </c>
      <c r="AZ121" s="38"/>
      <c r="BA121" s="38"/>
      <c r="BB121" s="73">
        <f t="shared" si="43"/>
        <v>0</v>
      </c>
      <c r="BC121" s="159"/>
      <c r="BD121" s="59">
        <v>44804</v>
      </c>
      <c r="BE121" s="59">
        <v>44804</v>
      </c>
      <c r="BF121" s="39"/>
      <c r="BG121" s="59">
        <f t="shared" si="37"/>
        <v>0</v>
      </c>
      <c r="BH121" s="183" t="str">
        <f t="shared" si="41"/>
        <v>Contrato formaliza con FC y PRC</v>
      </c>
      <c r="BI121" s="227">
        <v>44812</v>
      </c>
      <c r="BJ121" s="185">
        <v>44809</v>
      </c>
      <c r="BK121" s="186" t="str">
        <f t="shared" si="34"/>
        <v>Contrato formaliza con FC y PRC</v>
      </c>
      <c r="BL121" s="84"/>
      <c r="BM121" s="84"/>
      <c r="BN121" s="84"/>
      <c r="BO121" s="84"/>
      <c r="BP121" s="84"/>
    </row>
    <row r="122" spans="1:71" ht="90" x14ac:dyDescent="0.25">
      <c r="A122" s="168" t="s">
        <v>5097</v>
      </c>
      <c r="B122" s="3">
        <v>116</v>
      </c>
      <c r="C122" s="167" t="s">
        <v>149</v>
      </c>
      <c r="D122" s="39" t="s">
        <v>163</v>
      </c>
      <c r="E122" s="40" t="s">
        <v>5098</v>
      </c>
      <c r="F122" s="3" t="s">
        <v>2237</v>
      </c>
      <c r="G122" s="685" t="s">
        <v>546</v>
      </c>
      <c r="H122" s="39" t="s">
        <v>4185</v>
      </c>
      <c r="I122" s="42" t="s">
        <v>3023</v>
      </c>
      <c r="J122" s="41"/>
      <c r="K122" s="41"/>
      <c r="L122" s="41"/>
      <c r="M122" s="42" t="str">
        <f t="shared" si="38"/>
        <v xml:space="preserve">América en Triunfo, S.A. de C.V.  </v>
      </c>
      <c r="N122" s="991" t="s">
        <v>5099</v>
      </c>
      <c r="O122" s="991" t="s">
        <v>5099</v>
      </c>
      <c r="P122" s="991" t="s">
        <v>5100</v>
      </c>
      <c r="Q122" s="992">
        <v>858100</v>
      </c>
      <c r="R122" s="44">
        <f t="shared" si="44"/>
        <v>137296</v>
      </c>
      <c r="S122" s="45">
        <f t="shared" si="42"/>
        <v>995396</v>
      </c>
      <c r="T122" s="46">
        <v>0</v>
      </c>
      <c r="U122" s="47">
        <f t="shared" si="45"/>
        <v>0</v>
      </c>
      <c r="V122" s="44">
        <f t="shared" si="39"/>
        <v>995396</v>
      </c>
      <c r="W122" s="993" t="s">
        <v>156</v>
      </c>
      <c r="X122" s="48">
        <v>44806</v>
      </c>
      <c r="Y122" s="39" t="s">
        <v>863</v>
      </c>
      <c r="Z122" s="48">
        <v>44806</v>
      </c>
      <c r="AA122" s="48">
        <v>44926</v>
      </c>
      <c r="AB122" s="38" t="s">
        <v>4717</v>
      </c>
      <c r="AC122" s="38"/>
      <c r="AD122" s="59"/>
      <c r="AE122" s="59"/>
      <c r="AF122" s="59"/>
      <c r="AG122" s="59"/>
      <c r="AH122" s="39"/>
      <c r="AI122" s="38"/>
      <c r="AJ122" s="38"/>
      <c r="AK122" s="50"/>
      <c r="AL122" s="44"/>
      <c r="AM122" s="163" t="str">
        <f t="shared" ca="1" si="40"/>
        <v>MUERTO</v>
      </c>
      <c r="AN122" s="39"/>
      <c r="AO122" s="39"/>
      <c r="AP122" s="39" t="s">
        <v>863</v>
      </c>
      <c r="AQ122" s="39"/>
      <c r="AR122" s="39" t="s">
        <v>863</v>
      </c>
      <c r="AS122" s="39"/>
      <c r="AT122" s="58">
        <v>44960</v>
      </c>
      <c r="AU122" s="51"/>
      <c r="AV122" s="50"/>
      <c r="AW122" s="38"/>
      <c r="AX122" s="52"/>
      <c r="AY122" s="170" t="s">
        <v>5101</v>
      </c>
      <c r="AZ122" s="38"/>
      <c r="BA122" s="38"/>
      <c r="BB122" s="73">
        <f t="shared" si="43"/>
        <v>0</v>
      </c>
      <c r="BC122" s="159"/>
      <c r="BD122" s="59">
        <v>44799</v>
      </c>
      <c r="BE122" s="59">
        <v>44804</v>
      </c>
      <c r="BF122" s="58">
        <v>44805</v>
      </c>
      <c r="BG122" s="59">
        <f t="shared" si="37"/>
        <v>44805</v>
      </c>
      <c r="BH122" s="183" t="str">
        <f t="shared" si="41"/>
        <v>Contrato formalizado con FC y PRC 15/09</v>
      </c>
      <c r="BI122" s="228">
        <v>44812</v>
      </c>
      <c r="BJ122" s="185">
        <v>44809</v>
      </c>
      <c r="BK122" s="186" t="str">
        <f t="shared" si="34"/>
        <v>Contrato formalizado con FC y PRC 15/09</v>
      </c>
      <c r="BL122" s="84"/>
      <c r="BM122" s="84"/>
      <c r="BN122" s="84"/>
      <c r="BO122" s="84"/>
      <c r="BP122" s="84"/>
    </row>
    <row r="123" spans="1:71" ht="150" x14ac:dyDescent="0.25">
      <c r="A123" s="196" t="s">
        <v>5102</v>
      </c>
      <c r="B123" s="3">
        <v>117</v>
      </c>
      <c r="C123" s="167" t="s">
        <v>149</v>
      </c>
      <c r="D123" s="39" t="s">
        <v>163</v>
      </c>
      <c r="E123" s="40" t="s">
        <v>5098</v>
      </c>
      <c r="F123" s="3" t="s">
        <v>2237</v>
      </c>
      <c r="G123" s="685" t="s">
        <v>546</v>
      </c>
      <c r="H123" s="39" t="s">
        <v>4030</v>
      </c>
      <c r="I123" s="42"/>
      <c r="J123" s="41" t="s">
        <v>5103</v>
      </c>
      <c r="K123" s="41" t="s">
        <v>5104</v>
      </c>
      <c r="L123" s="41" t="s">
        <v>393</v>
      </c>
      <c r="M123" s="42" t="str">
        <f t="shared" si="38"/>
        <v>Griselda Romero  Martínez</v>
      </c>
      <c r="N123" s="991" t="s">
        <v>860</v>
      </c>
      <c r="O123" s="991" t="s">
        <v>860</v>
      </c>
      <c r="P123" s="991" t="s">
        <v>5105</v>
      </c>
      <c r="Q123" s="992">
        <v>540000</v>
      </c>
      <c r="R123" s="44">
        <f t="shared" si="44"/>
        <v>86400</v>
      </c>
      <c r="S123" s="45">
        <f t="shared" si="42"/>
        <v>626400</v>
      </c>
      <c r="T123" s="46">
        <v>0</v>
      </c>
      <c r="U123" s="47">
        <f t="shared" si="45"/>
        <v>0</v>
      </c>
      <c r="V123" s="44">
        <f t="shared" si="39"/>
        <v>626400</v>
      </c>
      <c r="W123" s="993" t="s">
        <v>156</v>
      </c>
      <c r="X123" s="48">
        <v>44806</v>
      </c>
      <c r="Y123" s="39" t="s">
        <v>863</v>
      </c>
      <c r="Z123" s="48">
        <v>44806</v>
      </c>
      <c r="AA123" s="48">
        <v>44910</v>
      </c>
      <c r="AB123" s="38" t="s">
        <v>3113</v>
      </c>
      <c r="AC123" s="38"/>
      <c r="AD123" s="59"/>
      <c r="AE123" s="59"/>
      <c r="AF123" s="59"/>
      <c r="AG123" s="59"/>
      <c r="AH123" s="39"/>
      <c r="AI123" s="38" t="s">
        <v>5106</v>
      </c>
      <c r="AJ123" s="233" t="s">
        <v>5107</v>
      </c>
      <c r="AK123" s="234">
        <v>44827</v>
      </c>
      <c r="AL123" s="235">
        <v>0</v>
      </c>
      <c r="AM123" s="163" t="str">
        <f t="shared" ca="1" si="40"/>
        <v>MUERTO</v>
      </c>
      <c r="AN123" s="39"/>
      <c r="AO123" s="39"/>
      <c r="AP123" s="39" t="s">
        <v>863</v>
      </c>
      <c r="AQ123" s="39" t="s">
        <v>863</v>
      </c>
      <c r="AR123" s="39" t="s">
        <v>863</v>
      </c>
      <c r="AS123" s="39"/>
      <c r="AT123" s="58">
        <v>44960</v>
      </c>
      <c r="AU123" s="51"/>
      <c r="AV123" s="50"/>
      <c r="AW123" s="38"/>
      <c r="AX123" s="52"/>
      <c r="AY123" s="170" t="s">
        <v>5108</v>
      </c>
      <c r="AZ123" s="38"/>
      <c r="BA123" s="38"/>
      <c r="BB123" s="73">
        <f t="shared" si="43"/>
        <v>0</v>
      </c>
      <c r="BC123" s="159"/>
      <c r="BD123" s="59">
        <v>44799</v>
      </c>
      <c r="BE123" s="59">
        <v>44804</v>
      </c>
      <c r="BF123" s="58">
        <v>44805</v>
      </c>
      <c r="BG123" s="59">
        <f t="shared" si="37"/>
        <v>44805</v>
      </c>
      <c r="BH123" s="183" t="str">
        <f t="shared" si="41"/>
        <v>Contrato formalizado con FC  15/09
Modificatorio formalizado en tesoreria 29/09</v>
      </c>
      <c r="BI123" s="195" t="s">
        <v>5109</v>
      </c>
      <c r="BJ123" s="185" t="s">
        <v>5110</v>
      </c>
      <c r="BK123" s="186" t="str">
        <f t="shared" si="34"/>
        <v>Contrato formalizado con FC  15/09
Modificatorio formalizado en tesoreria 29/09</v>
      </c>
      <c r="BL123" s="84"/>
      <c r="BM123" s="84"/>
      <c r="BN123" s="84"/>
      <c r="BO123" s="84"/>
      <c r="BP123" s="84"/>
    </row>
    <row r="124" spans="1:71" s="468" customFormat="1" ht="60" x14ac:dyDescent="0.25">
      <c r="A124" s="168" t="s">
        <v>5111</v>
      </c>
      <c r="B124" s="3">
        <v>118</v>
      </c>
      <c r="C124" s="167" t="s">
        <v>149</v>
      </c>
      <c r="D124" s="39" t="s">
        <v>173</v>
      </c>
      <c r="E124" s="40" t="s">
        <v>5112</v>
      </c>
      <c r="F124" s="39" t="s">
        <v>173</v>
      </c>
      <c r="G124" s="39"/>
      <c r="H124" s="39" t="s">
        <v>3785</v>
      </c>
      <c r="I124" s="42" t="s">
        <v>2979</v>
      </c>
      <c r="J124" s="41"/>
      <c r="K124" s="41"/>
      <c r="L124" s="41"/>
      <c r="M124" s="42" t="str">
        <f t="shared" si="38"/>
        <v xml:space="preserve">Ingenieros Mafur, S.A. de C.V.  </v>
      </c>
      <c r="N124" s="991" t="s">
        <v>656</v>
      </c>
      <c r="O124" s="991" t="s">
        <v>656</v>
      </c>
      <c r="P124" s="991" t="s">
        <v>5113</v>
      </c>
      <c r="Q124" s="992">
        <v>10299658</v>
      </c>
      <c r="R124" s="44">
        <f t="shared" si="44"/>
        <v>1647945.28</v>
      </c>
      <c r="S124" s="45">
        <f t="shared" si="42"/>
        <v>11947603.279999999</v>
      </c>
      <c r="T124" s="46">
        <v>0</v>
      </c>
      <c r="U124" s="47">
        <f t="shared" si="45"/>
        <v>0</v>
      </c>
      <c r="V124" s="44">
        <f t="shared" si="39"/>
        <v>11947603.279999999</v>
      </c>
      <c r="W124" s="993" t="s">
        <v>156</v>
      </c>
      <c r="X124" s="48">
        <v>44811</v>
      </c>
      <c r="Y124" s="39" t="s">
        <v>863</v>
      </c>
      <c r="Z124" s="48">
        <v>44811</v>
      </c>
      <c r="AA124" s="48">
        <v>44926</v>
      </c>
      <c r="AB124" s="38" t="s">
        <v>4816</v>
      </c>
      <c r="AC124" s="38"/>
      <c r="AD124" s="59"/>
      <c r="AE124" s="59"/>
      <c r="AF124" s="59"/>
      <c r="AG124" s="59"/>
      <c r="AH124" s="39"/>
      <c r="AI124" s="38"/>
      <c r="AJ124" s="38"/>
      <c r="AK124" s="50"/>
      <c r="AL124" s="44"/>
      <c r="AM124" s="163" t="str">
        <f t="shared" ca="1" si="40"/>
        <v>MUERTO</v>
      </c>
      <c r="AN124" s="39"/>
      <c r="AO124" s="39"/>
      <c r="AP124" s="39" t="s">
        <v>863</v>
      </c>
      <c r="AQ124" s="39"/>
      <c r="AR124" s="39" t="s">
        <v>863</v>
      </c>
      <c r="AS124" s="39"/>
      <c r="AT124" s="58">
        <v>44960</v>
      </c>
      <c r="AU124" s="51"/>
      <c r="AV124" s="50"/>
      <c r="AW124" s="38"/>
      <c r="AX124" s="52"/>
      <c r="AY124" s="170" t="s">
        <v>5114</v>
      </c>
      <c r="AZ124" s="38"/>
      <c r="BA124" s="38"/>
      <c r="BB124" s="73">
        <f t="shared" si="43"/>
        <v>0</v>
      </c>
      <c r="BC124" s="159"/>
      <c r="BD124" s="59">
        <v>44805</v>
      </c>
      <c r="BE124" s="59">
        <v>44806</v>
      </c>
      <c r="BF124" s="58">
        <v>44812</v>
      </c>
      <c r="BG124" s="59">
        <f t="shared" si="37"/>
        <v>44812</v>
      </c>
      <c r="BH124" s="183" t="str">
        <f t="shared" si="41"/>
        <v>Contrato formalizado con FC y PRC 23/09</v>
      </c>
      <c r="BI124" s="195">
        <v>44816</v>
      </c>
      <c r="BJ124" s="185">
        <v>44812</v>
      </c>
      <c r="BK124" s="186" t="str">
        <f t="shared" ref="BK124:BK155" si="46">AY124</f>
        <v>Contrato formalizado con FC y PRC 23/09</v>
      </c>
      <c r="BL124" s="84"/>
      <c r="BM124" s="84"/>
      <c r="BN124" s="84" t="s">
        <v>213</v>
      </c>
      <c r="BO124" s="84"/>
      <c r="BP124" s="84"/>
      <c r="BQ124"/>
      <c r="BR124"/>
      <c r="BS124"/>
    </row>
    <row r="125" spans="1:71" ht="75" x14ac:dyDescent="0.25">
      <c r="A125" s="168" t="s">
        <v>5115</v>
      </c>
      <c r="B125" s="3">
        <v>119</v>
      </c>
      <c r="C125" s="167" t="s">
        <v>149</v>
      </c>
      <c r="D125" s="39" t="s">
        <v>173</v>
      </c>
      <c r="E125" s="40" t="s">
        <v>5116</v>
      </c>
      <c r="F125" s="39" t="s">
        <v>173</v>
      </c>
      <c r="G125" s="39"/>
      <c r="H125" s="39" t="s">
        <v>3785</v>
      </c>
      <c r="I125" s="42" t="s">
        <v>3323</v>
      </c>
      <c r="J125" s="41"/>
      <c r="K125" s="41"/>
      <c r="L125" s="41"/>
      <c r="M125" s="42" t="str">
        <f t="shared" si="38"/>
        <v xml:space="preserve">Dhimex Ciudad de México, S.A. de C.V.    </v>
      </c>
      <c r="N125" s="991" t="s">
        <v>198</v>
      </c>
      <c r="O125" s="991" t="s">
        <v>198</v>
      </c>
      <c r="P125" s="991" t="s">
        <v>5117</v>
      </c>
      <c r="Q125" s="992">
        <v>3871719</v>
      </c>
      <c r="R125" s="44">
        <f t="shared" si="44"/>
        <v>619475.04</v>
      </c>
      <c r="S125" s="45">
        <f t="shared" si="42"/>
        <v>4491194.04</v>
      </c>
      <c r="T125" s="46">
        <v>0</v>
      </c>
      <c r="U125" s="47">
        <f t="shared" si="45"/>
        <v>0</v>
      </c>
      <c r="V125" s="44">
        <f t="shared" si="39"/>
        <v>4491194.04</v>
      </c>
      <c r="W125" s="993" t="s">
        <v>156</v>
      </c>
      <c r="X125" s="48">
        <v>44826</v>
      </c>
      <c r="Y125" s="39" t="s">
        <v>863</v>
      </c>
      <c r="Z125" s="48">
        <v>44826</v>
      </c>
      <c r="AA125" s="48">
        <v>44926</v>
      </c>
      <c r="AB125" s="38" t="s">
        <v>5118</v>
      </c>
      <c r="AC125" s="38"/>
      <c r="AD125" s="59"/>
      <c r="AE125" s="59"/>
      <c r="AF125" s="237">
        <v>774343.8</v>
      </c>
      <c r="AG125" s="59"/>
      <c r="AH125" s="39"/>
      <c r="AI125" s="38"/>
      <c r="AJ125" s="38"/>
      <c r="AK125" s="50"/>
      <c r="AL125" s="44"/>
      <c r="AM125" s="163" t="str">
        <f t="shared" ca="1" si="40"/>
        <v>MUERTO</v>
      </c>
      <c r="AN125" s="39"/>
      <c r="AO125" s="39"/>
      <c r="AP125" s="39" t="s">
        <v>863</v>
      </c>
      <c r="AQ125" s="39"/>
      <c r="AR125" s="39" t="s">
        <v>863</v>
      </c>
      <c r="AS125" s="39"/>
      <c r="AT125" s="58">
        <v>44960</v>
      </c>
      <c r="AU125" s="51"/>
      <c r="AV125" s="50"/>
      <c r="AW125" s="38"/>
      <c r="AX125" s="52"/>
      <c r="AY125" s="170" t="s">
        <v>5119</v>
      </c>
      <c r="AZ125" s="38"/>
      <c r="BA125" s="38"/>
      <c r="BB125" s="73">
        <f t="shared" si="43"/>
        <v>0</v>
      </c>
      <c r="BC125" s="159"/>
      <c r="BD125" s="59">
        <v>44823</v>
      </c>
      <c r="BE125" s="59"/>
      <c r="BF125" s="58">
        <v>44830</v>
      </c>
      <c r="BG125" s="59">
        <f t="shared" si="37"/>
        <v>44830</v>
      </c>
      <c r="BH125" s="183" t="str">
        <f t="shared" si="41"/>
        <v>Contrato formalizado con FC y PRC 05/10/22</v>
      </c>
      <c r="BI125" s="195">
        <v>44833</v>
      </c>
      <c r="BJ125" s="185">
        <v>44830</v>
      </c>
      <c r="BK125" s="186" t="str">
        <f t="shared" si="46"/>
        <v>Contrato formalizado con FC y PRC 05/10/22</v>
      </c>
      <c r="BL125" s="84"/>
      <c r="BM125" s="84"/>
      <c r="BN125" s="84"/>
      <c r="BO125" s="84"/>
      <c r="BP125" s="84"/>
    </row>
    <row r="126" spans="1:71" ht="75" x14ac:dyDescent="0.25">
      <c r="A126" s="168" t="s">
        <v>5120</v>
      </c>
      <c r="B126" s="3">
        <v>120</v>
      </c>
      <c r="C126" s="167" t="s">
        <v>225</v>
      </c>
      <c r="D126" s="39" t="s">
        <v>163</v>
      </c>
      <c r="E126" s="40" t="s">
        <v>5121</v>
      </c>
      <c r="F126" s="39" t="s">
        <v>163</v>
      </c>
      <c r="G126" s="39" t="s">
        <v>163</v>
      </c>
      <c r="H126" s="39" t="s">
        <v>5122</v>
      </c>
      <c r="I126" s="42" t="s">
        <v>5123</v>
      </c>
      <c r="J126" s="41"/>
      <c r="K126" s="41"/>
      <c r="L126" s="41"/>
      <c r="M126" s="42" t="str">
        <f t="shared" si="38"/>
        <v xml:space="preserve">Soluciones Corporativas COMSUR, S.C.  </v>
      </c>
      <c r="N126" s="991" t="s">
        <v>656</v>
      </c>
      <c r="O126" s="991" t="s">
        <v>656</v>
      </c>
      <c r="P126" s="991" t="s">
        <v>5124</v>
      </c>
      <c r="Q126" s="992">
        <v>10226668.949999999</v>
      </c>
      <c r="R126" s="44">
        <f t="shared" si="44"/>
        <v>1636267.0319999999</v>
      </c>
      <c r="S126" s="45">
        <f t="shared" si="42"/>
        <v>11862935.981999999</v>
      </c>
      <c r="T126" s="46">
        <v>0</v>
      </c>
      <c r="U126" s="47">
        <f t="shared" si="45"/>
        <v>0</v>
      </c>
      <c r="V126" s="44">
        <f t="shared" si="39"/>
        <v>11862935.981999999</v>
      </c>
      <c r="W126" s="993" t="s">
        <v>156</v>
      </c>
      <c r="X126" s="48">
        <v>44837</v>
      </c>
      <c r="Y126" s="58" t="s">
        <v>881</v>
      </c>
      <c r="Z126" s="48">
        <v>44837</v>
      </c>
      <c r="AA126" s="48">
        <v>44926</v>
      </c>
      <c r="AB126" s="38" t="s">
        <v>4044</v>
      </c>
      <c r="AC126" s="38"/>
      <c r="AD126" s="59"/>
      <c r="AE126" s="59"/>
      <c r="AF126" s="59"/>
      <c r="AG126" s="59"/>
      <c r="AH126" s="39"/>
      <c r="AI126" s="38"/>
      <c r="AJ126" s="38"/>
      <c r="AK126" s="50"/>
      <c r="AL126" s="44"/>
      <c r="AM126" s="163" t="str">
        <f t="shared" ca="1" si="40"/>
        <v>MUERTO</v>
      </c>
      <c r="AN126" s="39"/>
      <c r="AO126" s="39"/>
      <c r="AP126" s="39" t="s">
        <v>881</v>
      </c>
      <c r="AQ126" s="39"/>
      <c r="AR126" s="39" t="s">
        <v>881</v>
      </c>
      <c r="AS126" s="39"/>
      <c r="AT126" s="58">
        <v>44960</v>
      </c>
      <c r="AU126" s="51"/>
      <c r="AV126" s="50"/>
      <c r="AW126" s="38"/>
      <c r="AX126" s="52"/>
      <c r="AY126" s="170" t="s">
        <v>5125</v>
      </c>
      <c r="AZ126" s="38"/>
      <c r="BA126" s="38"/>
      <c r="BB126" s="73">
        <f t="shared" si="43"/>
        <v>0</v>
      </c>
      <c r="BC126" s="159"/>
      <c r="BD126" s="59">
        <v>44831</v>
      </c>
      <c r="BE126" s="59">
        <v>44833</v>
      </c>
      <c r="BF126" s="58">
        <v>44837</v>
      </c>
      <c r="BG126" s="59">
        <f t="shared" si="37"/>
        <v>44837</v>
      </c>
      <c r="BH126" s="183" t="str">
        <f t="shared" si="41"/>
        <v>Contrato formalizado con fc y prc 07/11/2022</v>
      </c>
      <c r="BI126" s="195">
        <v>44844</v>
      </c>
      <c r="BJ126" s="185">
        <v>44838</v>
      </c>
      <c r="BK126" s="186" t="str">
        <f t="shared" si="46"/>
        <v>Contrato formalizado con fc y prc 07/11/2022</v>
      </c>
      <c r="BL126" s="84"/>
      <c r="BM126" s="84"/>
      <c r="BN126" s="84"/>
      <c r="BO126" s="84"/>
      <c r="BP126" s="84"/>
    </row>
    <row r="127" spans="1:71" s="468" customFormat="1" ht="262.5" customHeight="1" x14ac:dyDescent="0.25">
      <c r="A127" s="168" t="s">
        <v>5126</v>
      </c>
      <c r="B127" s="3">
        <v>121</v>
      </c>
      <c r="C127" s="167" t="s">
        <v>149</v>
      </c>
      <c r="D127" s="39" t="s">
        <v>163</v>
      </c>
      <c r="E127" s="40" t="s">
        <v>5127</v>
      </c>
      <c r="F127" s="3" t="s">
        <v>2237</v>
      </c>
      <c r="G127" s="685" t="s">
        <v>546</v>
      </c>
      <c r="H127" s="39" t="s">
        <v>4185</v>
      </c>
      <c r="I127" s="42" t="s">
        <v>711</v>
      </c>
      <c r="J127" s="41"/>
      <c r="K127" s="41"/>
      <c r="L127" s="41"/>
      <c r="M127" s="42" t="str">
        <f t="shared" si="38"/>
        <v xml:space="preserve">Carlos Corral y Asociados, S.C.  </v>
      </c>
      <c r="N127" s="991" t="s">
        <v>270</v>
      </c>
      <c r="O127" s="991" t="s">
        <v>270</v>
      </c>
      <c r="P127" s="991" t="s">
        <v>5128</v>
      </c>
      <c r="Q127" s="992">
        <v>3528694.57</v>
      </c>
      <c r="R127" s="44">
        <f t="shared" si="44"/>
        <v>564591.13119999995</v>
      </c>
      <c r="S127" s="45">
        <f t="shared" si="42"/>
        <v>4093285.7012</v>
      </c>
      <c r="T127" s="46">
        <v>0</v>
      </c>
      <c r="U127" s="47">
        <f t="shared" si="45"/>
        <v>0</v>
      </c>
      <c r="V127" s="44">
        <f t="shared" si="39"/>
        <v>4093285.7012</v>
      </c>
      <c r="W127" s="993" t="s">
        <v>156</v>
      </c>
      <c r="X127" s="48">
        <v>44844</v>
      </c>
      <c r="Y127" s="39" t="s">
        <v>881</v>
      </c>
      <c r="Z127" s="48">
        <v>44844</v>
      </c>
      <c r="AA127" s="48">
        <v>44914</v>
      </c>
      <c r="AB127" s="38" t="s">
        <v>3811</v>
      </c>
      <c r="AC127" s="38"/>
      <c r="AD127" s="59"/>
      <c r="AE127" s="59"/>
      <c r="AF127" s="59"/>
      <c r="AG127" s="59"/>
      <c r="AH127" s="39"/>
      <c r="AI127" s="38"/>
      <c r="AJ127" s="38"/>
      <c r="AK127" s="50"/>
      <c r="AL127" s="44"/>
      <c r="AM127" s="163" t="str">
        <f t="shared" ca="1" si="40"/>
        <v>MUERTO</v>
      </c>
      <c r="AN127" s="39"/>
      <c r="AO127" s="39"/>
      <c r="AP127" s="39" t="s">
        <v>881</v>
      </c>
      <c r="AQ127" s="39"/>
      <c r="AR127" s="39" t="s">
        <v>881</v>
      </c>
      <c r="AS127" s="39"/>
      <c r="AT127" s="58">
        <v>44960</v>
      </c>
      <c r="AU127" s="51"/>
      <c r="AV127" s="50"/>
      <c r="AW127" s="38"/>
      <c r="AX127" s="52"/>
      <c r="AY127" s="170" t="s">
        <v>5125</v>
      </c>
      <c r="AZ127" s="38"/>
      <c r="BA127" s="38"/>
      <c r="BB127" s="73">
        <f t="shared" si="43"/>
        <v>0</v>
      </c>
      <c r="BC127" s="159"/>
      <c r="BD127" s="59">
        <v>44840</v>
      </c>
      <c r="BE127" s="59">
        <v>44840</v>
      </c>
      <c r="BF127" s="58">
        <v>44844</v>
      </c>
      <c r="BG127" s="59">
        <f t="shared" si="37"/>
        <v>44844</v>
      </c>
      <c r="BH127" s="183" t="str">
        <f t="shared" si="41"/>
        <v>Contrato formalizado con fc y prc 07/11/2022</v>
      </c>
      <c r="BI127" s="195">
        <v>44848</v>
      </c>
      <c r="BJ127" s="185">
        <v>44844</v>
      </c>
      <c r="BK127" s="186" t="str">
        <f t="shared" si="46"/>
        <v>Contrato formalizado con fc y prc 07/11/2022</v>
      </c>
      <c r="BL127" s="84"/>
      <c r="BM127" s="84"/>
      <c r="BN127" s="84"/>
      <c r="BO127" s="84"/>
      <c r="BP127" s="84"/>
      <c r="BQ127"/>
      <c r="BR127"/>
      <c r="BS127"/>
    </row>
    <row r="128" spans="1:71" s="468" customFormat="1" ht="75" x14ac:dyDescent="0.25">
      <c r="A128" s="168" t="s">
        <v>5129</v>
      </c>
      <c r="B128" s="3">
        <v>122</v>
      </c>
      <c r="C128" s="167" t="s">
        <v>149</v>
      </c>
      <c r="D128" s="39" t="s">
        <v>163</v>
      </c>
      <c r="E128" s="40" t="s">
        <v>5127</v>
      </c>
      <c r="F128" s="3" t="s">
        <v>2237</v>
      </c>
      <c r="G128" s="685" t="s">
        <v>546</v>
      </c>
      <c r="H128" s="39" t="s">
        <v>3764</v>
      </c>
      <c r="I128" s="42" t="s">
        <v>1850</v>
      </c>
      <c r="J128" s="41"/>
      <c r="K128" s="41"/>
      <c r="L128" s="41"/>
      <c r="M128" s="42" t="str">
        <f t="shared" si="38"/>
        <v xml:space="preserve">Medingenium, S.A. de C.V.  </v>
      </c>
      <c r="N128" s="991" t="s">
        <v>763</v>
      </c>
      <c r="O128" s="991" t="s">
        <v>763</v>
      </c>
      <c r="P128" s="991" t="s">
        <v>5130</v>
      </c>
      <c r="Q128" s="992">
        <v>862068.97</v>
      </c>
      <c r="R128" s="44">
        <f t="shared" si="44"/>
        <v>137931.03519999998</v>
      </c>
      <c r="S128" s="45">
        <f t="shared" si="42"/>
        <v>1000000.0052</v>
      </c>
      <c r="T128" s="46">
        <v>215517.24</v>
      </c>
      <c r="U128" s="47">
        <f t="shared" si="45"/>
        <v>249999.99839999998</v>
      </c>
      <c r="V128" s="44">
        <f t="shared" si="39"/>
        <v>1000000.0052</v>
      </c>
      <c r="W128" s="993" t="s">
        <v>156</v>
      </c>
      <c r="X128" s="48">
        <v>44846</v>
      </c>
      <c r="Y128" s="58" t="s">
        <v>881</v>
      </c>
      <c r="Z128" s="58">
        <v>44846</v>
      </c>
      <c r="AA128" s="48">
        <v>44926</v>
      </c>
      <c r="AB128" s="48" t="s">
        <v>3787</v>
      </c>
      <c r="AC128" s="38"/>
      <c r="AD128" s="59"/>
      <c r="AE128" s="59"/>
      <c r="AF128" s="59"/>
      <c r="AG128" s="59"/>
      <c r="AH128" s="39"/>
      <c r="AI128" s="38"/>
      <c r="AJ128" s="38"/>
      <c r="AK128" s="50"/>
      <c r="AL128" s="44"/>
      <c r="AM128" s="163" t="str">
        <f t="shared" ca="1" si="40"/>
        <v>MUERTO</v>
      </c>
      <c r="AN128" s="39"/>
      <c r="AO128" s="39"/>
      <c r="AP128" s="39" t="s">
        <v>881</v>
      </c>
      <c r="AQ128" s="39"/>
      <c r="AR128" s="39" t="s">
        <v>881</v>
      </c>
      <c r="AS128" s="39"/>
      <c r="AT128" s="58">
        <v>44960</v>
      </c>
      <c r="AU128" s="51"/>
      <c r="AV128" s="50"/>
      <c r="AW128" s="38"/>
      <c r="AX128" s="52"/>
      <c r="AY128" s="170" t="s">
        <v>5131</v>
      </c>
      <c r="AZ128" s="38"/>
      <c r="BA128" s="38"/>
      <c r="BB128" s="73">
        <f t="shared" si="43"/>
        <v>0</v>
      </c>
      <c r="BC128" s="159"/>
      <c r="BD128" s="59">
        <v>44840</v>
      </c>
      <c r="BE128" s="59">
        <v>44844</v>
      </c>
      <c r="BF128" s="58">
        <v>44846</v>
      </c>
      <c r="BG128" s="59">
        <f t="shared" si="37"/>
        <v>44846</v>
      </c>
      <c r="BH128" s="183" t="str">
        <f t="shared" si="41"/>
        <v>Contrato formalizado con garantías 01/11/22</v>
      </c>
      <c r="BI128" s="195">
        <v>44851</v>
      </c>
      <c r="BJ128" s="185">
        <v>44847</v>
      </c>
      <c r="BK128" s="186" t="str">
        <f t="shared" si="46"/>
        <v>Contrato formalizado con garantías 01/11/22</v>
      </c>
      <c r="BL128" s="84"/>
      <c r="BM128" s="84"/>
      <c r="BN128" s="84"/>
      <c r="BO128" s="84"/>
      <c r="BP128" s="84"/>
      <c r="BQ128"/>
      <c r="BR128"/>
      <c r="BS128"/>
    </row>
    <row r="129" spans="1:68" ht="75" x14ac:dyDescent="0.25">
      <c r="A129" s="248" t="s">
        <v>5132</v>
      </c>
      <c r="B129" s="3">
        <v>123</v>
      </c>
      <c r="C129" s="167" t="s">
        <v>149</v>
      </c>
      <c r="D129" s="39" t="s">
        <v>163</v>
      </c>
      <c r="E129" s="40" t="s">
        <v>5133</v>
      </c>
      <c r="F129" s="39" t="s">
        <v>163</v>
      </c>
      <c r="G129" s="39" t="s">
        <v>163</v>
      </c>
      <c r="H129" s="39" t="s">
        <v>4123</v>
      </c>
      <c r="I129" s="42" t="s">
        <v>2484</v>
      </c>
      <c r="J129" s="41"/>
      <c r="K129" s="41"/>
      <c r="L129" s="41"/>
      <c r="M129" s="42" t="str">
        <f t="shared" si="38"/>
        <v xml:space="preserve">RCM Seguridad Privada, S.A. de C.V.  </v>
      </c>
      <c r="N129" s="991" t="s">
        <v>166</v>
      </c>
      <c r="O129" s="991" t="s">
        <v>166</v>
      </c>
      <c r="P129" s="991" t="s">
        <v>5134</v>
      </c>
      <c r="Q129" s="992">
        <v>1870610.4</v>
      </c>
      <c r="R129" s="44">
        <f t="shared" si="44"/>
        <v>299297.66399999999</v>
      </c>
      <c r="S129" s="45">
        <f t="shared" si="42"/>
        <v>2169908.0639999998</v>
      </c>
      <c r="T129" s="46">
        <v>0</v>
      </c>
      <c r="U129" s="47">
        <f t="shared" si="45"/>
        <v>0</v>
      </c>
      <c r="V129" s="44">
        <f t="shared" si="39"/>
        <v>2169908.0639999998</v>
      </c>
      <c r="W129" s="993" t="s">
        <v>156</v>
      </c>
      <c r="X129" s="48">
        <v>44861</v>
      </c>
      <c r="Y129" s="58" t="s">
        <v>881</v>
      </c>
      <c r="Z129" s="151">
        <v>44927</v>
      </c>
      <c r="AA129" s="150">
        <v>45291</v>
      </c>
      <c r="AB129" s="48" t="s">
        <v>3787</v>
      </c>
      <c r="AC129" s="38"/>
      <c r="AD129" s="59"/>
      <c r="AE129" s="59"/>
      <c r="AF129" s="59"/>
      <c r="AG129" s="59"/>
      <c r="AH129" s="39"/>
      <c r="AI129" s="38"/>
      <c r="AJ129" s="38"/>
      <c r="AK129" s="50"/>
      <c r="AL129" s="44"/>
      <c r="AM129" s="163" t="str">
        <f t="shared" ca="1" si="40"/>
        <v>MUERTO</v>
      </c>
      <c r="AN129" s="39"/>
      <c r="AO129" s="39"/>
      <c r="AP129" s="39" t="s">
        <v>881</v>
      </c>
      <c r="AQ129" s="39"/>
      <c r="AR129" s="39" t="s">
        <v>881</v>
      </c>
      <c r="AS129" s="39"/>
      <c r="AT129" s="58">
        <v>44960</v>
      </c>
      <c r="AU129" s="51"/>
      <c r="AV129" s="50"/>
      <c r="AW129" s="38"/>
      <c r="AX129" s="52"/>
      <c r="AY129" s="170" t="s">
        <v>5135</v>
      </c>
      <c r="AZ129" s="38"/>
      <c r="BA129" s="38"/>
      <c r="BB129" s="73"/>
      <c r="BC129" s="159"/>
      <c r="BD129" s="59">
        <v>44858</v>
      </c>
      <c r="BE129" s="59">
        <v>44858</v>
      </c>
      <c r="BF129" s="58">
        <v>44865</v>
      </c>
      <c r="BG129" s="59">
        <f t="shared" si="37"/>
        <v>44865</v>
      </c>
      <c r="BH129" s="183" t="str">
        <f t="shared" si="41"/>
        <v>Contrato formalizado con garantías 20/01/23</v>
      </c>
      <c r="BI129" s="195">
        <v>44873</v>
      </c>
      <c r="BJ129" s="185">
        <v>44869</v>
      </c>
      <c r="BK129" s="186" t="str">
        <f t="shared" si="46"/>
        <v>Contrato formalizado con garantías 20/01/23</v>
      </c>
      <c r="BL129" s="84"/>
      <c r="BM129" s="84"/>
      <c r="BN129" s="84"/>
      <c r="BO129" s="84"/>
      <c r="BP129" s="84"/>
    </row>
    <row r="130" spans="1:68" ht="150" x14ac:dyDescent="0.25">
      <c r="A130" s="168" t="s">
        <v>5136</v>
      </c>
      <c r="B130" s="3">
        <v>124</v>
      </c>
      <c r="C130" s="167" t="s">
        <v>149</v>
      </c>
      <c r="D130" s="39" t="s">
        <v>163</v>
      </c>
      <c r="E130" s="40" t="s">
        <v>5137</v>
      </c>
      <c r="F130" s="3" t="s">
        <v>2237</v>
      </c>
      <c r="G130" s="685" t="s">
        <v>546</v>
      </c>
      <c r="H130" s="39" t="s">
        <v>3764</v>
      </c>
      <c r="I130" s="42" t="s">
        <v>5138</v>
      </c>
      <c r="J130" s="41"/>
      <c r="K130" s="41"/>
      <c r="L130" s="41"/>
      <c r="M130" s="42" t="str">
        <f t="shared" si="38"/>
        <v xml:space="preserve">Administradora y Operadora de Beneficios, S.A. de C.V.  </v>
      </c>
      <c r="N130" s="991" t="s">
        <v>370</v>
      </c>
      <c r="O130" s="991" t="s">
        <v>5139</v>
      </c>
      <c r="P130" s="991" t="s">
        <v>5140</v>
      </c>
      <c r="Q130" s="992">
        <v>3302500</v>
      </c>
      <c r="R130" s="44">
        <f t="shared" si="44"/>
        <v>528400</v>
      </c>
      <c r="S130" s="45">
        <f t="shared" si="42"/>
        <v>3830900</v>
      </c>
      <c r="T130" s="46">
        <v>0</v>
      </c>
      <c r="U130" s="47">
        <f t="shared" si="45"/>
        <v>0</v>
      </c>
      <c r="V130" s="44">
        <f t="shared" si="39"/>
        <v>3830900</v>
      </c>
      <c r="W130" s="993" t="s">
        <v>156</v>
      </c>
      <c r="X130" s="48">
        <v>44866</v>
      </c>
      <c r="Y130" s="39" t="s">
        <v>892</v>
      </c>
      <c r="Z130" s="48">
        <v>44866</v>
      </c>
      <c r="AA130" s="48">
        <v>44926</v>
      </c>
      <c r="AB130" s="38" t="s">
        <v>3113</v>
      </c>
      <c r="AC130" s="38"/>
      <c r="AD130" s="59"/>
      <c r="AE130" s="59"/>
      <c r="AF130" s="59"/>
      <c r="AG130" s="59"/>
      <c r="AH130" s="39"/>
      <c r="AI130" s="38"/>
      <c r="AJ130" s="38"/>
      <c r="AK130" s="50"/>
      <c r="AL130" s="44"/>
      <c r="AM130" s="163" t="str">
        <f t="shared" ca="1" si="40"/>
        <v>MUERTO</v>
      </c>
      <c r="AN130" s="39"/>
      <c r="AO130" s="39"/>
      <c r="AP130" s="39" t="s">
        <v>892</v>
      </c>
      <c r="AQ130" s="39"/>
      <c r="AR130" s="39" t="s">
        <v>892</v>
      </c>
      <c r="AS130" s="39"/>
      <c r="AT130" s="58">
        <v>44960</v>
      </c>
      <c r="AU130" s="51"/>
      <c r="AV130" s="50"/>
      <c r="AW130" s="38"/>
      <c r="AX130" s="52"/>
      <c r="AY130" s="170" t="s">
        <v>5141</v>
      </c>
      <c r="AZ130" s="38"/>
      <c r="BA130" s="38"/>
      <c r="BB130" s="73">
        <f>AN130</f>
        <v>0</v>
      </c>
      <c r="BC130" s="159"/>
      <c r="BD130" s="59">
        <v>44862</v>
      </c>
      <c r="BE130" s="59">
        <v>44865</v>
      </c>
      <c r="BF130" s="58">
        <v>44866</v>
      </c>
      <c r="BG130" s="59">
        <f t="shared" si="37"/>
        <v>44866</v>
      </c>
      <c r="BH130" s="183" t="str">
        <f t="shared" si="41"/>
        <v>Contrato formalizado con FC 14/11/22</v>
      </c>
      <c r="BI130" s="195">
        <v>44869</v>
      </c>
      <c r="BJ130" s="185">
        <v>44868</v>
      </c>
      <c r="BK130" s="186" t="str">
        <f t="shared" si="46"/>
        <v>Contrato formalizado con FC 14/11/22</v>
      </c>
      <c r="BL130" s="84"/>
      <c r="BM130" s="84"/>
      <c r="BN130" s="84"/>
      <c r="BO130" s="84"/>
      <c r="BP130" s="84"/>
    </row>
    <row r="131" spans="1:68" ht="45" x14ac:dyDescent="0.25">
      <c r="A131" s="168" t="s">
        <v>5142</v>
      </c>
      <c r="B131" s="3">
        <v>125</v>
      </c>
      <c r="C131" s="167" t="s">
        <v>225</v>
      </c>
      <c r="D131" s="39" t="s">
        <v>151</v>
      </c>
      <c r="E131" s="40" t="s">
        <v>5143</v>
      </c>
      <c r="F131" s="39" t="s">
        <v>151</v>
      </c>
      <c r="G131" s="39"/>
      <c r="H131" s="39" t="s">
        <v>3793</v>
      </c>
      <c r="I131" s="42" t="s">
        <v>511</v>
      </c>
      <c r="J131" s="41"/>
      <c r="K131" s="41"/>
      <c r="L131" s="41"/>
      <c r="M131" s="42" t="str">
        <f t="shared" ref="M131:M162" si="47">I131&amp;J131&amp;" "&amp;K131&amp;" "&amp;L131</f>
        <v xml:space="preserve">Cicovisa, S.A. de C.V.  </v>
      </c>
      <c r="N131" s="991" t="s">
        <v>638</v>
      </c>
      <c r="O131" s="991" t="s">
        <v>638</v>
      </c>
      <c r="P131" s="991" t="s">
        <v>5144</v>
      </c>
      <c r="Q131" s="992">
        <v>970000</v>
      </c>
      <c r="R131" s="44">
        <f t="shared" si="44"/>
        <v>155200</v>
      </c>
      <c r="S131" s="45">
        <f t="shared" si="42"/>
        <v>1125200</v>
      </c>
      <c r="T131" s="46">
        <v>0</v>
      </c>
      <c r="U131" s="47">
        <f t="shared" si="45"/>
        <v>0</v>
      </c>
      <c r="V131" s="44">
        <f t="shared" si="39"/>
        <v>1125200</v>
      </c>
      <c r="W131" s="993" t="s">
        <v>156</v>
      </c>
      <c r="X131" s="48">
        <v>44881</v>
      </c>
      <c r="Y131" s="39" t="s">
        <v>892</v>
      </c>
      <c r="Z131" s="48">
        <v>44881</v>
      </c>
      <c r="AA131" s="48">
        <v>44926</v>
      </c>
      <c r="AB131" s="38" t="s">
        <v>3113</v>
      </c>
      <c r="AC131" s="38"/>
      <c r="AD131" s="59"/>
      <c r="AE131" s="59"/>
      <c r="AF131" s="59"/>
      <c r="AG131" s="59"/>
      <c r="AH131" s="39"/>
      <c r="AI131" s="38"/>
      <c r="AJ131" s="38"/>
      <c r="AK131" s="50"/>
      <c r="AL131" s="44"/>
      <c r="AM131" s="163" t="str">
        <f t="shared" ca="1" si="40"/>
        <v>MUERTO</v>
      </c>
      <c r="AN131" s="39"/>
      <c r="AO131" s="39"/>
      <c r="AP131" s="39" t="s">
        <v>892</v>
      </c>
      <c r="AQ131" s="39"/>
      <c r="AR131" s="39" t="s">
        <v>1668</v>
      </c>
      <c r="AS131" s="39"/>
      <c r="AT131" s="58">
        <v>44960</v>
      </c>
      <c r="AU131" s="51"/>
      <c r="AV131" s="50"/>
      <c r="AW131" s="38"/>
      <c r="AX131" s="52"/>
      <c r="AY131" s="170" t="s">
        <v>5145</v>
      </c>
      <c r="AZ131" s="38"/>
      <c r="BA131" s="38"/>
      <c r="BB131" s="73">
        <f>AN131</f>
        <v>0</v>
      </c>
      <c r="BC131" s="159"/>
      <c r="BD131" s="59">
        <v>44862</v>
      </c>
      <c r="BE131" s="59">
        <v>44866</v>
      </c>
      <c r="BF131" s="58">
        <v>44873</v>
      </c>
      <c r="BG131" s="59">
        <f t="shared" si="37"/>
        <v>44873</v>
      </c>
      <c r="BH131" s="183" t="str">
        <f t="shared" si="41"/>
        <v>Contrato formalizado 23/11/22</v>
      </c>
      <c r="BI131" s="195">
        <v>44876</v>
      </c>
      <c r="BJ131" s="185">
        <v>44874</v>
      </c>
      <c r="BK131" s="186" t="str">
        <f t="shared" si="46"/>
        <v>Contrato formalizado 23/11/22</v>
      </c>
      <c r="BL131" s="84"/>
      <c r="BM131" s="84"/>
      <c r="BN131" s="84"/>
      <c r="BO131" s="84"/>
      <c r="BP131" s="84"/>
    </row>
    <row r="132" spans="1:68" ht="60" x14ac:dyDescent="0.25">
      <c r="A132" s="168" t="s">
        <v>5146</v>
      </c>
      <c r="B132" s="3">
        <v>126</v>
      </c>
      <c r="C132" s="167" t="s">
        <v>149</v>
      </c>
      <c r="D132" s="39" t="s">
        <v>151</v>
      </c>
      <c r="E132" s="40" t="s">
        <v>5147</v>
      </c>
      <c r="F132" s="39" t="s">
        <v>151</v>
      </c>
      <c r="G132" s="39"/>
      <c r="H132" s="39" t="s">
        <v>3793</v>
      </c>
      <c r="I132" s="42" t="s">
        <v>2470</v>
      </c>
      <c r="J132" s="41"/>
      <c r="K132" s="41"/>
      <c r="L132" s="41"/>
      <c r="M132" s="42" t="str">
        <f t="shared" si="47"/>
        <v xml:space="preserve">Inmobiliaria y Constructora Mal &amp; Jor, S.A. de C.V.  </v>
      </c>
      <c r="N132" s="991" t="s">
        <v>198</v>
      </c>
      <c r="O132" s="991" t="s">
        <v>198</v>
      </c>
      <c r="P132" s="991" t="s">
        <v>5148</v>
      </c>
      <c r="Q132" s="992">
        <v>1490603.42</v>
      </c>
      <c r="R132" s="44">
        <f t="shared" si="44"/>
        <v>238496.5472</v>
      </c>
      <c r="S132" s="45">
        <f t="shared" si="42"/>
        <v>1729099.9671999998</v>
      </c>
      <c r="T132" s="46">
        <v>0</v>
      </c>
      <c r="U132" s="47">
        <f t="shared" si="45"/>
        <v>0</v>
      </c>
      <c r="V132" s="44">
        <f t="shared" si="39"/>
        <v>1729099.9671999998</v>
      </c>
      <c r="W132" s="993" t="s">
        <v>156</v>
      </c>
      <c r="X132" s="48">
        <v>44872</v>
      </c>
      <c r="Y132" s="39" t="s">
        <v>892</v>
      </c>
      <c r="Z132" s="48">
        <v>44872</v>
      </c>
      <c r="AA132" s="48">
        <v>44910</v>
      </c>
      <c r="AB132" s="38" t="s">
        <v>3999</v>
      </c>
      <c r="AC132" s="38"/>
      <c r="AD132" s="59"/>
      <c r="AE132" s="59"/>
      <c r="AF132" s="226"/>
      <c r="AG132" s="59"/>
      <c r="AH132" s="39"/>
      <c r="AI132" s="38"/>
      <c r="AJ132" s="38"/>
      <c r="AK132" s="50"/>
      <c r="AL132" s="44"/>
      <c r="AM132" s="163" t="str">
        <f t="shared" ca="1" si="40"/>
        <v>MUERTO</v>
      </c>
      <c r="AN132" s="39"/>
      <c r="AO132" s="39"/>
      <c r="AP132" s="39" t="s">
        <v>892</v>
      </c>
      <c r="AQ132" s="39"/>
      <c r="AR132" s="39" t="s">
        <v>1668</v>
      </c>
      <c r="AS132" s="39"/>
      <c r="AT132" s="58">
        <v>44960</v>
      </c>
      <c r="AU132" s="51"/>
      <c r="AV132" s="50"/>
      <c r="AW132" s="38"/>
      <c r="AX132" s="52"/>
      <c r="AY132" s="170" t="s">
        <v>5149</v>
      </c>
      <c r="AZ132" s="38"/>
      <c r="BA132" s="38"/>
      <c r="BB132" s="73">
        <f>AN132</f>
        <v>0</v>
      </c>
      <c r="BC132" s="159"/>
      <c r="BD132" s="59">
        <v>44866</v>
      </c>
      <c r="BE132" s="59">
        <v>44869</v>
      </c>
      <c r="BF132" s="58">
        <v>44873</v>
      </c>
      <c r="BG132" s="59">
        <f t="shared" si="37"/>
        <v>44873</v>
      </c>
      <c r="BH132" s="183" t="str">
        <f t="shared" si="41"/>
        <v>Contrato formalizado 01/12/22</v>
      </c>
      <c r="BI132" s="195">
        <v>44880</v>
      </c>
      <c r="BJ132" s="185">
        <v>44874</v>
      </c>
      <c r="BK132" s="186" t="str">
        <f t="shared" si="46"/>
        <v>Contrato formalizado 01/12/22</v>
      </c>
      <c r="BL132" s="84"/>
      <c r="BM132" s="84"/>
      <c r="BN132" s="84"/>
      <c r="BO132" s="84"/>
      <c r="BP132" s="84"/>
    </row>
    <row r="133" spans="1:68" ht="105" x14ac:dyDescent="0.25">
      <c r="A133" s="168" t="s">
        <v>5150</v>
      </c>
      <c r="B133" s="3">
        <v>127</v>
      </c>
      <c r="C133" s="167" t="s">
        <v>225</v>
      </c>
      <c r="D133" s="39" t="s">
        <v>173</v>
      </c>
      <c r="E133" s="40" t="s">
        <v>5151</v>
      </c>
      <c r="F133" s="39" t="s">
        <v>173</v>
      </c>
      <c r="G133" s="39"/>
      <c r="H133" s="39" t="s">
        <v>3785</v>
      </c>
      <c r="I133" s="42" t="s">
        <v>4455</v>
      </c>
      <c r="J133" s="41"/>
      <c r="K133" s="41"/>
      <c r="L133" s="41"/>
      <c r="M133" s="42" t="str">
        <f t="shared" si="47"/>
        <v xml:space="preserve">Programas y Aplicaciónes Certificadas, S.A. de C.V.  </v>
      </c>
      <c r="N133" s="991" t="s">
        <v>5152</v>
      </c>
      <c r="O133" s="991" t="s">
        <v>5152</v>
      </c>
      <c r="P133" s="991" t="s">
        <v>5153</v>
      </c>
      <c r="Q133" s="992">
        <v>13362000</v>
      </c>
      <c r="R133" s="44">
        <f t="shared" si="44"/>
        <v>2137920</v>
      </c>
      <c r="S133" s="45">
        <f t="shared" si="42"/>
        <v>15499920</v>
      </c>
      <c r="T133" s="46">
        <v>0</v>
      </c>
      <c r="U133" s="47">
        <f t="shared" si="45"/>
        <v>0</v>
      </c>
      <c r="V133" s="44">
        <f t="shared" si="39"/>
        <v>15499920</v>
      </c>
      <c r="W133" s="993" t="s">
        <v>156</v>
      </c>
      <c r="X133" s="48">
        <v>44874</v>
      </c>
      <c r="Y133" s="39" t="s">
        <v>892</v>
      </c>
      <c r="Z133" s="48">
        <v>44874</v>
      </c>
      <c r="AA133" s="48">
        <v>44926</v>
      </c>
      <c r="AB133" s="39" t="s">
        <v>4044</v>
      </c>
      <c r="AC133" s="38"/>
      <c r="AD133" s="59"/>
      <c r="AE133" s="59"/>
      <c r="AF133" s="244">
        <v>4649976</v>
      </c>
      <c r="AG133" s="59"/>
      <c r="AH133" s="39"/>
      <c r="AI133" s="250" t="s">
        <v>5154</v>
      </c>
      <c r="AJ133" s="38"/>
      <c r="AK133" s="50"/>
      <c r="AL133" s="44"/>
      <c r="AM133" s="163" t="str">
        <f t="shared" ca="1" si="40"/>
        <v>MUERTO</v>
      </c>
      <c r="AN133" s="39"/>
      <c r="AO133" s="39"/>
      <c r="AP133" s="39" t="s">
        <v>892</v>
      </c>
      <c r="AQ133" s="39"/>
      <c r="AR133" s="39" t="s">
        <v>1668</v>
      </c>
      <c r="AS133" s="39"/>
      <c r="AT133" s="58">
        <v>44960</v>
      </c>
      <c r="AU133" s="51"/>
      <c r="AV133" s="50"/>
      <c r="AW133" s="38"/>
      <c r="AX133" s="52"/>
      <c r="AY133" s="170" t="s">
        <v>5155</v>
      </c>
      <c r="AZ133" s="38"/>
      <c r="BA133" s="38"/>
      <c r="BB133" s="73">
        <f>AN133</f>
        <v>0</v>
      </c>
      <c r="BC133" s="159"/>
      <c r="BD133" s="59">
        <v>44869</v>
      </c>
      <c r="BE133" s="59">
        <v>44872</v>
      </c>
      <c r="BF133" s="58">
        <v>44875</v>
      </c>
      <c r="BG133" s="59">
        <f t="shared" si="37"/>
        <v>44875</v>
      </c>
      <c r="BH133" s="183" t="str">
        <f t="shared" si="41"/>
        <v>Contrato formalizado con FC y PRC25/11/22</v>
      </c>
      <c r="BI133" s="195">
        <v>44883</v>
      </c>
      <c r="BJ133" s="185">
        <v>44880</v>
      </c>
      <c r="BK133" s="186" t="str">
        <f t="shared" si="46"/>
        <v>Contrato formalizado con FC y PRC25/11/22</v>
      </c>
      <c r="BL133" s="84"/>
      <c r="BM133" s="84"/>
      <c r="BN133" s="84"/>
      <c r="BO133" s="84"/>
      <c r="BP133" s="84"/>
    </row>
    <row r="134" spans="1:68" ht="90" x14ac:dyDescent="0.25">
      <c r="A134" s="196" t="s">
        <v>5156</v>
      </c>
      <c r="B134" s="3">
        <v>128</v>
      </c>
      <c r="C134" s="167" t="s">
        <v>149</v>
      </c>
      <c r="D134" s="39" t="s">
        <v>173</v>
      </c>
      <c r="E134" s="40" t="s">
        <v>5157</v>
      </c>
      <c r="F134" s="39" t="s">
        <v>173</v>
      </c>
      <c r="G134" s="39"/>
      <c r="H134" s="39" t="s">
        <v>3785</v>
      </c>
      <c r="I134" s="41" t="s">
        <v>5158</v>
      </c>
      <c r="J134" s="41"/>
      <c r="K134" s="41"/>
      <c r="L134" s="41"/>
      <c r="M134" s="42" t="str">
        <f t="shared" si="47"/>
        <v xml:space="preserve">Cen Systems, S.A. de C.V.  </v>
      </c>
      <c r="N134" s="991" t="s">
        <v>656</v>
      </c>
      <c r="O134" s="991" t="s">
        <v>209</v>
      </c>
      <c r="P134" s="991" t="s">
        <v>5159</v>
      </c>
      <c r="Q134" s="992">
        <v>8615628</v>
      </c>
      <c r="R134" s="44">
        <f t="shared" si="44"/>
        <v>1378500.48</v>
      </c>
      <c r="S134" s="45">
        <f t="shared" si="42"/>
        <v>9994128.4800000004</v>
      </c>
      <c r="T134" s="46">
        <v>0</v>
      </c>
      <c r="U134" s="47">
        <f t="shared" si="45"/>
        <v>0</v>
      </c>
      <c r="V134" s="44">
        <f t="shared" si="39"/>
        <v>9994128.4800000004</v>
      </c>
      <c r="W134" s="993" t="s">
        <v>156</v>
      </c>
      <c r="X134" s="48">
        <v>44879</v>
      </c>
      <c r="Y134" s="39" t="s">
        <v>892</v>
      </c>
      <c r="Z134" s="150">
        <v>44927</v>
      </c>
      <c r="AA134" s="150">
        <v>45291</v>
      </c>
      <c r="AB134" s="39" t="s">
        <v>4044</v>
      </c>
      <c r="AC134" s="38" t="s">
        <v>5160</v>
      </c>
      <c r="AD134" s="59"/>
      <c r="AE134" s="59"/>
      <c r="AF134" s="244"/>
      <c r="AG134" s="59"/>
      <c r="AH134" s="39"/>
      <c r="AI134" s="110" t="s">
        <v>5161</v>
      </c>
      <c r="AJ134" s="38" t="s">
        <v>5162</v>
      </c>
      <c r="AK134" s="50">
        <v>45265</v>
      </c>
      <c r="AL134" s="44">
        <v>0</v>
      </c>
      <c r="AM134" s="163" t="str">
        <f t="shared" ref="AM134:AM164" ca="1" si="48">IF(ISBLANK(AA134),"",IF(AA134&gt;=TODAY(),"VIGENTE","MUERTO"))</f>
        <v>MUERTO</v>
      </c>
      <c r="AN134" s="39"/>
      <c r="AO134" s="39"/>
      <c r="AP134" s="39" t="s">
        <v>892</v>
      </c>
      <c r="AQ134" s="39"/>
      <c r="AR134" s="39" t="s">
        <v>1668</v>
      </c>
      <c r="AS134" s="39"/>
      <c r="AT134" s="58">
        <v>44960</v>
      </c>
      <c r="AU134" s="51"/>
      <c r="AV134" s="50"/>
      <c r="AW134" s="38"/>
      <c r="AX134" s="52"/>
      <c r="AY134" s="170" t="s">
        <v>5163</v>
      </c>
      <c r="AZ134" s="38"/>
      <c r="BA134" s="38"/>
      <c r="BB134" s="73"/>
      <c r="BC134" s="159"/>
      <c r="BD134" s="59" t="s">
        <v>5164</v>
      </c>
      <c r="BE134" s="59" t="s">
        <v>5165</v>
      </c>
      <c r="BF134" s="58">
        <v>44880</v>
      </c>
      <c r="BG134" s="58">
        <v>44880</v>
      </c>
      <c r="BH134" s="183" t="str">
        <f t="shared" ref="BH134:BH155" si="49">AY134</f>
        <v>Contrato formalizado con fianzas 06/12/22                                 02/01/2024</v>
      </c>
      <c r="BI134" s="195" t="s">
        <v>5166</v>
      </c>
      <c r="BJ134" s="185" t="s">
        <v>5167</v>
      </c>
      <c r="BK134" s="186" t="str">
        <f t="shared" si="46"/>
        <v>Contrato formalizado con fianzas 06/12/22                                 02/01/2024</v>
      </c>
      <c r="BL134" s="84"/>
      <c r="BM134" s="84"/>
      <c r="BN134" s="84"/>
      <c r="BO134" s="84"/>
      <c r="BP134" s="84"/>
    </row>
    <row r="135" spans="1:68" ht="165" x14ac:dyDescent="0.25">
      <c r="A135" s="196" t="s">
        <v>5168</v>
      </c>
      <c r="B135" s="3">
        <v>129</v>
      </c>
      <c r="C135" s="167" t="s">
        <v>225</v>
      </c>
      <c r="D135" s="39" t="s">
        <v>163</v>
      </c>
      <c r="E135" s="40" t="s">
        <v>5137</v>
      </c>
      <c r="F135" s="3" t="s">
        <v>2237</v>
      </c>
      <c r="G135" s="685" t="s">
        <v>546</v>
      </c>
      <c r="H135" s="39" t="s">
        <v>4030</v>
      </c>
      <c r="I135" s="41" t="s">
        <v>1065</v>
      </c>
      <c r="J135" s="41"/>
      <c r="K135" s="41"/>
      <c r="L135" s="41"/>
      <c r="M135" s="42" t="str">
        <f t="shared" si="47"/>
        <v xml:space="preserve">Elevadores Schindler, S.A. de C.V.  </v>
      </c>
      <c r="N135" s="991" t="s">
        <v>198</v>
      </c>
      <c r="O135" s="991" t="s">
        <v>198</v>
      </c>
      <c r="P135" s="991" t="s">
        <v>5169</v>
      </c>
      <c r="Q135" s="216" t="s">
        <v>5170</v>
      </c>
      <c r="R135" s="44" t="s">
        <v>5171</v>
      </c>
      <c r="S135" s="258" t="s">
        <v>5172</v>
      </c>
      <c r="T135" s="46">
        <v>0</v>
      </c>
      <c r="U135" s="47">
        <f t="shared" si="45"/>
        <v>0</v>
      </c>
      <c r="V135" s="44">
        <v>2402871.6800000002</v>
      </c>
      <c r="W135" s="993" t="s">
        <v>183</v>
      </c>
      <c r="X135" s="48">
        <v>44880</v>
      </c>
      <c r="Y135" s="39" t="s">
        <v>892</v>
      </c>
      <c r="Z135" s="48">
        <v>44880</v>
      </c>
      <c r="AA135" s="213">
        <v>45245</v>
      </c>
      <c r="AB135" s="38" t="s">
        <v>5173</v>
      </c>
      <c r="AC135" s="38"/>
      <c r="AD135" s="59"/>
      <c r="AE135" s="59"/>
      <c r="AF135" s="249" t="s">
        <v>5174</v>
      </c>
      <c r="AG135" s="59"/>
      <c r="AH135" s="39"/>
      <c r="AI135" s="211" t="s">
        <v>5175</v>
      </c>
      <c r="AJ135" s="211" t="s">
        <v>5176</v>
      </c>
      <c r="AK135" s="218">
        <v>45183</v>
      </c>
      <c r="AL135" s="215">
        <v>0</v>
      </c>
      <c r="AM135" s="163" t="str">
        <f t="shared" ca="1" si="48"/>
        <v>MUERTO</v>
      </c>
      <c r="AN135" s="39"/>
      <c r="AO135" s="39"/>
      <c r="AP135" s="39" t="s">
        <v>892</v>
      </c>
      <c r="AQ135" s="39"/>
      <c r="AR135" s="39" t="s">
        <v>924</v>
      </c>
      <c r="AS135" s="39"/>
      <c r="AT135" s="58">
        <v>44960</v>
      </c>
      <c r="AU135" s="51"/>
      <c r="AV135" s="50"/>
      <c r="AW135" s="38"/>
      <c r="AX135" s="52"/>
      <c r="AY135" s="170" t="s">
        <v>5177</v>
      </c>
      <c r="AZ135" s="38"/>
      <c r="BA135" s="38"/>
      <c r="BB135" s="73">
        <f t="shared" ref="BB135:BB155" si="50">AN135</f>
        <v>0</v>
      </c>
      <c r="BC135" s="159"/>
      <c r="BD135" s="59" t="s">
        <v>5178</v>
      </c>
      <c r="BE135" s="59" t="s">
        <v>5179</v>
      </c>
      <c r="BF135" s="58" t="s">
        <v>5180</v>
      </c>
      <c r="BG135" s="59" t="str">
        <f t="shared" ref="BG135:BG158" si="51">BF135</f>
        <v>16/11/2022
18/09/2023</v>
      </c>
      <c r="BH135" s="183" t="str">
        <f t="shared" si="49"/>
        <v>Contrato formalizado con FC y PRc 26/12/22
Modificatorio formalizado con endoso 13/10</v>
      </c>
      <c r="BI135" s="228" t="s">
        <v>5181</v>
      </c>
      <c r="BJ135" s="185" t="s">
        <v>5182</v>
      </c>
      <c r="BK135" s="186" t="str">
        <f t="shared" si="46"/>
        <v>Contrato formalizado con FC y PRc 26/12/22
Modificatorio formalizado con endoso 13/10</v>
      </c>
      <c r="BL135" s="84"/>
      <c r="BM135" s="84"/>
      <c r="BN135" s="86" t="s">
        <v>5174</v>
      </c>
      <c r="BO135" s="86" t="s">
        <v>5183</v>
      </c>
      <c r="BP135" s="84"/>
    </row>
    <row r="136" spans="1:68" ht="120" x14ac:dyDescent="0.25">
      <c r="A136" s="248" t="s">
        <v>5184</v>
      </c>
      <c r="B136" s="3">
        <v>130</v>
      </c>
      <c r="C136" s="167" t="s">
        <v>149</v>
      </c>
      <c r="D136" s="39" t="s">
        <v>173</v>
      </c>
      <c r="E136" s="40" t="s">
        <v>5185</v>
      </c>
      <c r="F136" s="39" t="s">
        <v>173</v>
      </c>
      <c r="G136" s="39"/>
      <c r="H136" s="39" t="s">
        <v>3785</v>
      </c>
      <c r="I136" s="41" t="s">
        <v>636</v>
      </c>
      <c r="J136" s="41"/>
      <c r="K136" s="41"/>
      <c r="L136" s="41"/>
      <c r="M136" s="42" t="str">
        <f t="shared" si="47"/>
        <v xml:space="preserve">Full Service de México, S.A. de C.V.  </v>
      </c>
      <c r="N136" s="991" t="s">
        <v>638</v>
      </c>
      <c r="O136" s="991" t="s">
        <v>637</v>
      </c>
      <c r="P136" s="991" t="s">
        <v>5186</v>
      </c>
      <c r="Q136" s="992">
        <v>2683296</v>
      </c>
      <c r="R136" s="44">
        <f>Q136*0.16</f>
        <v>429327.35999999999</v>
      </c>
      <c r="S136" s="45">
        <f t="shared" ref="S136:S164" si="52">Q136+R136</f>
        <v>3112623.36</v>
      </c>
      <c r="T136" s="46">
        <v>0</v>
      </c>
      <c r="U136" s="47">
        <f t="shared" si="45"/>
        <v>0</v>
      </c>
      <c r="V136" s="44">
        <f t="shared" ref="V136:V164" si="53">S136+AL136</f>
        <v>3112623.36</v>
      </c>
      <c r="W136" s="993" t="s">
        <v>156</v>
      </c>
      <c r="X136" s="48">
        <v>44881</v>
      </c>
      <c r="Y136" s="39" t="s">
        <v>892</v>
      </c>
      <c r="Z136" s="150">
        <v>44927</v>
      </c>
      <c r="AA136" s="150">
        <v>45291</v>
      </c>
      <c r="AB136" s="38" t="s">
        <v>4717</v>
      </c>
      <c r="AC136" s="38"/>
      <c r="AD136" s="59"/>
      <c r="AE136" s="59"/>
      <c r="AF136" s="59"/>
      <c r="AG136" s="59"/>
      <c r="AH136" s="39"/>
      <c r="AI136" s="38"/>
      <c r="AJ136" s="38"/>
      <c r="AK136" s="50"/>
      <c r="AL136" s="44"/>
      <c r="AM136" s="163" t="str">
        <f t="shared" ca="1" si="48"/>
        <v>MUERTO</v>
      </c>
      <c r="AN136" s="39"/>
      <c r="AO136" s="39"/>
      <c r="AP136" s="39" t="s">
        <v>892</v>
      </c>
      <c r="AQ136" s="39"/>
      <c r="AR136" s="39" t="s">
        <v>892</v>
      </c>
      <c r="AS136" s="39"/>
      <c r="AT136" s="58">
        <v>44960</v>
      </c>
      <c r="AU136" s="51"/>
      <c r="AV136" s="50"/>
      <c r="AW136" s="38"/>
      <c r="AX136" s="52"/>
      <c r="AY136" s="170" t="s">
        <v>5187</v>
      </c>
      <c r="AZ136" s="38"/>
      <c r="BA136" s="38"/>
      <c r="BB136" s="73">
        <f t="shared" si="50"/>
        <v>0</v>
      </c>
      <c r="BC136" s="159"/>
      <c r="BD136" s="59">
        <v>44875</v>
      </c>
      <c r="BE136" s="59">
        <v>44879</v>
      </c>
      <c r="BF136" s="58">
        <v>44883</v>
      </c>
      <c r="BG136" s="59">
        <f t="shared" si="51"/>
        <v>44883</v>
      </c>
      <c r="BH136" s="183" t="str">
        <f t="shared" si="49"/>
        <v>Contrato formalizado con garantías 21/12/22</v>
      </c>
      <c r="BI136" s="195">
        <v>44893</v>
      </c>
      <c r="BJ136" s="185">
        <v>44889</v>
      </c>
      <c r="BK136" s="186" t="str">
        <f t="shared" si="46"/>
        <v>Contrato formalizado con garantías 21/12/22</v>
      </c>
      <c r="BL136" s="84"/>
      <c r="BM136" s="84"/>
      <c r="BN136" s="84"/>
      <c r="BO136" s="84"/>
      <c r="BP136" s="84"/>
    </row>
    <row r="137" spans="1:68" ht="75" x14ac:dyDescent="0.25">
      <c r="A137" s="168" t="s">
        <v>5188</v>
      </c>
      <c r="B137" s="3">
        <v>131</v>
      </c>
      <c r="C137" s="167" t="s">
        <v>811</v>
      </c>
      <c r="D137" s="39" t="s">
        <v>163</v>
      </c>
      <c r="E137" s="40" t="s">
        <v>5189</v>
      </c>
      <c r="F137" s="39" t="s">
        <v>163</v>
      </c>
      <c r="G137" s="39" t="s">
        <v>163</v>
      </c>
      <c r="H137" s="39" t="s">
        <v>4004</v>
      </c>
      <c r="I137" s="41" t="s">
        <v>2473</v>
      </c>
      <c r="J137" s="41"/>
      <c r="K137" s="41"/>
      <c r="L137" s="41"/>
      <c r="M137" s="42" t="str">
        <f t="shared" si="47"/>
        <v xml:space="preserve">Cubyservicios Industriales, S.A. de C.V.  </v>
      </c>
      <c r="N137" s="991" t="s">
        <v>198</v>
      </c>
      <c r="O137" s="991" t="s">
        <v>198</v>
      </c>
      <c r="P137" s="991" t="s">
        <v>5190</v>
      </c>
      <c r="Q137" s="992">
        <v>1450862.79</v>
      </c>
      <c r="R137" s="44">
        <f>Q137*0.16</f>
        <v>232138.04640000002</v>
      </c>
      <c r="S137" s="45">
        <f t="shared" si="52"/>
        <v>1683000.8364000001</v>
      </c>
      <c r="T137" s="46">
        <v>0</v>
      </c>
      <c r="U137" s="47">
        <f t="shared" si="45"/>
        <v>0</v>
      </c>
      <c r="V137" s="44">
        <f t="shared" si="53"/>
        <v>1683000.8364000001</v>
      </c>
      <c r="W137" s="993" t="s">
        <v>156</v>
      </c>
      <c r="X137" s="48">
        <v>44883</v>
      </c>
      <c r="Y137" s="58" t="s">
        <v>892</v>
      </c>
      <c r="Z137" s="58">
        <v>44883</v>
      </c>
      <c r="AA137" s="48">
        <v>44926</v>
      </c>
      <c r="AB137" s="38" t="s">
        <v>4964</v>
      </c>
      <c r="AC137" s="38"/>
      <c r="AD137" s="59"/>
      <c r="AE137" s="59"/>
      <c r="AF137" s="59"/>
      <c r="AG137" s="59"/>
      <c r="AH137" s="39"/>
      <c r="AI137" s="38"/>
      <c r="AJ137" s="38"/>
      <c r="AK137" s="50"/>
      <c r="AL137" s="44"/>
      <c r="AM137" s="163" t="str">
        <f t="shared" ca="1" si="48"/>
        <v>MUERTO</v>
      </c>
      <c r="AN137" s="39"/>
      <c r="AO137" s="39"/>
      <c r="AP137" s="39" t="s">
        <v>892</v>
      </c>
      <c r="AQ137" s="39"/>
      <c r="AR137" s="39" t="s">
        <v>892</v>
      </c>
      <c r="AS137" s="39"/>
      <c r="AT137" s="58">
        <v>44960</v>
      </c>
      <c r="AU137" s="51"/>
      <c r="AV137" s="50"/>
      <c r="AW137" s="38"/>
      <c r="AX137" s="52"/>
      <c r="AY137" s="170" t="s">
        <v>5191</v>
      </c>
      <c r="AZ137" s="38"/>
      <c r="BA137" s="38"/>
      <c r="BB137" s="73">
        <f t="shared" si="50"/>
        <v>0</v>
      </c>
      <c r="BC137" s="159"/>
      <c r="BD137" s="59">
        <v>44879</v>
      </c>
      <c r="BE137" s="59">
        <v>44881</v>
      </c>
      <c r="BF137" s="58">
        <v>44883</v>
      </c>
      <c r="BG137" s="59">
        <f t="shared" si="51"/>
        <v>44883</v>
      </c>
      <c r="BH137" s="183" t="str">
        <f t="shared" si="49"/>
        <v>Contrato formalizado con FC y PRC 12/12/22</v>
      </c>
      <c r="BI137" s="195">
        <v>44893</v>
      </c>
      <c r="BJ137" s="185">
        <v>44883</v>
      </c>
      <c r="BK137" s="186" t="str">
        <f t="shared" si="46"/>
        <v>Contrato formalizado con FC y PRC 12/12/22</v>
      </c>
      <c r="BL137" s="84"/>
      <c r="BM137" s="84"/>
      <c r="BN137" s="84"/>
      <c r="BO137" s="84"/>
      <c r="BP137" s="84"/>
    </row>
    <row r="138" spans="1:68" ht="90" x14ac:dyDescent="0.25">
      <c r="A138" s="196" t="s">
        <v>5192</v>
      </c>
      <c r="B138" s="3">
        <v>132</v>
      </c>
      <c r="C138" s="167" t="s">
        <v>149</v>
      </c>
      <c r="D138" s="39" t="s">
        <v>173</v>
      </c>
      <c r="E138" s="40" t="s">
        <v>5193</v>
      </c>
      <c r="F138" s="39" t="s">
        <v>173</v>
      </c>
      <c r="G138" s="39"/>
      <c r="H138" s="39" t="s">
        <v>5194</v>
      </c>
      <c r="I138" s="41" t="s">
        <v>5158</v>
      </c>
      <c r="J138" s="41"/>
      <c r="K138" s="41"/>
      <c r="L138" s="41"/>
      <c r="M138" s="42" t="str">
        <f t="shared" si="47"/>
        <v xml:space="preserve">Cen Systems, S.A. de C.V.  </v>
      </c>
      <c r="N138" s="991" t="s">
        <v>656</v>
      </c>
      <c r="O138" s="991" t="s">
        <v>209</v>
      </c>
      <c r="P138" s="991" t="s">
        <v>5195</v>
      </c>
      <c r="Q138" s="992">
        <v>6547149.0800000001</v>
      </c>
      <c r="R138" s="44">
        <f>Q138*0.16</f>
        <v>1047543.8528</v>
      </c>
      <c r="S138" s="45">
        <f t="shared" si="52"/>
        <v>7594692.9328000005</v>
      </c>
      <c r="T138" s="46">
        <v>0</v>
      </c>
      <c r="U138" s="47">
        <f t="shared" si="45"/>
        <v>0</v>
      </c>
      <c r="V138" s="44">
        <f t="shared" si="53"/>
        <v>7594692.9328000005</v>
      </c>
      <c r="W138" s="993" t="s">
        <v>156</v>
      </c>
      <c r="X138" s="48">
        <v>44883</v>
      </c>
      <c r="Y138" s="39" t="s">
        <v>892</v>
      </c>
      <c r="Z138" s="150">
        <v>44927</v>
      </c>
      <c r="AA138" s="150">
        <v>45291</v>
      </c>
      <c r="AB138" s="38" t="s">
        <v>4044</v>
      </c>
      <c r="AC138" s="38" t="s">
        <v>5160</v>
      </c>
      <c r="AD138" s="59"/>
      <c r="AE138" s="59"/>
      <c r="AF138" s="59"/>
      <c r="AG138" s="59"/>
      <c r="AH138" s="39"/>
      <c r="AI138" s="110" t="s">
        <v>5161</v>
      </c>
      <c r="AJ138" s="38" t="s">
        <v>5162</v>
      </c>
      <c r="AK138" s="50">
        <v>45265</v>
      </c>
      <c r="AL138" s="44">
        <v>0</v>
      </c>
      <c r="AM138" s="163" t="str">
        <f t="shared" ca="1" si="48"/>
        <v>MUERTO</v>
      </c>
      <c r="AN138" s="39"/>
      <c r="AO138" s="39"/>
      <c r="AP138" s="39" t="s">
        <v>892</v>
      </c>
      <c r="AQ138" s="39"/>
      <c r="AR138" s="39" t="s">
        <v>892</v>
      </c>
      <c r="AS138" s="39"/>
      <c r="AT138" s="58">
        <v>44960</v>
      </c>
      <c r="AU138" s="51"/>
      <c r="AV138" s="50"/>
      <c r="AW138" s="38"/>
      <c r="AX138" s="52"/>
      <c r="AY138" s="170" t="s">
        <v>5196</v>
      </c>
      <c r="AZ138" s="38"/>
      <c r="BA138" s="38"/>
      <c r="BB138" s="73">
        <f t="shared" si="50"/>
        <v>0</v>
      </c>
      <c r="BC138" s="159"/>
      <c r="BD138" s="59" t="s">
        <v>5197</v>
      </c>
      <c r="BE138" s="59" t="s">
        <v>5198</v>
      </c>
      <c r="BF138" s="58">
        <v>44887</v>
      </c>
      <c r="BG138" s="59">
        <f t="shared" si="51"/>
        <v>44887</v>
      </c>
      <c r="BH138" s="183" t="str">
        <f t="shared" si="49"/>
        <v>Contrato formalizado con FC y PRC 13/12/22                                              02/01/2024</v>
      </c>
      <c r="BI138" s="195" t="s">
        <v>5199</v>
      </c>
      <c r="BJ138" s="185" t="s">
        <v>5200</v>
      </c>
      <c r="BK138" s="186" t="str">
        <f t="shared" si="46"/>
        <v>Contrato formalizado con FC y PRC 13/12/22                                              02/01/2024</v>
      </c>
      <c r="BL138" s="84"/>
      <c r="BM138" s="84"/>
      <c r="BN138" s="84"/>
      <c r="BO138" s="84"/>
      <c r="BP138" s="84"/>
    </row>
    <row r="139" spans="1:68" ht="60" x14ac:dyDescent="0.25">
      <c r="A139" s="168" t="s">
        <v>5201</v>
      </c>
      <c r="B139" s="3">
        <v>133</v>
      </c>
      <c r="C139" s="167" t="s">
        <v>149</v>
      </c>
      <c r="D139" s="39" t="s">
        <v>163</v>
      </c>
      <c r="E139" s="40" t="s">
        <v>5202</v>
      </c>
      <c r="F139" s="39" t="s">
        <v>163</v>
      </c>
      <c r="G139" s="39" t="s">
        <v>163</v>
      </c>
      <c r="H139" s="39" t="s">
        <v>3935</v>
      </c>
      <c r="I139" s="42" t="s">
        <v>1884</v>
      </c>
      <c r="J139" s="41"/>
      <c r="K139" s="41"/>
      <c r="L139" s="41"/>
      <c r="M139" s="42" t="str">
        <f t="shared" si="47"/>
        <v xml:space="preserve">Idiomas de Iztapalapa, S.C.  </v>
      </c>
      <c r="N139" s="991" t="s">
        <v>2528</v>
      </c>
      <c r="O139" s="991" t="s">
        <v>2528</v>
      </c>
      <c r="P139" s="991" t="s">
        <v>5203</v>
      </c>
      <c r="Q139" s="992">
        <v>1125000</v>
      </c>
      <c r="R139" s="44">
        <f>Q139*0.16</f>
        <v>180000</v>
      </c>
      <c r="S139" s="45">
        <f t="shared" si="52"/>
        <v>1305000</v>
      </c>
      <c r="T139" s="46">
        <v>0</v>
      </c>
      <c r="U139" s="47">
        <f t="shared" si="45"/>
        <v>0</v>
      </c>
      <c r="V139" s="44">
        <f t="shared" si="53"/>
        <v>1305000</v>
      </c>
      <c r="W139" s="993" t="s">
        <v>156</v>
      </c>
      <c r="X139" s="48">
        <v>44893</v>
      </c>
      <c r="Y139" s="39" t="s">
        <v>892</v>
      </c>
      <c r="Z139" s="48">
        <v>44893</v>
      </c>
      <c r="AA139" s="48">
        <v>44926</v>
      </c>
      <c r="AB139" s="38" t="s">
        <v>3113</v>
      </c>
      <c r="AC139" s="38"/>
      <c r="AD139" s="59"/>
      <c r="AE139" s="59"/>
      <c r="AF139" s="59"/>
      <c r="AG139" s="59"/>
      <c r="AH139" s="39"/>
      <c r="AI139" s="38"/>
      <c r="AJ139" s="38"/>
      <c r="AK139" s="50"/>
      <c r="AL139" s="44"/>
      <c r="AM139" s="163" t="str">
        <f t="shared" ca="1" si="48"/>
        <v>MUERTO</v>
      </c>
      <c r="AN139" s="39"/>
      <c r="AO139" s="39"/>
      <c r="AP139" s="39" t="s">
        <v>892</v>
      </c>
      <c r="AQ139" s="39"/>
      <c r="AR139" s="39" t="s">
        <v>892</v>
      </c>
      <c r="AS139" s="39"/>
      <c r="AT139" s="58">
        <v>44960</v>
      </c>
      <c r="AU139" s="51"/>
      <c r="AV139" s="50"/>
      <c r="AW139" s="38"/>
      <c r="AX139" s="52"/>
      <c r="AY139" s="170" t="s">
        <v>5204</v>
      </c>
      <c r="AZ139" s="38"/>
      <c r="BA139" s="38"/>
      <c r="BB139" s="73">
        <f t="shared" si="50"/>
        <v>0</v>
      </c>
      <c r="BC139" s="159"/>
      <c r="BD139" s="59">
        <v>44882</v>
      </c>
      <c r="BE139" s="59">
        <v>44882</v>
      </c>
      <c r="BF139" s="58">
        <v>44887</v>
      </c>
      <c r="BG139" s="59">
        <f t="shared" si="51"/>
        <v>44887</v>
      </c>
      <c r="BH139" s="183" t="str">
        <f t="shared" si="49"/>
        <v>Contrato formalizado con FC 13/12/22</v>
      </c>
      <c r="BI139" s="195">
        <v>44893</v>
      </c>
      <c r="BJ139" s="185">
        <v>44887</v>
      </c>
      <c r="BK139" s="186" t="str">
        <f t="shared" si="46"/>
        <v>Contrato formalizado con FC 13/12/22</v>
      </c>
      <c r="BL139" s="84"/>
      <c r="BM139" s="84"/>
      <c r="BN139" s="84"/>
      <c r="BO139" s="84"/>
      <c r="BP139" s="84"/>
    </row>
    <row r="140" spans="1:68" ht="105" x14ac:dyDescent="0.25">
      <c r="A140" s="196" t="s">
        <v>5205</v>
      </c>
      <c r="B140" s="3">
        <v>134</v>
      </c>
      <c r="C140" s="167" t="s">
        <v>225</v>
      </c>
      <c r="D140" s="39" t="s">
        <v>173</v>
      </c>
      <c r="E140" s="40" t="s">
        <v>5206</v>
      </c>
      <c r="F140" s="39" t="s">
        <v>173</v>
      </c>
      <c r="G140" s="39"/>
      <c r="H140" s="39" t="s">
        <v>3785</v>
      </c>
      <c r="I140" s="42" t="s">
        <v>719</v>
      </c>
      <c r="J140" s="41"/>
      <c r="K140" s="41"/>
      <c r="L140" s="41"/>
      <c r="M140" s="42" t="str">
        <f t="shared" si="47"/>
        <v xml:space="preserve">Sí Vale México, S.A. de C.V.  </v>
      </c>
      <c r="N140" s="991" t="s">
        <v>370</v>
      </c>
      <c r="O140" s="991" t="s">
        <v>370</v>
      </c>
      <c r="P140" s="991" t="s">
        <v>5207</v>
      </c>
      <c r="Q140" s="992">
        <v>49210284.079999998</v>
      </c>
      <c r="R140" s="235">
        <v>0</v>
      </c>
      <c r="S140" s="45">
        <f t="shared" si="52"/>
        <v>49210284.079999998</v>
      </c>
      <c r="T140" s="246">
        <v>43849713.200000003</v>
      </c>
      <c r="U140" s="247">
        <v>0</v>
      </c>
      <c r="V140" s="44">
        <f t="shared" si="53"/>
        <v>56146854.530000001</v>
      </c>
      <c r="W140" s="993" t="s">
        <v>156</v>
      </c>
      <c r="X140" s="48">
        <v>44887</v>
      </c>
      <c r="Y140" s="39" t="s">
        <v>892</v>
      </c>
      <c r="Z140" s="150">
        <v>44927</v>
      </c>
      <c r="AA140" s="150">
        <v>45291</v>
      </c>
      <c r="AB140" s="38" t="s">
        <v>3113</v>
      </c>
      <c r="AC140" s="38"/>
      <c r="AD140" s="59"/>
      <c r="AE140" s="59"/>
      <c r="AF140" s="59"/>
      <c r="AG140" s="59"/>
      <c r="AH140" s="39"/>
      <c r="AI140" s="38" t="s">
        <v>5208</v>
      </c>
      <c r="AJ140" s="211" t="s">
        <v>5209</v>
      </c>
      <c r="AK140" s="218">
        <v>45175</v>
      </c>
      <c r="AL140" s="215">
        <v>6936570.4500000002</v>
      </c>
      <c r="AM140" s="163" t="str">
        <f t="shared" ca="1" si="48"/>
        <v>MUERTO</v>
      </c>
      <c r="AN140" s="39"/>
      <c r="AO140" s="39"/>
      <c r="AP140" s="39" t="s">
        <v>892</v>
      </c>
      <c r="AQ140" s="39"/>
      <c r="AR140" s="39" t="s">
        <v>924</v>
      </c>
      <c r="AS140" s="39"/>
      <c r="AT140" s="58">
        <v>44960</v>
      </c>
      <c r="AU140" s="51"/>
      <c r="AV140" s="50"/>
      <c r="AW140" s="38"/>
      <c r="AX140" s="52"/>
      <c r="AY140" s="170" t="s">
        <v>5210</v>
      </c>
      <c r="AZ140" s="38"/>
      <c r="BA140" s="38"/>
      <c r="BB140" s="73">
        <f t="shared" si="50"/>
        <v>0</v>
      </c>
      <c r="BC140" s="159"/>
      <c r="BD140" s="59" t="s">
        <v>5211</v>
      </c>
      <c r="BE140" s="59" t="s">
        <v>5212</v>
      </c>
      <c r="BF140" s="58" t="s">
        <v>5213</v>
      </c>
      <c r="BG140" s="59" t="str">
        <f t="shared" si="51"/>
        <v>22/11/2022
07/09/2023</v>
      </c>
      <c r="BH140" s="183" t="str">
        <f t="shared" si="49"/>
        <v>Contrato formalizado 12/12/22
Modificatorio formalizado 22/09</v>
      </c>
      <c r="BI140" s="195" t="s">
        <v>5214</v>
      </c>
      <c r="BJ140" s="185" t="s">
        <v>5215</v>
      </c>
      <c r="BK140" s="186" t="str">
        <f t="shared" si="46"/>
        <v>Contrato formalizado 12/12/22
Modificatorio formalizado 22/09</v>
      </c>
      <c r="BL140" s="84"/>
      <c r="BM140" s="84"/>
      <c r="BN140" s="84"/>
      <c r="BO140" s="84"/>
      <c r="BP140" s="84"/>
    </row>
    <row r="141" spans="1:68" ht="45" x14ac:dyDescent="0.25">
      <c r="A141" s="168" t="s">
        <v>5216</v>
      </c>
      <c r="B141" s="3">
        <v>135</v>
      </c>
      <c r="C141" s="167" t="s">
        <v>225</v>
      </c>
      <c r="D141" s="39" t="s">
        <v>163</v>
      </c>
      <c r="E141" s="40" t="s">
        <v>5217</v>
      </c>
      <c r="F141" s="39" t="s">
        <v>163</v>
      </c>
      <c r="G141" s="39" t="s">
        <v>163</v>
      </c>
      <c r="H141" s="39" t="s">
        <v>2064</v>
      </c>
      <c r="I141" s="42" t="s">
        <v>4708</v>
      </c>
      <c r="J141" s="41"/>
      <c r="K141" s="41"/>
      <c r="L141" s="41"/>
      <c r="M141" s="42" t="str">
        <f t="shared" si="47"/>
        <v xml:space="preserve">Editores - Libreros, S.A. de C.V.  </v>
      </c>
      <c r="N141" s="991" t="s">
        <v>2065</v>
      </c>
      <c r="O141" s="991" t="s">
        <v>5218</v>
      </c>
      <c r="P141" s="991" t="s">
        <v>5219</v>
      </c>
      <c r="Q141" s="992">
        <v>2000000</v>
      </c>
      <c r="R141" s="215">
        <v>0</v>
      </c>
      <c r="S141" s="45">
        <f t="shared" si="52"/>
        <v>2000000</v>
      </c>
      <c r="T141" s="46">
        <v>0</v>
      </c>
      <c r="U141" s="47">
        <f t="shared" ref="U141:U157" si="54">(T141*0.16)+(T141)</f>
        <v>0</v>
      </c>
      <c r="V141" s="44">
        <f t="shared" si="53"/>
        <v>2000000</v>
      </c>
      <c r="W141" s="993" t="s">
        <v>156</v>
      </c>
      <c r="X141" s="48">
        <v>44889</v>
      </c>
      <c r="Y141" s="39" t="s">
        <v>892</v>
      </c>
      <c r="Z141" s="48">
        <v>44889</v>
      </c>
      <c r="AA141" s="48">
        <v>44925</v>
      </c>
      <c r="AB141" s="38" t="s">
        <v>5220</v>
      </c>
      <c r="AC141" s="38"/>
      <c r="AD141" s="59"/>
      <c r="AE141" s="59"/>
      <c r="AF141" s="59" t="s">
        <v>5221</v>
      </c>
      <c r="AG141" s="59"/>
      <c r="AH141" s="39"/>
      <c r="AI141" s="38"/>
      <c r="AJ141" s="38"/>
      <c r="AK141" s="50"/>
      <c r="AL141" s="44"/>
      <c r="AM141" s="163" t="str">
        <f t="shared" ca="1" si="48"/>
        <v>MUERTO</v>
      </c>
      <c r="AN141" s="39"/>
      <c r="AO141" s="39"/>
      <c r="AP141" s="39" t="s">
        <v>892</v>
      </c>
      <c r="AQ141" s="39"/>
      <c r="AR141" s="39" t="s">
        <v>892</v>
      </c>
      <c r="AS141" s="39"/>
      <c r="AT141" s="58">
        <v>44960</v>
      </c>
      <c r="AU141" s="51"/>
      <c r="AV141" s="50"/>
      <c r="AW141" s="38"/>
      <c r="AX141" s="52"/>
      <c r="AY141" s="170" t="s">
        <v>5149</v>
      </c>
      <c r="AZ141" s="38"/>
      <c r="BA141" s="38"/>
      <c r="BB141" s="73">
        <f t="shared" si="50"/>
        <v>0</v>
      </c>
      <c r="BC141" s="159"/>
      <c r="BD141" s="59">
        <v>44883</v>
      </c>
      <c r="BE141" s="59">
        <v>44887</v>
      </c>
      <c r="BF141" s="58">
        <v>44889</v>
      </c>
      <c r="BG141" s="59">
        <f t="shared" si="51"/>
        <v>44889</v>
      </c>
      <c r="BH141" s="183" t="str">
        <f t="shared" si="49"/>
        <v>Contrato formalizado 01/12/22</v>
      </c>
      <c r="BI141" s="195">
        <v>44900</v>
      </c>
      <c r="BJ141" s="185">
        <v>44890</v>
      </c>
      <c r="BK141" s="186" t="str">
        <f t="shared" si="46"/>
        <v>Contrato formalizado 01/12/22</v>
      </c>
      <c r="BL141" s="84"/>
      <c r="BM141" s="84"/>
      <c r="BN141" s="84"/>
      <c r="BO141" s="84"/>
      <c r="BP141" s="84"/>
    </row>
    <row r="142" spans="1:68" ht="105" x14ac:dyDescent="0.25">
      <c r="A142" s="168" t="s">
        <v>5222</v>
      </c>
      <c r="B142" s="3">
        <v>136</v>
      </c>
      <c r="C142" s="167" t="s">
        <v>149</v>
      </c>
      <c r="D142" s="39" t="s">
        <v>163</v>
      </c>
      <c r="E142" s="40" t="s">
        <v>5223</v>
      </c>
      <c r="F142" s="39" t="s">
        <v>163</v>
      </c>
      <c r="G142" s="39" t="s">
        <v>163</v>
      </c>
      <c r="H142" s="39" t="s">
        <v>4004</v>
      </c>
      <c r="I142" s="42" t="s">
        <v>5224</v>
      </c>
      <c r="J142" s="41"/>
      <c r="K142" s="41"/>
      <c r="L142" s="41"/>
      <c r="M142" s="42" t="str">
        <f t="shared" si="47"/>
        <v xml:space="preserve">Interamericana CMH, S.A de C.V.  </v>
      </c>
      <c r="N142" s="991" t="s">
        <v>198</v>
      </c>
      <c r="O142" s="991" t="s">
        <v>198</v>
      </c>
      <c r="P142" s="991" t="s">
        <v>5225</v>
      </c>
      <c r="Q142" s="992">
        <v>1215531.32</v>
      </c>
      <c r="R142" s="44">
        <f t="shared" ref="R142:R153" si="55">Q142*0.16</f>
        <v>194485.01120000001</v>
      </c>
      <c r="S142" s="45">
        <f t="shared" si="52"/>
        <v>1410016.3312000001</v>
      </c>
      <c r="T142" s="46">
        <v>1175403.53</v>
      </c>
      <c r="U142" s="47">
        <f t="shared" si="54"/>
        <v>1363468.0948000001</v>
      </c>
      <c r="V142" s="44">
        <f t="shared" si="53"/>
        <v>1410016.3312000001</v>
      </c>
      <c r="W142" s="993" t="s">
        <v>156</v>
      </c>
      <c r="X142" s="48">
        <v>44890</v>
      </c>
      <c r="Y142" s="39" t="s">
        <v>892</v>
      </c>
      <c r="Z142" s="48">
        <v>44890</v>
      </c>
      <c r="AA142" s="48">
        <v>44926</v>
      </c>
      <c r="AB142" s="38" t="s">
        <v>3948</v>
      </c>
      <c r="AC142" s="38"/>
      <c r="AD142" s="59"/>
      <c r="AE142" s="59"/>
      <c r="AF142" s="59"/>
      <c r="AG142" s="59"/>
      <c r="AH142" s="39"/>
      <c r="AI142" s="38"/>
      <c r="AJ142" s="38"/>
      <c r="AK142" s="50"/>
      <c r="AL142" s="44"/>
      <c r="AM142" s="163" t="str">
        <f t="shared" ca="1" si="48"/>
        <v>MUERTO</v>
      </c>
      <c r="AN142" s="39"/>
      <c r="AO142" s="39"/>
      <c r="AP142" s="39" t="s">
        <v>892</v>
      </c>
      <c r="AQ142" s="39"/>
      <c r="AR142" s="39" t="s">
        <v>924</v>
      </c>
      <c r="AS142" s="39"/>
      <c r="AT142" s="58">
        <v>44960</v>
      </c>
      <c r="AU142" s="51"/>
      <c r="AV142" s="50"/>
      <c r="AW142" s="38"/>
      <c r="AX142" s="52"/>
      <c r="AY142" s="170" t="s">
        <v>5187</v>
      </c>
      <c r="AZ142" s="38"/>
      <c r="BA142" s="38"/>
      <c r="BB142" s="73">
        <f t="shared" si="50"/>
        <v>0</v>
      </c>
      <c r="BC142" s="159"/>
      <c r="BD142" s="59">
        <v>44887</v>
      </c>
      <c r="BE142" s="59">
        <v>44889</v>
      </c>
      <c r="BF142" s="58">
        <v>44893</v>
      </c>
      <c r="BG142" s="59">
        <f t="shared" si="51"/>
        <v>44893</v>
      </c>
      <c r="BH142" s="183" t="str">
        <f t="shared" si="49"/>
        <v>Contrato formalizado con garantías 21/12/22</v>
      </c>
      <c r="BI142" s="195">
        <v>44902</v>
      </c>
      <c r="BJ142" s="185">
        <v>44893</v>
      </c>
      <c r="BK142" s="186" t="str">
        <f t="shared" si="46"/>
        <v>Contrato formalizado con garantías 21/12/22</v>
      </c>
      <c r="BL142" s="84"/>
      <c r="BM142" s="84"/>
      <c r="BN142" s="84"/>
      <c r="BO142" s="84"/>
      <c r="BP142" s="84"/>
    </row>
    <row r="143" spans="1:68" ht="60" x14ac:dyDescent="0.25">
      <c r="A143" s="248" t="s">
        <v>5226</v>
      </c>
      <c r="B143" s="3">
        <v>137</v>
      </c>
      <c r="C143" s="167" t="s">
        <v>149</v>
      </c>
      <c r="D143" s="39" t="s">
        <v>163</v>
      </c>
      <c r="E143" s="40" t="s">
        <v>5227</v>
      </c>
      <c r="F143" s="39" t="s">
        <v>163</v>
      </c>
      <c r="G143" s="39" t="s">
        <v>163</v>
      </c>
      <c r="H143" s="39" t="s">
        <v>3935</v>
      </c>
      <c r="I143" s="42" t="s">
        <v>165</v>
      </c>
      <c r="J143" s="41"/>
      <c r="K143" s="41"/>
      <c r="L143" s="41"/>
      <c r="M143" s="42" t="str">
        <f t="shared" si="47"/>
        <v xml:space="preserve">Policía Auxiliar de la Ciudad de México  </v>
      </c>
      <c r="N143" s="991" t="s">
        <v>166</v>
      </c>
      <c r="O143" s="991" t="s">
        <v>166</v>
      </c>
      <c r="P143" s="991" t="s">
        <v>5228</v>
      </c>
      <c r="Q143" s="992">
        <v>64286720</v>
      </c>
      <c r="R143" s="44">
        <f t="shared" si="55"/>
        <v>10285875.200000001</v>
      </c>
      <c r="S143" s="45">
        <f t="shared" si="52"/>
        <v>74572595.200000003</v>
      </c>
      <c r="T143" s="46">
        <v>0</v>
      </c>
      <c r="U143" s="47">
        <f t="shared" si="54"/>
        <v>0</v>
      </c>
      <c r="V143" s="44">
        <f t="shared" si="53"/>
        <v>74572595.200000003</v>
      </c>
      <c r="W143" s="993" t="s">
        <v>156</v>
      </c>
      <c r="X143" s="48">
        <v>44894</v>
      </c>
      <c r="Y143" s="39" t="s">
        <v>892</v>
      </c>
      <c r="Z143" s="48">
        <v>44927</v>
      </c>
      <c r="AA143" s="48">
        <v>45291</v>
      </c>
      <c r="AB143" s="38" t="s">
        <v>5229</v>
      </c>
      <c r="AC143" s="38"/>
      <c r="AD143" s="59"/>
      <c r="AE143" s="59"/>
      <c r="AF143" s="59"/>
      <c r="AG143" s="59"/>
      <c r="AH143" s="39"/>
      <c r="AI143" s="38" t="s">
        <v>5230</v>
      </c>
      <c r="AJ143" s="38"/>
      <c r="AK143" s="50"/>
      <c r="AL143" s="44"/>
      <c r="AM143" s="163" t="str">
        <f t="shared" ca="1" si="48"/>
        <v>MUERTO</v>
      </c>
      <c r="AN143" s="39"/>
      <c r="AO143" s="39"/>
      <c r="AP143" s="39" t="s">
        <v>924</v>
      </c>
      <c r="AQ143" s="39"/>
      <c r="AR143" s="109">
        <v>44927</v>
      </c>
      <c r="AS143" s="39"/>
      <c r="AT143" s="58">
        <v>44960</v>
      </c>
      <c r="AU143" s="51"/>
      <c r="AV143" s="50"/>
      <c r="AW143" s="38"/>
      <c r="AX143" s="52"/>
      <c r="AY143" s="170" t="s">
        <v>5231</v>
      </c>
      <c r="AZ143" s="38"/>
      <c r="BA143" s="38"/>
      <c r="BB143" s="73">
        <f t="shared" si="50"/>
        <v>0</v>
      </c>
      <c r="BC143" s="159"/>
      <c r="BD143" s="59">
        <v>44887</v>
      </c>
      <c r="BE143" s="59">
        <v>44889</v>
      </c>
      <c r="BF143" s="58">
        <v>44895</v>
      </c>
      <c r="BG143" s="59">
        <f t="shared" si="51"/>
        <v>44895</v>
      </c>
      <c r="BH143" s="183" t="str">
        <f t="shared" si="49"/>
        <v>Contrato formalizado 12/01/23</v>
      </c>
      <c r="BI143" s="195">
        <v>44938</v>
      </c>
      <c r="BJ143" s="185">
        <v>44938</v>
      </c>
      <c r="BK143" s="186" t="str">
        <f t="shared" si="46"/>
        <v>Contrato formalizado 12/01/23</v>
      </c>
      <c r="BL143" s="84"/>
      <c r="BM143" s="84"/>
      <c r="BN143" s="84"/>
      <c r="BO143" s="84"/>
      <c r="BP143" s="84"/>
    </row>
    <row r="144" spans="1:68" ht="75" x14ac:dyDescent="0.25">
      <c r="A144" s="168" t="s">
        <v>5232</v>
      </c>
      <c r="B144" s="3">
        <v>138</v>
      </c>
      <c r="C144" s="167" t="s">
        <v>149</v>
      </c>
      <c r="D144" s="39" t="s">
        <v>163</v>
      </c>
      <c r="E144" s="40" t="s">
        <v>5233</v>
      </c>
      <c r="F144" s="3" t="s">
        <v>2237</v>
      </c>
      <c r="G144" s="685" t="s">
        <v>546</v>
      </c>
      <c r="H144" s="39" t="s">
        <v>3764</v>
      </c>
      <c r="I144" s="81" t="s">
        <v>1738</v>
      </c>
      <c r="J144" s="41"/>
      <c r="K144" s="41"/>
      <c r="L144" s="41"/>
      <c r="M144" s="42" t="str">
        <f t="shared" si="47"/>
        <v xml:space="preserve">Equipos y Climas de México, S.A. de C.V.  </v>
      </c>
      <c r="N144" s="991" t="s">
        <v>198</v>
      </c>
      <c r="O144" s="991" t="s">
        <v>198</v>
      </c>
      <c r="P144" s="991" t="s">
        <v>5234</v>
      </c>
      <c r="Q144" s="992">
        <v>1118105.1599999999</v>
      </c>
      <c r="R144" s="44">
        <f t="shared" si="55"/>
        <v>178896.82559999998</v>
      </c>
      <c r="S144" s="45">
        <f t="shared" si="52"/>
        <v>1297001.9855999998</v>
      </c>
      <c r="T144" s="46">
        <v>0</v>
      </c>
      <c r="U144" s="47">
        <f t="shared" si="54"/>
        <v>0</v>
      </c>
      <c r="V144" s="44">
        <f t="shared" si="53"/>
        <v>1297001.9855999998</v>
      </c>
      <c r="W144" s="993" t="s">
        <v>156</v>
      </c>
      <c r="X144" s="48">
        <v>44896</v>
      </c>
      <c r="Y144" s="39" t="s">
        <v>924</v>
      </c>
      <c r="Z144" s="48">
        <v>44896</v>
      </c>
      <c r="AA144" s="48">
        <v>44926</v>
      </c>
      <c r="AB144" s="38" t="s">
        <v>3999</v>
      </c>
      <c r="AC144" s="38"/>
      <c r="AD144" s="59"/>
      <c r="AE144" s="59"/>
      <c r="AF144" s="59"/>
      <c r="AG144" s="59"/>
      <c r="AH144" s="39"/>
      <c r="AI144" s="38"/>
      <c r="AJ144" s="38"/>
      <c r="AK144" s="50"/>
      <c r="AL144" s="44"/>
      <c r="AM144" s="163" t="str">
        <f t="shared" ca="1" si="48"/>
        <v>MUERTO</v>
      </c>
      <c r="AN144" s="39"/>
      <c r="AO144" s="39"/>
      <c r="AP144" s="39" t="s">
        <v>924</v>
      </c>
      <c r="AQ144" s="39"/>
      <c r="AR144" s="39" t="s">
        <v>924</v>
      </c>
      <c r="AS144" s="39"/>
      <c r="AT144" s="58">
        <v>44960</v>
      </c>
      <c r="AU144" s="51"/>
      <c r="AV144" s="50"/>
      <c r="AW144" s="38"/>
      <c r="AX144" s="52"/>
      <c r="AY144" s="170" t="s">
        <v>5235</v>
      </c>
      <c r="AZ144" s="38"/>
      <c r="BA144" s="38" t="str">
        <f>VLOOKUP(I144,[2]RFC!$1:$1048576,2,0)</f>
        <v>ECM840330286</v>
      </c>
      <c r="BB144" s="73">
        <f t="shared" si="50"/>
        <v>0</v>
      </c>
      <c r="BC144" s="159"/>
      <c r="BD144" s="59">
        <v>44890</v>
      </c>
      <c r="BE144" s="58">
        <v>44896</v>
      </c>
      <c r="BF144" s="58">
        <v>44897</v>
      </c>
      <c r="BG144" s="59">
        <f t="shared" si="51"/>
        <v>44897</v>
      </c>
      <c r="BH144" s="183" t="str">
        <f t="shared" si="49"/>
        <v>Contrato formalizado con garantía  16/12/22</v>
      </c>
      <c r="BI144" s="195">
        <v>44907</v>
      </c>
      <c r="BJ144" s="185">
        <v>44900</v>
      </c>
      <c r="BK144" s="186" t="str">
        <f t="shared" si="46"/>
        <v>Contrato formalizado con garantía  16/12/22</v>
      </c>
      <c r="BL144" s="84"/>
      <c r="BM144" s="84"/>
      <c r="BN144" s="84"/>
      <c r="BO144" s="84"/>
      <c r="BP144" s="84"/>
    </row>
    <row r="145" spans="1:71" ht="75" x14ac:dyDescent="0.25">
      <c r="A145" s="168" t="s">
        <v>5236</v>
      </c>
      <c r="B145" s="3">
        <v>139</v>
      </c>
      <c r="C145" s="167" t="s">
        <v>225</v>
      </c>
      <c r="D145" s="39" t="s">
        <v>163</v>
      </c>
      <c r="E145" s="40" t="s">
        <v>5237</v>
      </c>
      <c r="F145" s="39" t="s">
        <v>163</v>
      </c>
      <c r="G145" s="39" t="s">
        <v>163</v>
      </c>
      <c r="H145" s="39" t="s">
        <v>4004</v>
      </c>
      <c r="I145" s="81" t="s">
        <v>5238</v>
      </c>
      <c r="J145" s="41"/>
      <c r="K145" s="41"/>
      <c r="L145" s="41"/>
      <c r="M145" s="42" t="str">
        <f t="shared" si="47"/>
        <v xml:space="preserve">Proyectos de Optimización y Sistemas Automáticos, S.A. de C.V.  </v>
      </c>
      <c r="N145" s="991" t="s">
        <v>198</v>
      </c>
      <c r="O145" s="991" t="s">
        <v>198</v>
      </c>
      <c r="P145" s="991" t="s">
        <v>5239</v>
      </c>
      <c r="Q145" s="992">
        <v>964064</v>
      </c>
      <c r="R145" s="44">
        <f t="shared" si="55"/>
        <v>154250.23999999999</v>
      </c>
      <c r="S145" s="45">
        <f t="shared" si="52"/>
        <v>1118314.24</v>
      </c>
      <c r="T145" s="46">
        <v>0</v>
      </c>
      <c r="U145" s="47">
        <f t="shared" si="54"/>
        <v>0</v>
      </c>
      <c r="V145" s="44">
        <f t="shared" si="53"/>
        <v>1118314.24</v>
      </c>
      <c r="W145" s="993" t="s">
        <v>156</v>
      </c>
      <c r="X145" s="48">
        <v>44896</v>
      </c>
      <c r="Y145" s="39" t="s">
        <v>924</v>
      </c>
      <c r="Z145" s="48">
        <v>44896</v>
      </c>
      <c r="AA145" s="48">
        <v>44926</v>
      </c>
      <c r="AB145" s="38" t="s">
        <v>3948</v>
      </c>
      <c r="AC145" s="38"/>
      <c r="AD145" s="59"/>
      <c r="AE145" s="59"/>
      <c r="AF145" s="59"/>
      <c r="AG145" s="59"/>
      <c r="AH145" s="39"/>
      <c r="AI145" s="38"/>
      <c r="AJ145" s="38"/>
      <c r="AK145" s="50"/>
      <c r="AL145" s="44"/>
      <c r="AM145" s="163" t="str">
        <f t="shared" ca="1" si="48"/>
        <v>MUERTO</v>
      </c>
      <c r="AN145" s="39"/>
      <c r="AO145" s="39"/>
      <c r="AP145" s="39" t="s">
        <v>924</v>
      </c>
      <c r="AQ145" s="39"/>
      <c r="AR145" s="39" t="s">
        <v>924</v>
      </c>
      <c r="AS145" s="39"/>
      <c r="AT145" s="58">
        <v>44960</v>
      </c>
      <c r="AU145" s="51"/>
      <c r="AV145" s="50"/>
      <c r="AW145" s="38"/>
      <c r="AX145" s="52"/>
      <c r="AY145" s="170" t="s">
        <v>5240</v>
      </c>
      <c r="AZ145" s="38"/>
      <c r="BA145" s="38" t="e">
        <f>VLOOKUP(I145,[2]RFC!$1:$1048576,2,0)</f>
        <v>#N/A</v>
      </c>
      <c r="BB145" s="73">
        <f t="shared" si="50"/>
        <v>0</v>
      </c>
      <c r="BC145" s="159"/>
      <c r="BD145" s="59">
        <v>44894</v>
      </c>
      <c r="BE145" s="58">
        <v>44895</v>
      </c>
      <c r="BF145" s="58">
        <v>44897</v>
      </c>
      <c r="BG145" s="59">
        <f t="shared" si="51"/>
        <v>44897</v>
      </c>
      <c r="BH145" s="183" t="str">
        <f t="shared" si="49"/>
        <v>Contrato formalizado con FC y PRC  22/12/22</v>
      </c>
      <c r="BI145" s="227">
        <v>44903</v>
      </c>
      <c r="BJ145" s="185">
        <v>44900</v>
      </c>
      <c r="BK145" s="186" t="str">
        <f t="shared" si="46"/>
        <v>Contrato formalizado con FC y PRC  22/12/22</v>
      </c>
      <c r="BL145" s="84"/>
      <c r="BM145" s="84"/>
      <c r="BN145" s="84"/>
      <c r="BO145" s="84"/>
      <c r="BP145" s="84"/>
    </row>
    <row r="146" spans="1:71" ht="120" x14ac:dyDescent="0.25">
      <c r="A146" s="196" t="s">
        <v>5241</v>
      </c>
      <c r="B146" s="3">
        <v>140</v>
      </c>
      <c r="C146" s="167" t="s">
        <v>149</v>
      </c>
      <c r="D146" s="39" t="s">
        <v>163</v>
      </c>
      <c r="E146" s="40" t="s">
        <v>5242</v>
      </c>
      <c r="F146" s="39" t="s">
        <v>163</v>
      </c>
      <c r="G146" s="39" t="s">
        <v>163</v>
      </c>
      <c r="H146" s="39" t="s">
        <v>4054</v>
      </c>
      <c r="I146" s="81" t="s">
        <v>5243</v>
      </c>
      <c r="J146" s="41"/>
      <c r="K146" s="41"/>
      <c r="L146" s="41"/>
      <c r="M146" s="42" t="str">
        <f t="shared" si="47"/>
        <v xml:space="preserve">CF + GAB Construcciones, S.A. de C.V.  </v>
      </c>
      <c r="N146" s="991" t="s">
        <v>198</v>
      </c>
      <c r="O146" s="991" t="s">
        <v>198</v>
      </c>
      <c r="P146" s="991" t="s">
        <v>5244</v>
      </c>
      <c r="Q146" s="992">
        <v>808669.04</v>
      </c>
      <c r="R146" s="44">
        <f t="shared" si="55"/>
        <v>129387.04640000001</v>
      </c>
      <c r="S146" s="45">
        <f t="shared" si="52"/>
        <v>938056.08640000003</v>
      </c>
      <c r="T146" s="46">
        <v>0</v>
      </c>
      <c r="U146" s="47">
        <f t="shared" si="54"/>
        <v>0</v>
      </c>
      <c r="V146" s="44">
        <f t="shared" si="53"/>
        <v>938056.08640000003</v>
      </c>
      <c r="W146" s="993" t="s">
        <v>156</v>
      </c>
      <c r="X146" s="48">
        <v>44896</v>
      </c>
      <c r="Y146" s="39" t="s">
        <v>924</v>
      </c>
      <c r="Z146" s="48">
        <v>44896</v>
      </c>
      <c r="AA146" s="48">
        <v>44926</v>
      </c>
      <c r="AB146" s="38" t="s">
        <v>3999</v>
      </c>
      <c r="AC146" s="38"/>
      <c r="AD146" s="59"/>
      <c r="AE146" s="59"/>
      <c r="AF146" s="59"/>
      <c r="AG146" s="59"/>
      <c r="AH146" s="39"/>
      <c r="AI146" s="38" t="s">
        <v>5245</v>
      </c>
      <c r="AJ146" s="211" t="s">
        <v>5246</v>
      </c>
      <c r="AK146" s="218">
        <v>44925</v>
      </c>
      <c r="AL146" s="215">
        <v>0</v>
      </c>
      <c r="AM146" s="163" t="str">
        <f t="shared" ca="1" si="48"/>
        <v>MUERTO</v>
      </c>
      <c r="AN146" s="39"/>
      <c r="AO146" s="39"/>
      <c r="AP146" s="39" t="s">
        <v>924</v>
      </c>
      <c r="AQ146" s="39" t="s">
        <v>924</v>
      </c>
      <c r="AR146" s="39" t="s">
        <v>924</v>
      </c>
      <c r="AS146" s="39"/>
      <c r="AT146" s="58">
        <v>44960</v>
      </c>
      <c r="AU146" s="51"/>
      <c r="AV146" s="50"/>
      <c r="AW146" s="38"/>
      <c r="AX146" s="52"/>
      <c r="AY146" s="170" t="s">
        <v>5247</v>
      </c>
      <c r="AZ146" s="38"/>
      <c r="BA146" s="38" t="e">
        <f>VLOOKUP(I146,[2]RFC!$1:$1048576,2,0)</f>
        <v>#N/A</v>
      </c>
      <c r="BB146" s="73">
        <f t="shared" si="50"/>
        <v>0</v>
      </c>
      <c r="BC146" s="159"/>
      <c r="BD146" s="59">
        <v>44894</v>
      </c>
      <c r="BE146" s="58">
        <v>44896</v>
      </c>
      <c r="BF146" s="58">
        <v>44897</v>
      </c>
      <c r="BG146" s="59">
        <f t="shared" si="51"/>
        <v>44897</v>
      </c>
      <c r="BH146" s="183" t="str">
        <f t="shared" si="49"/>
        <v>Contrato formalizado  03/01/23
Modificatorio formalizado 10/01/22</v>
      </c>
      <c r="BI146" s="195" t="s">
        <v>5248</v>
      </c>
      <c r="BJ146" s="185" t="s">
        <v>5249</v>
      </c>
      <c r="BK146" s="186" t="str">
        <f t="shared" si="46"/>
        <v>Contrato formalizado  03/01/23
Modificatorio formalizado 10/01/22</v>
      </c>
      <c r="BL146" s="84"/>
      <c r="BM146" s="84"/>
      <c r="BN146" s="84"/>
      <c r="BO146" s="84"/>
      <c r="BP146" s="84"/>
    </row>
    <row r="147" spans="1:71" ht="120" x14ac:dyDescent="0.25">
      <c r="A147" s="248" t="s">
        <v>5250</v>
      </c>
      <c r="B147" s="3">
        <v>141</v>
      </c>
      <c r="C147" s="167" t="s">
        <v>149</v>
      </c>
      <c r="D147" s="39" t="s">
        <v>173</v>
      </c>
      <c r="E147" s="40" t="s">
        <v>5251</v>
      </c>
      <c r="F147" s="39" t="s">
        <v>173</v>
      </c>
      <c r="G147" s="39"/>
      <c r="H147" s="39" t="s">
        <v>3785</v>
      </c>
      <c r="I147" s="42" t="s">
        <v>2436</v>
      </c>
      <c r="J147" s="41"/>
      <c r="K147" s="41"/>
      <c r="L147" s="41"/>
      <c r="M147" s="42" t="str">
        <f t="shared" si="47"/>
        <v xml:space="preserve">Teletec de México, S.A.P.I. de C.V.  </v>
      </c>
      <c r="N147" s="991" t="s">
        <v>190</v>
      </c>
      <c r="O147" s="991" t="s">
        <v>190</v>
      </c>
      <c r="P147" s="991" t="s">
        <v>5252</v>
      </c>
      <c r="Q147" s="992">
        <v>4300000</v>
      </c>
      <c r="R147" s="44">
        <f t="shared" si="55"/>
        <v>688000</v>
      </c>
      <c r="S147" s="45">
        <f t="shared" si="52"/>
        <v>4988000</v>
      </c>
      <c r="T147" s="46">
        <v>1500000</v>
      </c>
      <c r="U147" s="47">
        <f t="shared" si="54"/>
        <v>1740000</v>
      </c>
      <c r="V147" s="44">
        <f t="shared" si="53"/>
        <v>4988000</v>
      </c>
      <c r="W147" s="993" t="s">
        <v>156</v>
      </c>
      <c r="X147" s="48">
        <v>44897</v>
      </c>
      <c r="Y147" s="39" t="s">
        <v>5253</v>
      </c>
      <c r="Z147" s="48">
        <v>44927</v>
      </c>
      <c r="AA147" s="48">
        <v>45291</v>
      </c>
      <c r="AB147" s="38" t="s">
        <v>4169</v>
      </c>
      <c r="AC147" s="38"/>
      <c r="AD147" s="59"/>
      <c r="AE147" s="59"/>
      <c r="AF147" s="59"/>
      <c r="AG147" s="59"/>
      <c r="AH147" s="39"/>
      <c r="AI147" s="38"/>
      <c r="AJ147" s="38"/>
      <c r="AK147" s="50"/>
      <c r="AL147" s="44"/>
      <c r="AM147" s="163" t="str">
        <f t="shared" ca="1" si="48"/>
        <v>MUERTO</v>
      </c>
      <c r="AN147" s="39"/>
      <c r="AO147" s="39"/>
      <c r="AP147" s="39" t="s">
        <v>924</v>
      </c>
      <c r="AQ147" s="39"/>
      <c r="AR147" s="39" t="s">
        <v>924</v>
      </c>
      <c r="AS147" s="39"/>
      <c r="AT147" s="58">
        <v>44960</v>
      </c>
      <c r="AU147" s="51"/>
      <c r="AV147" s="50"/>
      <c r="AW147" s="38"/>
      <c r="AX147" s="52"/>
      <c r="AY147" s="170" t="s">
        <v>5254</v>
      </c>
      <c r="AZ147" s="38"/>
      <c r="BA147" s="38"/>
      <c r="BB147" s="73">
        <f t="shared" si="50"/>
        <v>0</v>
      </c>
      <c r="BC147" s="159"/>
      <c r="BD147" s="59">
        <v>44888</v>
      </c>
      <c r="BE147" s="59">
        <v>44893</v>
      </c>
      <c r="BF147" s="58">
        <v>44900</v>
      </c>
      <c r="BG147" s="59">
        <f t="shared" si="51"/>
        <v>44900</v>
      </c>
      <c r="BH147" s="183" t="str">
        <f t="shared" si="49"/>
        <v>Contrato formalizado con garantías 02/02/23</v>
      </c>
      <c r="BI147" s="195" t="s">
        <v>5255</v>
      </c>
      <c r="BJ147" s="185">
        <v>44907</v>
      </c>
      <c r="BK147" s="186" t="str">
        <f t="shared" si="46"/>
        <v>Contrato formalizado con garantías 02/02/23</v>
      </c>
      <c r="BL147" s="84"/>
      <c r="BM147" s="84"/>
      <c r="BN147" s="84"/>
      <c r="BO147" s="84"/>
      <c r="BP147" s="84"/>
    </row>
    <row r="148" spans="1:71" ht="90" x14ac:dyDescent="0.25">
      <c r="A148" s="196" t="s">
        <v>5256</v>
      </c>
      <c r="B148" s="3">
        <v>142</v>
      </c>
      <c r="C148" s="167" t="s">
        <v>149</v>
      </c>
      <c r="D148" s="39" t="s">
        <v>173</v>
      </c>
      <c r="E148" s="40" t="s">
        <v>5257</v>
      </c>
      <c r="F148" s="39" t="s">
        <v>173</v>
      </c>
      <c r="G148" s="39"/>
      <c r="H148" s="39" t="s">
        <v>3785</v>
      </c>
      <c r="I148" s="42" t="s">
        <v>5258</v>
      </c>
      <c r="J148" s="41"/>
      <c r="K148" s="41"/>
      <c r="L148" s="41"/>
      <c r="M148" s="42" t="str">
        <f t="shared" si="47"/>
        <v xml:space="preserve">Global Boga, S.A. de C.V.  </v>
      </c>
      <c r="N148" s="991" t="s">
        <v>656</v>
      </c>
      <c r="O148" s="991" t="s">
        <v>5259</v>
      </c>
      <c r="P148" s="991" t="s">
        <v>5260</v>
      </c>
      <c r="Q148" s="992">
        <v>1982740</v>
      </c>
      <c r="R148" s="44">
        <f t="shared" si="55"/>
        <v>317238.40000000002</v>
      </c>
      <c r="S148" s="45">
        <f t="shared" si="52"/>
        <v>2299978.4</v>
      </c>
      <c r="T148" s="46">
        <v>0</v>
      </c>
      <c r="U148" s="47">
        <f t="shared" si="54"/>
        <v>0</v>
      </c>
      <c r="V148" s="44">
        <f t="shared" si="53"/>
        <v>2299978.4</v>
      </c>
      <c r="W148" s="993" t="s">
        <v>156</v>
      </c>
      <c r="X148" s="48">
        <v>44901</v>
      </c>
      <c r="Y148" s="39" t="s">
        <v>924</v>
      </c>
      <c r="Z148" s="48">
        <v>44927</v>
      </c>
      <c r="AA148" s="48">
        <v>45291</v>
      </c>
      <c r="AB148" s="38" t="s">
        <v>3787</v>
      </c>
      <c r="AC148" s="38"/>
      <c r="AD148" s="59"/>
      <c r="AE148" s="59"/>
      <c r="AF148" s="59"/>
      <c r="AG148" s="59"/>
      <c r="AH148" s="39"/>
      <c r="AI148" s="110" t="s">
        <v>5161</v>
      </c>
      <c r="AJ148" s="38" t="s">
        <v>5261</v>
      </c>
      <c r="AK148" s="50">
        <v>45265</v>
      </c>
      <c r="AL148" s="44">
        <v>0</v>
      </c>
      <c r="AM148" s="163" t="str">
        <f t="shared" ca="1" si="48"/>
        <v>MUERTO</v>
      </c>
      <c r="AN148" s="39"/>
      <c r="AO148" s="39"/>
      <c r="AP148" s="39" t="s">
        <v>924</v>
      </c>
      <c r="AQ148" s="39"/>
      <c r="AR148" s="39" t="s">
        <v>924</v>
      </c>
      <c r="AS148" s="39"/>
      <c r="AT148" s="58">
        <v>44960</v>
      </c>
      <c r="AU148" s="51"/>
      <c r="AV148" s="50"/>
      <c r="AW148" s="38"/>
      <c r="AX148" s="52"/>
      <c r="AY148" s="170" t="s">
        <v>5262</v>
      </c>
      <c r="AZ148" s="38"/>
      <c r="BA148" s="38"/>
      <c r="BB148" s="73">
        <f t="shared" si="50"/>
        <v>0</v>
      </c>
      <c r="BC148" s="159"/>
      <c r="BD148" s="59">
        <v>44882</v>
      </c>
      <c r="BE148" s="59" t="s">
        <v>5263</v>
      </c>
      <c r="BF148" s="58">
        <v>44902</v>
      </c>
      <c r="BG148" s="59">
        <f t="shared" si="51"/>
        <v>44902</v>
      </c>
      <c r="BH148" s="183" t="str">
        <f t="shared" si="49"/>
        <v>Contrato formalizado con garantías 30/1/23           24/01/2024</v>
      </c>
      <c r="BI148" s="195" t="s">
        <v>5264</v>
      </c>
      <c r="BJ148" s="185" t="s">
        <v>5265</v>
      </c>
      <c r="BK148" s="186" t="str">
        <f t="shared" si="46"/>
        <v>Contrato formalizado con garantías 30/1/23           24/01/2024</v>
      </c>
      <c r="BL148" s="84"/>
      <c r="BM148" s="84"/>
      <c r="BN148" s="84"/>
      <c r="BO148" s="84"/>
      <c r="BP148" s="84"/>
    </row>
    <row r="149" spans="1:71" ht="75" x14ac:dyDescent="0.25">
      <c r="A149" s="248" t="s">
        <v>5266</v>
      </c>
      <c r="B149" s="3">
        <v>143</v>
      </c>
      <c r="C149" s="167" t="s">
        <v>149</v>
      </c>
      <c r="D149" s="39" t="s">
        <v>151</v>
      </c>
      <c r="E149" s="40" t="s">
        <v>5267</v>
      </c>
      <c r="F149" s="39" t="s">
        <v>151</v>
      </c>
      <c r="G149" s="39"/>
      <c r="H149" s="39" t="s">
        <v>3793</v>
      </c>
      <c r="I149" s="42" t="s">
        <v>2459</v>
      </c>
      <c r="J149" s="41"/>
      <c r="K149" s="41"/>
      <c r="L149" s="41"/>
      <c r="M149" s="42" t="str">
        <f t="shared" si="47"/>
        <v xml:space="preserve">Segudirecto, Agente de Seguros y de Fianzas, S.A. de C.V.  </v>
      </c>
      <c r="N149" s="991" t="s">
        <v>270</v>
      </c>
      <c r="O149" s="991" t="s">
        <v>270</v>
      </c>
      <c r="P149" s="991" t="s">
        <v>5268</v>
      </c>
      <c r="Q149" s="992">
        <v>444000</v>
      </c>
      <c r="R149" s="44">
        <f t="shared" si="55"/>
        <v>71040</v>
      </c>
      <c r="S149" s="45">
        <f t="shared" si="52"/>
        <v>515040</v>
      </c>
      <c r="T149" s="46">
        <v>0</v>
      </c>
      <c r="U149" s="47">
        <f t="shared" si="54"/>
        <v>0</v>
      </c>
      <c r="V149" s="44">
        <f t="shared" si="53"/>
        <v>515040</v>
      </c>
      <c r="W149" s="993" t="s">
        <v>156</v>
      </c>
      <c r="X149" s="48">
        <v>44901</v>
      </c>
      <c r="Y149" s="39" t="s">
        <v>924</v>
      </c>
      <c r="Z149" s="48">
        <v>44927</v>
      </c>
      <c r="AA149" s="48">
        <v>45291</v>
      </c>
      <c r="AB149" s="38" t="s">
        <v>3113</v>
      </c>
      <c r="AC149" s="38"/>
      <c r="AD149" s="59"/>
      <c r="AE149" s="59"/>
      <c r="AF149" s="59"/>
      <c r="AG149" s="59"/>
      <c r="AH149" s="39"/>
      <c r="AI149" s="38"/>
      <c r="AJ149" s="38"/>
      <c r="AK149" s="50"/>
      <c r="AL149" s="44"/>
      <c r="AM149" s="163" t="str">
        <f t="shared" ca="1" si="48"/>
        <v>MUERTO</v>
      </c>
      <c r="AN149" s="39"/>
      <c r="AO149" s="39"/>
      <c r="AP149" s="39" t="s">
        <v>924</v>
      </c>
      <c r="AQ149" s="39"/>
      <c r="AR149" s="39" t="s">
        <v>924</v>
      </c>
      <c r="AS149" s="39"/>
      <c r="AT149" s="58">
        <v>44960</v>
      </c>
      <c r="AU149" s="51"/>
      <c r="AV149" s="50"/>
      <c r="AW149" s="38"/>
      <c r="AX149" s="52"/>
      <c r="AY149" s="170" t="s">
        <v>5269</v>
      </c>
      <c r="AZ149" s="38"/>
      <c r="BA149" s="38"/>
      <c r="BB149" s="73">
        <f t="shared" si="50"/>
        <v>0</v>
      </c>
      <c r="BC149" s="159"/>
      <c r="BD149" s="59">
        <v>44889</v>
      </c>
      <c r="BE149" s="59">
        <v>44893</v>
      </c>
      <c r="BF149" s="39" t="s">
        <v>5270</v>
      </c>
      <c r="BG149" s="59" t="str">
        <f t="shared" si="51"/>
        <v>7/12, se regresa por que la fecha esta mal</v>
      </c>
      <c r="BH149" s="183" t="str">
        <f t="shared" si="49"/>
        <v>Contrato formalizado con FC 22/12/22</v>
      </c>
      <c r="BI149" s="195" t="s">
        <v>5271</v>
      </c>
      <c r="BJ149" s="185">
        <v>44907</v>
      </c>
      <c r="BK149" s="186" t="str">
        <f t="shared" si="46"/>
        <v>Contrato formalizado con FC 22/12/22</v>
      </c>
      <c r="BL149" s="84"/>
      <c r="BM149" s="84"/>
      <c r="BN149" s="84"/>
      <c r="BO149" s="84"/>
      <c r="BP149" s="84"/>
    </row>
    <row r="150" spans="1:71" ht="60" x14ac:dyDescent="0.25">
      <c r="A150" s="248" t="s">
        <v>5272</v>
      </c>
      <c r="B150" s="3">
        <v>144</v>
      </c>
      <c r="C150" s="167" t="s">
        <v>225</v>
      </c>
      <c r="D150" s="39" t="s">
        <v>151</v>
      </c>
      <c r="E150" s="40" t="s">
        <v>5273</v>
      </c>
      <c r="F150" s="39" t="s">
        <v>151</v>
      </c>
      <c r="G150" s="39"/>
      <c r="H150" s="39" t="s">
        <v>3793</v>
      </c>
      <c r="I150" s="42" t="s">
        <v>719</v>
      </c>
      <c r="J150" s="41"/>
      <c r="K150" s="41"/>
      <c r="L150" s="41"/>
      <c r="M150" s="42" t="str">
        <f t="shared" si="47"/>
        <v xml:space="preserve">Sí Vale México, S.A. de C.V.  </v>
      </c>
      <c r="N150" s="991" t="s">
        <v>198</v>
      </c>
      <c r="O150" s="991" t="s">
        <v>198</v>
      </c>
      <c r="P150" s="991" t="s">
        <v>5274</v>
      </c>
      <c r="Q150" s="992">
        <v>630000</v>
      </c>
      <c r="R150" s="44">
        <f t="shared" si="55"/>
        <v>100800</v>
      </c>
      <c r="S150" s="45">
        <f t="shared" si="52"/>
        <v>730800</v>
      </c>
      <c r="T150" s="46">
        <v>252000</v>
      </c>
      <c r="U150" s="47">
        <f t="shared" si="54"/>
        <v>292320</v>
      </c>
      <c r="V150" s="44">
        <f t="shared" si="53"/>
        <v>730800</v>
      </c>
      <c r="W150" s="993" t="s">
        <v>156</v>
      </c>
      <c r="X150" s="48">
        <v>44901</v>
      </c>
      <c r="Y150" s="39" t="s">
        <v>924</v>
      </c>
      <c r="Z150" s="48">
        <v>44927</v>
      </c>
      <c r="AA150" s="48">
        <v>45291</v>
      </c>
      <c r="AB150" s="38" t="s">
        <v>3113</v>
      </c>
      <c r="AC150" s="38"/>
      <c r="AD150" s="59"/>
      <c r="AE150" s="59"/>
      <c r="AF150" s="59"/>
      <c r="AG150" s="59"/>
      <c r="AH150" s="39"/>
      <c r="AI150" s="38"/>
      <c r="AJ150" s="38"/>
      <c r="AK150" s="50"/>
      <c r="AL150" s="44"/>
      <c r="AM150" s="163" t="str">
        <f t="shared" ca="1" si="48"/>
        <v>MUERTO</v>
      </c>
      <c r="AN150" s="39"/>
      <c r="AO150" s="39"/>
      <c r="AP150" s="39" t="s">
        <v>924</v>
      </c>
      <c r="AQ150" s="39"/>
      <c r="AR150" s="39" t="s">
        <v>924</v>
      </c>
      <c r="AS150" s="39"/>
      <c r="AT150" s="58">
        <v>44960</v>
      </c>
      <c r="AU150" s="51"/>
      <c r="AV150" s="50"/>
      <c r="AW150" s="38"/>
      <c r="AX150" s="52"/>
      <c r="AY150" s="170" t="s">
        <v>5275</v>
      </c>
      <c r="AZ150" s="38"/>
      <c r="BA150" s="38"/>
      <c r="BB150" s="73">
        <f t="shared" si="50"/>
        <v>0</v>
      </c>
      <c r="BC150" s="159"/>
      <c r="BD150" s="59">
        <v>44890</v>
      </c>
      <c r="BE150" s="59">
        <v>44896</v>
      </c>
      <c r="BF150" s="58">
        <v>44902</v>
      </c>
      <c r="BG150" s="59">
        <f t="shared" si="51"/>
        <v>44902</v>
      </c>
      <c r="BH150" s="183" t="str">
        <f t="shared" si="49"/>
        <v>Contrato formalizado con FC 26/12/22</v>
      </c>
      <c r="BI150" s="195" t="s">
        <v>5276</v>
      </c>
      <c r="BJ150" s="185">
        <v>44907</v>
      </c>
      <c r="BK150" s="186" t="str">
        <f t="shared" si="46"/>
        <v>Contrato formalizado con FC 26/12/22</v>
      </c>
      <c r="BL150" s="84"/>
      <c r="BM150" s="84"/>
      <c r="BN150" s="84"/>
      <c r="BO150" s="84"/>
      <c r="BP150" s="84"/>
    </row>
    <row r="151" spans="1:71" ht="75" x14ac:dyDescent="0.25">
      <c r="A151" s="168" t="s">
        <v>5277</v>
      </c>
      <c r="B151" s="3">
        <v>145</v>
      </c>
      <c r="C151" s="167" t="s">
        <v>225</v>
      </c>
      <c r="D151" s="39" t="s">
        <v>163</v>
      </c>
      <c r="E151" s="40" t="s">
        <v>5278</v>
      </c>
      <c r="F151" s="3" t="s">
        <v>2237</v>
      </c>
      <c r="G151" s="685" t="s">
        <v>546</v>
      </c>
      <c r="H151" s="39" t="s">
        <v>3764</v>
      </c>
      <c r="I151" s="42" t="s">
        <v>2830</v>
      </c>
      <c r="J151" s="41"/>
      <c r="K151" s="41"/>
      <c r="L151" s="41"/>
      <c r="M151" s="42" t="str">
        <f t="shared" si="47"/>
        <v xml:space="preserve">Men´s International Collection, S.A. de C.V.  </v>
      </c>
      <c r="N151" s="991" t="s">
        <v>166</v>
      </c>
      <c r="O151" s="991" t="s">
        <v>166</v>
      </c>
      <c r="P151" s="991" t="s">
        <v>5279</v>
      </c>
      <c r="Q151" s="992">
        <v>1729040</v>
      </c>
      <c r="R151" s="44">
        <f t="shared" si="55"/>
        <v>276646.40000000002</v>
      </c>
      <c r="S151" s="45">
        <f t="shared" si="52"/>
        <v>2005686.4</v>
      </c>
      <c r="T151" s="46">
        <v>0</v>
      </c>
      <c r="U151" s="47">
        <f t="shared" si="54"/>
        <v>0</v>
      </c>
      <c r="V151" s="44">
        <f t="shared" si="53"/>
        <v>2005686.4</v>
      </c>
      <c r="W151" s="993" t="s">
        <v>156</v>
      </c>
      <c r="X151" s="48">
        <v>44903</v>
      </c>
      <c r="Y151" s="39" t="s">
        <v>924</v>
      </c>
      <c r="Z151" s="48">
        <v>44903</v>
      </c>
      <c r="AA151" s="48">
        <v>44925</v>
      </c>
      <c r="AB151" s="38" t="s">
        <v>3113</v>
      </c>
      <c r="AC151" s="38"/>
      <c r="AD151" s="59"/>
      <c r="AE151" s="59"/>
      <c r="AF151" s="59"/>
      <c r="AG151" s="59"/>
      <c r="AH151" s="39"/>
      <c r="AI151" s="38"/>
      <c r="AJ151" s="38"/>
      <c r="AK151" s="50"/>
      <c r="AL151" s="44"/>
      <c r="AM151" s="163" t="str">
        <f t="shared" ca="1" si="48"/>
        <v>MUERTO</v>
      </c>
      <c r="AN151" s="39"/>
      <c r="AO151" s="39"/>
      <c r="AP151" s="39" t="s">
        <v>924</v>
      </c>
      <c r="AQ151" s="39"/>
      <c r="AR151" s="39" t="s">
        <v>924</v>
      </c>
      <c r="AS151" s="39"/>
      <c r="AT151" s="58">
        <v>44960</v>
      </c>
      <c r="AU151" s="51"/>
      <c r="AV151" s="50"/>
      <c r="AW151" s="38"/>
      <c r="AX151" s="52"/>
      <c r="AY151" s="170" t="s">
        <v>5269</v>
      </c>
      <c r="AZ151" s="38"/>
      <c r="BA151" s="38"/>
      <c r="BB151" s="73">
        <f t="shared" si="50"/>
        <v>0</v>
      </c>
      <c r="BC151" s="159"/>
      <c r="BD151" s="59">
        <v>44900</v>
      </c>
      <c r="BE151" s="59">
        <v>44901</v>
      </c>
      <c r="BF151" s="58">
        <v>44904</v>
      </c>
      <c r="BG151" s="59">
        <f t="shared" si="51"/>
        <v>44904</v>
      </c>
      <c r="BH151" s="183" t="str">
        <f t="shared" si="49"/>
        <v>Contrato formalizado con FC 22/12/22</v>
      </c>
      <c r="BI151" s="195" t="s">
        <v>5280</v>
      </c>
      <c r="BJ151" s="185">
        <v>44911</v>
      </c>
      <c r="BK151" s="186" t="str">
        <f t="shared" si="46"/>
        <v>Contrato formalizado con FC 22/12/22</v>
      </c>
      <c r="BL151" s="84"/>
      <c r="BM151" s="84"/>
      <c r="BN151" s="84"/>
      <c r="BO151" s="84"/>
      <c r="BP151" s="84"/>
    </row>
    <row r="152" spans="1:71" ht="60" x14ac:dyDescent="0.25">
      <c r="A152" s="570" t="s">
        <v>5281</v>
      </c>
      <c r="B152" s="3">
        <v>146</v>
      </c>
      <c r="C152" s="283" t="s">
        <v>149</v>
      </c>
      <c r="D152" s="272" t="s">
        <v>163</v>
      </c>
      <c r="E152" s="280" t="s">
        <v>5233</v>
      </c>
      <c r="F152" s="3" t="s">
        <v>2237</v>
      </c>
      <c r="G152" s="685" t="s">
        <v>546</v>
      </c>
      <c r="H152" s="272" t="s">
        <v>4030</v>
      </c>
      <c r="I152" s="422" t="s">
        <v>2622</v>
      </c>
      <c r="J152" s="267"/>
      <c r="K152" s="267"/>
      <c r="L152" s="267"/>
      <c r="M152" s="422" t="str">
        <f t="shared" si="47"/>
        <v xml:space="preserve">Programma Comunicación, S.A. de C.V.  </v>
      </c>
      <c r="N152" s="1023" t="s">
        <v>860</v>
      </c>
      <c r="O152" s="1023" t="s">
        <v>220</v>
      </c>
      <c r="P152" s="1023" t="s">
        <v>4598</v>
      </c>
      <c r="Q152" s="1024">
        <v>1140000</v>
      </c>
      <c r="R152" s="472">
        <f t="shared" si="55"/>
        <v>182400</v>
      </c>
      <c r="S152" s="473">
        <f t="shared" si="52"/>
        <v>1322400</v>
      </c>
      <c r="T152" s="474">
        <v>0</v>
      </c>
      <c r="U152" s="475">
        <f t="shared" si="54"/>
        <v>0</v>
      </c>
      <c r="V152" s="472">
        <f t="shared" si="53"/>
        <v>1322400</v>
      </c>
      <c r="W152" s="1025" t="s">
        <v>156</v>
      </c>
      <c r="X152" s="476">
        <v>44904</v>
      </c>
      <c r="Y152" s="272" t="s">
        <v>924</v>
      </c>
      <c r="Z152" s="476">
        <v>44904</v>
      </c>
      <c r="AA152" s="476">
        <v>44925</v>
      </c>
      <c r="AB152" s="396" t="s">
        <v>3113</v>
      </c>
      <c r="AC152" s="396"/>
      <c r="AD152" s="164"/>
      <c r="AE152" s="164"/>
      <c r="AF152" s="164"/>
      <c r="AG152" s="164"/>
      <c r="AH152" s="272"/>
      <c r="AI152" s="396"/>
      <c r="AJ152" s="396"/>
      <c r="AK152" s="477"/>
      <c r="AL152" s="472"/>
      <c r="AM152" s="399" t="str">
        <f t="shared" ca="1" si="48"/>
        <v>MUERTO</v>
      </c>
      <c r="AN152" s="272"/>
      <c r="AO152" s="272"/>
      <c r="AP152" s="272" t="s">
        <v>924</v>
      </c>
      <c r="AQ152" s="272"/>
      <c r="AR152" s="272" t="s">
        <v>924</v>
      </c>
      <c r="AS152" s="272"/>
      <c r="AT152" s="481">
        <v>44960</v>
      </c>
      <c r="AU152" s="478"/>
      <c r="AV152" s="477"/>
      <c r="AW152" s="396"/>
      <c r="AX152" s="479"/>
      <c r="AY152" s="480" t="s">
        <v>5275</v>
      </c>
      <c r="AZ152" s="396"/>
      <c r="BA152" s="396"/>
      <c r="BB152" s="571">
        <f t="shared" si="50"/>
        <v>0</v>
      </c>
      <c r="BC152" s="572"/>
      <c r="BD152" s="164">
        <v>44890</v>
      </c>
      <c r="BE152" s="164">
        <v>44902</v>
      </c>
      <c r="BF152" s="481">
        <v>44907</v>
      </c>
      <c r="BG152" s="164">
        <f t="shared" si="51"/>
        <v>44907</v>
      </c>
      <c r="BH152" s="400" t="str">
        <f t="shared" si="49"/>
        <v>Contrato formalizado con FC 26/12/22</v>
      </c>
      <c r="BI152" s="227" t="s">
        <v>5282</v>
      </c>
      <c r="BJ152" s="482">
        <v>44910</v>
      </c>
      <c r="BK152" s="573" t="str">
        <f t="shared" si="46"/>
        <v>Contrato formalizado con FC 26/12/22</v>
      </c>
      <c r="BL152" s="84"/>
      <c r="BM152" s="84"/>
      <c r="BN152" s="84"/>
      <c r="BO152" s="84"/>
      <c r="BP152" s="84"/>
    </row>
    <row r="153" spans="1:71" ht="45" x14ac:dyDescent="0.25">
      <c r="A153" s="286" t="s">
        <v>5283</v>
      </c>
      <c r="B153" s="3">
        <v>147</v>
      </c>
      <c r="C153" s="4" t="s">
        <v>149</v>
      </c>
      <c r="D153" s="3" t="s">
        <v>173</v>
      </c>
      <c r="E153" s="18" t="s">
        <v>5284</v>
      </c>
      <c r="F153" s="3" t="s">
        <v>173</v>
      </c>
      <c r="G153" s="3"/>
      <c r="H153" s="3" t="s">
        <v>3785</v>
      </c>
      <c r="I153" s="375" t="s">
        <v>569</v>
      </c>
      <c r="J153" s="17"/>
      <c r="K153" s="17"/>
      <c r="L153" s="17"/>
      <c r="M153" s="375" t="str">
        <f t="shared" si="47"/>
        <v xml:space="preserve">Audio Video &amp; Control, S.A. de C.V.  </v>
      </c>
      <c r="N153" s="959" t="s">
        <v>656</v>
      </c>
      <c r="O153" s="959" t="s">
        <v>667</v>
      </c>
      <c r="P153" s="959" t="s">
        <v>5285</v>
      </c>
      <c r="Q153" s="962">
        <v>1550000</v>
      </c>
      <c r="R153" s="383">
        <f t="shared" si="55"/>
        <v>248000</v>
      </c>
      <c r="S153" s="384">
        <f t="shared" si="52"/>
        <v>1798000</v>
      </c>
      <c r="T153" s="385">
        <v>500000</v>
      </c>
      <c r="U153" s="386">
        <f t="shared" si="54"/>
        <v>580000</v>
      </c>
      <c r="V153" s="383">
        <f t="shared" si="53"/>
        <v>1798000</v>
      </c>
      <c r="W153" s="963" t="s">
        <v>156</v>
      </c>
      <c r="X153" s="387">
        <v>44908</v>
      </c>
      <c r="Y153" s="3" t="s">
        <v>924</v>
      </c>
      <c r="Z153" s="387">
        <v>44927</v>
      </c>
      <c r="AA153" s="387">
        <v>45291</v>
      </c>
      <c r="AB153" s="4" t="s">
        <v>3787</v>
      </c>
      <c r="AC153" s="4"/>
      <c r="AD153" s="6"/>
      <c r="AE153" s="6"/>
      <c r="AF153" s="6"/>
      <c r="AG153" s="6"/>
      <c r="AH153" s="3"/>
      <c r="AI153" s="4"/>
      <c r="AJ153" s="4"/>
      <c r="AK153" s="388"/>
      <c r="AL153" s="383"/>
      <c r="AM153" s="414" t="str">
        <f t="shared" ca="1" si="48"/>
        <v>MUERTO</v>
      </c>
      <c r="AN153" s="3"/>
      <c r="AO153" s="3"/>
      <c r="AP153" s="3" t="s">
        <v>924</v>
      </c>
      <c r="AQ153" s="3"/>
      <c r="AR153" s="3" t="s">
        <v>924</v>
      </c>
      <c r="AS153" s="3"/>
      <c r="AT153" s="463">
        <v>44960</v>
      </c>
      <c r="AU153" s="458"/>
      <c r="AV153" s="388"/>
      <c r="AW153" s="4"/>
      <c r="AX153" s="459"/>
      <c r="AY153" s="281" t="s">
        <v>5286</v>
      </c>
      <c r="AZ153" s="4"/>
      <c r="BA153" s="4"/>
      <c r="BB153" s="5">
        <f t="shared" si="50"/>
        <v>0</v>
      </c>
      <c r="BC153" s="544"/>
      <c r="BD153" s="6">
        <v>44902</v>
      </c>
      <c r="BE153" s="6">
        <v>44903</v>
      </c>
      <c r="BF153" s="463">
        <v>44909</v>
      </c>
      <c r="BG153" s="6">
        <f t="shared" si="51"/>
        <v>44909</v>
      </c>
      <c r="BH153" s="415" t="str">
        <f t="shared" si="49"/>
        <v>Contrato formalizado 04/01/23</v>
      </c>
      <c r="BI153" s="416" t="s">
        <v>5287</v>
      </c>
      <c r="BJ153" s="255">
        <v>44910</v>
      </c>
      <c r="BK153" s="415" t="str">
        <f t="shared" si="46"/>
        <v>Contrato formalizado 04/01/23</v>
      </c>
      <c r="BL153" s="84"/>
      <c r="BM153" s="84"/>
      <c r="BN153" s="84"/>
      <c r="BO153" s="84"/>
      <c r="BP153" s="84"/>
    </row>
    <row r="154" spans="1:71" ht="60" x14ac:dyDescent="0.25">
      <c r="A154" s="527" t="s">
        <v>5288</v>
      </c>
      <c r="B154" s="3">
        <v>148</v>
      </c>
      <c r="C154" s="4" t="s">
        <v>225</v>
      </c>
      <c r="D154" s="3" t="s">
        <v>163</v>
      </c>
      <c r="E154" s="18" t="s">
        <v>5289</v>
      </c>
      <c r="F154" s="3" t="s">
        <v>163</v>
      </c>
      <c r="G154" s="39" t="s">
        <v>163</v>
      </c>
      <c r="H154" s="3" t="s">
        <v>3874</v>
      </c>
      <c r="I154" s="375" t="s">
        <v>719</v>
      </c>
      <c r="J154" s="17"/>
      <c r="K154" s="17"/>
      <c r="L154" s="17"/>
      <c r="M154" s="375" t="str">
        <f t="shared" si="47"/>
        <v xml:space="preserve">Sí Vale México, S.A. de C.V.  </v>
      </c>
      <c r="N154" s="959" t="s">
        <v>370</v>
      </c>
      <c r="O154" s="959" t="s">
        <v>370</v>
      </c>
      <c r="P154" s="959" t="s">
        <v>5290</v>
      </c>
      <c r="Q154" s="962">
        <v>1296000</v>
      </c>
      <c r="R154" s="383">
        <v>0</v>
      </c>
      <c r="S154" s="384">
        <f t="shared" si="52"/>
        <v>1296000</v>
      </c>
      <c r="T154" s="385">
        <v>0</v>
      </c>
      <c r="U154" s="386">
        <f t="shared" si="54"/>
        <v>0</v>
      </c>
      <c r="V154" s="383">
        <f t="shared" si="53"/>
        <v>1296000</v>
      </c>
      <c r="W154" s="963" t="s">
        <v>156</v>
      </c>
      <c r="X154" s="387">
        <v>44911</v>
      </c>
      <c r="Y154" s="3" t="s">
        <v>924</v>
      </c>
      <c r="Z154" s="387">
        <v>44912</v>
      </c>
      <c r="AA154" s="387">
        <v>44926</v>
      </c>
      <c r="AB154" s="4" t="s">
        <v>2050</v>
      </c>
      <c r="AC154" s="4"/>
      <c r="AD154" s="6"/>
      <c r="AE154" s="6"/>
      <c r="AF154" s="6"/>
      <c r="AG154" s="6"/>
      <c r="AH154" s="3"/>
      <c r="AI154" s="4"/>
      <c r="AJ154" s="4"/>
      <c r="AK154" s="388"/>
      <c r="AL154" s="383"/>
      <c r="AM154" s="414" t="str">
        <f t="shared" ca="1" si="48"/>
        <v>MUERTO</v>
      </c>
      <c r="AN154" s="3"/>
      <c r="AO154" s="3"/>
      <c r="AP154" s="3" t="s">
        <v>924</v>
      </c>
      <c r="AQ154" s="3"/>
      <c r="AR154" s="3" t="s">
        <v>924</v>
      </c>
      <c r="AS154" s="3"/>
      <c r="AT154" s="463">
        <v>44960</v>
      </c>
      <c r="AU154" s="458"/>
      <c r="AV154" s="388"/>
      <c r="AW154" s="4"/>
      <c r="AX154" s="459"/>
      <c r="AY154" s="281" t="s">
        <v>5291</v>
      </c>
      <c r="AZ154" s="4"/>
      <c r="BA154" s="4"/>
      <c r="BB154" s="5">
        <f t="shared" si="50"/>
        <v>0</v>
      </c>
      <c r="BC154" s="544"/>
      <c r="BD154" s="6">
        <v>44908</v>
      </c>
      <c r="BE154" s="6">
        <v>44909</v>
      </c>
      <c r="BF154" s="463">
        <v>44911</v>
      </c>
      <c r="BG154" s="6">
        <f t="shared" si="51"/>
        <v>44911</v>
      </c>
      <c r="BH154" s="415" t="str">
        <f t="shared" si="49"/>
        <v>Contrato formalizado 22/12/22</v>
      </c>
      <c r="BI154" s="416" t="s">
        <v>5292</v>
      </c>
      <c r="BJ154" s="255">
        <v>44915</v>
      </c>
      <c r="BK154" s="415" t="str">
        <f t="shared" si="46"/>
        <v>Contrato formalizado 22/12/22</v>
      </c>
      <c r="BL154" s="84"/>
      <c r="BM154" s="84"/>
      <c r="BN154" s="84"/>
      <c r="BO154" s="84"/>
      <c r="BP154" s="84"/>
    </row>
    <row r="155" spans="1:71" ht="90" x14ac:dyDescent="0.25">
      <c r="A155" s="527" t="s">
        <v>5293</v>
      </c>
      <c r="B155" s="3">
        <v>149</v>
      </c>
      <c r="C155" s="4" t="s">
        <v>225</v>
      </c>
      <c r="D155" s="3" t="s">
        <v>163</v>
      </c>
      <c r="E155" s="18" t="s">
        <v>5294</v>
      </c>
      <c r="F155" s="3" t="s">
        <v>2237</v>
      </c>
      <c r="G155" s="685" t="s">
        <v>546</v>
      </c>
      <c r="H155" s="3" t="s">
        <v>4185</v>
      </c>
      <c r="I155" s="375" t="s">
        <v>5295</v>
      </c>
      <c r="J155" s="17"/>
      <c r="K155" s="17"/>
      <c r="L155" s="17"/>
      <c r="M155" s="375" t="str">
        <f t="shared" si="47"/>
        <v xml:space="preserve">Grupo IDSEC, S.A.P.I. de C.V.  </v>
      </c>
      <c r="N155" s="959" t="s">
        <v>166</v>
      </c>
      <c r="O155" s="959" t="s">
        <v>166</v>
      </c>
      <c r="P155" s="959" t="s">
        <v>5296</v>
      </c>
      <c r="Q155" s="962">
        <v>1989960.55</v>
      </c>
      <c r="R155" s="383">
        <f>Q155*0.16</f>
        <v>318393.68800000002</v>
      </c>
      <c r="S155" s="384">
        <f t="shared" si="52"/>
        <v>2308354.2379999999</v>
      </c>
      <c r="T155" s="385">
        <v>0</v>
      </c>
      <c r="U155" s="386">
        <f t="shared" si="54"/>
        <v>0</v>
      </c>
      <c r="V155" s="383">
        <f t="shared" si="53"/>
        <v>2308354.2379999999</v>
      </c>
      <c r="W155" s="963" t="s">
        <v>156</v>
      </c>
      <c r="X155" s="387">
        <v>44907</v>
      </c>
      <c r="Y155" s="3" t="s">
        <v>924</v>
      </c>
      <c r="Z155" s="387">
        <v>44907</v>
      </c>
      <c r="AA155" s="387">
        <v>44926</v>
      </c>
      <c r="AB155" s="4" t="s">
        <v>3811</v>
      </c>
      <c r="AC155" s="4"/>
      <c r="AD155" s="6"/>
      <c r="AE155" s="6"/>
      <c r="AF155" s="6"/>
      <c r="AG155" s="6"/>
      <c r="AH155" s="3"/>
      <c r="AI155" s="4" t="s">
        <v>5297</v>
      </c>
      <c r="AJ155" s="4"/>
      <c r="AK155" s="388"/>
      <c r="AL155" s="383"/>
      <c r="AM155" s="414" t="str">
        <f t="shared" ca="1" si="48"/>
        <v>MUERTO</v>
      </c>
      <c r="AN155" s="3"/>
      <c r="AO155" s="3"/>
      <c r="AP155" s="3" t="s">
        <v>924</v>
      </c>
      <c r="AQ155" s="3"/>
      <c r="AR155" s="3" t="s">
        <v>924</v>
      </c>
      <c r="AS155" s="3"/>
      <c r="AT155" s="463">
        <v>44960</v>
      </c>
      <c r="AU155" s="458"/>
      <c r="AV155" s="388"/>
      <c r="AW155" s="4"/>
      <c r="AX155" s="459"/>
      <c r="AY155" s="281" t="s">
        <v>5298</v>
      </c>
      <c r="AZ155" s="4"/>
      <c r="BA155" s="4"/>
      <c r="BB155" s="5">
        <f t="shared" si="50"/>
        <v>0</v>
      </c>
      <c r="BC155" s="544"/>
      <c r="BD155" s="6">
        <v>44903</v>
      </c>
      <c r="BE155" s="6">
        <v>44907</v>
      </c>
      <c r="BF155" s="463">
        <v>44917</v>
      </c>
      <c r="BG155" s="6">
        <f t="shared" si="51"/>
        <v>44917</v>
      </c>
      <c r="BH155" s="415" t="str">
        <f t="shared" si="49"/>
        <v>Contrato formalizado con garantías 13/01/23</v>
      </c>
      <c r="BI155" s="416" t="s">
        <v>5299</v>
      </c>
      <c r="BJ155" s="255">
        <v>44916</v>
      </c>
      <c r="BK155" s="415" t="str">
        <f t="shared" si="46"/>
        <v>Contrato formalizado con garantías 13/01/23</v>
      </c>
      <c r="BL155" s="84"/>
      <c r="BM155" s="84"/>
      <c r="BN155" s="84"/>
      <c r="BO155" s="84"/>
      <c r="BP155" s="84"/>
    </row>
    <row r="156" spans="1:71" ht="75" x14ac:dyDescent="0.25">
      <c r="A156" s="417" t="s">
        <v>5300</v>
      </c>
      <c r="B156" s="3">
        <v>150</v>
      </c>
      <c r="C156" s="4" t="s">
        <v>149</v>
      </c>
      <c r="D156" s="3" t="s">
        <v>163</v>
      </c>
      <c r="E156" s="18" t="s">
        <v>5301</v>
      </c>
      <c r="F156" s="3" t="s">
        <v>163</v>
      </c>
      <c r="G156" s="39" t="s">
        <v>163</v>
      </c>
      <c r="H156" s="3" t="s">
        <v>3986</v>
      </c>
      <c r="I156" s="375" t="s">
        <v>5302</v>
      </c>
      <c r="J156" s="17"/>
      <c r="K156" s="17"/>
      <c r="L156" s="17"/>
      <c r="M156" s="375" t="str">
        <f t="shared" si="47"/>
        <v xml:space="preserve">Criptex Seguridad Privada Mexicana, S.A. de C.V.  </v>
      </c>
      <c r="N156" s="959" t="s">
        <v>656</v>
      </c>
      <c r="O156" s="959" t="s">
        <v>5259</v>
      </c>
      <c r="P156" s="959" t="s">
        <v>5303</v>
      </c>
      <c r="Q156" s="962">
        <v>7049850</v>
      </c>
      <c r="R156" s="383">
        <f>Q156*0.16</f>
        <v>1127976</v>
      </c>
      <c r="S156" s="384">
        <f t="shared" si="52"/>
        <v>8177826</v>
      </c>
      <c r="T156" s="385">
        <v>0</v>
      </c>
      <c r="U156" s="386">
        <f t="shared" si="54"/>
        <v>0</v>
      </c>
      <c r="V156" s="383">
        <f t="shared" si="53"/>
        <v>8177826</v>
      </c>
      <c r="W156" s="963" t="s">
        <v>183</v>
      </c>
      <c r="X156" s="387">
        <v>44914</v>
      </c>
      <c r="Y156" s="3" t="s">
        <v>924</v>
      </c>
      <c r="Z156" s="387">
        <v>44914</v>
      </c>
      <c r="AA156" s="387">
        <v>45291</v>
      </c>
      <c r="AB156" s="4" t="s">
        <v>3948</v>
      </c>
      <c r="AC156" s="4"/>
      <c r="AD156" s="6"/>
      <c r="AE156" s="6"/>
      <c r="AF156" s="6"/>
      <c r="AG156" s="6"/>
      <c r="AH156" s="3"/>
      <c r="AI156" s="417" t="s">
        <v>5161</v>
      </c>
      <c r="AJ156" s="4" t="s">
        <v>5304</v>
      </c>
      <c r="AK156" s="388">
        <v>45265</v>
      </c>
      <c r="AL156" s="383">
        <v>0</v>
      </c>
      <c r="AM156" s="414" t="str">
        <f t="shared" ca="1" si="48"/>
        <v>MUERTO</v>
      </c>
      <c r="AN156" s="3"/>
      <c r="AO156" s="3"/>
      <c r="AP156" s="3" t="s">
        <v>924</v>
      </c>
      <c r="AQ156" s="3"/>
      <c r="AR156" s="3" t="s">
        <v>924</v>
      </c>
      <c r="AS156" s="3"/>
      <c r="AT156" s="463">
        <v>44960</v>
      </c>
      <c r="AU156" s="458"/>
      <c r="AV156" s="388"/>
      <c r="AW156" s="4"/>
      <c r="AX156" s="459"/>
      <c r="AY156" s="281" t="s">
        <v>5305</v>
      </c>
      <c r="AZ156" s="4"/>
      <c r="BA156" s="4"/>
      <c r="BB156" s="5"/>
      <c r="BC156" s="544"/>
      <c r="BD156" s="6">
        <v>44909</v>
      </c>
      <c r="BE156" s="6" t="s">
        <v>5306</v>
      </c>
      <c r="BF156" s="463">
        <v>44915</v>
      </c>
      <c r="BG156" s="6">
        <f t="shared" si="51"/>
        <v>44915</v>
      </c>
      <c r="BH156" s="415"/>
      <c r="BI156" s="416" t="s">
        <v>5307</v>
      </c>
      <c r="BJ156" s="255" t="s">
        <v>5308</v>
      </c>
      <c r="BK156" s="415"/>
      <c r="BL156" s="84"/>
      <c r="BM156" s="84"/>
      <c r="BN156" s="84"/>
      <c r="BO156" s="84"/>
      <c r="BP156" s="84"/>
    </row>
    <row r="157" spans="1:71" ht="45" x14ac:dyDescent="0.25">
      <c r="A157" s="286" t="s">
        <v>5309</v>
      </c>
      <c r="B157" s="3">
        <v>151</v>
      </c>
      <c r="C157" s="4" t="s">
        <v>149</v>
      </c>
      <c r="D157" s="3" t="s">
        <v>151</v>
      </c>
      <c r="E157" s="18" t="s">
        <v>5310</v>
      </c>
      <c r="F157" s="3" t="s">
        <v>151</v>
      </c>
      <c r="G157" s="3"/>
      <c r="H157" s="3" t="s">
        <v>3793</v>
      </c>
      <c r="I157" s="375" t="s">
        <v>1129</v>
      </c>
      <c r="J157" s="17"/>
      <c r="K157" s="17"/>
      <c r="L157" s="17"/>
      <c r="M157" s="375" t="str">
        <f t="shared" si="47"/>
        <v xml:space="preserve">Grupo Mexicano de Seguros, S.A. de C.V.  </v>
      </c>
      <c r="N157" s="959" t="s">
        <v>270</v>
      </c>
      <c r="O157" s="959" t="s">
        <v>270</v>
      </c>
      <c r="P157" s="959" t="s">
        <v>5311</v>
      </c>
      <c r="Q157" s="962">
        <v>26117730.530000001</v>
      </c>
      <c r="R157" s="383">
        <f>Q157*0.16</f>
        <v>4178836.8848000001</v>
      </c>
      <c r="S157" s="384">
        <f t="shared" si="52"/>
        <v>30296567.414800003</v>
      </c>
      <c r="T157" s="385">
        <v>0</v>
      </c>
      <c r="U157" s="386">
        <f t="shared" si="54"/>
        <v>0</v>
      </c>
      <c r="V157" s="383">
        <f t="shared" si="53"/>
        <v>30296567.414800003</v>
      </c>
      <c r="W157" s="963" t="s">
        <v>156</v>
      </c>
      <c r="X157" s="387">
        <v>44914</v>
      </c>
      <c r="Y157" s="3" t="s">
        <v>924</v>
      </c>
      <c r="Z157" s="387">
        <v>44927</v>
      </c>
      <c r="AA157" s="387">
        <v>45291</v>
      </c>
      <c r="AB157" s="4" t="s">
        <v>159</v>
      </c>
      <c r="AC157" s="4"/>
      <c r="AD157" s="6"/>
      <c r="AE157" s="6"/>
      <c r="AF157" s="6"/>
      <c r="AG157" s="6"/>
      <c r="AH157" s="3"/>
      <c r="AI157" s="4"/>
      <c r="AJ157" s="4"/>
      <c r="AK157" s="388"/>
      <c r="AL157" s="383"/>
      <c r="AM157" s="414" t="str">
        <f t="shared" ca="1" si="48"/>
        <v>MUERTO</v>
      </c>
      <c r="AN157" s="3"/>
      <c r="AO157" s="3"/>
      <c r="AP157" s="3" t="s">
        <v>924</v>
      </c>
      <c r="AQ157" s="3"/>
      <c r="AR157" s="3" t="s">
        <v>924</v>
      </c>
      <c r="AS157" s="3"/>
      <c r="AT157" s="463">
        <v>44960</v>
      </c>
      <c r="AU157" s="458"/>
      <c r="AV157" s="388"/>
      <c r="AW157" s="4"/>
      <c r="AX157" s="459"/>
      <c r="AY157" s="281" t="s">
        <v>5312</v>
      </c>
      <c r="AZ157" s="4"/>
      <c r="BA157" s="4"/>
      <c r="BB157" s="5">
        <f>AN157</f>
        <v>0</v>
      </c>
      <c r="BC157" s="461"/>
      <c r="BD157" s="6">
        <v>44901</v>
      </c>
      <c r="BE157" s="6">
        <v>44904</v>
      </c>
      <c r="BF157" s="463"/>
      <c r="BG157" s="6">
        <f t="shared" si="51"/>
        <v>0</v>
      </c>
      <c r="BH157" s="415" t="str">
        <f t="shared" ref="BH157:BH164" si="56">AY157</f>
        <v>Contrato formalizado 21/12/22</v>
      </c>
      <c r="BI157" s="416" t="s">
        <v>5313</v>
      </c>
      <c r="BJ157" s="255">
        <v>44916</v>
      </c>
      <c r="BK157" s="415" t="str">
        <f t="shared" ref="BK157:BK164" si="57">AY157</f>
        <v>Contrato formalizado 21/12/22</v>
      </c>
      <c r="BL157" s="84"/>
      <c r="BM157" s="84"/>
      <c r="BN157" s="84"/>
      <c r="BO157" s="84"/>
      <c r="BP157" s="84"/>
    </row>
    <row r="158" spans="1:71" ht="75" x14ac:dyDescent="0.25">
      <c r="A158" s="417" t="s">
        <v>5314</v>
      </c>
      <c r="B158" s="3">
        <v>152</v>
      </c>
      <c r="C158" s="4" t="s">
        <v>149</v>
      </c>
      <c r="D158" s="3" t="s">
        <v>173</v>
      </c>
      <c r="E158" s="18" t="s">
        <v>5315</v>
      </c>
      <c r="F158" s="3" t="s">
        <v>173</v>
      </c>
      <c r="G158" s="3"/>
      <c r="H158" s="3" t="s">
        <v>3785</v>
      </c>
      <c r="I158" s="375" t="s">
        <v>3802</v>
      </c>
      <c r="J158" s="17"/>
      <c r="K158" s="17"/>
      <c r="L158" s="17"/>
      <c r="M158" s="375" t="str">
        <f t="shared" si="47"/>
        <v xml:space="preserve">Comercializadora de Medios Escritos, S.A. de C.V.  </v>
      </c>
      <c r="N158" s="959" t="s">
        <v>179</v>
      </c>
      <c r="O158" s="959" t="s">
        <v>179</v>
      </c>
      <c r="P158" s="959" t="s">
        <v>5316</v>
      </c>
      <c r="Q158" s="962">
        <v>7418430</v>
      </c>
      <c r="R158" s="528">
        <v>0</v>
      </c>
      <c r="S158" s="384">
        <f t="shared" si="52"/>
        <v>7418430</v>
      </c>
      <c r="T158" s="385">
        <v>2967372</v>
      </c>
      <c r="U158" s="385">
        <v>2967372</v>
      </c>
      <c r="V158" s="383">
        <f t="shared" si="53"/>
        <v>9273037.5</v>
      </c>
      <c r="W158" s="963" t="s">
        <v>156</v>
      </c>
      <c r="X158" s="387">
        <v>44915</v>
      </c>
      <c r="Y158" s="3" t="s">
        <v>924</v>
      </c>
      <c r="Z158" s="387">
        <v>44927</v>
      </c>
      <c r="AA158" s="387">
        <v>45382</v>
      </c>
      <c r="AB158" s="4" t="s">
        <v>4413</v>
      </c>
      <c r="AC158" s="4"/>
      <c r="AD158" s="6"/>
      <c r="AE158" s="6"/>
      <c r="AF158" s="6"/>
      <c r="AG158" s="6"/>
      <c r="AH158" s="3"/>
      <c r="AI158" s="417" t="s">
        <v>5317</v>
      </c>
      <c r="AJ158" s="4" t="s">
        <v>5318</v>
      </c>
      <c r="AK158" s="388">
        <v>45275</v>
      </c>
      <c r="AL158" s="383">
        <f>+Q158*0.25</f>
        <v>1854607.5</v>
      </c>
      <c r="AM158" s="414" t="str">
        <f t="shared" ca="1" si="48"/>
        <v>MUERTO</v>
      </c>
      <c r="AN158" s="3"/>
      <c r="AO158" s="3"/>
      <c r="AP158" s="3" t="s">
        <v>924</v>
      </c>
      <c r="AQ158" s="3"/>
      <c r="AR158" s="3" t="s">
        <v>924</v>
      </c>
      <c r="AS158" s="3"/>
      <c r="AT158" s="463">
        <v>44960</v>
      </c>
      <c r="AU158" s="458"/>
      <c r="AV158" s="388"/>
      <c r="AW158" s="4"/>
      <c r="AX158" s="459"/>
      <c r="AY158" s="281" t="s">
        <v>5319</v>
      </c>
      <c r="AZ158" s="4"/>
      <c r="BA158" s="4"/>
      <c r="BB158" s="5">
        <f>AN158</f>
        <v>0</v>
      </c>
      <c r="BC158" s="544"/>
      <c r="BD158" s="6">
        <v>44910</v>
      </c>
      <c r="BE158" s="6" t="s">
        <v>5320</v>
      </c>
      <c r="BF158" s="463">
        <v>44915</v>
      </c>
      <c r="BG158" s="6">
        <f t="shared" si="51"/>
        <v>44915</v>
      </c>
      <c r="BH158" s="415" t="str">
        <f t="shared" si="56"/>
        <v>Contrato formalizado con FC y PRC 05/01/23</v>
      </c>
      <c r="BI158" s="416" t="s">
        <v>5321</v>
      </c>
      <c r="BJ158" s="255" t="s">
        <v>5322</v>
      </c>
      <c r="BK158" s="415" t="str">
        <f t="shared" si="57"/>
        <v>Contrato formalizado con FC y PRC 05/01/23</v>
      </c>
      <c r="BL158" s="84"/>
      <c r="BM158" s="84"/>
      <c r="BN158" s="84"/>
      <c r="BO158" s="84"/>
      <c r="BP158" s="84"/>
    </row>
    <row r="159" spans="1:71" s="468" customFormat="1" ht="60" x14ac:dyDescent="0.25">
      <c r="A159" s="286" t="s">
        <v>5323</v>
      </c>
      <c r="B159" s="3">
        <v>153</v>
      </c>
      <c r="C159" s="4" t="s">
        <v>149</v>
      </c>
      <c r="D159" s="3" t="s">
        <v>163</v>
      </c>
      <c r="E159" s="18" t="s">
        <v>5294</v>
      </c>
      <c r="F159" s="3" t="s">
        <v>2237</v>
      </c>
      <c r="G159" s="39" t="s">
        <v>163</v>
      </c>
      <c r="H159" s="3" t="s">
        <v>4054</v>
      </c>
      <c r="I159" s="375" t="s">
        <v>655</v>
      </c>
      <c r="J159" s="17"/>
      <c r="K159" s="17"/>
      <c r="L159" s="17"/>
      <c r="M159" s="375" t="str">
        <f t="shared" si="47"/>
        <v xml:space="preserve">Neixar Systems, S.A. de C.V.  </v>
      </c>
      <c r="N159" s="959" t="s">
        <v>656</v>
      </c>
      <c r="O159" s="959" t="s">
        <v>667</v>
      </c>
      <c r="P159" s="959" t="s">
        <v>5324</v>
      </c>
      <c r="Q159" s="962">
        <v>2021195</v>
      </c>
      <c r="R159" s="383">
        <f>Q159*0.16</f>
        <v>323391.2</v>
      </c>
      <c r="S159" s="384">
        <f t="shared" si="52"/>
        <v>2344586.2000000002</v>
      </c>
      <c r="T159" s="385">
        <v>0</v>
      </c>
      <c r="U159" s="386">
        <v>0</v>
      </c>
      <c r="V159" s="383">
        <f t="shared" si="53"/>
        <v>2344586.2000000002</v>
      </c>
      <c r="W159" s="963" t="s">
        <v>156</v>
      </c>
      <c r="X159" s="387">
        <v>44915</v>
      </c>
      <c r="Y159" s="3" t="s">
        <v>924</v>
      </c>
      <c r="Z159" s="387">
        <v>44927</v>
      </c>
      <c r="AA159" s="387">
        <v>45199</v>
      </c>
      <c r="AB159" s="4" t="s">
        <v>3113</v>
      </c>
      <c r="AC159" s="4"/>
      <c r="AD159" s="6"/>
      <c r="AE159" s="6"/>
      <c r="AF159" s="6"/>
      <c r="AG159" s="6"/>
      <c r="AH159" s="3"/>
      <c r="AI159" s="4"/>
      <c r="AJ159" s="4"/>
      <c r="AK159" s="388"/>
      <c r="AL159" s="383"/>
      <c r="AM159" s="414" t="str">
        <f t="shared" ca="1" si="48"/>
        <v>MUERTO</v>
      </c>
      <c r="AN159" s="3"/>
      <c r="AO159" s="3"/>
      <c r="AP159" s="3" t="s">
        <v>924</v>
      </c>
      <c r="AQ159" s="3"/>
      <c r="AR159" s="3" t="s">
        <v>924</v>
      </c>
      <c r="AS159" s="3"/>
      <c r="AT159" s="463">
        <v>44960</v>
      </c>
      <c r="AU159" s="458"/>
      <c r="AV159" s="388"/>
      <c r="AW159" s="4"/>
      <c r="AX159" s="459"/>
      <c r="AY159" s="281" t="s">
        <v>5325</v>
      </c>
      <c r="AZ159" s="4"/>
      <c r="BA159" s="4"/>
      <c r="BB159" s="5"/>
      <c r="BC159" s="544"/>
      <c r="BD159" s="6">
        <v>44903</v>
      </c>
      <c r="BE159" s="6">
        <v>44914</v>
      </c>
      <c r="BF159" s="463"/>
      <c r="BG159" s="6"/>
      <c r="BH159" s="415" t="str">
        <f t="shared" si="56"/>
        <v>Contrato formalizado con FC 13/01/23</v>
      </c>
      <c r="BI159" s="416" t="s">
        <v>5326</v>
      </c>
      <c r="BJ159" s="255">
        <v>44922</v>
      </c>
      <c r="BK159" s="415" t="str">
        <f t="shared" si="57"/>
        <v>Contrato formalizado con FC 13/01/23</v>
      </c>
      <c r="BL159" s="84"/>
      <c r="BM159" s="84"/>
      <c r="BN159" s="84"/>
      <c r="BO159" s="84"/>
      <c r="BP159" s="84"/>
      <c r="BQ159"/>
      <c r="BR159"/>
      <c r="BS159"/>
    </row>
    <row r="160" spans="1:71" s="468" customFormat="1" ht="180" x14ac:dyDescent="0.25">
      <c r="A160" s="417" t="s">
        <v>5327</v>
      </c>
      <c r="B160" s="3">
        <v>154</v>
      </c>
      <c r="C160" s="4" t="s">
        <v>149</v>
      </c>
      <c r="D160" s="3" t="s">
        <v>163</v>
      </c>
      <c r="E160" s="18" t="s">
        <v>5328</v>
      </c>
      <c r="F160" s="3" t="s">
        <v>2237</v>
      </c>
      <c r="G160" s="685" t="s">
        <v>546</v>
      </c>
      <c r="H160" s="3" t="s">
        <v>4185</v>
      </c>
      <c r="I160" s="375">
        <v>0</v>
      </c>
      <c r="J160" s="17"/>
      <c r="K160" s="17"/>
      <c r="L160" s="17"/>
      <c r="M160" s="375" t="str">
        <f t="shared" si="47"/>
        <v xml:space="preserve">0  </v>
      </c>
      <c r="N160" s="959" t="s">
        <v>5329</v>
      </c>
      <c r="O160" s="959" t="s">
        <v>5330</v>
      </c>
      <c r="P160" s="959" t="s">
        <v>5331</v>
      </c>
      <c r="Q160" s="962">
        <v>51681034.479999997</v>
      </c>
      <c r="R160" s="383">
        <f>Q160*0.16</f>
        <v>8268965.5167999994</v>
      </c>
      <c r="S160" s="384">
        <f t="shared" si="52"/>
        <v>59949999.996799998</v>
      </c>
      <c r="T160" s="385">
        <v>0</v>
      </c>
      <c r="U160" s="386">
        <f>(T160*0.16)+(T160)</f>
        <v>0</v>
      </c>
      <c r="V160" s="383">
        <f t="shared" si="53"/>
        <v>59949999.996799998</v>
      </c>
      <c r="W160" s="963" t="s">
        <v>183</v>
      </c>
      <c r="X160" s="387">
        <v>44915</v>
      </c>
      <c r="Y160" s="3" t="s">
        <v>924</v>
      </c>
      <c r="Z160" s="387">
        <v>44915</v>
      </c>
      <c r="AA160" s="387">
        <v>45291</v>
      </c>
      <c r="AB160" s="4" t="s">
        <v>3948</v>
      </c>
      <c r="AC160" s="4"/>
      <c r="AD160" s="6"/>
      <c r="AE160" s="6"/>
      <c r="AF160" s="6"/>
      <c r="AG160" s="6"/>
      <c r="AH160" s="3"/>
      <c r="AI160" s="4"/>
      <c r="AJ160" s="4"/>
      <c r="AK160" s="388"/>
      <c r="AL160" s="383"/>
      <c r="AM160" s="414" t="str">
        <f t="shared" ca="1" si="48"/>
        <v>MUERTO</v>
      </c>
      <c r="AN160" s="3"/>
      <c r="AO160" s="3"/>
      <c r="AP160" s="3" t="s">
        <v>924</v>
      </c>
      <c r="AQ160" s="3"/>
      <c r="AR160" s="3" t="s">
        <v>924</v>
      </c>
      <c r="AS160" s="3"/>
      <c r="AT160" s="463">
        <v>44960</v>
      </c>
      <c r="AU160" s="458"/>
      <c r="AV160" s="388"/>
      <c r="AW160" s="4"/>
      <c r="AX160" s="459"/>
      <c r="AY160" s="281" t="s">
        <v>5298</v>
      </c>
      <c r="AZ160" s="4"/>
      <c r="BA160" s="4"/>
      <c r="BB160" s="5">
        <f>AN160</f>
        <v>0</v>
      </c>
      <c r="BC160" s="544"/>
      <c r="BD160" s="6">
        <v>44911</v>
      </c>
      <c r="BE160" s="6">
        <v>44915</v>
      </c>
      <c r="BF160" s="463">
        <v>44917</v>
      </c>
      <c r="BG160" s="6">
        <f>BF160</f>
        <v>44917</v>
      </c>
      <c r="BH160" s="415" t="str">
        <f t="shared" si="56"/>
        <v>Contrato formalizado con garantías 13/01/23</v>
      </c>
      <c r="BI160" s="416" t="s">
        <v>5332</v>
      </c>
      <c r="BJ160" s="255">
        <v>44917</v>
      </c>
      <c r="BK160" s="415" t="str">
        <f t="shared" si="57"/>
        <v>Contrato formalizado con garantías 13/01/23</v>
      </c>
      <c r="BL160" s="84"/>
      <c r="BM160" s="84"/>
      <c r="BN160" s="84"/>
      <c r="BO160" s="84"/>
      <c r="BP160" s="84"/>
      <c r="BQ160"/>
      <c r="BR160"/>
      <c r="BS160"/>
    </row>
    <row r="161" spans="1:68" ht="60" x14ac:dyDescent="0.25">
      <c r="A161" s="527" t="s">
        <v>5333</v>
      </c>
      <c r="B161" s="3">
        <v>155</v>
      </c>
      <c r="C161" s="4" t="s">
        <v>225</v>
      </c>
      <c r="D161" s="3" t="s">
        <v>163</v>
      </c>
      <c r="E161" s="18" t="s">
        <v>5334</v>
      </c>
      <c r="F161" s="3" t="s">
        <v>2237</v>
      </c>
      <c r="G161" s="685" t="s">
        <v>546</v>
      </c>
      <c r="H161" s="3" t="s">
        <v>5335</v>
      </c>
      <c r="I161" s="375" t="s">
        <v>5158</v>
      </c>
      <c r="J161" s="17"/>
      <c r="K161" s="17"/>
      <c r="L161" s="17"/>
      <c r="M161" s="375" t="str">
        <f t="shared" si="47"/>
        <v xml:space="preserve">Cen Systems, S.A. de C.V.  </v>
      </c>
      <c r="N161" s="959" t="s">
        <v>656</v>
      </c>
      <c r="O161" s="959" t="s">
        <v>5259</v>
      </c>
      <c r="P161" s="959" t="s">
        <v>5336</v>
      </c>
      <c r="Q161" s="962">
        <v>3409467.59</v>
      </c>
      <c r="R161" s="383">
        <f>Q161*0.16</f>
        <v>545514.81440000003</v>
      </c>
      <c r="S161" s="384">
        <f t="shared" si="52"/>
        <v>3954982.4043999999</v>
      </c>
      <c r="T161" s="385">
        <v>0</v>
      </c>
      <c r="U161" s="386">
        <f>(T161*0.16)+(T161)</f>
        <v>0</v>
      </c>
      <c r="V161" s="383">
        <f t="shared" si="53"/>
        <v>3954982.4043999999</v>
      </c>
      <c r="W161" s="963" t="s">
        <v>156</v>
      </c>
      <c r="X161" s="387">
        <v>44917</v>
      </c>
      <c r="Y161" s="463" t="s">
        <v>924</v>
      </c>
      <c r="Z161" s="387">
        <v>44917</v>
      </c>
      <c r="AA161" s="387">
        <v>44925</v>
      </c>
      <c r="AB161" s="4" t="s">
        <v>3113</v>
      </c>
      <c r="AC161" s="4"/>
      <c r="AD161" s="6"/>
      <c r="AE161" s="6"/>
      <c r="AF161" s="6"/>
      <c r="AG161" s="6"/>
      <c r="AH161" s="3"/>
      <c r="AI161" s="4"/>
      <c r="AJ161" s="4"/>
      <c r="AK161" s="388"/>
      <c r="AL161" s="383"/>
      <c r="AM161" s="414" t="str">
        <f t="shared" ca="1" si="48"/>
        <v>MUERTO</v>
      </c>
      <c r="AN161" s="3"/>
      <c r="AO161" s="3"/>
      <c r="AP161" s="3" t="s">
        <v>924</v>
      </c>
      <c r="AQ161" s="3"/>
      <c r="AR161" s="3" t="s">
        <v>924</v>
      </c>
      <c r="AS161" s="3"/>
      <c r="AT161" s="463">
        <v>44960</v>
      </c>
      <c r="AU161" s="458"/>
      <c r="AV161" s="388"/>
      <c r="AW161" s="4"/>
      <c r="AX161" s="459"/>
      <c r="AY161" s="281" t="s">
        <v>5337</v>
      </c>
      <c r="AZ161" s="4"/>
      <c r="BA161" s="4"/>
      <c r="BB161" s="5">
        <f>AN161</f>
        <v>0</v>
      </c>
      <c r="BC161" s="544"/>
      <c r="BD161" s="6">
        <v>44916</v>
      </c>
      <c r="BE161" s="6">
        <v>44916</v>
      </c>
      <c r="BF161" s="463">
        <v>44918</v>
      </c>
      <c r="BG161" s="6">
        <f>BF161</f>
        <v>44918</v>
      </c>
      <c r="BH161" s="415" t="str">
        <f t="shared" si="56"/>
        <v>Contrato formalizado 29/12/22</v>
      </c>
      <c r="BI161" s="416" t="s">
        <v>5338</v>
      </c>
      <c r="BJ161" s="255">
        <v>44918</v>
      </c>
      <c r="BK161" s="415" t="str">
        <f t="shared" si="57"/>
        <v>Contrato formalizado 29/12/22</v>
      </c>
      <c r="BL161" s="84"/>
      <c r="BM161" s="84"/>
      <c r="BN161" s="84"/>
      <c r="BO161" s="84"/>
      <c r="BP161" s="84"/>
    </row>
    <row r="162" spans="1:68" ht="75" x14ac:dyDescent="0.25">
      <c r="A162" s="527" t="s">
        <v>5339</v>
      </c>
      <c r="B162" s="3">
        <v>156</v>
      </c>
      <c r="C162" s="4" t="s">
        <v>149</v>
      </c>
      <c r="D162" s="3" t="s">
        <v>163</v>
      </c>
      <c r="E162" s="18" t="s">
        <v>5334</v>
      </c>
      <c r="F162" s="3" t="s">
        <v>2237</v>
      </c>
      <c r="G162" s="685" t="s">
        <v>546</v>
      </c>
      <c r="H162" s="3" t="s">
        <v>5340</v>
      </c>
      <c r="I162" s="375" t="s">
        <v>2069</v>
      </c>
      <c r="J162" s="17"/>
      <c r="K162" s="17"/>
      <c r="L162" s="17"/>
      <c r="M162" s="375" t="str">
        <f t="shared" si="47"/>
        <v xml:space="preserve">People Media, S.A. de C.V.  </v>
      </c>
      <c r="N162" s="959" t="s">
        <v>656</v>
      </c>
      <c r="O162" s="959" t="s">
        <v>5259</v>
      </c>
      <c r="P162" s="959" t="s">
        <v>5341</v>
      </c>
      <c r="Q162" s="962">
        <v>5900000</v>
      </c>
      <c r="R162" s="383">
        <f>Q162*0.16</f>
        <v>944000</v>
      </c>
      <c r="S162" s="384">
        <f t="shared" si="52"/>
        <v>6844000</v>
      </c>
      <c r="T162" s="385">
        <v>0</v>
      </c>
      <c r="U162" s="386">
        <f>(T162*0.16)+(T162)</f>
        <v>0</v>
      </c>
      <c r="V162" s="383">
        <f t="shared" si="53"/>
        <v>6844000</v>
      </c>
      <c r="W162" s="963" t="s">
        <v>156</v>
      </c>
      <c r="X162" s="387">
        <v>44917</v>
      </c>
      <c r="Y162" s="463" t="s">
        <v>924</v>
      </c>
      <c r="Z162" s="387">
        <v>44917</v>
      </c>
      <c r="AA162" s="387">
        <v>44925</v>
      </c>
      <c r="AB162" s="4" t="s">
        <v>3787</v>
      </c>
      <c r="AC162" s="4"/>
      <c r="AD162" s="6"/>
      <c r="AE162" s="6"/>
      <c r="AF162" s="6"/>
      <c r="AG162" s="6"/>
      <c r="AH162" s="3"/>
      <c r="AI162" s="4"/>
      <c r="AJ162" s="4"/>
      <c r="AK162" s="388"/>
      <c r="AL162" s="383"/>
      <c r="AM162" s="414" t="str">
        <f t="shared" ca="1" si="48"/>
        <v>MUERTO</v>
      </c>
      <c r="AN162" s="3"/>
      <c r="AO162" s="3"/>
      <c r="AP162" s="3" t="s">
        <v>924</v>
      </c>
      <c r="AQ162" s="3"/>
      <c r="AR162" s="3" t="s">
        <v>924</v>
      </c>
      <c r="AS162" s="3"/>
      <c r="AT162" s="463">
        <v>44960</v>
      </c>
      <c r="AU162" s="458"/>
      <c r="AV162" s="388"/>
      <c r="AW162" s="4"/>
      <c r="AX162" s="459"/>
      <c r="AY162" s="281" t="s">
        <v>5342</v>
      </c>
      <c r="AZ162" s="4"/>
      <c r="BA162" s="4"/>
      <c r="BB162" s="5">
        <f>AN162</f>
        <v>0</v>
      </c>
      <c r="BC162" s="544"/>
      <c r="BD162" s="6">
        <v>44916</v>
      </c>
      <c r="BE162" s="6">
        <v>44916</v>
      </c>
      <c r="BF162" s="463">
        <v>44918</v>
      </c>
      <c r="BG162" s="6">
        <f>BF162</f>
        <v>44918</v>
      </c>
      <c r="BH162" s="415" t="str">
        <f t="shared" si="56"/>
        <v>Contrato formalizado con fianzas 16/01/23</v>
      </c>
      <c r="BI162" s="416" t="s">
        <v>5343</v>
      </c>
      <c r="BJ162" s="255">
        <v>44918</v>
      </c>
      <c r="BK162" s="415" t="str">
        <f t="shared" si="57"/>
        <v>Contrato formalizado con fianzas 16/01/23</v>
      </c>
      <c r="BL162" s="84"/>
      <c r="BM162" s="84"/>
      <c r="BN162" s="84"/>
      <c r="BO162" s="84"/>
      <c r="BP162" s="84"/>
    </row>
    <row r="163" spans="1:68" ht="60" x14ac:dyDescent="0.25">
      <c r="A163" s="527" t="s">
        <v>5344</v>
      </c>
      <c r="B163" s="3">
        <v>157</v>
      </c>
      <c r="C163" s="4" t="s">
        <v>225</v>
      </c>
      <c r="D163" s="3" t="s">
        <v>163</v>
      </c>
      <c r="E163" s="18" t="s">
        <v>5345</v>
      </c>
      <c r="F163" s="3" t="s">
        <v>163</v>
      </c>
      <c r="G163" s="39" t="s">
        <v>163</v>
      </c>
      <c r="H163" s="3" t="s">
        <v>2064</v>
      </c>
      <c r="I163" s="375" t="s">
        <v>719</v>
      </c>
      <c r="J163" s="17"/>
      <c r="K163" s="17"/>
      <c r="L163" s="17"/>
      <c r="M163" s="375" t="str">
        <f>I163&amp;J163&amp;" "&amp;K163&amp;" "&amp;L163</f>
        <v xml:space="preserve">Sí Vale México, S.A. de C.V.  </v>
      </c>
      <c r="N163" s="959" t="s">
        <v>370</v>
      </c>
      <c r="O163" s="959" t="s">
        <v>370</v>
      </c>
      <c r="P163" s="959" t="s">
        <v>5346</v>
      </c>
      <c r="Q163" s="962">
        <v>18601890</v>
      </c>
      <c r="R163" s="528">
        <v>0</v>
      </c>
      <c r="S163" s="384">
        <f t="shared" si="52"/>
        <v>18601890</v>
      </c>
      <c r="T163" s="385">
        <v>0</v>
      </c>
      <c r="U163" s="386">
        <f>(T163*0.16)+(T163)</f>
        <v>0</v>
      </c>
      <c r="V163" s="383">
        <f t="shared" si="53"/>
        <v>18601890</v>
      </c>
      <c r="W163" s="963" t="s">
        <v>156</v>
      </c>
      <c r="X163" s="387">
        <v>44921</v>
      </c>
      <c r="Y163" s="3" t="s">
        <v>924</v>
      </c>
      <c r="Z163" s="387">
        <v>44921</v>
      </c>
      <c r="AA163" s="387">
        <v>44926</v>
      </c>
      <c r="AB163" s="4" t="s">
        <v>2050</v>
      </c>
      <c r="AC163" s="4"/>
      <c r="AD163" s="6"/>
      <c r="AE163" s="6"/>
      <c r="AF163" s="6"/>
      <c r="AG163" s="6"/>
      <c r="AH163" s="3"/>
      <c r="AI163" s="4"/>
      <c r="AJ163" s="4"/>
      <c r="AK163" s="388"/>
      <c r="AL163" s="383"/>
      <c r="AM163" s="414" t="str">
        <f t="shared" ca="1" si="48"/>
        <v>MUERTO</v>
      </c>
      <c r="AN163" s="3"/>
      <c r="AO163" s="3"/>
      <c r="AP163" s="3" t="s">
        <v>924</v>
      </c>
      <c r="AQ163" s="3"/>
      <c r="AR163" s="3" t="s">
        <v>924</v>
      </c>
      <c r="AS163" s="3"/>
      <c r="AT163" s="463">
        <v>44960</v>
      </c>
      <c r="AU163" s="458"/>
      <c r="AV163" s="388"/>
      <c r="AW163" s="4"/>
      <c r="AX163" s="459"/>
      <c r="AY163" s="281" t="s">
        <v>5337</v>
      </c>
      <c r="AZ163" s="4"/>
      <c r="BA163" s="4"/>
      <c r="BB163" s="5">
        <f>AN163</f>
        <v>0</v>
      </c>
      <c r="BC163" s="544"/>
      <c r="BD163" s="6">
        <v>44921</v>
      </c>
      <c r="BE163" s="6">
        <v>44921</v>
      </c>
      <c r="BF163" s="3"/>
      <c r="BG163" s="6">
        <f>BF163</f>
        <v>0</v>
      </c>
      <c r="BH163" s="415" t="str">
        <f t="shared" si="56"/>
        <v>Contrato formalizado 29/12/22</v>
      </c>
      <c r="BI163" s="416" t="s">
        <v>5347</v>
      </c>
      <c r="BJ163" s="255">
        <v>44922</v>
      </c>
      <c r="BK163" s="415" t="str">
        <f t="shared" si="57"/>
        <v>Contrato formalizado 29/12/22</v>
      </c>
      <c r="BL163" s="84"/>
      <c r="BM163" s="84"/>
      <c r="BN163" s="84"/>
      <c r="BO163" s="84"/>
      <c r="BP163" s="84"/>
    </row>
    <row r="164" spans="1:68" ht="60" x14ac:dyDescent="0.25">
      <c r="A164" s="527" t="s">
        <v>5348</v>
      </c>
      <c r="B164" s="3">
        <v>158</v>
      </c>
      <c r="C164" s="4" t="s">
        <v>225</v>
      </c>
      <c r="D164" s="3" t="s">
        <v>173</v>
      </c>
      <c r="E164" s="18" t="s">
        <v>5349</v>
      </c>
      <c r="F164" s="3" t="s">
        <v>173</v>
      </c>
      <c r="G164" s="3"/>
      <c r="H164" s="3" t="s">
        <v>3785</v>
      </c>
      <c r="I164" s="375" t="s">
        <v>562</v>
      </c>
      <c r="J164" s="17"/>
      <c r="K164" s="17"/>
      <c r="L164" s="17"/>
      <c r="M164" s="375" t="str">
        <f>I164&amp;J164&amp;" "&amp;K164&amp;" "&amp;L164</f>
        <v xml:space="preserve">Tecnologías Digitales Alternas de México, S. de R.L. de C.V.  </v>
      </c>
      <c r="N164" s="959" t="s">
        <v>656</v>
      </c>
      <c r="O164" s="959" t="s">
        <v>5259</v>
      </c>
      <c r="P164" s="959" t="s">
        <v>5350</v>
      </c>
      <c r="Q164" s="962">
        <v>7741199.6699999999</v>
      </c>
      <c r="R164" s="383">
        <f>Q164*0.16</f>
        <v>1238591.9472000001</v>
      </c>
      <c r="S164" s="384">
        <f t="shared" si="52"/>
        <v>8979791.6172000002</v>
      </c>
      <c r="T164" s="385">
        <v>0</v>
      </c>
      <c r="U164" s="386">
        <f>(T164*0.16)+(T164)</f>
        <v>0</v>
      </c>
      <c r="V164" s="383">
        <f t="shared" si="53"/>
        <v>8979791.6172000002</v>
      </c>
      <c r="W164" s="963" t="s">
        <v>156</v>
      </c>
      <c r="X164" s="387">
        <v>44922</v>
      </c>
      <c r="Y164" s="3" t="s">
        <v>924</v>
      </c>
      <c r="Z164" s="387">
        <v>44922</v>
      </c>
      <c r="AA164" s="387">
        <v>44925</v>
      </c>
      <c r="AB164" s="4" t="s">
        <v>3113</v>
      </c>
      <c r="AC164" s="4"/>
      <c r="AD164" s="6"/>
      <c r="AE164" s="6"/>
      <c r="AF164" s="6"/>
      <c r="AG164" s="6"/>
      <c r="AH164" s="3"/>
      <c r="AI164" s="4"/>
      <c r="AJ164" s="4"/>
      <c r="AK164" s="388"/>
      <c r="AL164" s="383"/>
      <c r="AM164" s="414" t="str">
        <f t="shared" ca="1" si="48"/>
        <v>MUERTO</v>
      </c>
      <c r="AN164" s="3"/>
      <c r="AO164" s="3"/>
      <c r="AP164" s="3" t="s">
        <v>924</v>
      </c>
      <c r="AQ164" s="3"/>
      <c r="AR164" s="465">
        <v>44927</v>
      </c>
      <c r="AS164" s="3"/>
      <c r="AT164" s="463">
        <v>44960</v>
      </c>
      <c r="AU164" s="458"/>
      <c r="AV164" s="388"/>
      <c r="AW164" s="4"/>
      <c r="AX164" s="459"/>
      <c r="AY164" s="281" t="s">
        <v>5351</v>
      </c>
      <c r="AZ164" s="4"/>
      <c r="BA164" s="4"/>
      <c r="BB164" s="5">
        <f>AN164</f>
        <v>0</v>
      </c>
      <c r="BC164" s="544"/>
      <c r="BD164" s="6">
        <v>44922</v>
      </c>
      <c r="BE164" s="6">
        <v>44922</v>
      </c>
      <c r="BF164" s="463">
        <v>45288</v>
      </c>
      <c r="BG164" s="6">
        <f>BF164</f>
        <v>45288</v>
      </c>
      <c r="BH164" s="415" t="str">
        <f t="shared" si="56"/>
        <v>Contrato formalizdo con FC 18/01/23</v>
      </c>
      <c r="BI164" s="416" t="s">
        <v>5352</v>
      </c>
      <c r="BJ164" s="255">
        <v>44929</v>
      </c>
      <c r="BK164" s="415" t="str">
        <f t="shared" si="57"/>
        <v>Contrato formalizdo con FC 18/01/23</v>
      </c>
      <c r="BL164" s="84"/>
      <c r="BM164" s="84"/>
      <c r="BN164" s="84"/>
      <c r="BO164" s="84"/>
      <c r="BP164" s="84"/>
    </row>
    <row r="165" spans="1:68" x14ac:dyDescent="0.25">
      <c r="A165" s="14"/>
      <c r="B165" s="575"/>
      <c r="C165" s="14"/>
      <c r="D165" s="202"/>
      <c r="E165" s="282"/>
      <c r="F165" s="202"/>
      <c r="G165" s="202"/>
      <c r="H165" s="202"/>
      <c r="I165" s="486"/>
      <c r="J165" s="485"/>
      <c r="K165" s="485"/>
      <c r="L165" s="485"/>
      <c r="M165" s="486"/>
      <c r="N165" s="979"/>
      <c r="O165" s="979"/>
      <c r="P165" s="979"/>
      <c r="Q165" s="988">
        <f>SUM(Q2:Q164)</f>
        <v>969974687.23415506</v>
      </c>
      <c r="R165" s="988">
        <f>SUM(R2:R164)</f>
        <v>135603558.91746479</v>
      </c>
      <c r="S165" s="988">
        <f>SUM(S2:S164)</f>
        <v>1105578231.1516204</v>
      </c>
      <c r="T165" s="988">
        <f>SUM(T2:T164)</f>
        <v>186643120.373</v>
      </c>
      <c r="U165" s="988">
        <f>SUM(U2:U164)</f>
        <v>162913372.73988</v>
      </c>
      <c r="V165" s="988">
        <f>SUM(V7:V164)</f>
        <v>1070301060.6276201</v>
      </c>
      <c r="W165" s="990"/>
      <c r="X165" s="491"/>
      <c r="Y165" s="202"/>
      <c r="Z165" s="491"/>
      <c r="AA165" s="491"/>
      <c r="AB165" s="14"/>
      <c r="AC165" s="14"/>
      <c r="AD165" s="165"/>
      <c r="AE165" s="165"/>
      <c r="AF165" s="165"/>
      <c r="AG165" s="165"/>
      <c r="AH165" s="202"/>
      <c r="AI165" s="14"/>
      <c r="AJ165" s="14"/>
      <c r="AK165" s="493"/>
      <c r="AL165" s="206"/>
      <c r="AM165" s="202"/>
      <c r="AN165" s="202"/>
      <c r="AO165" s="202"/>
      <c r="AP165" s="202"/>
      <c r="AQ165" s="202"/>
      <c r="AR165" s="576"/>
      <c r="AS165" s="202"/>
      <c r="AT165" s="496"/>
      <c r="AU165" s="494"/>
      <c r="AV165" s="493"/>
      <c r="AW165" s="14"/>
      <c r="AX165" s="495"/>
      <c r="AY165" s="491"/>
      <c r="AZ165" s="14"/>
      <c r="BA165" s="14"/>
      <c r="BB165" s="202"/>
      <c r="BC165" s="577"/>
      <c r="BD165" s="165"/>
      <c r="BE165" s="165"/>
      <c r="BF165" s="496"/>
      <c r="BG165" s="165"/>
      <c r="BH165" s="165"/>
      <c r="BI165" s="166"/>
      <c r="BJ165" s="165"/>
      <c r="BK165" s="165"/>
      <c r="BL165" s="84"/>
      <c r="BM165" s="84"/>
      <c r="BN165" s="84"/>
      <c r="BO165" s="84"/>
      <c r="BP165" s="84"/>
    </row>
    <row r="166" spans="1:68" x14ac:dyDescent="0.25">
      <c r="A166" s="20" t="s">
        <v>1080</v>
      </c>
      <c r="B166" s="1036"/>
      <c r="C166" s="20" t="s">
        <v>1080</v>
      </c>
      <c r="D166" s="20" t="s">
        <v>1080</v>
      </c>
      <c r="E166" s="20" t="s">
        <v>1080</v>
      </c>
      <c r="F166" s="20" t="s">
        <v>1080</v>
      </c>
      <c r="G166" s="20"/>
      <c r="H166" s="20" t="s">
        <v>1080</v>
      </c>
      <c r="I166" s="20" t="s">
        <v>1080</v>
      </c>
      <c r="J166" s="20" t="s">
        <v>1080</v>
      </c>
      <c r="K166" s="20" t="s">
        <v>1080</v>
      </c>
      <c r="L166" s="20" t="s">
        <v>1080</v>
      </c>
      <c r="M166" s="20" t="s">
        <v>1080</v>
      </c>
      <c r="N166" s="20" t="s">
        <v>1080</v>
      </c>
      <c r="O166" s="20" t="s">
        <v>1080</v>
      </c>
      <c r="P166" s="20" t="s">
        <v>1080</v>
      </c>
      <c r="Q166" s="20" t="s">
        <v>1080</v>
      </c>
      <c r="R166" s="20" t="s">
        <v>1080</v>
      </c>
      <c r="S166" s="20" t="s">
        <v>1080</v>
      </c>
      <c r="T166" s="20" t="s">
        <v>1080</v>
      </c>
      <c r="U166" s="20" t="s">
        <v>1080</v>
      </c>
      <c r="V166" s="20" t="s">
        <v>1080</v>
      </c>
      <c r="W166" s="20" t="s">
        <v>1080</v>
      </c>
      <c r="X166" s="20" t="s">
        <v>1080</v>
      </c>
      <c r="Y166" s="20" t="s">
        <v>1080</v>
      </c>
      <c r="Z166" s="20" t="s">
        <v>1080</v>
      </c>
      <c r="AA166" s="20" t="s">
        <v>1080</v>
      </c>
      <c r="AB166" s="20" t="s">
        <v>1080</v>
      </c>
      <c r="AC166" s="20"/>
      <c r="AD166" s="127" t="s">
        <v>1080</v>
      </c>
      <c r="AE166" s="127" t="s">
        <v>1080</v>
      </c>
      <c r="AF166" s="127" t="s">
        <v>1080</v>
      </c>
      <c r="AG166" s="127" t="s">
        <v>1080</v>
      </c>
      <c r="AH166" s="20" t="s">
        <v>1080</v>
      </c>
      <c r="AI166" s="20" t="s">
        <v>1080</v>
      </c>
      <c r="AJ166" s="20" t="s">
        <v>1080</v>
      </c>
      <c r="AK166" s="20" t="s">
        <v>1080</v>
      </c>
      <c r="AL166" s="20" t="s">
        <v>1080</v>
      </c>
      <c r="AM166" s="20" t="s">
        <v>1080</v>
      </c>
      <c r="AN166" s="20"/>
      <c r="AO166" s="20"/>
      <c r="AP166" s="20" t="s">
        <v>1080</v>
      </c>
      <c r="AQ166" s="20" t="s">
        <v>1080</v>
      </c>
      <c r="AR166" s="20" t="s">
        <v>1080</v>
      </c>
      <c r="AS166" s="20" t="s">
        <v>1080</v>
      </c>
      <c r="AT166" s="20" t="s">
        <v>1080</v>
      </c>
      <c r="AU166" s="20" t="s">
        <v>1080</v>
      </c>
      <c r="AV166" s="20" t="s">
        <v>1080</v>
      </c>
      <c r="AW166" s="20" t="s">
        <v>1080</v>
      </c>
      <c r="AX166" s="20" t="s">
        <v>1080</v>
      </c>
      <c r="AY166" s="20" t="s">
        <v>1080</v>
      </c>
      <c r="AZ166" s="20" t="s">
        <v>1080</v>
      </c>
      <c r="BA166" s="20" t="s">
        <v>1080</v>
      </c>
      <c r="BB166" s="72"/>
      <c r="BC166" s="162"/>
      <c r="BD166" s="20" t="s">
        <v>1080</v>
      </c>
      <c r="BE166" s="20" t="s">
        <v>1080</v>
      </c>
      <c r="BF166" s="20" t="s">
        <v>1080</v>
      </c>
      <c r="BG166" s="20" t="s">
        <v>1080</v>
      </c>
      <c r="BH166" s="20" t="s">
        <v>1080</v>
      </c>
      <c r="BI166" s="166"/>
      <c r="BJ166" s="20" t="s">
        <v>1080</v>
      </c>
      <c r="BK166" s="20" t="s">
        <v>1080</v>
      </c>
      <c r="BM166" s="84"/>
      <c r="BN166" s="84"/>
      <c r="BO166" s="84"/>
      <c r="BP166" s="84"/>
    </row>
    <row r="167" spans="1:68" x14ac:dyDescent="0.25">
      <c r="A167" s="20"/>
      <c r="B167" s="1033"/>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127"/>
      <c r="AE167" s="127"/>
      <c r="AF167" s="127"/>
      <c r="AG167" s="127"/>
      <c r="AH167" s="20"/>
      <c r="AI167" s="20"/>
      <c r="AJ167" s="20"/>
      <c r="AK167" s="20"/>
      <c r="AL167" s="20"/>
      <c r="AM167" s="20"/>
      <c r="AN167" s="20"/>
      <c r="AO167" s="20"/>
      <c r="AP167" s="20"/>
      <c r="AQ167" s="20"/>
      <c r="AR167" s="20"/>
      <c r="AS167" s="20"/>
      <c r="AT167" s="20"/>
      <c r="AU167" s="20"/>
      <c r="AV167" s="20"/>
      <c r="AW167" s="20"/>
      <c r="AX167" s="20"/>
      <c r="AY167" s="20"/>
      <c r="AZ167" s="20"/>
      <c r="BA167" s="20"/>
      <c r="BB167" s="72"/>
      <c r="BC167" s="162"/>
      <c r="BD167" s="20"/>
      <c r="BE167" s="20"/>
      <c r="BF167" s="20"/>
      <c r="BG167" s="20"/>
      <c r="BH167" s="20"/>
      <c r="BI167" s="165"/>
      <c r="BJ167" s="20"/>
      <c r="BK167" s="20"/>
      <c r="BM167" s="84"/>
      <c r="BN167" s="84"/>
      <c r="BO167" s="84"/>
      <c r="BP167" s="84"/>
    </row>
    <row r="168" spans="1:68" x14ac:dyDescent="0.25">
      <c r="A168" s="20"/>
      <c r="B168" s="1033"/>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127"/>
      <c r="AE168" s="127"/>
      <c r="AF168" s="127"/>
      <c r="AG168" s="127"/>
      <c r="AH168" s="20"/>
      <c r="AI168" s="20"/>
      <c r="AJ168" s="20"/>
      <c r="AK168" s="20"/>
      <c r="AL168" s="20"/>
      <c r="AM168" s="20"/>
      <c r="AN168" s="20"/>
      <c r="AO168" s="20"/>
      <c r="AP168" s="20"/>
      <c r="AQ168" s="20"/>
      <c r="AR168" s="20"/>
      <c r="AS168" s="20"/>
      <c r="AT168" s="20"/>
      <c r="AU168" s="20"/>
      <c r="AV168" s="20"/>
      <c r="AW168" s="20"/>
      <c r="AX168" s="20"/>
      <c r="AY168" s="20"/>
      <c r="AZ168" s="20"/>
      <c r="BA168" s="20"/>
      <c r="BB168" s="72"/>
      <c r="BC168" s="162"/>
      <c r="BD168" s="20"/>
      <c r="BE168" s="20"/>
      <c r="BF168" s="20"/>
      <c r="BG168" s="20"/>
      <c r="BH168" s="20"/>
      <c r="BI168" s="165"/>
      <c r="BJ168" s="20"/>
      <c r="BK168" s="20"/>
      <c r="BM168" s="84"/>
      <c r="BN168" s="84"/>
      <c r="BO168" s="84"/>
      <c r="BP168" s="84"/>
    </row>
    <row r="169" spans="1:68" x14ac:dyDescent="0.25">
      <c r="A169" s="20"/>
      <c r="B169" s="1033"/>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127"/>
      <c r="AE169" s="127"/>
      <c r="AF169" s="127"/>
      <c r="AG169" s="127"/>
      <c r="AH169" s="20"/>
      <c r="AI169" s="20"/>
      <c r="AJ169" s="20"/>
      <c r="AK169" s="20"/>
      <c r="AL169" s="20"/>
      <c r="AM169" s="20"/>
      <c r="AN169" s="20"/>
      <c r="AO169" s="20"/>
      <c r="AP169" s="20"/>
      <c r="AQ169" s="20"/>
      <c r="AR169" s="20"/>
      <c r="AS169" s="20"/>
      <c r="AT169" s="20"/>
      <c r="AU169" s="20"/>
      <c r="AV169" s="20"/>
      <c r="AW169" s="20"/>
      <c r="AX169" s="20"/>
      <c r="AY169" s="20"/>
      <c r="AZ169" s="20"/>
      <c r="BA169" s="20"/>
      <c r="BB169" s="72"/>
      <c r="BC169" s="162"/>
      <c r="BD169" s="20"/>
      <c r="BE169" s="20"/>
      <c r="BF169" s="20"/>
      <c r="BG169" s="20"/>
      <c r="BH169" s="20"/>
      <c r="BI169" s="165"/>
      <c r="BJ169" s="20"/>
      <c r="BK169" s="20"/>
      <c r="BM169" s="84"/>
      <c r="BN169" s="84"/>
      <c r="BO169" s="84"/>
      <c r="BP169" s="84"/>
    </row>
    <row r="170" spans="1:68" x14ac:dyDescent="0.25">
      <c r="A170" s="20"/>
      <c r="B170" s="1033"/>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127"/>
      <c r="AE170" s="127"/>
      <c r="AF170" s="127"/>
      <c r="AG170" s="127"/>
      <c r="AH170" s="20"/>
      <c r="AI170" s="20"/>
      <c r="AJ170" s="20"/>
      <c r="AK170" s="20"/>
      <c r="AL170" s="20"/>
      <c r="AM170" s="20"/>
      <c r="AN170" s="20"/>
      <c r="AO170" s="20"/>
      <c r="AP170" s="20"/>
      <c r="AQ170" s="20"/>
      <c r="AR170" s="20"/>
      <c r="AS170" s="20"/>
      <c r="AT170" s="20"/>
      <c r="AU170" s="20"/>
      <c r="AV170" s="20"/>
      <c r="AW170" s="20"/>
      <c r="AX170" s="20"/>
      <c r="AY170" s="20"/>
      <c r="AZ170" s="20"/>
      <c r="BA170" s="20"/>
      <c r="BB170" s="72"/>
      <c r="BC170" s="162"/>
      <c r="BD170" s="20"/>
      <c r="BE170" s="20"/>
      <c r="BF170" s="20"/>
      <c r="BG170" s="20"/>
      <c r="BH170" s="20"/>
      <c r="BI170" s="165"/>
      <c r="BJ170" s="20"/>
      <c r="BK170" s="20"/>
      <c r="BM170" s="84"/>
      <c r="BN170" s="84"/>
      <c r="BO170" s="84"/>
      <c r="BP170" s="84"/>
    </row>
    <row r="171" spans="1:68" x14ac:dyDescent="0.25">
      <c r="A171" s="14"/>
      <c r="B171" s="1033"/>
      <c r="C171" s="14"/>
      <c r="D171" s="501" t="s">
        <v>86</v>
      </c>
      <c r="E171" s="501" t="s">
        <v>1081</v>
      </c>
      <c r="F171" s="501" t="s">
        <v>1082</v>
      </c>
      <c r="G171" s="692"/>
      <c r="H171" s="202"/>
      <c r="I171" s="486"/>
      <c r="J171" s="485"/>
      <c r="K171" s="485"/>
      <c r="L171" s="485"/>
      <c r="M171" s="486" t="str">
        <f t="shared" ref="M171:M184" si="58">I171&amp;J171&amp;" "&amp;K171&amp;" "&amp;L171</f>
        <v xml:space="preserve">  </v>
      </c>
      <c r="N171" s="979"/>
      <c r="O171" s="979"/>
      <c r="P171" s="979"/>
      <c r="Q171" s="988"/>
      <c r="R171" s="206"/>
      <c r="S171" s="488"/>
      <c r="T171" s="489"/>
      <c r="U171" s="490"/>
      <c r="V171" s="206"/>
      <c r="W171" s="990"/>
      <c r="X171" s="491"/>
      <c r="Y171" s="202"/>
      <c r="Z171" s="491"/>
      <c r="AA171" s="491"/>
      <c r="AB171" s="14"/>
      <c r="AC171" s="14"/>
      <c r="AD171" s="165"/>
      <c r="AE171" s="165"/>
      <c r="AF171" s="165"/>
      <c r="AG171" s="165"/>
      <c r="AH171" s="202"/>
      <c r="AI171" s="14"/>
      <c r="AJ171" s="14"/>
      <c r="AK171" s="493"/>
      <c r="AL171" s="206"/>
      <c r="AM171" s="574" t="str">
        <f t="shared" ref="AM171:AM184" ca="1" si="59">IF(ISBLANK(AA171),"",IF(AA171&gt;=TODAY(),"VIGENTE","MUERTO"))</f>
        <v/>
      </c>
      <c r="AN171" s="202"/>
      <c r="AO171" s="202"/>
      <c r="AP171" s="202"/>
      <c r="AQ171" s="202"/>
      <c r="AR171" s="202"/>
      <c r="AS171" s="202"/>
      <c r="AT171" s="202"/>
      <c r="AU171" s="494"/>
      <c r="AV171" s="493"/>
      <c r="AW171" s="14"/>
    </row>
    <row r="172" spans="1:68" ht="30" x14ac:dyDescent="0.25">
      <c r="A172" s="14"/>
      <c r="B172" s="202"/>
      <c r="C172" s="14"/>
      <c r="D172" s="567" t="s">
        <v>163</v>
      </c>
      <c r="E172" s="469">
        <f>+SUMIF(D7:D164,D172,V7:V164)</f>
        <v>651188466.17752016</v>
      </c>
      <c r="F172" s="470">
        <f>COUNTIF(D7:D164,D172)</f>
        <v>85</v>
      </c>
      <c r="G172" s="693"/>
      <c r="H172" s="202"/>
      <c r="I172" s="486"/>
      <c r="J172" s="485"/>
      <c r="K172" s="485"/>
      <c r="L172" s="485"/>
      <c r="M172" s="486" t="str">
        <f t="shared" si="58"/>
        <v xml:space="preserve">  </v>
      </c>
      <c r="N172" s="979"/>
      <c r="O172" s="979"/>
      <c r="P172" s="979"/>
      <c r="Q172" s="988"/>
      <c r="R172" s="206"/>
      <c r="S172" s="488"/>
      <c r="T172" s="489"/>
      <c r="U172" s="490"/>
      <c r="V172" s="206"/>
      <c r="W172" s="990"/>
      <c r="X172" s="491"/>
      <c r="Y172" s="202"/>
      <c r="Z172" s="491"/>
      <c r="AA172" s="491"/>
      <c r="AB172" s="14"/>
      <c r="AC172" s="14"/>
      <c r="AD172" s="165"/>
      <c r="AE172" s="165"/>
      <c r="AF172" s="165"/>
      <c r="AG172" s="165"/>
      <c r="AH172" s="202"/>
      <c r="AI172" s="14"/>
      <c r="AJ172" s="14"/>
      <c r="AK172" s="493"/>
      <c r="AL172" s="206"/>
      <c r="AM172" s="574" t="str">
        <f t="shared" ca="1" si="59"/>
        <v/>
      </c>
      <c r="AN172" s="202"/>
      <c r="AO172" s="202"/>
      <c r="AP172" s="202"/>
      <c r="AQ172" s="202"/>
      <c r="AR172" s="202"/>
      <c r="AS172" s="202"/>
      <c r="AT172" s="202"/>
      <c r="AU172" s="494"/>
      <c r="AV172" s="493"/>
      <c r="AW172" s="14"/>
    </row>
    <row r="173" spans="1:68" x14ac:dyDescent="0.25">
      <c r="A173" s="14"/>
      <c r="B173" s="1033"/>
      <c r="C173" s="14"/>
      <c r="D173" s="4" t="s">
        <v>173</v>
      </c>
      <c r="E173" s="469">
        <f>+SUMIF(D7:D164,D173,V7:V164)</f>
        <v>336836426.52946001</v>
      </c>
      <c r="F173" s="470">
        <v>29</v>
      </c>
      <c r="G173" s="693"/>
      <c r="H173" s="202"/>
      <c r="I173" s="486"/>
      <c r="J173" s="485"/>
      <c r="K173" s="485"/>
      <c r="L173" s="485"/>
      <c r="M173" s="486" t="str">
        <f t="shared" si="58"/>
        <v xml:space="preserve">  </v>
      </c>
      <c r="N173" s="979"/>
      <c r="O173" s="979"/>
      <c r="P173" s="979"/>
      <c r="Q173" s="988"/>
      <c r="R173" s="206"/>
      <c r="S173" s="488"/>
      <c r="T173" s="489"/>
      <c r="U173" s="490"/>
      <c r="V173" s="206"/>
      <c r="W173" s="990"/>
      <c r="X173" s="491"/>
      <c r="Y173" s="202"/>
      <c r="Z173" s="491"/>
      <c r="AA173" s="491"/>
      <c r="AB173" s="14"/>
      <c r="AC173" s="14"/>
      <c r="AD173" s="165"/>
      <c r="AE173" s="165"/>
      <c r="AF173" s="165"/>
      <c r="AG173" s="165"/>
      <c r="AH173" s="202"/>
      <c r="AI173" s="14"/>
      <c r="AJ173" s="14"/>
      <c r="AK173" s="493"/>
      <c r="AL173" s="206"/>
      <c r="AM173" s="574" t="str">
        <f t="shared" ca="1" si="59"/>
        <v/>
      </c>
      <c r="AN173" s="202"/>
      <c r="AO173" s="202"/>
      <c r="AP173" s="202"/>
      <c r="AQ173" s="202"/>
      <c r="AR173" s="202"/>
      <c r="AS173" s="202"/>
      <c r="AT173" s="202"/>
      <c r="AU173" s="494"/>
      <c r="AV173" s="493"/>
      <c r="AW173" s="14"/>
    </row>
    <row r="174" spans="1:68" x14ac:dyDescent="0.25">
      <c r="A174" s="14"/>
      <c r="B174" s="202"/>
      <c r="C174" s="14"/>
      <c r="D174" s="4" t="s">
        <v>151</v>
      </c>
      <c r="E174" s="469">
        <f>+SUMIF(D7:D164,D174,V7:V164)</f>
        <v>82276167.920639992</v>
      </c>
      <c r="F174" s="470">
        <v>26</v>
      </c>
      <c r="G174" s="693"/>
      <c r="H174" s="202"/>
      <c r="I174" s="486"/>
      <c r="J174" s="485"/>
      <c r="K174" s="485"/>
      <c r="L174" s="485"/>
      <c r="M174" s="486" t="str">
        <f t="shared" si="58"/>
        <v xml:space="preserve">  </v>
      </c>
      <c r="N174" s="979"/>
      <c r="O174" s="979"/>
      <c r="P174" s="979"/>
      <c r="Q174" s="988"/>
      <c r="R174" s="206"/>
      <c r="S174" s="488"/>
      <c r="T174" s="489"/>
      <c r="U174" s="490"/>
      <c r="V174" s="206"/>
      <c r="W174" s="990"/>
      <c r="X174" s="491"/>
      <c r="Y174" s="202"/>
      <c r="Z174" s="491"/>
      <c r="AA174" s="491"/>
      <c r="AB174" s="14"/>
      <c r="AC174" s="14"/>
      <c r="AD174" s="165"/>
      <c r="AE174" s="165"/>
      <c r="AF174" s="165"/>
      <c r="AG174" s="165"/>
      <c r="AH174" s="202"/>
      <c r="AI174" s="14"/>
      <c r="AJ174" s="14"/>
      <c r="AK174" s="493"/>
      <c r="AL174" s="206"/>
      <c r="AM174" s="574" t="str">
        <f t="shared" ca="1" si="59"/>
        <v/>
      </c>
      <c r="AN174" s="202"/>
      <c r="AO174" s="202"/>
      <c r="AP174" s="202"/>
      <c r="AQ174" s="202"/>
      <c r="AR174" s="202"/>
      <c r="AS174" s="202"/>
      <c r="AT174" s="202"/>
      <c r="AU174" s="494"/>
      <c r="AV174" s="493"/>
      <c r="AW174" s="14"/>
    </row>
    <row r="175" spans="1:68" x14ac:dyDescent="0.25">
      <c r="A175" s="14"/>
      <c r="B175" s="1033"/>
      <c r="C175" s="14"/>
      <c r="D175" s="4" t="s">
        <v>1083</v>
      </c>
      <c r="E175" s="568">
        <f>SUM(E172:E174)</f>
        <v>1070301060.6276202</v>
      </c>
      <c r="F175" s="470"/>
      <c r="G175" s="693"/>
      <c r="H175" s="202"/>
      <c r="I175" s="486"/>
      <c r="J175" s="485"/>
      <c r="K175" s="485"/>
      <c r="L175" s="485"/>
      <c r="M175" s="486" t="str">
        <f t="shared" si="58"/>
        <v xml:space="preserve">  </v>
      </c>
      <c r="N175" s="979"/>
      <c r="O175" s="979"/>
      <c r="P175" s="979"/>
      <c r="Q175" s="988"/>
      <c r="R175" s="206"/>
      <c r="S175" s="488"/>
      <c r="T175" s="489"/>
      <c r="U175" s="490"/>
      <c r="V175" s="206"/>
      <c r="W175" s="990"/>
      <c r="X175" s="491"/>
      <c r="Y175" s="202"/>
      <c r="Z175" s="491"/>
      <c r="AA175" s="491"/>
      <c r="AB175" s="14"/>
      <c r="AC175" s="14"/>
      <c r="AD175" s="165"/>
      <c r="AE175" s="165"/>
      <c r="AF175" s="165"/>
      <c r="AG175" s="165"/>
      <c r="AH175" s="202"/>
      <c r="AI175" s="14"/>
      <c r="AJ175" s="14"/>
      <c r="AK175" s="493"/>
      <c r="AL175" s="206"/>
      <c r="AM175" s="574" t="str">
        <f t="shared" ca="1" si="59"/>
        <v/>
      </c>
      <c r="AN175" s="202"/>
      <c r="AO175" s="202"/>
      <c r="AP175" s="202"/>
      <c r="AQ175" s="202"/>
      <c r="AR175" s="202"/>
      <c r="AS175" s="202"/>
      <c r="AT175" s="202"/>
      <c r="AU175" s="494"/>
      <c r="AV175" s="493"/>
      <c r="AW175" s="14"/>
    </row>
    <row r="176" spans="1:68" x14ac:dyDescent="0.25">
      <c r="A176" s="14"/>
      <c r="B176" s="202"/>
      <c r="C176" s="14"/>
      <c r="D176" s="501" t="s">
        <v>1084</v>
      </c>
      <c r="E176" s="504">
        <f>+V165</f>
        <v>1070301060.6276201</v>
      </c>
      <c r="F176" s="501"/>
      <c r="G176" s="692"/>
      <c r="H176" s="202"/>
      <c r="I176" s="486"/>
      <c r="J176" s="485"/>
      <c r="K176" s="485"/>
      <c r="L176" s="485"/>
      <c r="M176" s="486" t="str">
        <f t="shared" si="58"/>
        <v xml:space="preserve">  </v>
      </c>
      <c r="N176" s="979"/>
      <c r="O176" s="979"/>
      <c r="P176" s="979"/>
      <c r="Q176" s="988"/>
      <c r="R176" s="206"/>
      <c r="S176" s="488"/>
      <c r="T176" s="489"/>
      <c r="U176" s="490"/>
      <c r="V176" s="206"/>
      <c r="W176" s="990"/>
      <c r="X176" s="491"/>
      <c r="Y176" s="202"/>
      <c r="Z176" s="491"/>
      <c r="AA176" s="491"/>
      <c r="AB176" s="14"/>
      <c r="AC176" s="14"/>
      <c r="AD176" s="165"/>
      <c r="AE176" s="165"/>
      <c r="AF176" s="165"/>
      <c r="AG176" s="165"/>
      <c r="AH176" s="202"/>
      <c r="AI176" s="14"/>
      <c r="AJ176" s="14"/>
      <c r="AK176" s="493"/>
      <c r="AL176" s="206"/>
      <c r="AM176" s="574" t="str">
        <f t="shared" ca="1" si="59"/>
        <v/>
      </c>
      <c r="AN176" s="202"/>
      <c r="AO176" s="202"/>
      <c r="AP176" s="202"/>
      <c r="AQ176" s="202"/>
      <c r="AR176" s="202"/>
      <c r="AS176" s="202"/>
      <c r="AT176" s="202"/>
      <c r="AU176" s="494"/>
      <c r="AV176" s="493"/>
      <c r="AW176" s="14"/>
    </row>
    <row r="177" spans="4:39" x14ac:dyDescent="0.25">
      <c r="D177" s="202"/>
      <c r="E177" s="578"/>
      <c r="F177" s="202"/>
      <c r="G177" s="202"/>
      <c r="H177" s="202"/>
      <c r="I177" s="486"/>
      <c r="J177" s="485"/>
      <c r="K177" s="485"/>
      <c r="L177" s="485"/>
      <c r="M177" s="486" t="str">
        <f t="shared" si="58"/>
        <v xml:space="preserve">  </v>
      </c>
      <c r="N177" s="979"/>
      <c r="O177" s="979"/>
      <c r="P177" s="979"/>
      <c r="Q177" s="988"/>
      <c r="R177" s="206"/>
      <c r="S177" s="488"/>
      <c r="T177" s="489"/>
      <c r="U177" s="490"/>
      <c r="V177" s="206"/>
      <c r="W177" s="990"/>
      <c r="X177" s="491"/>
      <c r="Y177" s="202"/>
      <c r="Z177" s="491"/>
      <c r="AA177" s="491"/>
      <c r="AB177" s="14"/>
      <c r="AC177" s="14"/>
      <c r="AD177" s="165"/>
      <c r="AE177" s="165"/>
      <c r="AF177" s="165"/>
      <c r="AG177" s="165"/>
      <c r="AH177" s="202"/>
      <c r="AI177" s="14"/>
      <c r="AJ177" s="14"/>
      <c r="AK177" s="493"/>
      <c r="AL177" s="206"/>
      <c r="AM177" s="574" t="str">
        <f t="shared" ca="1" si="59"/>
        <v/>
      </c>
    </row>
    <row r="178" spans="4:39" x14ac:dyDescent="0.25">
      <c r="D178" s="202"/>
      <c r="E178" s="282"/>
      <c r="F178" s="202"/>
      <c r="G178" s="202"/>
      <c r="H178" s="202"/>
      <c r="I178" s="486"/>
      <c r="J178" s="485"/>
      <c r="K178" s="485"/>
      <c r="L178" s="485"/>
      <c r="M178" s="486" t="str">
        <f t="shared" si="58"/>
        <v xml:space="preserve">  </v>
      </c>
      <c r="N178" s="979"/>
      <c r="O178" s="979"/>
      <c r="P178" s="979"/>
      <c r="Q178" s="988"/>
      <c r="R178" s="206"/>
      <c r="S178" s="488"/>
      <c r="T178" s="489"/>
      <c r="U178" s="490"/>
      <c r="V178" s="206"/>
      <c r="W178" s="990"/>
      <c r="X178" s="491"/>
      <c r="Y178" s="202"/>
      <c r="Z178" s="491"/>
      <c r="AA178" s="491"/>
      <c r="AB178" s="14"/>
      <c r="AC178" s="14"/>
      <c r="AD178" s="165"/>
      <c r="AE178" s="165"/>
      <c r="AF178" s="165"/>
      <c r="AG178" s="165"/>
      <c r="AH178" s="202"/>
      <c r="AI178" s="14"/>
      <c r="AJ178" s="14"/>
      <c r="AK178" s="493"/>
      <c r="AL178" s="206"/>
      <c r="AM178" s="574" t="str">
        <f t="shared" ca="1" si="59"/>
        <v/>
      </c>
    </row>
    <row r="179" spans="4:39" ht="15.75" x14ac:dyDescent="0.25">
      <c r="D179" s="1092" t="s">
        <v>1085</v>
      </c>
      <c r="E179" s="1092"/>
      <c r="F179" s="194" t="s">
        <v>1082</v>
      </c>
      <c r="G179" s="202"/>
      <c r="H179" s="202"/>
      <c r="I179" s="486"/>
      <c r="J179" s="485"/>
      <c r="K179" s="485"/>
      <c r="L179" s="485"/>
      <c r="M179" s="486" t="str">
        <f t="shared" si="58"/>
        <v xml:space="preserve">  </v>
      </c>
      <c r="N179" s="979"/>
      <c r="O179" s="979"/>
      <c r="P179" s="979"/>
      <c r="Q179" s="988"/>
      <c r="R179" s="206"/>
      <c r="S179" s="488"/>
      <c r="T179" s="489"/>
      <c r="U179" s="490"/>
      <c r="V179" s="206"/>
      <c r="W179" s="990"/>
      <c r="X179" s="491"/>
      <c r="Y179" s="202"/>
      <c r="Z179" s="491"/>
      <c r="AA179" s="491"/>
      <c r="AB179" s="14"/>
      <c r="AC179" s="14"/>
      <c r="AD179" s="165"/>
      <c r="AE179" s="165"/>
      <c r="AF179" s="165"/>
      <c r="AG179" s="165"/>
      <c r="AH179" s="202"/>
      <c r="AI179" s="14"/>
      <c r="AJ179" s="14"/>
      <c r="AK179" s="493"/>
      <c r="AL179" s="206"/>
      <c r="AM179" s="574" t="str">
        <f t="shared" ca="1" si="59"/>
        <v/>
      </c>
    </row>
    <row r="180" spans="4:39" ht="15.75" x14ac:dyDescent="0.25">
      <c r="D180" s="684" t="s">
        <v>163</v>
      </c>
      <c r="E180" s="469">
        <f>+SUMIF(G7:G164,D180,V7:V164)</f>
        <v>334896428.36671996</v>
      </c>
      <c r="F180" s="470">
        <f>COUNTIF(G7:G164,D180)</f>
        <v>45</v>
      </c>
      <c r="G180" s="202"/>
      <c r="H180" s="202"/>
      <c r="I180" s="486"/>
      <c r="J180" s="485"/>
      <c r="K180" s="485"/>
      <c r="L180" s="485"/>
      <c r="M180" s="486" t="str">
        <f t="shared" si="58"/>
        <v xml:space="preserve">  </v>
      </c>
      <c r="N180" s="979"/>
      <c r="O180" s="979"/>
      <c r="P180" s="979"/>
      <c r="Q180" s="988"/>
      <c r="R180" s="206"/>
      <c r="S180" s="488"/>
      <c r="T180" s="489"/>
      <c r="U180" s="490"/>
      <c r="V180" s="206"/>
      <c r="W180" s="990"/>
      <c r="X180" s="491"/>
      <c r="Y180" s="202"/>
      <c r="Z180" s="491"/>
      <c r="AA180" s="491"/>
      <c r="AB180" s="14"/>
      <c r="AC180" s="14"/>
      <c r="AD180" s="165"/>
      <c r="AE180" s="165"/>
      <c r="AF180" s="165"/>
      <c r="AG180" s="165"/>
      <c r="AH180" s="202"/>
      <c r="AI180" s="14"/>
      <c r="AJ180" s="14"/>
      <c r="AK180" s="493"/>
      <c r="AL180" s="206"/>
      <c r="AM180" s="574" t="str">
        <f t="shared" ca="1" si="59"/>
        <v/>
      </c>
    </row>
    <row r="181" spans="4:39" ht="15.75" x14ac:dyDescent="0.25">
      <c r="D181" s="685" t="s">
        <v>546</v>
      </c>
      <c r="E181" s="469">
        <f>+SUMIF(G8:G165,D181,V8:V165)</f>
        <v>316292037.81080002</v>
      </c>
      <c r="F181" s="470">
        <f>COUNTIF($G$7:$G$164,D181)</f>
        <v>40</v>
      </c>
      <c r="G181" s="202"/>
      <c r="H181" s="202"/>
      <c r="I181" s="486"/>
      <c r="J181" s="485"/>
      <c r="K181" s="485"/>
      <c r="L181" s="485"/>
      <c r="M181" s="486" t="str">
        <f t="shared" si="58"/>
        <v xml:space="preserve">  </v>
      </c>
      <c r="N181" s="979"/>
      <c r="O181" s="979"/>
      <c r="P181" s="979"/>
      <c r="Q181" s="988"/>
      <c r="R181" s="206"/>
      <c r="S181" s="488"/>
      <c r="T181" s="489"/>
      <c r="U181" s="490"/>
      <c r="V181" s="206"/>
      <c r="W181" s="990"/>
      <c r="X181" s="491"/>
      <c r="Y181" s="202"/>
      <c r="Z181" s="491"/>
      <c r="AA181" s="491"/>
      <c r="AB181" s="14"/>
      <c r="AC181" s="14"/>
      <c r="AD181" s="165"/>
      <c r="AE181" s="165"/>
      <c r="AF181" s="165"/>
      <c r="AG181" s="165"/>
      <c r="AH181" s="202"/>
      <c r="AI181" s="14"/>
      <c r="AJ181" s="14"/>
      <c r="AK181" s="493"/>
      <c r="AL181" s="206"/>
      <c r="AM181" s="574" t="str">
        <f t="shared" ca="1" si="59"/>
        <v/>
      </c>
    </row>
    <row r="182" spans="4:39" ht="31.5" x14ac:dyDescent="0.25">
      <c r="D182" s="686" t="s">
        <v>1086</v>
      </c>
      <c r="E182" s="687">
        <f>+E180+E181</f>
        <v>651188466.17752004</v>
      </c>
      <c r="F182" s="676">
        <f>SUM(F180:F181)</f>
        <v>85</v>
      </c>
      <c r="G182" s="202"/>
      <c r="H182" s="202"/>
      <c r="I182" s="486"/>
      <c r="J182" s="485"/>
      <c r="K182" s="485"/>
      <c r="L182" s="485"/>
      <c r="M182" s="486" t="str">
        <f t="shared" si="58"/>
        <v xml:space="preserve">  </v>
      </c>
      <c r="N182" s="979"/>
      <c r="O182" s="979"/>
      <c r="P182" s="979"/>
      <c r="Q182" s="988"/>
      <c r="R182" s="206"/>
      <c r="S182" s="488"/>
      <c r="T182" s="489"/>
      <c r="U182" s="490"/>
      <c r="V182" s="206"/>
      <c r="W182" s="990"/>
      <c r="X182" s="491"/>
      <c r="Y182" s="202"/>
      <c r="Z182" s="491"/>
      <c r="AA182" s="491"/>
      <c r="AB182" s="14"/>
      <c r="AC182" s="14"/>
      <c r="AD182" s="165"/>
      <c r="AE182" s="165"/>
      <c r="AF182" s="165"/>
      <c r="AG182" s="165"/>
      <c r="AH182" s="202"/>
      <c r="AI182" s="14"/>
      <c r="AJ182" s="14"/>
      <c r="AK182" s="493"/>
      <c r="AL182" s="206"/>
      <c r="AM182" s="574" t="str">
        <f t="shared" ca="1" si="59"/>
        <v/>
      </c>
    </row>
    <row r="183" spans="4:39" x14ac:dyDescent="0.25">
      <c r="E183" s="16">
        <f>+E182-E172</f>
        <v>0</v>
      </c>
      <c r="G183" s="202"/>
      <c r="H183" s="202"/>
      <c r="I183" s="486"/>
      <c r="J183" s="485"/>
      <c r="K183" s="485"/>
      <c r="L183" s="485"/>
      <c r="M183" s="486" t="str">
        <f t="shared" si="58"/>
        <v xml:space="preserve">  </v>
      </c>
      <c r="N183" s="979"/>
      <c r="O183" s="979"/>
      <c r="P183" s="979"/>
      <c r="Q183" s="988"/>
      <c r="R183" s="206"/>
      <c r="S183" s="488"/>
      <c r="T183" s="489"/>
      <c r="U183" s="490"/>
      <c r="V183" s="206"/>
      <c r="W183" s="990"/>
      <c r="X183" s="491"/>
      <c r="Y183" s="202"/>
      <c r="Z183" s="491"/>
      <c r="AA183" s="491"/>
      <c r="AB183" s="14"/>
      <c r="AC183" s="14"/>
      <c r="AD183" s="165"/>
      <c r="AE183" s="165"/>
      <c r="AF183" s="165"/>
      <c r="AG183" s="165"/>
      <c r="AH183" s="202"/>
      <c r="AI183" s="14"/>
      <c r="AJ183" s="14"/>
      <c r="AK183" s="493"/>
      <c r="AL183" s="206"/>
      <c r="AM183" s="574" t="str">
        <f t="shared" ca="1" si="59"/>
        <v/>
      </c>
    </row>
    <row r="184" spans="4:39" x14ac:dyDescent="0.25">
      <c r="D184" s="202"/>
      <c r="E184" s="282"/>
      <c r="F184" s="202"/>
      <c r="G184" s="202"/>
      <c r="H184" s="202"/>
      <c r="I184" s="486"/>
      <c r="J184" s="485"/>
      <c r="K184" s="485"/>
      <c r="L184" s="485"/>
      <c r="M184" s="486" t="str">
        <f t="shared" si="58"/>
        <v xml:space="preserve">  </v>
      </c>
      <c r="N184" s="979"/>
      <c r="O184" s="979"/>
      <c r="P184" s="979"/>
      <c r="Q184" s="988"/>
      <c r="R184" s="206"/>
      <c r="S184" s="488"/>
      <c r="T184" s="489"/>
      <c r="U184" s="490"/>
      <c r="V184" s="206"/>
      <c r="W184" s="990"/>
      <c r="X184" s="491"/>
      <c r="Y184" s="202"/>
      <c r="Z184" s="491"/>
      <c r="AA184" s="491"/>
      <c r="AB184" s="14"/>
      <c r="AC184" s="14"/>
      <c r="AD184" s="165"/>
      <c r="AE184" s="165"/>
      <c r="AF184" s="165"/>
      <c r="AG184" s="165"/>
      <c r="AH184" s="202"/>
      <c r="AI184" s="14"/>
      <c r="AJ184" s="14"/>
      <c r="AK184" s="493"/>
      <c r="AL184" s="206"/>
      <c r="AM184" s="574" t="str">
        <f t="shared" ca="1" si="59"/>
        <v/>
      </c>
    </row>
    <row r="185" spans="4:39" x14ac:dyDescent="0.25">
      <c r="D185" s="202"/>
      <c r="E185" s="282"/>
      <c r="F185" s="202"/>
      <c r="G185" s="202"/>
      <c r="H185" s="202"/>
      <c r="I185" s="486"/>
      <c r="J185" s="485"/>
      <c r="K185" s="485"/>
      <c r="L185" s="485"/>
      <c r="M185" s="486" t="str">
        <f t="shared" ref="M185:M193" si="60">I185&amp;J185&amp;" "&amp;K185&amp;" "&amp;L185</f>
        <v xml:space="preserve">  </v>
      </c>
      <c r="N185" s="979"/>
      <c r="O185" s="979"/>
      <c r="P185" s="979"/>
      <c r="Q185" s="988"/>
      <c r="R185" s="206"/>
      <c r="S185" s="488"/>
      <c r="T185" s="489"/>
      <c r="U185" s="490"/>
      <c r="V185" s="206"/>
      <c r="W185" s="990"/>
      <c r="X185" s="491"/>
      <c r="Y185" s="202"/>
      <c r="Z185" s="491"/>
      <c r="AA185" s="491"/>
      <c r="AB185" s="14"/>
      <c r="AC185" s="14"/>
      <c r="AD185" s="165"/>
      <c r="AE185" s="165"/>
      <c r="AF185" s="165"/>
      <c r="AG185" s="165"/>
      <c r="AH185" s="202"/>
      <c r="AI185" s="14"/>
      <c r="AJ185" s="14"/>
      <c r="AK185" s="493"/>
      <c r="AL185" s="206"/>
      <c r="AM185" s="574" t="str">
        <f t="shared" ref="AM185:AM193" ca="1" si="61">IF(ISBLANK(AA185),"",IF(AA185&gt;=TODAY(),"VIGENTE","MUERTO"))</f>
        <v/>
      </c>
    </row>
    <row r="186" spans="4:39" x14ac:dyDescent="0.25">
      <c r="D186" s="202"/>
      <c r="E186" s="282"/>
      <c r="F186" s="202"/>
      <c r="G186" s="202"/>
      <c r="H186" s="202"/>
      <c r="I186" s="486"/>
      <c r="J186" s="485"/>
      <c r="K186" s="485"/>
      <c r="L186" s="485"/>
      <c r="M186" s="486" t="str">
        <f t="shared" si="60"/>
        <v xml:space="preserve">  </v>
      </c>
      <c r="N186" s="979"/>
      <c r="O186" s="979"/>
      <c r="P186" s="979"/>
      <c r="Q186" s="988"/>
      <c r="R186" s="206"/>
      <c r="S186" s="488"/>
      <c r="T186" s="489"/>
      <c r="U186" s="490"/>
      <c r="V186" s="206"/>
      <c r="W186" s="990"/>
      <c r="X186" s="491"/>
      <c r="Y186" s="202"/>
      <c r="Z186" s="491"/>
      <c r="AA186" s="491"/>
      <c r="AB186" s="14"/>
      <c r="AC186" s="14"/>
      <c r="AD186" s="165"/>
      <c r="AE186" s="165"/>
      <c r="AF186" s="165"/>
      <c r="AG186" s="165"/>
      <c r="AH186" s="202"/>
      <c r="AI186" s="14"/>
      <c r="AJ186" s="14"/>
      <c r="AK186" s="493"/>
      <c r="AL186" s="206"/>
      <c r="AM186" s="574" t="str">
        <f t="shared" ca="1" si="61"/>
        <v/>
      </c>
    </row>
    <row r="187" spans="4:39" x14ac:dyDescent="0.25">
      <c r="D187" s="202"/>
      <c r="E187" s="282"/>
      <c r="F187" s="202"/>
      <c r="G187" s="202"/>
      <c r="H187" s="202"/>
      <c r="I187" s="486"/>
      <c r="J187" s="485"/>
      <c r="K187" s="485"/>
      <c r="L187" s="485"/>
      <c r="M187" s="486" t="str">
        <f t="shared" si="60"/>
        <v xml:space="preserve">  </v>
      </c>
      <c r="N187" s="979"/>
      <c r="O187" s="979"/>
      <c r="P187" s="979"/>
      <c r="Q187" s="988"/>
      <c r="R187" s="206"/>
      <c r="S187" s="488"/>
      <c r="T187" s="489"/>
      <c r="U187" s="490"/>
      <c r="V187" s="206"/>
      <c r="W187" s="990"/>
      <c r="X187" s="491"/>
      <c r="Y187" s="202"/>
      <c r="Z187" s="491"/>
      <c r="AA187" s="491"/>
      <c r="AB187" s="14"/>
      <c r="AC187" s="14"/>
      <c r="AD187" s="165"/>
      <c r="AE187" s="165"/>
      <c r="AF187" s="165"/>
      <c r="AG187" s="165"/>
      <c r="AH187" s="202"/>
      <c r="AI187" s="14"/>
      <c r="AJ187" s="14"/>
      <c r="AK187" s="493"/>
      <c r="AL187" s="206"/>
      <c r="AM187" s="574" t="str">
        <f t="shared" ca="1" si="61"/>
        <v/>
      </c>
    </row>
    <row r="188" spans="4:39" x14ac:dyDescent="0.25">
      <c r="D188" s="202"/>
      <c r="E188" s="282"/>
      <c r="F188" s="202"/>
      <c r="G188" s="202"/>
      <c r="H188" s="202"/>
      <c r="I188" s="486"/>
      <c r="J188" s="485"/>
      <c r="K188" s="485"/>
      <c r="L188" s="485"/>
      <c r="M188" s="486" t="str">
        <f t="shared" si="60"/>
        <v xml:space="preserve">  </v>
      </c>
      <c r="N188" s="979"/>
      <c r="O188" s="979"/>
      <c r="P188" s="979"/>
      <c r="Q188" s="988"/>
      <c r="R188" s="206"/>
      <c r="S188" s="488"/>
      <c r="T188" s="489"/>
      <c r="U188" s="490"/>
      <c r="V188" s="206"/>
      <c r="W188" s="990"/>
      <c r="X188" s="491"/>
      <c r="Y188" s="202"/>
      <c r="Z188" s="491"/>
      <c r="AA188" s="491"/>
      <c r="AB188" s="14"/>
      <c r="AC188" s="14"/>
      <c r="AD188" s="165"/>
      <c r="AE188" s="165"/>
      <c r="AF188" s="165"/>
      <c r="AG188" s="165"/>
      <c r="AH188" s="202"/>
      <c r="AI188" s="14"/>
      <c r="AJ188" s="14"/>
      <c r="AK188" s="493"/>
      <c r="AL188" s="206"/>
      <c r="AM188" s="574" t="str">
        <f t="shared" ca="1" si="61"/>
        <v/>
      </c>
    </row>
    <row r="189" spans="4:39" x14ac:dyDescent="0.25">
      <c r="D189" s="202"/>
      <c r="E189" s="282"/>
      <c r="F189" s="202"/>
      <c r="G189" s="202"/>
      <c r="H189" s="202"/>
      <c r="I189" s="486"/>
      <c r="J189" s="485"/>
      <c r="K189" s="485"/>
      <c r="L189" s="485"/>
      <c r="M189" s="486" t="str">
        <f t="shared" si="60"/>
        <v xml:space="preserve">  </v>
      </c>
      <c r="N189" s="979"/>
      <c r="O189" s="979"/>
      <c r="P189" s="979"/>
      <c r="Q189" s="988"/>
      <c r="R189" s="206"/>
      <c r="S189" s="488"/>
      <c r="T189" s="489"/>
      <c r="U189" s="490"/>
      <c r="V189" s="206"/>
      <c r="W189" s="990"/>
      <c r="X189" s="491"/>
      <c r="Y189" s="202"/>
      <c r="Z189" s="491"/>
      <c r="AA189" s="491"/>
      <c r="AB189" s="14"/>
      <c r="AC189" s="14"/>
      <c r="AD189" s="165"/>
      <c r="AE189" s="165"/>
      <c r="AF189" s="165"/>
      <c r="AG189" s="165"/>
      <c r="AH189" s="202"/>
      <c r="AI189" s="14"/>
      <c r="AJ189" s="14"/>
      <c r="AK189" s="493"/>
      <c r="AL189" s="206"/>
      <c r="AM189" s="574" t="str">
        <f t="shared" ca="1" si="61"/>
        <v/>
      </c>
    </row>
    <row r="190" spans="4:39" x14ac:dyDescent="0.25">
      <c r="D190" s="202"/>
      <c r="E190" s="282"/>
      <c r="F190" s="202"/>
      <c r="G190" s="202"/>
      <c r="H190" s="202"/>
      <c r="I190" s="486"/>
      <c r="J190" s="485"/>
      <c r="K190" s="485"/>
      <c r="L190" s="485"/>
      <c r="M190" s="486" t="str">
        <f t="shared" si="60"/>
        <v xml:space="preserve">  </v>
      </c>
      <c r="N190" s="979"/>
      <c r="O190" s="979"/>
      <c r="P190" s="979"/>
      <c r="Q190" s="988"/>
      <c r="R190" s="206"/>
      <c r="S190" s="488"/>
      <c r="T190" s="489"/>
      <c r="U190" s="490"/>
      <c r="V190" s="206"/>
      <c r="W190" s="990"/>
      <c r="X190" s="491"/>
      <c r="Y190" s="202"/>
      <c r="Z190" s="491"/>
      <c r="AA190" s="491"/>
      <c r="AB190" s="14"/>
      <c r="AC190" s="14"/>
      <c r="AD190" s="165"/>
      <c r="AE190" s="165"/>
      <c r="AF190" s="165"/>
      <c r="AG190" s="165"/>
      <c r="AH190" s="202"/>
      <c r="AI190" s="14"/>
      <c r="AJ190" s="14"/>
      <c r="AK190" s="493"/>
      <c r="AL190" s="206"/>
      <c r="AM190" s="574" t="str">
        <f t="shared" ca="1" si="61"/>
        <v/>
      </c>
    </row>
    <row r="191" spans="4:39" x14ac:dyDescent="0.25">
      <c r="D191" s="202"/>
      <c r="E191" s="282"/>
      <c r="F191" s="202"/>
      <c r="G191" s="202"/>
      <c r="H191" s="202"/>
      <c r="I191" s="486"/>
      <c r="J191" s="485"/>
      <c r="K191" s="485"/>
      <c r="L191" s="485"/>
      <c r="M191" s="486" t="str">
        <f t="shared" si="60"/>
        <v xml:space="preserve">  </v>
      </c>
      <c r="N191" s="979"/>
      <c r="O191" s="979"/>
      <c r="P191" s="979"/>
      <c r="Q191" s="988"/>
      <c r="R191" s="206"/>
      <c r="S191" s="488"/>
      <c r="T191" s="489"/>
      <c r="U191" s="490"/>
      <c r="V191" s="206"/>
      <c r="W191" s="990"/>
      <c r="X191" s="491"/>
      <c r="Y191" s="202"/>
      <c r="Z191" s="491"/>
      <c r="AA191" s="491"/>
      <c r="AB191" s="14"/>
      <c r="AC191" s="14"/>
      <c r="AD191" s="165"/>
      <c r="AE191" s="165"/>
      <c r="AF191" s="165"/>
      <c r="AG191" s="165"/>
      <c r="AH191" s="202"/>
      <c r="AI191" s="14"/>
      <c r="AJ191" s="14"/>
      <c r="AK191" s="493"/>
      <c r="AL191" s="206"/>
      <c r="AM191" s="574" t="str">
        <f t="shared" ca="1" si="61"/>
        <v/>
      </c>
    </row>
    <row r="192" spans="4:39" x14ac:dyDescent="0.25">
      <c r="D192" s="202"/>
      <c r="E192" s="282"/>
      <c r="F192" s="202"/>
      <c r="G192" s="202"/>
      <c r="H192" s="202"/>
      <c r="I192" s="486"/>
      <c r="J192" s="485"/>
      <c r="K192" s="485"/>
      <c r="L192" s="485"/>
      <c r="M192" s="486" t="str">
        <f t="shared" si="60"/>
        <v xml:space="preserve">  </v>
      </c>
      <c r="N192" s="979"/>
      <c r="O192" s="979"/>
      <c r="P192" s="979"/>
      <c r="Q192" s="988"/>
      <c r="R192" s="206"/>
      <c r="S192" s="488"/>
      <c r="T192" s="489"/>
      <c r="U192" s="490"/>
      <c r="V192" s="206"/>
      <c r="W192" s="990"/>
      <c r="X192" s="491"/>
      <c r="Y192" s="202"/>
      <c r="Z192" s="491"/>
      <c r="AA192" s="491"/>
      <c r="AB192" s="14"/>
      <c r="AC192" s="14"/>
      <c r="AD192" s="165"/>
      <c r="AE192" s="165"/>
      <c r="AF192" s="165"/>
      <c r="AG192" s="165"/>
      <c r="AH192" s="202"/>
      <c r="AI192" s="14"/>
      <c r="AJ192" s="14"/>
      <c r="AK192" s="493"/>
      <c r="AL192" s="206"/>
      <c r="AM192" s="574" t="str">
        <f t="shared" ca="1" si="61"/>
        <v/>
      </c>
    </row>
    <row r="193" spans="13:39" x14ac:dyDescent="0.25">
      <c r="M193" s="486" t="str">
        <f t="shared" si="60"/>
        <v xml:space="preserve">  </v>
      </c>
      <c r="N193" s="979"/>
      <c r="O193" s="979"/>
      <c r="P193" s="979"/>
      <c r="Q193" s="988"/>
      <c r="R193" s="206"/>
      <c r="S193" s="488"/>
      <c r="T193" s="489"/>
      <c r="U193" s="490"/>
      <c r="V193" s="206"/>
      <c r="W193" s="990"/>
      <c r="X193" s="491"/>
      <c r="Y193" s="202"/>
      <c r="Z193" s="491"/>
      <c r="AA193" s="491"/>
      <c r="AB193" s="14"/>
      <c r="AC193" s="14"/>
      <c r="AD193" s="165"/>
      <c r="AE193" s="165"/>
      <c r="AF193" s="165"/>
      <c r="AG193" s="165"/>
      <c r="AH193" s="202"/>
      <c r="AI193" s="14"/>
      <c r="AJ193" s="14"/>
      <c r="AK193" s="493"/>
      <c r="AL193" s="206"/>
      <c r="AM193" s="574" t="str">
        <f t="shared" ca="1" si="61"/>
        <v/>
      </c>
    </row>
    <row r="194" spans="13:39" x14ac:dyDescent="0.25">
      <c r="Q194" s="2"/>
      <c r="R194" s="2"/>
      <c r="S194" s="13"/>
      <c r="T194" s="15"/>
      <c r="U194" s="15"/>
      <c r="V194" s="2"/>
      <c r="AL194" s="2" t="e">
        <f>SUBTOTAL(9,#REF!)</f>
        <v>#REF!</v>
      </c>
    </row>
  </sheetData>
  <autoFilter ref="A1:CA166" xr:uid="{00000000-0001-0000-0500-000000000000}"/>
  <mergeCells count="1">
    <mergeCell ref="D179:E17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12"/>
  <dimension ref="A1:BW242"/>
  <sheetViews>
    <sheetView workbookViewId="0">
      <pane xSplit="1" ySplit="1" topLeftCell="B15" activePane="bottomRight" state="frozen"/>
      <selection pane="topRight" activeCell="B1" sqref="B1"/>
      <selection pane="bottomLeft" activeCell="A2" sqref="A2"/>
      <selection pane="bottomRight" activeCell="A16" sqref="A16"/>
    </sheetView>
  </sheetViews>
  <sheetFormatPr baseColWidth="10" defaultColWidth="11.42578125" defaultRowHeight="15" x14ac:dyDescent="0.25"/>
  <cols>
    <col min="1" max="1" width="29.28515625" customWidth="1"/>
    <col min="2" max="2" width="7.5703125" customWidth="1"/>
    <col min="3" max="3" width="16.42578125" customWidth="1"/>
    <col min="4" max="4" width="17.42578125" customWidth="1"/>
    <col min="5" max="5" width="23.5703125" customWidth="1"/>
    <col min="6" max="6" width="16.85546875" customWidth="1"/>
    <col min="7" max="7" width="14.85546875" customWidth="1"/>
    <col min="8" max="8" width="11.42578125" customWidth="1"/>
    <col min="9" max="9" width="20" customWidth="1"/>
    <col min="10" max="10" width="13.42578125" customWidth="1"/>
    <col min="11" max="12" width="11.42578125" customWidth="1"/>
    <col min="13" max="13" width="33.5703125" customWidth="1"/>
    <col min="14" max="14" width="23.7109375" customWidth="1"/>
    <col min="15" max="15" width="27.85546875" customWidth="1"/>
    <col min="16" max="16" width="17" customWidth="1"/>
    <col min="17" max="17" width="51.7109375" customWidth="1"/>
    <col min="18" max="18" width="14.7109375" customWidth="1"/>
    <col min="19" max="19" width="16.85546875" customWidth="1"/>
    <col min="20" max="21" width="14.7109375" bestFit="1" customWidth="1"/>
    <col min="22" max="22" width="16" customWidth="1"/>
    <col min="23" max="23" width="14.7109375" customWidth="1"/>
    <col min="24" max="27" width="11.42578125" customWidth="1"/>
    <col min="28" max="28" width="14.28515625" customWidth="1"/>
    <col min="29" max="29" width="15.42578125" customWidth="1"/>
    <col min="30" max="30" width="18.7109375" customWidth="1"/>
    <col min="31" max="31" width="21.7109375" customWidth="1"/>
    <col min="32" max="32" width="16.42578125" customWidth="1"/>
    <col min="33" max="33" width="14.85546875" customWidth="1"/>
    <col min="34" max="38" width="11.42578125" customWidth="1"/>
    <col min="39" max="39" width="12.85546875" customWidth="1"/>
    <col min="40" max="43" width="11.42578125" customWidth="1"/>
    <col min="44" max="45" width="13.140625" bestFit="1" customWidth="1"/>
    <col min="46" max="46" width="14" customWidth="1"/>
    <col min="47" max="47" width="13.85546875" customWidth="1"/>
    <col min="48" max="48" width="14.5703125" customWidth="1"/>
    <col min="51" max="51" width="11.42578125" style="257"/>
    <col min="54" max="55" width="11.42578125" style="497"/>
    <col min="56" max="59" width="13.7109375" bestFit="1" customWidth="1"/>
    <col min="61" max="61" width="13.7109375" bestFit="1" customWidth="1"/>
  </cols>
  <sheetData>
    <row r="1" spans="1:75" ht="90" x14ac:dyDescent="0.25">
      <c r="A1" s="500" t="s">
        <v>83</v>
      </c>
      <c r="B1" s="194" t="s">
        <v>5353</v>
      </c>
      <c r="C1" s="501" t="s">
        <v>1088</v>
      </c>
      <c r="D1" s="501" t="s">
        <v>86</v>
      </c>
      <c r="E1" s="502" t="s">
        <v>85</v>
      </c>
      <c r="F1" s="500" t="s">
        <v>88</v>
      </c>
      <c r="G1" s="128" t="s">
        <v>87</v>
      </c>
      <c r="H1" s="503" t="s">
        <v>1</v>
      </c>
      <c r="I1" s="501" t="s">
        <v>89</v>
      </c>
      <c r="J1" s="501" t="s">
        <v>90</v>
      </c>
      <c r="K1" s="501" t="s">
        <v>91</v>
      </c>
      <c r="L1" s="501" t="s">
        <v>92</v>
      </c>
      <c r="M1" s="500" t="s">
        <v>93</v>
      </c>
      <c r="N1" s="500" t="s">
        <v>3089</v>
      </c>
      <c r="O1" s="501" t="s">
        <v>5354</v>
      </c>
      <c r="P1" s="501" t="s">
        <v>5355</v>
      </c>
      <c r="Q1" s="500" t="s">
        <v>0</v>
      </c>
      <c r="R1" s="504" t="s">
        <v>96</v>
      </c>
      <c r="S1" s="505" t="s">
        <v>97</v>
      </c>
      <c r="T1" s="505" t="s">
        <v>4294</v>
      </c>
      <c r="U1" s="505" t="s">
        <v>3092</v>
      </c>
      <c r="V1" s="506" t="s">
        <v>100</v>
      </c>
      <c r="W1" s="507" t="s">
        <v>101</v>
      </c>
      <c r="X1" s="441" t="s">
        <v>102</v>
      </c>
      <c r="Y1" s="508" t="s">
        <v>103</v>
      </c>
      <c r="Z1" s="501" t="s">
        <v>104</v>
      </c>
      <c r="AA1" s="509" t="s">
        <v>105</v>
      </c>
      <c r="AB1" s="509" t="s">
        <v>106</v>
      </c>
      <c r="AC1" s="501" t="s">
        <v>2232</v>
      </c>
      <c r="AD1" s="510" t="s">
        <v>3093</v>
      </c>
      <c r="AE1" s="443" t="s">
        <v>117</v>
      </c>
      <c r="AF1" s="443" t="s">
        <v>118</v>
      </c>
      <c r="AG1" s="444" t="s">
        <v>119</v>
      </c>
      <c r="AH1" s="501" t="s">
        <v>120</v>
      </c>
      <c r="AI1" s="501" t="s">
        <v>2233</v>
      </c>
      <c r="AJ1" s="501" t="s">
        <v>1093</v>
      </c>
      <c r="AK1" s="511" t="s">
        <v>121</v>
      </c>
      <c r="AL1" s="511" t="s">
        <v>122</v>
      </c>
      <c r="AM1" s="511" t="s">
        <v>123</v>
      </c>
      <c r="AN1" s="511" t="s">
        <v>124</v>
      </c>
      <c r="AO1" s="511" t="s">
        <v>125</v>
      </c>
      <c r="AP1" s="512" t="s">
        <v>126</v>
      </c>
      <c r="AQ1" s="508" t="s">
        <v>118</v>
      </c>
      <c r="AR1" s="501" t="s">
        <v>127</v>
      </c>
      <c r="AS1" s="504" t="s">
        <v>128</v>
      </c>
      <c r="AT1" s="508" t="s">
        <v>3094</v>
      </c>
      <c r="AU1" s="501" t="s">
        <v>130</v>
      </c>
      <c r="AV1" s="501" t="s">
        <v>131</v>
      </c>
      <c r="AW1" s="513" t="s">
        <v>132</v>
      </c>
      <c r="AX1" s="77" t="s">
        <v>3096</v>
      </c>
      <c r="AY1" s="77" t="s">
        <v>3097</v>
      </c>
      <c r="AZ1" s="77" t="s">
        <v>1094</v>
      </c>
      <c r="BA1" s="514" t="s">
        <v>142</v>
      </c>
      <c r="BB1" s="514" t="s">
        <v>4296</v>
      </c>
      <c r="BC1" s="515" t="s">
        <v>3099</v>
      </c>
      <c r="BD1" s="516" t="s">
        <v>3103</v>
      </c>
      <c r="BE1" s="516" t="s">
        <v>3104</v>
      </c>
      <c r="BF1" s="516" t="s">
        <v>5356</v>
      </c>
      <c r="BG1" s="516" t="s">
        <v>5357</v>
      </c>
      <c r="BH1" s="516" t="s">
        <v>5358</v>
      </c>
    </row>
    <row r="2" spans="1:75" x14ac:dyDescent="0.25">
      <c r="A2" s="179">
        <v>1</v>
      </c>
      <c r="B2" s="179">
        <v>2</v>
      </c>
      <c r="C2" s="179">
        <v>3</v>
      </c>
      <c r="D2" s="179">
        <v>7</v>
      </c>
      <c r="E2" s="517">
        <v>4</v>
      </c>
      <c r="F2" s="179">
        <v>5</v>
      </c>
      <c r="G2" s="179"/>
      <c r="H2" s="179">
        <v>6</v>
      </c>
      <c r="I2" s="179">
        <v>8</v>
      </c>
      <c r="J2" s="179">
        <v>9</v>
      </c>
      <c r="K2" s="179">
        <v>10</v>
      </c>
      <c r="L2" s="179">
        <v>11</v>
      </c>
      <c r="M2" s="179">
        <v>12</v>
      </c>
      <c r="N2" s="179">
        <v>13</v>
      </c>
      <c r="O2" s="179">
        <v>14</v>
      </c>
      <c r="P2" s="179"/>
      <c r="Q2" s="179">
        <v>15</v>
      </c>
      <c r="R2" s="179">
        <v>16</v>
      </c>
      <c r="S2" s="179">
        <v>17</v>
      </c>
      <c r="T2" s="179">
        <v>18</v>
      </c>
      <c r="U2" s="179">
        <v>19</v>
      </c>
      <c r="V2" s="179">
        <v>20</v>
      </c>
      <c r="W2" s="179">
        <v>21</v>
      </c>
      <c r="X2" s="179">
        <v>22</v>
      </c>
      <c r="Y2" s="179">
        <v>23</v>
      </c>
      <c r="Z2" s="179">
        <v>24</v>
      </c>
      <c r="AA2" s="179">
        <v>25</v>
      </c>
      <c r="AB2" s="179">
        <v>26</v>
      </c>
      <c r="AC2" s="179">
        <v>27</v>
      </c>
      <c r="AD2" s="179">
        <v>34</v>
      </c>
      <c r="AE2" s="179">
        <v>35</v>
      </c>
      <c r="AF2" s="179">
        <v>36</v>
      </c>
      <c r="AG2" s="179">
        <v>37</v>
      </c>
      <c r="AH2" s="179">
        <v>38</v>
      </c>
      <c r="AI2" s="179">
        <v>39</v>
      </c>
      <c r="AJ2" s="179">
        <v>40</v>
      </c>
      <c r="AK2" s="179">
        <v>41</v>
      </c>
      <c r="AL2" s="179">
        <v>42</v>
      </c>
      <c r="AM2" s="179">
        <v>43</v>
      </c>
      <c r="AN2" s="179">
        <v>44</v>
      </c>
      <c r="AO2" s="179">
        <v>45</v>
      </c>
      <c r="AP2" s="179">
        <v>46</v>
      </c>
      <c r="AQ2" s="179">
        <v>47</v>
      </c>
      <c r="AR2" s="179">
        <v>48</v>
      </c>
      <c r="AS2" s="179">
        <v>49</v>
      </c>
      <c r="AT2" s="179">
        <v>50</v>
      </c>
      <c r="AU2" s="179">
        <v>51</v>
      </c>
      <c r="AV2" s="179">
        <v>52</v>
      </c>
      <c r="AW2" s="179">
        <v>53</v>
      </c>
      <c r="AX2" s="179">
        <v>54</v>
      </c>
      <c r="AY2" s="179">
        <v>55</v>
      </c>
      <c r="AZ2" s="179">
        <v>56</v>
      </c>
      <c r="BA2" s="179">
        <v>57</v>
      </c>
      <c r="BB2" s="179">
        <v>58</v>
      </c>
      <c r="BC2" s="179">
        <v>59</v>
      </c>
      <c r="BD2" s="518"/>
      <c r="BE2" s="519"/>
      <c r="BF2" s="519"/>
      <c r="BG2" s="519"/>
      <c r="BH2" s="519"/>
    </row>
    <row r="3" spans="1:75" ht="150" customHeight="1" x14ac:dyDescent="0.25">
      <c r="A3" s="370" t="s">
        <v>1724</v>
      </c>
      <c r="B3" s="3"/>
      <c r="C3" s="4" t="s">
        <v>149</v>
      </c>
      <c r="D3" s="3" t="s">
        <v>163</v>
      </c>
      <c r="E3" s="3" t="s">
        <v>1177</v>
      </c>
      <c r="F3" s="3" t="s">
        <v>163</v>
      </c>
      <c r="G3" s="684" t="s">
        <v>163</v>
      </c>
      <c r="H3" s="3" t="s">
        <v>188</v>
      </c>
      <c r="I3" s="275" t="s">
        <v>1725</v>
      </c>
      <c r="J3" s="17"/>
      <c r="K3" s="17"/>
      <c r="L3" s="17"/>
      <c r="M3" s="375" t="str">
        <f>I3&amp;J3&amp;" "&amp;K3&amp;" "&amp;L3</f>
        <v xml:space="preserve">GRUPO IDSEC, S.A.P.I. DE C.V.  </v>
      </c>
      <c r="N3" s="959" t="s">
        <v>166</v>
      </c>
      <c r="O3" s="959" t="s">
        <v>166</v>
      </c>
      <c r="P3" s="959"/>
      <c r="Q3" s="959" t="s">
        <v>1726</v>
      </c>
      <c r="R3" s="962">
        <v>16086000.000000002</v>
      </c>
      <c r="S3" s="383">
        <f>R3*0.16</f>
        <v>2573760.0000000005</v>
      </c>
      <c r="T3" s="384">
        <f>R3+S3</f>
        <v>18659760.000000004</v>
      </c>
      <c r="U3" s="385">
        <v>0</v>
      </c>
      <c r="V3" s="386">
        <f>(U3*0.16)+(U3)</f>
        <v>0</v>
      </c>
      <c r="W3" s="383">
        <f>T3+AG3</f>
        <v>18659760.000000004</v>
      </c>
      <c r="X3" s="963" t="s">
        <v>183</v>
      </c>
      <c r="Y3" s="387">
        <v>43622</v>
      </c>
      <c r="Z3" s="387" t="s">
        <v>496</v>
      </c>
      <c r="AA3" s="387">
        <v>43617</v>
      </c>
      <c r="AB3" s="387">
        <v>45443</v>
      </c>
      <c r="AC3" s="4" t="s">
        <v>1727</v>
      </c>
      <c r="AD3" s="4" t="s">
        <v>1729</v>
      </c>
      <c r="AE3" s="520"/>
      <c r="AF3" s="388">
        <v>45110</v>
      </c>
      <c r="AG3" s="383">
        <v>0</v>
      </c>
      <c r="AH3" s="3" t="str">
        <f ca="1">IF(ISBLANK(AB3),"",IF(AB3&gt;=TODAY(),"VIGENTE","MUERTO"))</f>
        <v>MUERTO</v>
      </c>
      <c r="AI3" s="3"/>
      <c r="AJ3" s="3" t="s">
        <v>156</v>
      </c>
      <c r="AK3" s="3" t="s">
        <v>496</v>
      </c>
      <c r="AL3" s="3"/>
      <c r="AM3" s="3" t="s">
        <v>1719</v>
      </c>
      <c r="AN3" s="3"/>
      <c r="AO3" s="3"/>
      <c r="AP3" s="3" t="s">
        <v>156</v>
      </c>
      <c r="AQ3" s="458"/>
      <c r="AR3" s="388"/>
      <c r="AS3" s="4"/>
      <c r="AT3" s="4"/>
      <c r="AU3" s="4" t="s">
        <v>1731</v>
      </c>
      <c r="AV3" s="4" t="e">
        <f>VLOOKUP(I3,#REF!,2,0)</f>
        <v>#REF!</v>
      </c>
      <c r="AW3" s="4" t="s">
        <v>1732</v>
      </c>
      <c r="AX3" s="6">
        <v>43585</v>
      </c>
      <c r="AY3" s="463">
        <v>43614</v>
      </c>
      <c r="AZ3" s="463">
        <v>43627</v>
      </c>
      <c r="BA3" s="463" t="s">
        <v>1652</v>
      </c>
      <c r="BB3" s="463">
        <v>43658</v>
      </c>
      <c r="BC3" s="463">
        <v>43658</v>
      </c>
      <c r="BD3" s="3" t="e">
        <f>NETWORKDAYS(BA3,BB3,#REF!)</f>
        <v>#VALUE!</v>
      </c>
      <c r="BE3" s="463" t="s">
        <v>1733</v>
      </c>
      <c r="BF3" s="463" t="s">
        <v>1734</v>
      </c>
      <c r="BG3" s="463" t="s">
        <v>1735</v>
      </c>
      <c r="BH3" s="463" t="s">
        <v>1652</v>
      </c>
      <c r="BI3" s="498" t="s">
        <v>1652</v>
      </c>
      <c r="BJ3" s="58" t="s">
        <v>1652</v>
      </c>
      <c r="BK3" s="59" t="s">
        <v>1652</v>
      </c>
      <c r="BL3" s="62" t="s">
        <v>1652</v>
      </c>
      <c r="BM3" s="68" t="e">
        <f xml:space="preserve"> NETWORKDAYS(AX3,BH3,#REF!)</f>
        <v>#VALUE!</v>
      </c>
      <c r="BN3" s="69" t="e">
        <f>NETWORKDAYS(AX3,BI3,#REF!)</f>
        <v>#VALUE!</v>
      </c>
      <c r="BO3" s="62"/>
      <c r="BP3" s="84">
        <f>43853500*1.16</f>
        <v>50870060</v>
      </c>
      <c r="BQ3" s="86">
        <f t="shared" ref="BQ3:BT4" si="0">16086000*1.16</f>
        <v>18659760</v>
      </c>
      <c r="BR3" s="86">
        <f t="shared" si="0"/>
        <v>18659760</v>
      </c>
      <c r="BS3" s="86">
        <f t="shared" si="0"/>
        <v>18659760</v>
      </c>
      <c r="BT3" s="86">
        <f t="shared" si="0"/>
        <v>18659760</v>
      </c>
      <c r="BU3" s="84">
        <f>6702500*1.16</f>
        <v>7774899.9999999991</v>
      </c>
      <c r="BV3" s="84">
        <f>BQ3+BR3+BS3+BT3+BU3+BP3</f>
        <v>133284000</v>
      </c>
    </row>
    <row r="4" spans="1:75" ht="111" customHeight="1" x14ac:dyDescent="0.25">
      <c r="A4" s="370" t="s">
        <v>5359</v>
      </c>
      <c r="B4" s="3"/>
      <c r="C4" s="4" t="s">
        <v>149</v>
      </c>
      <c r="D4" s="3" t="s">
        <v>163</v>
      </c>
      <c r="E4" s="3" t="s">
        <v>1177</v>
      </c>
      <c r="F4" s="3" t="s">
        <v>163</v>
      </c>
      <c r="G4" s="684" t="s">
        <v>163</v>
      </c>
      <c r="H4" s="3" t="s">
        <v>188</v>
      </c>
      <c r="I4" s="275" t="s">
        <v>1725</v>
      </c>
      <c r="J4" s="17"/>
      <c r="K4" s="17"/>
      <c r="L4" s="17"/>
      <c r="M4" s="375" t="str">
        <f>I4&amp;J4&amp;" "&amp;K4&amp;" "&amp;L4</f>
        <v xml:space="preserve">GRUPO IDSEC, S.A.P.I. DE C.V.  </v>
      </c>
      <c r="N4" s="959" t="s">
        <v>166</v>
      </c>
      <c r="O4" s="959" t="s">
        <v>166</v>
      </c>
      <c r="P4" s="959"/>
      <c r="Q4" s="959" t="s">
        <v>1726</v>
      </c>
      <c r="R4" s="962">
        <v>0</v>
      </c>
      <c r="S4" s="383">
        <f>R4*0.16</f>
        <v>0</v>
      </c>
      <c r="T4" s="384">
        <f>R4+S4</f>
        <v>0</v>
      </c>
      <c r="U4" s="385">
        <v>0</v>
      </c>
      <c r="V4" s="386">
        <f>(U4*0.16)+(U4)</f>
        <v>0</v>
      </c>
      <c r="W4" s="383">
        <f>T4+AG4</f>
        <v>0</v>
      </c>
      <c r="X4" s="963" t="s">
        <v>183</v>
      </c>
      <c r="Y4" s="387">
        <v>43622</v>
      </c>
      <c r="Z4" s="387" t="s">
        <v>496</v>
      </c>
      <c r="AA4" s="387">
        <v>43617</v>
      </c>
      <c r="AB4" s="387">
        <v>45443</v>
      </c>
      <c r="AC4" s="4" t="s">
        <v>1727</v>
      </c>
      <c r="AD4" s="4" t="s">
        <v>5360</v>
      </c>
      <c r="AE4" s="4"/>
      <c r="AF4" s="388">
        <v>45110</v>
      </c>
      <c r="AG4" s="383">
        <v>0</v>
      </c>
      <c r="AH4" s="3" t="str">
        <f ca="1">IF(ISBLANK(AB4),"",IF(AB4&gt;=TODAY(),"VIGENTE","MUERTO"))</f>
        <v>MUERTO</v>
      </c>
      <c r="AI4" s="3"/>
      <c r="AJ4" s="3" t="s">
        <v>156</v>
      </c>
      <c r="AK4" s="3" t="s">
        <v>496</v>
      </c>
      <c r="AL4" s="3"/>
      <c r="AM4" s="3" t="s">
        <v>1719</v>
      </c>
      <c r="AN4" s="3"/>
      <c r="AO4" s="3"/>
      <c r="AP4" s="3" t="s">
        <v>156</v>
      </c>
      <c r="AQ4" s="458"/>
      <c r="AR4" s="388"/>
      <c r="AS4" s="4"/>
      <c r="AT4" s="4"/>
      <c r="AU4" s="4" t="s">
        <v>1731</v>
      </c>
      <c r="AV4" s="4" t="e">
        <f>VLOOKUP(I4,#REF!,2,0)</f>
        <v>#REF!</v>
      </c>
      <c r="AW4" s="4" t="s">
        <v>1732</v>
      </c>
      <c r="AX4" s="6">
        <v>43585</v>
      </c>
      <c r="AY4" s="463">
        <v>43614</v>
      </c>
      <c r="AZ4" s="463">
        <v>43627</v>
      </c>
      <c r="BA4" s="463" t="s">
        <v>1652</v>
      </c>
      <c r="BB4" s="463">
        <v>43658</v>
      </c>
      <c r="BC4" s="463">
        <v>43658</v>
      </c>
      <c r="BD4" s="3" t="e">
        <f>NETWORKDAYS(BA4,BB4,#REF!)</f>
        <v>#VALUE!</v>
      </c>
      <c r="BE4" s="463" t="s">
        <v>1733</v>
      </c>
      <c r="BF4" s="463" t="s">
        <v>1734</v>
      </c>
      <c r="BG4" s="463" t="s">
        <v>1735</v>
      </c>
      <c r="BH4" s="463" t="s">
        <v>1652</v>
      </c>
      <c r="BI4" s="498" t="s">
        <v>1652</v>
      </c>
      <c r="BJ4" s="58" t="s">
        <v>1652</v>
      </c>
      <c r="BK4" s="59" t="s">
        <v>1652</v>
      </c>
      <c r="BL4" s="62" t="s">
        <v>1652</v>
      </c>
      <c r="BM4" s="68" t="e">
        <f xml:space="preserve"> NETWORKDAYS(AX4,BH4,#REF!)</f>
        <v>#VALUE!</v>
      </c>
      <c r="BN4" s="69" t="e">
        <f>NETWORKDAYS(AX4,BI4,#REF!)</f>
        <v>#VALUE!</v>
      </c>
      <c r="BO4" s="62"/>
      <c r="BP4" s="84">
        <f>43853500*1.16</f>
        <v>50870060</v>
      </c>
      <c r="BQ4" s="86">
        <f t="shared" si="0"/>
        <v>18659760</v>
      </c>
      <c r="BR4" s="86">
        <f t="shared" si="0"/>
        <v>18659760</v>
      </c>
      <c r="BS4" s="86">
        <f t="shared" si="0"/>
        <v>18659760</v>
      </c>
      <c r="BT4" s="86">
        <f t="shared" si="0"/>
        <v>18659760</v>
      </c>
      <c r="BU4" s="84">
        <f>6702500*1.16</f>
        <v>7774899.9999999991</v>
      </c>
      <c r="BV4" s="84">
        <f>BQ4+BR4+BS4+BT4+BU4+BP4</f>
        <v>133284000</v>
      </c>
    </row>
    <row r="5" spans="1:75" ht="138.75" customHeight="1" x14ac:dyDescent="0.25">
      <c r="A5" s="370" t="s">
        <v>5361</v>
      </c>
      <c r="B5" s="3"/>
      <c r="C5" s="4" t="s">
        <v>1959</v>
      </c>
      <c r="D5" s="3" t="s">
        <v>163</v>
      </c>
      <c r="E5" s="18" t="s">
        <v>2010</v>
      </c>
      <c r="F5" s="3" t="s">
        <v>5362</v>
      </c>
      <c r="G5" s="684" t="s">
        <v>163</v>
      </c>
      <c r="H5" s="3" t="s">
        <v>607</v>
      </c>
      <c r="I5" s="275" t="s">
        <v>2011</v>
      </c>
      <c r="J5" s="17"/>
      <c r="K5" s="17"/>
      <c r="L5" s="17"/>
      <c r="M5" s="375" t="str">
        <f>I5&amp;J5&amp;" "&amp;K5&amp;" "&amp;L5</f>
        <v xml:space="preserve">Proceso de Ingeniería Aplicada, S.A. de C.V.  </v>
      </c>
      <c r="N5" s="959" t="s">
        <v>198</v>
      </c>
      <c r="O5" s="959" t="s">
        <v>198</v>
      </c>
      <c r="P5" s="959"/>
      <c r="Q5" s="959" t="s">
        <v>2012</v>
      </c>
      <c r="R5" s="962">
        <v>12560524.220000001</v>
      </c>
      <c r="S5" s="383">
        <f>R5*0.16</f>
        <v>2009683.8752000001</v>
      </c>
      <c r="T5" s="384">
        <f>R5+S5</f>
        <v>14570208.0952</v>
      </c>
      <c r="U5" s="385">
        <v>0</v>
      </c>
      <c r="V5" s="386">
        <f>(U5*0.16)+(U5)</f>
        <v>0</v>
      </c>
      <c r="W5" s="383">
        <f>+T5</f>
        <v>14570208.0952</v>
      </c>
      <c r="X5" s="963" t="s">
        <v>183</v>
      </c>
      <c r="Y5" s="387">
        <v>45201</v>
      </c>
      <c r="Z5" s="3" t="s">
        <v>881</v>
      </c>
      <c r="AA5" s="387">
        <v>43770</v>
      </c>
      <c r="AB5" s="387">
        <v>45412</v>
      </c>
      <c r="AC5" s="4" t="s">
        <v>1941</v>
      </c>
      <c r="AD5" s="457" t="s">
        <v>5363</v>
      </c>
      <c r="AE5" s="457" t="s">
        <v>5363</v>
      </c>
      <c r="AF5" s="388">
        <v>45201</v>
      </c>
      <c r="AG5" s="383">
        <v>12639563.210000001</v>
      </c>
      <c r="AH5" s="3" t="str">
        <f ca="1">IF(ISBLANK(AB5),"",IF(AB5&gt;=TODAY(),"VIGENTE","MUERTO"))</f>
        <v>MUERTO</v>
      </c>
      <c r="AI5" s="3"/>
      <c r="AJ5" s="3" t="s">
        <v>156</v>
      </c>
      <c r="AK5" s="3" t="s">
        <v>892</v>
      </c>
      <c r="AL5" s="3"/>
      <c r="AM5" s="3" t="s">
        <v>729</v>
      </c>
      <c r="AN5" s="3"/>
      <c r="AO5" s="3"/>
      <c r="AP5" s="3"/>
      <c r="AQ5" s="458"/>
      <c r="AR5" s="388"/>
      <c r="AS5" s="4"/>
      <c r="AT5" s="459"/>
      <c r="AU5" s="4"/>
      <c r="AV5" s="4"/>
      <c r="AW5" s="4" t="e">
        <f>VLOOKUP(I5,#REF!,2,0)</f>
        <v>#REF!</v>
      </c>
      <c r="AX5" s="4"/>
      <c r="AY5" s="6"/>
      <c r="AZ5" s="3"/>
      <c r="BA5" s="3"/>
      <c r="BB5" s="3"/>
      <c r="BC5" s="3"/>
      <c r="BD5" s="6"/>
      <c r="BE5" s="3" t="e">
        <f>NETWORKDAYS(BB5,BC5,#REF!)</f>
        <v>#REF!</v>
      </c>
      <c r="BF5" s="6"/>
      <c r="BG5" s="6"/>
      <c r="BH5" s="6"/>
      <c r="BI5" s="253"/>
      <c r="BJ5" s="59"/>
      <c r="BK5" s="59"/>
      <c r="BL5" s="59"/>
      <c r="BM5" s="62"/>
      <c r="BN5" s="68" t="e">
        <f xml:space="preserve"> NETWORKDAYS(AY5,BI5,#REF!)</f>
        <v>#REF!</v>
      </c>
      <c r="BO5" s="70"/>
      <c r="BP5" s="62"/>
      <c r="BQ5" s="84">
        <v>24801027.199999999</v>
      </c>
      <c r="BR5" s="86">
        <v>1697.24</v>
      </c>
      <c r="BS5" s="84">
        <v>22785175.73</v>
      </c>
      <c r="BT5" s="389">
        <f>26284289*1.16</f>
        <v>30489775.239999998</v>
      </c>
      <c r="BU5" s="84">
        <f>12560524.22*1.16</f>
        <v>14570208.0952</v>
      </c>
      <c r="BV5" s="84">
        <f>6035796.79*1.16</f>
        <v>7001524.2763999999</v>
      </c>
      <c r="BW5" s="84">
        <f>BQ5+BR5+BS5+BT5+BU5+BV5</f>
        <v>99649407.781599998</v>
      </c>
    </row>
    <row r="6" spans="1:75" ht="90" x14ac:dyDescent="0.25">
      <c r="A6" s="370" t="s">
        <v>5364</v>
      </c>
      <c r="B6" s="3"/>
      <c r="C6" s="4" t="s">
        <v>149</v>
      </c>
      <c r="D6" s="3" t="s">
        <v>163</v>
      </c>
      <c r="E6" s="18" t="s">
        <v>2098</v>
      </c>
      <c r="F6" s="3" t="s">
        <v>5365</v>
      </c>
      <c r="G6" s="685" t="s">
        <v>546</v>
      </c>
      <c r="H6" s="3" t="s">
        <v>312</v>
      </c>
      <c r="I6" s="275" t="s">
        <v>1065</v>
      </c>
      <c r="J6" s="17"/>
      <c r="K6" s="17"/>
      <c r="L6" s="17"/>
      <c r="M6" s="375" t="str">
        <f>I6&amp;J6&amp;" "&amp;K6&amp;" "&amp;L6</f>
        <v xml:space="preserve">Elevadores Schindler, S.A. de C.V.  </v>
      </c>
      <c r="N6" s="959" t="s">
        <v>198</v>
      </c>
      <c r="O6" s="959" t="s">
        <v>198</v>
      </c>
      <c r="P6" s="959"/>
      <c r="Q6" s="959" t="s">
        <v>2142</v>
      </c>
      <c r="R6" s="962">
        <v>2010045.3103448278</v>
      </c>
      <c r="S6" s="383">
        <f>R6*0.16</f>
        <v>321607.24965517246</v>
      </c>
      <c r="T6" s="384">
        <f>R6+S6</f>
        <v>2331652.5600000005</v>
      </c>
      <c r="U6" s="385">
        <v>0</v>
      </c>
      <c r="V6" s="386">
        <f>(U6*0.16)+(U6)</f>
        <v>0</v>
      </c>
      <c r="W6" s="383" t="e">
        <f>T6+#REF!</f>
        <v>#REF!</v>
      </c>
      <c r="X6" s="963" t="s">
        <v>183</v>
      </c>
      <c r="Y6" s="387">
        <v>44258</v>
      </c>
      <c r="Z6" s="3" t="s">
        <v>234</v>
      </c>
      <c r="AA6" s="387">
        <v>43808</v>
      </c>
      <c r="AB6" s="387">
        <v>44828</v>
      </c>
      <c r="AC6" s="4" t="s">
        <v>2025</v>
      </c>
      <c r="AD6" s="457" t="s">
        <v>5366</v>
      </c>
      <c r="AE6" s="457" t="s">
        <v>5366</v>
      </c>
      <c r="AF6" s="388">
        <v>45201</v>
      </c>
      <c r="AG6" s="457">
        <v>0</v>
      </c>
      <c r="AH6" s="3" t="str">
        <f ca="1">IF(ISBLANK(AB6),"",IF(AB6&gt;=TODAY(),"VIGENTE","MUERTO"))</f>
        <v>MUERTO</v>
      </c>
      <c r="AI6" s="3"/>
      <c r="AJ6" s="3"/>
      <c r="AK6" s="3"/>
      <c r="AL6" s="3"/>
      <c r="AM6" s="3"/>
      <c r="AN6" s="3"/>
      <c r="AO6" s="3"/>
      <c r="AP6" s="3"/>
      <c r="AQ6" s="458"/>
      <c r="AR6" s="458"/>
      <c r="AS6" s="458"/>
      <c r="AT6" s="4" t="s">
        <v>2143</v>
      </c>
      <c r="AU6" s="388"/>
      <c r="AV6" s="4" t="e">
        <f>VLOOKUP(I6,#REF!,2,0)</f>
        <v>#REF!</v>
      </c>
      <c r="AW6" s="520"/>
      <c r="AX6" s="4"/>
      <c r="AY6" s="6"/>
      <c r="AZ6" s="3">
        <v>44257</v>
      </c>
      <c r="BA6" s="3">
        <v>44259</v>
      </c>
      <c r="BB6" s="3"/>
      <c r="BC6" s="3"/>
      <c r="BD6" s="6"/>
      <c r="BE6" s="3" t="e">
        <f>NETWORKDAYS(BB6,BC6,#REF!)</f>
        <v>#REF!</v>
      </c>
      <c r="BF6" s="6"/>
      <c r="BG6" s="6"/>
      <c r="BH6" s="6"/>
      <c r="BI6" s="253" t="s">
        <v>2144</v>
      </c>
      <c r="BJ6" s="59"/>
      <c r="BK6" s="59"/>
      <c r="BL6" s="59"/>
      <c r="BM6" s="62"/>
      <c r="BN6" s="68"/>
      <c r="BO6" s="70"/>
      <c r="BP6" s="62"/>
      <c r="BQ6" s="84">
        <f>7248947.87*1.16</f>
        <v>8408779.5291999988</v>
      </c>
      <c r="BR6" s="86">
        <v>0</v>
      </c>
      <c r="BS6" s="84">
        <f>2501259.53*1.16</f>
        <v>2901461.0547999996</v>
      </c>
      <c r="BT6" s="389">
        <f>473004.97*1.16</f>
        <v>548685.76519999991</v>
      </c>
      <c r="BU6" s="84">
        <f>2010045.31*1.16</f>
        <v>2331652.5595999998</v>
      </c>
      <c r="BV6" s="84">
        <f>2264638.06*1.16</f>
        <v>2626980.1495999997</v>
      </c>
      <c r="BW6" s="84">
        <f>BQ6+BR6+BS6+BT6+BU6+BX6+BV6</f>
        <v>16817559.058399998</v>
      </c>
    </row>
    <row r="7" spans="1:75" ht="206.25" customHeight="1" x14ac:dyDescent="0.25">
      <c r="A7" s="370" t="s">
        <v>4110</v>
      </c>
      <c r="B7" s="3"/>
      <c r="C7" s="4" t="s">
        <v>225</v>
      </c>
      <c r="D7" s="3" t="s">
        <v>163</v>
      </c>
      <c r="E7" s="18" t="s">
        <v>4111</v>
      </c>
      <c r="F7" s="3" t="s">
        <v>5365</v>
      </c>
      <c r="G7" s="685" t="s">
        <v>546</v>
      </c>
      <c r="H7" s="3" t="s">
        <v>4112</v>
      </c>
      <c r="I7" s="275" t="s">
        <v>4113</v>
      </c>
      <c r="J7" s="17"/>
      <c r="K7" s="17"/>
      <c r="L7" s="17"/>
      <c r="M7" s="375" t="str">
        <f>I7&amp;J7&amp;" "&amp;K7&amp;" "&amp;L7</f>
        <v xml:space="preserve">Microsoft México, S. de R.L. de C.V.  </v>
      </c>
      <c r="N7" s="959" t="s">
        <v>656</v>
      </c>
      <c r="O7" s="959" t="s">
        <v>667</v>
      </c>
      <c r="P7" s="959"/>
      <c r="Q7" s="959" t="s">
        <v>4114</v>
      </c>
      <c r="R7" s="962">
        <v>20258620.689655174</v>
      </c>
      <c r="S7" s="962">
        <f>+R7*0.16</f>
        <v>3241379.3103448278</v>
      </c>
      <c r="T7" s="962">
        <f>+R7+S7</f>
        <v>23500000</v>
      </c>
      <c r="U7" s="962">
        <v>0</v>
      </c>
      <c r="V7" s="962">
        <f>(U7*0.16)+(U7)</f>
        <v>0</v>
      </c>
      <c r="W7" s="962">
        <f t="shared" ref="W7:W18" si="1">T7+AG7</f>
        <v>23500000</v>
      </c>
      <c r="X7" s="963" t="s">
        <v>183</v>
      </c>
      <c r="Y7" s="387">
        <v>44524</v>
      </c>
      <c r="Z7" s="3" t="s">
        <v>892</v>
      </c>
      <c r="AA7" s="387">
        <v>44531</v>
      </c>
      <c r="AB7" s="387">
        <v>45626</v>
      </c>
      <c r="AC7" s="4" t="s">
        <v>3113</v>
      </c>
      <c r="AD7" s="4" t="s">
        <v>4115</v>
      </c>
      <c r="AE7" s="4" t="s">
        <v>4116</v>
      </c>
      <c r="AF7" s="521">
        <v>44552</v>
      </c>
      <c r="AG7" s="383">
        <v>0</v>
      </c>
      <c r="AH7" s="414" t="str">
        <f ca="1">IF(ISBLANK(AB7),"",IF(AB7&gt;=TODAY(),"VIGENTE","MUERTO"))</f>
        <v>MUERTO</v>
      </c>
      <c r="AI7" s="3"/>
      <c r="AJ7" s="3"/>
      <c r="AK7" s="3" t="s">
        <v>924</v>
      </c>
      <c r="AL7" s="3"/>
      <c r="AM7" s="3" t="s">
        <v>924</v>
      </c>
      <c r="AN7" s="3"/>
      <c r="AO7" s="3"/>
      <c r="AP7" s="458"/>
      <c r="AQ7" s="388"/>
      <c r="AR7" s="4"/>
      <c r="AS7" s="459"/>
      <c r="AT7" s="281" t="s">
        <v>4117</v>
      </c>
      <c r="AU7" s="4"/>
      <c r="AV7" s="4" t="s">
        <v>4118</v>
      </c>
      <c r="AW7" s="6">
        <v>44504</v>
      </c>
      <c r="AX7" s="463">
        <v>44505</v>
      </c>
      <c r="AY7" s="463" t="s">
        <v>4119</v>
      </c>
      <c r="AZ7" s="6" t="str">
        <f>AY7</f>
        <v>22/12/2021
24/12/2021</v>
      </c>
      <c r="BA7" s="415" t="str">
        <f>AT7</f>
        <v>Contrato y 1er Mod. Formalizado en  tesoreria con endoso deFC  17/01/22</v>
      </c>
      <c r="BB7" s="416">
        <v>44558</v>
      </c>
      <c r="BC7" s="255" t="s">
        <v>4120</v>
      </c>
      <c r="BD7" s="415" t="str">
        <f>AT7</f>
        <v>Contrato y 1er Mod. Formalizado en  tesoreria con endoso deFC  17/01/22</v>
      </c>
      <c r="BE7" s="519"/>
      <c r="BF7" s="519"/>
      <c r="BG7" s="522">
        <v>1119047.6000000001</v>
      </c>
      <c r="BH7" s="522">
        <v>1119047.6000000001</v>
      </c>
      <c r="BI7" s="210">
        <v>1119047.6000000001</v>
      </c>
    </row>
    <row r="8" spans="1:75" ht="120" x14ac:dyDescent="0.25">
      <c r="A8" s="4" t="s">
        <v>5255</v>
      </c>
      <c r="B8" s="1037">
        <v>1</v>
      </c>
      <c r="C8" s="4" t="s">
        <v>225</v>
      </c>
      <c r="D8" s="3" t="s">
        <v>173</v>
      </c>
      <c r="E8" s="18" t="s">
        <v>5367</v>
      </c>
      <c r="F8" s="3" t="s">
        <v>173</v>
      </c>
      <c r="G8" s="3"/>
      <c r="H8" s="3" t="s">
        <v>3785</v>
      </c>
      <c r="I8" s="375" t="s">
        <v>4498</v>
      </c>
      <c r="J8" s="17"/>
      <c r="K8" s="17"/>
      <c r="L8" s="17"/>
      <c r="M8" s="375" t="str">
        <f t="shared" ref="M8:M39" si="2">I8&amp;J8&amp;" "&amp;K8&amp;" "&amp;L8</f>
        <v xml:space="preserve">Cadgrafics, S.A. de C.V.  </v>
      </c>
      <c r="N8" s="959" t="s">
        <v>656</v>
      </c>
      <c r="O8" s="959" t="s">
        <v>667</v>
      </c>
      <c r="P8" s="959" t="s">
        <v>5368</v>
      </c>
      <c r="Q8" s="959" t="s">
        <v>5369</v>
      </c>
      <c r="R8" s="962">
        <v>1852500</v>
      </c>
      <c r="S8" s="383">
        <f t="shared" ref="S8:S17" si="3">R8*0.16</f>
        <v>296400</v>
      </c>
      <c r="T8" s="384">
        <f t="shared" ref="T8:T18" si="4">R8+S8</f>
        <v>2148900</v>
      </c>
      <c r="U8" s="385" t="s">
        <v>161</v>
      </c>
      <c r="V8" s="385" t="s">
        <v>161</v>
      </c>
      <c r="W8" s="383">
        <f t="shared" si="1"/>
        <v>2148900</v>
      </c>
      <c r="X8" s="963" t="s">
        <v>156</v>
      </c>
      <c r="Y8" s="387">
        <v>44928</v>
      </c>
      <c r="Z8" s="3" t="s">
        <v>157</v>
      </c>
      <c r="AA8" s="387">
        <v>44927</v>
      </c>
      <c r="AB8" s="387">
        <v>45291</v>
      </c>
      <c r="AC8" s="4" t="s">
        <v>3113</v>
      </c>
      <c r="AD8" s="4"/>
      <c r="AE8" s="4"/>
      <c r="AF8" s="388"/>
      <c r="AG8" s="383">
        <v>0</v>
      </c>
      <c r="AH8" s="414"/>
      <c r="AI8" s="3"/>
      <c r="AJ8" s="3"/>
      <c r="AK8" s="3" t="s">
        <v>157</v>
      </c>
      <c r="AL8" s="3"/>
      <c r="AM8" s="3" t="s">
        <v>157</v>
      </c>
      <c r="AN8" s="3"/>
      <c r="AO8" s="3"/>
      <c r="AP8" s="458"/>
      <c r="AQ8" s="388"/>
      <c r="AR8" s="4"/>
      <c r="AS8" s="459"/>
      <c r="AT8" s="281" t="s">
        <v>5370</v>
      </c>
      <c r="AU8" s="4"/>
      <c r="AV8" s="4"/>
      <c r="AW8" s="523">
        <v>45289</v>
      </c>
      <c r="AX8" s="523">
        <v>45289</v>
      </c>
      <c r="AY8" s="6">
        <v>44928</v>
      </c>
      <c r="AZ8" s="6">
        <f t="shared" ref="AZ8:AZ36" si="5">AY8</f>
        <v>44928</v>
      </c>
      <c r="BA8" s="415" t="str">
        <f t="shared" ref="BA8:BA36" si="6">AT8</f>
        <v>Contrato formalizado con FC 20/01/23</v>
      </c>
      <c r="BB8" s="416">
        <v>44946</v>
      </c>
      <c r="BC8" s="271" t="s">
        <v>5371</v>
      </c>
      <c r="BD8" s="6"/>
      <c r="BE8" s="6"/>
      <c r="BF8" s="519"/>
      <c r="BG8" s="519"/>
      <c r="BH8" s="519"/>
      <c r="BI8" s="84"/>
      <c r="BJ8" s="84"/>
    </row>
    <row r="9" spans="1:75" ht="75" x14ac:dyDescent="0.25">
      <c r="A9" s="286" t="s">
        <v>5372</v>
      </c>
      <c r="B9" s="252">
        <v>2</v>
      </c>
      <c r="C9" s="4" t="s">
        <v>225</v>
      </c>
      <c r="D9" s="3" t="s">
        <v>163</v>
      </c>
      <c r="E9" s="18" t="s">
        <v>5373</v>
      </c>
      <c r="F9" s="3" t="s">
        <v>5365</v>
      </c>
      <c r="G9" s="685" t="s">
        <v>546</v>
      </c>
      <c r="H9" s="3" t="s">
        <v>568</v>
      </c>
      <c r="I9" s="275" t="s">
        <v>5374</v>
      </c>
      <c r="J9" s="17"/>
      <c r="K9" s="17"/>
      <c r="L9" s="17"/>
      <c r="M9" s="375" t="str">
        <f t="shared" si="2"/>
        <v xml:space="preserve">Videodepot, S.A. de C.V.  </v>
      </c>
      <c r="N9" s="959" t="s">
        <v>860</v>
      </c>
      <c r="O9" s="959" t="s">
        <v>5152</v>
      </c>
      <c r="P9" s="959" t="s">
        <v>5152</v>
      </c>
      <c r="Q9" s="959" t="s">
        <v>5375</v>
      </c>
      <c r="R9" s="962">
        <v>875973.7</v>
      </c>
      <c r="S9" s="383">
        <f t="shared" si="3"/>
        <v>140155.79199999999</v>
      </c>
      <c r="T9" s="384">
        <f t="shared" si="4"/>
        <v>1016129.492</v>
      </c>
      <c r="U9" s="385" t="s">
        <v>161</v>
      </c>
      <c r="V9" s="385" t="s">
        <v>161</v>
      </c>
      <c r="W9" s="383">
        <f t="shared" si="1"/>
        <v>1016129.492</v>
      </c>
      <c r="X9" s="963" t="s">
        <v>156</v>
      </c>
      <c r="Y9" s="387">
        <v>44970</v>
      </c>
      <c r="Z9" s="3" t="s">
        <v>193</v>
      </c>
      <c r="AA9" s="387">
        <v>44970</v>
      </c>
      <c r="AB9" s="387">
        <v>44974</v>
      </c>
      <c r="AC9" s="4" t="s">
        <v>2050</v>
      </c>
      <c r="AD9" s="412"/>
      <c r="AE9" s="4"/>
      <c r="AF9" s="388"/>
      <c r="AG9" s="383"/>
      <c r="AH9" s="414" t="str">
        <f t="shared" ref="AH9:AH54" ca="1" si="7">IF(ISBLANK(AB9),"",IF(AB9&gt;=TODAY(),"VIGENTE","MUERTO"))</f>
        <v>MUERTO</v>
      </c>
      <c r="AI9" s="3"/>
      <c r="AJ9" s="3"/>
      <c r="AK9" s="3" t="s">
        <v>193</v>
      </c>
      <c r="AL9" s="3"/>
      <c r="AM9" s="3" t="s">
        <v>193</v>
      </c>
      <c r="AN9" s="3"/>
      <c r="AO9" s="3"/>
      <c r="AP9" s="458"/>
      <c r="AQ9" s="388"/>
      <c r="AR9" s="4"/>
      <c r="AS9" s="459"/>
      <c r="AT9" s="281" t="s">
        <v>5376</v>
      </c>
      <c r="AU9" s="4"/>
      <c r="AV9" s="4" t="e">
        <f>VLOOKUP(I9,[2]RFC!$1:$1048576,2,0)</f>
        <v>#N/A</v>
      </c>
      <c r="AW9" s="6">
        <v>44967</v>
      </c>
      <c r="AX9" s="6">
        <v>44967</v>
      </c>
      <c r="AY9" s="6">
        <v>44971</v>
      </c>
      <c r="AZ9" s="6">
        <f t="shared" si="5"/>
        <v>44971</v>
      </c>
      <c r="BA9" s="415" t="str">
        <f t="shared" si="6"/>
        <v>Contrato formalizado  16/02</v>
      </c>
      <c r="BB9" s="416">
        <v>44972</v>
      </c>
      <c r="BC9" s="255">
        <v>44971</v>
      </c>
      <c r="BD9" s="519"/>
      <c r="BE9" s="519"/>
      <c r="BF9" s="519"/>
      <c r="BG9" s="519"/>
      <c r="BH9" s="519"/>
    </row>
    <row r="10" spans="1:75" ht="409.5" x14ac:dyDescent="0.25">
      <c r="A10" s="417" t="s">
        <v>5377</v>
      </c>
      <c r="B10" s="1037">
        <v>3</v>
      </c>
      <c r="C10" s="4" t="s">
        <v>225</v>
      </c>
      <c r="D10" s="3" t="s">
        <v>173</v>
      </c>
      <c r="E10" s="18" t="s">
        <v>5378</v>
      </c>
      <c r="F10" s="3" t="s">
        <v>173</v>
      </c>
      <c r="G10" s="3"/>
      <c r="H10" s="3" t="s">
        <v>3785</v>
      </c>
      <c r="I10" s="275"/>
      <c r="J10" s="17" t="s">
        <v>3850</v>
      </c>
      <c r="K10" s="17" t="s">
        <v>3851</v>
      </c>
      <c r="L10" s="17" t="s">
        <v>3852</v>
      </c>
      <c r="M10" s="375" t="str">
        <f t="shared" si="2"/>
        <v>Roberto Carlos Blanco Senties</v>
      </c>
      <c r="N10" s="959" t="s">
        <v>270</v>
      </c>
      <c r="O10" s="959" t="s">
        <v>270</v>
      </c>
      <c r="P10" s="959" t="s">
        <v>271</v>
      </c>
      <c r="Q10" s="959" t="s">
        <v>5379</v>
      </c>
      <c r="R10" s="962">
        <v>271527.17</v>
      </c>
      <c r="S10" s="383">
        <f t="shared" si="3"/>
        <v>43444.347199999997</v>
      </c>
      <c r="T10" s="384">
        <f t="shared" si="4"/>
        <v>314971.5172</v>
      </c>
      <c r="U10" s="385">
        <v>108610.87</v>
      </c>
      <c r="V10" s="386">
        <f t="shared" ref="V10:V17" si="8">(U10*0.16)+(U10)</f>
        <v>125988.60919999999</v>
      </c>
      <c r="W10" s="383">
        <f t="shared" si="1"/>
        <v>314971.5172</v>
      </c>
      <c r="X10" s="963" t="s">
        <v>156</v>
      </c>
      <c r="Y10" s="387">
        <v>44973</v>
      </c>
      <c r="Z10" s="3" t="s">
        <v>193</v>
      </c>
      <c r="AA10" s="387">
        <v>44973</v>
      </c>
      <c r="AB10" s="387">
        <v>45291</v>
      </c>
      <c r="AC10" s="4" t="s">
        <v>3113</v>
      </c>
      <c r="AD10" s="412" t="s">
        <v>5380</v>
      </c>
      <c r="AE10" s="417" t="s">
        <v>5381</v>
      </c>
      <c r="AF10" s="524" t="s">
        <v>5382</v>
      </c>
      <c r="AG10" s="525">
        <v>0</v>
      </c>
      <c r="AH10" s="414" t="str">
        <f t="shared" ca="1" si="7"/>
        <v>MUERTO</v>
      </c>
      <c r="AI10" s="3"/>
      <c r="AJ10" s="3"/>
      <c r="AK10" s="3" t="s">
        <v>193</v>
      </c>
      <c r="AL10" s="3"/>
      <c r="AM10" s="3" t="s">
        <v>193</v>
      </c>
      <c r="AN10" s="3"/>
      <c r="AO10" s="3"/>
      <c r="AP10" s="458"/>
      <c r="AQ10" s="388"/>
      <c r="AR10" s="4"/>
      <c r="AS10" s="459"/>
      <c r="AT10" s="281" t="s">
        <v>5383</v>
      </c>
      <c r="AU10" s="4"/>
      <c r="AV10" s="4" t="e">
        <f>VLOOKUP(I10,[2]RFC!$1:$1048576,2,0)</f>
        <v>#N/A</v>
      </c>
      <c r="AW10" s="6">
        <v>44970</v>
      </c>
      <c r="AX10" s="6">
        <v>44971</v>
      </c>
      <c r="AY10" s="6" t="s">
        <v>5384</v>
      </c>
      <c r="AZ10" s="6" t="str">
        <f t="shared" si="5"/>
        <v>16/02/2023
18/07/2023</v>
      </c>
      <c r="BA10" s="415" t="str">
        <f t="shared" si="6"/>
        <v>Contrato formalizado con fc 13/03
Modificatorio formalizado con endoso 31/07</v>
      </c>
      <c r="BB10" s="416" t="s">
        <v>5385</v>
      </c>
      <c r="BC10" s="255" t="s">
        <v>5386</v>
      </c>
      <c r="BD10" s="519"/>
      <c r="BE10" s="519"/>
      <c r="BF10" s="519"/>
      <c r="BG10" s="519"/>
      <c r="BH10" s="519"/>
    </row>
    <row r="11" spans="1:75" ht="75" x14ac:dyDescent="0.25">
      <c r="A11" s="286" t="s">
        <v>5387</v>
      </c>
      <c r="B11" s="252">
        <v>4</v>
      </c>
      <c r="C11" s="4" t="s">
        <v>225</v>
      </c>
      <c r="D11" s="3" t="s">
        <v>173</v>
      </c>
      <c r="E11" s="18" t="s">
        <v>5378</v>
      </c>
      <c r="F11" s="3" t="str">
        <f t="shared" ref="F11:F24" si="9">D11</f>
        <v>Licitación Pública</v>
      </c>
      <c r="G11" s="3"/>
      <c r="H11" s="3" t="s">
        <v>3785</v>
      </c>
      <c r="I11" s="275" t="s">
        <v>5388</v>
      </c>
      <c r="J11" s="17"/>
      <c r="K11" s="17"/>
      <c r="L11" s="17"/>
      <c r="M11" s="375" t="str">
        <f t="shared" si="2"/>
        <v xml:space="preserve">Grupo CO. VOG, S.A. de C.V.  </v>
      </c>
      <c r="N11" s="959" t="s">
        <v>270</v>
      </c>
      <c r="O11" s="959" t="s">
        <v>270</v>
      </c>
      <c r="P11" s="959" t="s">
        <v>271</v>
      </c>
      <c r="Q11" s="959" t="s">
        <v>5389</v>
      </c>
      <c r="R11" s="962">
        <v>70638.61</v>
      </c>
      <c r="S11" s="383">
        <f t="shared" si="3"/>
        <v>11302.177600000001</v>
      </c>
      <c r="T11" s="384">
        <f t="shared" si="4"/>
        <v>81940.787599999996</v>
      </c>
      <c r="U11" s="385">
        <v>28255.439999999999</v>
      </c>
      <c r="V11" s="386">
        <f t="shared" si="8"/>
        <v>32776.310400000002</v>
      </c>
      <c r="W11" s="383">
        <f t="shared" si="1"/>
        <v>81940.787599999996</v>
      </c>
      <c r="X11" s="963" t="s">
        <v>156</v>
      </c>
      <c r="Y11" s="387">
        <v>44973</v>
      </c>
      <c r="Z11" s="3" t="s">
        <v>193</v>
      </c>
      <c r="AA11" s="387">
        <v>44973</v>
      </c>
      <c r="AB11" s="387">
        <v>45291</v>
      </c>
      <c r="AC11" s="4" t="s">
        <v>3113</v>
      </c>
      <c r="AD11" s="412"/>
      <c r="AE11" s="4"/>
      <c r="AF11" s="388"/>
      <c r="AG11" s="383"/>
      <c r="AH11" s="414" t="str">
        <f t="shared" ca="1" si="7"/>
        <v>MUERTO</v>
      </c>
      <c r="AI11" s="3"/>
      <c r="AJ11" s="3"/>
      <c r="AK11" s="3" t="s">
        <v>193</v>
      </c>
      <c r="AL11" s="3"/>
      <c r="AM11" s="3" t="s">
        <v>193</v>
      </c>
      <c r="AN11" s="3"/>
      <c r="AO11" s="3"/>
      <c r="AP11" s="458"/>
      <c r="AQ11" s="388"/>
      <c r="AR11" s="4"/>
      <c r="AS11" s="459"/>
      <c r="AT11" s="281" t="s">
        <v>5390</v>
      </c>
      <c r="AU11" s="4"/>
      <c r="AV11" s="4" t="e">
        <f>VLOOKUP(I11,[2]RFC!$1:$1048576,2,0)</f>
        <v>#N/A</v>
      </c>
      <c r="AW11" s="6">
        <v>44970</v>
      </c>
      <c r="AX11" s="6">
        <v>44971</v>
      </c>
      <c r="AY11" s="6">
        <v>44974</v>
      </c>
      <c r="AZ11" s="6">
        <f t="shared" si="5"/>
        <v>44974</v>
      </c>
      <c r="BA11" s="415" t="str">
        <f t="shared" si="6"/>
        <v>Contrato formalizado con garantías 02/03</v>
      </c>
      <c r="BB11" s="416">
        <v>44985</v>
      </c>
      <c r="BC11" s="255">
        <v>44981</v>
      </c>
      <c r="BD11" s="519"/>
      <c r="BE11" s="519"/>
      <c r="BF11" s="519"/>
      <c r="BG11" s="519"/>
      <c r="BH11" s="519"/>
    </row>
    <row r="12" spans="1:75" ht="45" x14ac:dyDescent="0.25">
      <c r="A12" s="286" t="s">
        <v>5391</v>
      </c>
      <c r="B12" s="1037">
        <v>5</v>
      </c>
      <c r="C12" s="4" t="s">
        <v>225</v>
      </c>
      <c r="D12" s="3" t="s">
        <v>173</v>
      </c>
      <c r="E12" s="18" t="s">
        <v>5378</v>
      </c>
      <c r="F12" s="3" t="str">
        <f t="shared" si="9"/>
        <v>Licitación Pública</v>
      </c>
      <c r="G12" s="3"/>
      <c r="H12" s="3" t="s">
        <v>3785</v>
      </c>
      <c r="I12" s="275" t="s">
        <v>3471</v>
      </c>
      <c r="J12" s="17"/>
      <c r="K12" s="17"/>
      <c r="L12" s="17"/>
      <c r="M12" s="375" t="str">
        <f t="shared" si="2"/>
        <v xml:space="preserve">Equipos Carlin de Morelos, S.A. de C.V.  </v>
      </c>
      <c r="N12" s="959" t="s">
        <v>270</v>
      </c>
      <c r="O12" s="959" t="s">
        <v>270</v>
      </c>
      <c r="P12" s="959" t="s">
        <v>271</v>
      </c>
      <c r="Q12" s="959" t="s">
        <v>5392</v>
      </c>
      <c r="R12" s="962">
        <v>1412870.95</v>
      </c>
      <c r="S12" s="383">
        <f t="shared" si="3"/>
        <v>226059.35199999998</v>
      </c>
      <c r="T12" s="384">
        <f t="shared" si="4"/>
        <v>1638930.3019999999</v>
      </c>
      <c r="U12" s="385">
        <v>565148.38</v>
      </c>
      <c r="V12" s="386">
        <f t="shared" si="8"/>
        <v>655572.12080000003</v>
      </c>
      <c r="W12" s="383">
        <f t="shared" si="1"/>
        <v>1638930.3019999999</v>
      </c>
      <c r="X12" s="963" t="s">
        <v>156</v>
      </c>
      <c r="Y12" s="387">
        <v>44973</v>
      </c>
      <c r="Z12" s="3" t="s">
        <v>193</v>
      </c>
      <c r="AA12" s="387">
        <v>44973</v>
      </c>
      <c r="AB12" s="387">
        <v>45291</v>
      </c>
      <c r="AC12" s="4" t="s">
        <v>3113</v>
      </c>
      <c r="AD12" s="412"/>
      <c r="AE12" s="4"/>
      <c r="AF12" s="388"/>
      <c r="AG12" s="383"/>
      <c r="AH12" s="414" t="str">
        <f t="shared" ca="1" si="7"/>
        <v>MUERTO</v>
      </c>
      <c r="AI12" s="3"/>
      <c r="AJ12" s="3"/>
      <c r="AK12" s="3" t="s">
        <v>193</v>
      </c>
      <c r="AL12" s="3"/>
      <c r="AM12" s="3" t="s">
        <v>193</v>
      </c>
      <c r="AN12" s="3"/>
      <c r="AO12" s="3"/>
      <c r="AP12" s="458"/>
      <c r="AQ12" s="388"/>
      <c r="AR12" s="4"/>
      <c r="AS12" s="459"/>
      <c r="AT12" s="281" t="s">
        <v>5393</v>
      </c>
      <c r="AU12" s="4"/>
      <c r="AV12" s="4" t="str">
        <f>VLOOKUP(I12,[2]RFC!$1:$1048576,2,0)</f>
        <v>ECM110819NL3</v>
      </c>
      <c r="AW12" s="6">
        <v>44970</v>
      </c>
      <c r="AX12" s="6">
        <v>44971</v>
      </c>
      <c r="AY12" s="6">
        <v>44974</v>
      </c>
      <c r="AZ12" s="6">
        <f t="shared" si="5"/>
        <v>44974</v>
      </c>
      <c r="BA12" s="415" t="str">
        <f t="shared" si="6"/>
        <v>Contrato formalizado 07/03</v>
      </c>
      <c r="BB12" s="416">
        <v>44980</v>
      </c>
      <c r="BC12" s="255">
        <v>44977</v>
      </c>
      <c r="BD12" s="519"/>
      <c r="BE12" s="519"/>
      <c r="BF12" s="519"/>
      <c r="BG12" s="519"/>
      <c r="BH12" s="519"/>
    </row>
    <row r="13" spans="1:75" ht="165" x14ac:dyDescent="0.25">
      <c r="A13" s="417" t="s">
        <v>5394</v>
      </c>
      <c r="B13" s="252">
        <v>6</v>
      </c>
      <c r="C13" s="4" t="s">
        <v>225</v>
      </c>
      <c r="D13" s="3" t="s">
        <v>173</v>
      </c>
      <c r="E13" s="18" t="s">
        <v>5378</v>
      </c>
      <c r="F13" s="3" t="str">
        <f t="shared" si="9"/>
        <v>Licitación Pública</v>
      </c>
      <c r="G13" s="3"/>
      <c r="H13" s="3" t="s">
        <v>3785</v>
      </c>
      <c r="I13" s="275" t="s">
        <v>446</v>
      </c>
      <c r="J13" s="17"/>
      <c r="K13" s="17"/>
      <c r="L13" s="17"/>
      <c r="M13" s="375" t="str">
        <f t="shared" si="2"/>
        <v xml:space="preserve">Internacional Proveedora de Industrias, S.A. de C.V.  </v>
      </c>
      <c r="N13" s="959" t="s">
        <v>270</v>
      </c>
      <c r="O13" s="959" t="s">
        <v>270</v>
      </c>
      <c r="P13" s="959" t="s">
        <v>271</v>
      </c>
      <c r="Q13" s="959" t="s">
        <v>5395</v>
      </c>
      <c r="R13" s="962">
        <v>999329.88</v>
      </c>
      <c r="S13" s="383">
        <f t="shared" si="3"/>
        <v>159892.78080000001</v>
      </c>
      <c r="T13" s="384">
        <f t="shared" si="4"/>
        <v>1159222.6608</v>
      </c>
      <c r="U13" s="385">
        <v>399731.96</v>
      </c>
      <c r="V13" s="386">
        <f t="shared" si="8"/>
        <v>463689.0736</v>
      </c>
      <c r="W13" s="383">
        <f t="shared" si="1"/>
        <v>1159222.6608</v>
      </c>
      <c r="X13" s="963" t="s">
        <v>156</v>
      </c>
      <c r="Y13" s="387">
        <v>44973</v>
      </c>
      <c r="Z13" s="3" t="s">
        <v>193</v>
      </c>
      <c r="AA13" s="387">
        <v>44973</v>
      </c>
      <c r="AB13" s="387">
        <v>45291</v>
      </c>
      <c r="AC13" s="4" t="s">
        <v>3113</v>
      </c>
      <c r="AD13" s="526" t="s">
        <v>5396</v>
      </c>
      <c r="AE13" s="527" t="s">
        <v>5397</v>
      </c>
      <c r="AF13" s="521">
        <v>45204</v>
      </c>
      <c r="AG13" s="528">
        <v>0</v>
      </c>
      <c r="AH13" s="414" t="str">
        <f t="shared" ca="1" si="7"/>
        <v>MUERTO</v>
      </c>
      <c r="AI13" s="3"/>
      <c r="AJ13" s="3"/>
      <c r="AK13" s="3" t="s">
        <v>193</v>
      </c>
      <c r="AL13" s="3" t="s">
        <v>5398</v>
      </c>
      <c r="AM13" s="3" t="s">
        <v>193</v>
      </c>
      <c r="AN13" s="3"/>
      <c r="AO13" s="3"/>
      <c r="AP13" s="458"/>
      <c r="AQ13" s="388"/>
      <c r="AR13" s="4"/>
      <c r="AS13" s="459"/>
      <c r="AT13" s="281" t="s">
        <v>5399</v>
      </c>
      <c r="AU13" s="4"/>
      <c r="AV13" s="4" t="str">
        <f>VLOOKUP(I13,[2]RFC!$1:$1048576,2,0)</f>
        <v>IPI860721MN1</v>
      </c>
      <c r="AW13" s="6" t="s">
        <v>5400</v>
      </c>
      <c r="AX13" s="6" t="s">
        <v>5401</v>
      </c>
      <c r="AY13" s="6" t="s">
        <v>5402</v>
      </c>
      <c r="AZ13" s="6" t="str">
        <f t="shared" si="5"/>
        <v>17/02/2023
09/10/2023</v>
      </c>
      <c r="BA13" s="415" t="str">
        <f t="shared" si="6"/>
        <v>Contrato formalizado con FC 28/02
Modificatorio formalizado 16/10</v>
      </c>
      <c r="BB13" s="416" t="s">
        <v>5403</v>
      </c>
      <c r="BC13" s="255" t="s">
        <v>5404</v>
      </c>
      <c r="BD13" s="519"/>
      <c r="BE13" s="519"/>
      <c r="BF13" s="519"/>
      <c r="BG13" s="519"/>
      <c r="BH13" s="519"/>
    </row>
    <row r="14" spans="1:75" ht="60" x14ac:dyDescent="0.25">
      <c r="A14" s="286" t="s">
        <v>5405</v>
      </c>
      <c r="B14" s="1037">
        <v>7</v>
      </c>
      <c r="C14" s="4" t="s">
        <v>225</v>
      </c>
      <c r="D14" s="3" t="s">
        <v>173</v>
      </c>
      <c r="E14" s="18" t="s">
        <v>5406</v>
      </c>
      <c r="F14" s="3" t="str">
        <f t="shared" si="9"/>
        <v>Licitación Pública</v>
      </c>
      <c r="G14" s="3"/>
      <c r="H14" s="3" t="s">
        <v>3785</v>
      </c>
      <c r="I14" s="275" t="s">
        <v>511</v>
      </c>
      <c r="J14" s="17"/>
      <c r="K14" s="17"/>
      <c r="L14" s="17"/>
      <c r="M14" s="375" t="str">
        <f t="shared" si="2"/>
        <v xml:space="preserve">Cicovisa, S.A. de C.V.  </v>
      </c>
      <c r="N14" s="959" t="s">
        <v>270</v>
      </c>
      <c r="O14" s="959" t="s">
        <v>270</v>
      </c>
      <c r="P14" s="959" t="s">
        <v>271</v>
      </c>
      <c r="Q14" s="959" t="s">
        <v>5407</v>
      </c>
      <c r="R14" s="962">
        <v>213912.75</v>
      </c>
      <c r="S14" s="383">
        <f t="shared" si="3"/>
        <v>34226.04</v>
      </c>
      <c r="T14" s="384">
        <f t="shared" si="4"/>
        <v>248138.79</v>
      </c>
      <c r="U14" s="385">
        <v>85565.1</v>
      </c>
      <c r="V14" s="386">
        <f t="shared" si="8"/>
        <v>99255.516000000003</v>
      </c>
      <c r="W14" s="383">
        <f t="shared" si="1"/>
        <v>248138.79</v>
      </c>
      <c r="X14" s="963" t="s">
        <v>156</v>
      </c>
      <c r="Y14" s="387">
        <v>44977</v>
      </c>
      <c r="Z14" s="3" t="s">
        <v>193</v>
      </c>
      <c r="AA14" s="387">
        <v>44977</v>
      </c>
      <c r="AB14" s="387">
        <v>45291</v>
      </c>
      <c r="AC14" s="4" t="s">
        <v>3113</v>
      </c>
      <c r="AD14" s="412"/>
      <c r="AE14" s="4"/>
      <c r="AF14" s="388"/>
      <c r="AG14" s="383"/>
      <c r="AH14" s="414" t="str">
        <f t="shared" ca="1" si="7"/>
        <v>MUERTO</v>
      </c>
      <c r="AI14" s="3"/>
      <c r="AJ14" s="3"/>
      <c r="AK14" s="3" t="s">
        <v>193</v>
      </c>
      <c r="AL14" s="3"/>
      <c r="AM14" s="3" t="s">
        <v>193</v>
      </c>
      <c r="AN14" s="3"/>
      <c r="AO14" s="3"/>
      <c r="AP14" s="458"/>
      <c r="AQ14" s="388"/>
      <c r="AR14" s="4"/>
      <c r="AS14" s="459"/>
      <c r="AT14" s="281" t="s">
        <v>5408</v>
      </c>
      <c r="AU14" s="4"/>
      <c r="AV14" s="4" t="str">
        <f>VLOOKUP(I14,[2]RFC!$1:$1048576,2,0)</f>
        <v>CIC8308165A4</v>
      </c>
      <c r="AW14" s="6">
        <v>44972</v>
      </c>
      <c r="AX14" s="463">
        <v>44973</v>
      </c>
      <c r="AY14" s="6">
        <v>44977</v>
      </c>
      <c r="AZ14" s="6">
        <f t="shared" si="5"/>
        <v>44977</v>
      </c>
      <c r="BA14" s="415" t="str">
        <f t="shared" si="6"/>
        <v>Contrato formalizado con FC 13/03</v>
      </c>
      <c r="BB14" s="416">
        <v>44985</v>
      </c>
      <c r="BC14" s="255">
        <v>44980</v>
      </c>
      <c r="BD14" s="519"/>
      <c r="BE14" s="519"/>
      <c r="BF14" s="519"/>
      <c r="BG14" s="519"/>
      <c r="BH14" s="519"/>
    </row>
    <row r="15" spans="1:75" ht="165" x14ac:dyDescent="0.25">
      <c r="A15" s="417" t="s">
        <v>5409</v>
      </c>
      <c r="B15" s="252">
        <v>8</v>
      </c>
      <c r="C15" s="4" t="s">
        <v>225</v>
      </c>
      <c r="D15" s="3" t="s">
        <v>173</v>
      </c>
      <c r="E15" s="18" t="s">
        <v>5406</v>
      </c>
      <c r="F15" s="3" t="str">
        <f t="shared" si="9"/>
        <v>Licitación Pública</v>
      </c>
      <c r="G15" s="3"/>
      <c r="H15" s="3" t="s">
        <v>3785</v>
      </c>
      <c r="I15" s="275" t="s">
        <v>522</v>
      </c>
      <c r="J15" s="17"/>
      <c r="K15" s="17"/>
      <c r="L15" s="17"/>
      <c r="M15" s="375" t="str">
        <f t="shared" si="2"/>
        <v xml:space="preserve">Papelera Anzures, S.A. de C.V.  </v>
      </c>
      <c r="N15" s="959" t="s">
        <v>270</v>
      </c>
      <c r="O15" s="959" t="s">
        <v>270</v>
      </c>
      <c r="P15" s="959" t="s">
        <v>271</v>
      </c>
      <c r="Q15" s="959" t="s">
        <v>5410</v>
      </c>
      <c r="R15" s="962">
        <v>5672237.1699999999</v>
      </c>
      <c r="S15" s="383">
        <f t="shared" si="3"/>
        <v>907557.94720000005</v>
      </c>
      <c r="T15" s="384">
        <f t="shared" si="4"/>
        <v>6579795.1172000002</v>
      </c>
      <c r="U15" s="385">
        <v>2268894.86</v>
      </c>
      <c r="V15" s="386">
        <f t="shared" si="8"/>
        <v>2631918.0375999999</v>
      </c>
      <c r="W15" s="528">
        <f t="shared" si="1"/>
        <v>7074452.9772000005</v>
      </c>
      <c r="X15" s="963" t="s">
        <v>156</v>
      </c>
      <c r="Y15" s="387">
        <v>44977</v>
      </c>
      <c r="Z15" s="3" t="s">
        <v>193</v>
      </c>
      <c r="AA15" s="387">
        <v>44977</v>
      </c>
      <c r="AB15" s="387">
        <v>45291</v>
      </c>
      <c r="AC15" s="4" t="s">
        <v>3113</v>
      </c>
      <c r="AD15" s="412"/>
      <c r="AE15" s="527" t="s">
        <v>5411</v>
      </c>
      <c r="AF15" s="521">
        <v>45180</v>
      </c>
      <c r="AG15" s="528">
        <v>494657.86</v>
      </c>
      <c r="AH15" s="414" t="str">
        <f t="shared" ca="1" si="7"/>
        <v>MUERTO</v>
      </c>
      <c r="AI15" s="3"/>
      <c r="AJ15" s="3"/>
      <c r="AK15" s="3" t="s">
        <v>193</v>
      </c>
      <c r="AL15" s="3"/>
      <c r="AM15" s="3" t="s">
        <v>193</v>
      </c>
      <c r="AN15" s="3"/>
      <c r="AO15" s="3"/>
      <c r="AP15" s="458"/>
      <c r="AQ15" s="388"/>
      <c r="AR15" s="4"/>
      <c r="AS15" s="459"/>
      <c r="AT15" s="281" t="s">
        <v>5412</v>
      </c>
      <c r="AU15" s="4"/>
      <c r="AV15" s="4" t="str">
        <f>VLOOKUP(I15,[2]RFC!$1:$1048576,2,0)</f>
        <v>PAN910613PB0</v>
      </c>
      <c r="AW15" s="6" t="s">
        <v>5413</v>
      </c>
      <c r="AX15" s="463" t="s">
        <v>5414</v>
      </c>
      <c r="AY15" s="6" t="s">
        <v>5415</v>
      </c>
      <c r="AZ15" s="6" t="str">
        <f t="shared" si="5"/>
        <v>21/02/2023
14/09/2023</v>
      </c>
      <c r="BA15" s="415" t="str">
        <f t="shared" si="6"/>
        <v>Contrato formalizado con garantías 02/03
Modificatorio formalizado con endoso 02/10</v>
      </c>
      <c r="BB15" s="416" t="s">
        <v>5416</v>
      </c>
      <c r="BC15" s="255" t="s">
        <v>5417</v>
      </c>
      <c r="BD15" s="519"/>
      <c r="BE15" s="519"/>
      <c r="BF15" s="519"/>
      <c r="BG15" s="519"/>
      <c r="BH15" s="519"/>
      <c r="BI15" s="499"/>
      <c r="BJ15" s="180"/>
      <c r="BK15" s="180"/>
      <c r="BL15" s="261"/>
    </row>
    <row r="16" spans="1:75" ht="60" x14ac:dyDescent="0.25">
      <c r="A16" s="286" t="s">
        <v>5418</v>
      </c>
      <c r="B16" s="1037">
        <v>9</v>
      </c>
      <c r="C16" s="4" t="s">
        <v>225</v>
      </c>
      <c r="D16" s="3" t="s">
        <v>173</v>
      </c>
      <c r="E16" s="18" t="s">
        <v>5419</v>
      </c>
      <c r="F16" s="3" t="str">
        <f t="shared" si="9"/>
        <v>Licitación Pública</v>
      </c>
      <c r="G16" s="3"/>
      <c r="H16" s="3" t="s">
        <v>3785</v>
      </c>
      <c r="I16" s="275" t="s">
        <v>528</v>
      </c>
      <c r="J16" s="17"/>
      <c r="K16" s="17"/>
      <c r="L16" s="17"/>
      <c r="M16" s="375" t="str">
        <f t="shared" si="2"/>
        <v xml:space="preserve">Café 1810, S.A. de C.V.  </v>
      </c>
      <c r="N16" s="959" t="s">
        <v>270</v>
      </c>
      <c r="O16" s="959" t="s">
        <v>270</v>
      </c>
      <c r="P16" s="959" t="s">
        <v>271</v>
      </c>
      <c r="Q16" s="959" t="s">
        <v>5420</v>
      </c>
      <c r="R16" s="962">
        <v>3347179.76</v>
      </c>
      <c r="S16" s="383">
        <f t="shared" si="3"/>
        <v>535548.76159999997</v>
      </c>
      <c r="T16" s="384">
        <f t="shared" si="4"/>
        <v>3882728.5215999996</v>
      </c>
      <c r="U16" s="385">
        <v>1338871.9099999999</v>
      </c>
      <c r="V16" s="386">
        <f t="shared" si="8"/>
        <v>1553091.4155999999</v>
      </c>
      <c r="W16" s="383">
        <f t="shared" si="1"/>
        <v>3882728.5215999996</v>
      </c>
      <c r="X16" s="963" t="s">
        <v>156</v>
      </c>
      <c r="Y16" s="387">
        <v>44980</v>
      </c>
      <c r="Z16" s="3" t="s">
        <v>193</v>
      </c>
      <c r="AA16" s="387">
        <v>44980</v>
      </c>
      <c r="AB16" s="387">
        <v>45291</v>
      </c>
      <c r="AC16" s="4" t="s">
        <v>3113</v>
      </c>
      <c r="AD16" s="412"/>
      <c r="AE16" s="4"/>
      <c r="AF16" s="388"/>
      <c r="AG16" s="383"/>
      <c r="AH16" s="414" t="str">
        <f t="shared" ca="1" si="7"/>
        <v>MUERTO</v>
      </c>
      <c r="AI16" s="3"/>
      <c r="AJ16" s="3"/>
      <c r="AK16" s="3" t="s">
        <v>193</v>
      </c>
      <c r="AL16" s="3"/>
      <c r="AM16" s="3" t="s">
        <v>193</v>
      </c>
      <c r="AN16" s="3"/>
      <c r="AO16" s="3"/>
      <c r="AP16" s="458"/>
      <c r="AQ16" s="388"/>
      <c r="AR16" s="4"/>
      <c r="AS16" s="459"/>
      <c r="AT16" s="281" t="s">
        <v>5421</v>
      </c>
      <c r="AU16" s="4"/>
      <c r="AV16" s="4" t="str">
        <f>VLOOKUP(I16,[2]RFC!$1:$1048576,2,0)</f>
        <v>CMO111004CI3</v>
      </c>
      <c r="AW16" s="6">
        <v>44977</v>
      </c>
      <c r="AX16" s="463">
        <v>44978</v>
      </c>
      <c r="AY16" s="6">
        <v>44981</v>
      </c>
      <c r="AZ16" s="6">
        <f t="shared" si="5"/>
        <v>44981</v>
      </c>
      <c r="BA16" s="415" t="str">
        <f t="shared" si="6"/>
        <v>Contrato formalizado con FC 17/03</v>
      </c>
      <c r="BB16" s="416">
        <v>44985</v>
      </c>
      <c r="BC16" s="255">
        <v>44981</v>
      </c>
      <c r="BD16" s="519"/>
      <c r="BE16" s="519"/>
      <c r="BF16" s="519"/>
      <c r="BG16" s="519"/>
      <c r="BH16" s="519"/>
    </row>
    <row r="17" spans="1:64" ht="90" x14ac:dyDescent="0.25">
      <c r="A17" s="417" t="s">
        <v>5422</v>
      </c>
      <c r="B17" s="252">
        <v>10</v>
      </c>
      <c r="C17" s="4" t="s">
        <v>225</v>
      </c>
      <c r="D17" s="3" t="s">
        <v>173</v>
      </c>
      <c r="E17" s="18" t="s">
        <v>5419</v>
      </c>
      <c r="F17" s="3" t="str">
        <f t="shared" si="9"/>
        <v>Licitación Pública</v>
      </c>
      <c r="G17" s="3"/>
      <c r="H17" s="3" t="s">
        <v>3785</v>
      </c>
      <c r="I17" s="275" t="s">
        <v>528</v>
      </c>
      <c r="J17" s="17"/>
      <c r="K17" s="17"/>
      <c r="L17" s="17"/>
      <c r="M17" s="375" t="str">
        <f t="shared" si="2"/>
        <v xml:space="preserve">Café 1810, S.A. de C.V.  </v>
      </c>
      <c r="N17" s="959" t="s">
        <v>190</v>
      </c>
      <c r="O17" s="959" t="s">
        <v>190</v>
      </c>
      <c r="P17" s="959" t="s">
        <v>191</v>
      </c>
      <c r="Q17" s="959" t="s">
        <v>5423</v>
      </c>
      <c r="R17" s="962">
        <v>1200000</v>
      </c>
      <c r="S17" s="383">
        <f t="shared" si="3"/>
        <v>192000</v>
      </c>
      <c r="T17" s="384">
        <f t="shared" si="4"/>
        <v>1392000</v>
      </c>
      <c r="U17" s="385">
        <v>360000</v>
      </c>
      <c r="V17" s="386">
        <f t="shared" si="8"/>
        <v>417600</v>
      </c>
      <c r="W17" s="383">
        <f t="shared" si="1"/>
        <v>1740000</v>
      </c>
      <c r="X17" s="963" t="s">
        <v>156</v>
      </c>
      <c r="Y17" s="387">
        <v>44980</v>
      </c>
      <c r="Z17" s="3" t="s">
        <v>193</v>
      </c>
      <c r="AA17" s="387">
        <v>44980</v>
      </c>
      <c r="AB17" s="387">
        <v>45291</v>
      </c>
      <c r="AC17" s="4" t="s">
        <v>3113</v>
      </c>
      <c r="AD17" s="412" t="s">
        <v>5424</v>
      </c>
      <c r="AE17" s="4" t="s">
        <v>5425</v>
      </c>
      <c r="AF17" s="388">
        <v>45268</v>
      </c>
      <c r="AG17" s="383">
        <v>348000</v>
      </c>
      <c r="AH17" s="414" t="str">
        <f t="shared" ca="1" si="7"/>
        <v>MUERTO</v>
      </c>
      <c r="AI17" s="3"/>
      <c r="AJ17" s="3"/>
      <c r="AK17" s="3" t="s">
        <v>193</v>
      </c>
      <c r="AL17" s="3"/>
      <c r="AM17" s="3" t="s">
        <v>193</v>
      </c>
      <c r="AN17" s="3"/>
      <c r="AO17" s="3"/>
      <c r="AP17" s="458"/>
      <c r="AQ17" s="388"/>
      <c r="AR17" s="4"/>
      <c r="AS17" s="459"/>
      <c r="AT17" s="281" t="s">
        <v>5426</v>
      </c>
      <c r="AU17" s="4"/>
      <c r="AV17" s="4" t="str">
        <f>VLOOKUP(I17,[2]RFC!$1:$1048576,2,0)</f>
        <v>CMO111004CI3</v>
      </c>
      <c r="AW17" s="6">
        <v>44977</v>
      </c>
      <c r="AX17" s="463">
        <v>44979</v>
      </c>
      <c r="AY17" s="6">
        <v>44981</v>
      </c>
      <c r="AZ17" s="6">
        <f t="shared" si="5"/>
        <v>44981</v>
      </c>
      <c r="BA17" s="415" t="str">
        <f t="shared" si="6"/>
        <v>Contrato formalizado con FC 15/03                    29/12/2023                    22/01/2024</v>
      </c>
      <c r="BB17" s="416" t="s">
        <v>5427</v>
      </c>
      <c r="BC17" s="255" t="s">
        <v>5428</v>
      </c>
      <c r="BD17" s="519"/>
      <c r="BE17" s="519"/>
      <c r="BF17" s="519"/>
      <c r="BG17" s="519"/>
      <c r="BH17" s="519"/>
      <c r="BI17" s="499"/>
      <c r="BJ17" s="180"/>
      <c r="BK17" s="180"/>
      <c r="BL17" s="261"/>
    </row>
    <row r="18" spans="1:64" ht="135" x14ac:dyDescent="0.25">
      <c r="A18" s="417" t="s">
        <v>5429</v>
      </c>
      <c r="B18" s="1037">
        <v>11</v>
      </c>
      <c r="C18" s="4" t="s">
        <v>225</v>
      </c>
      <c r="D18" s="3" t="s">
        <v>173</v>
      </c>
      <c r="E18" s="18" t="s">
        <v>5419</v>
      </c>
      <c r="F18" s="3" t="str">
        <f t="shared" si="9"/>
        <v>Licitación Pública</v>
      </c>
      <c r="G18" s="3"/>
      <c r="H18" s="3" t="s">
        <v>3785</v>
      </c>
      <c r="I18" s="275" t="s">
        <v>3065</v>
      </c>
      <c r="J18" s="17"/>
      <c r="K18" s="17"/>
      <c r="L18" s="17"/>
      <c r="M18" s="375" t="str">
        <f t="shared" si="2"/>
        <v xml:space="preserve">Especialidades Comerciales Reyes, S.A. de C.V.  </v>
      </c>
      <c r="N18" s="959" t="s">
        <v>270</v>
      </c>
      <c r="O18" s="959" t="s">
        <v>270</v>
      </c>
      <c r="P18" s="959" t="s">
        <v>271</v>
      </c>
      <c r="Q18" s="959" t="s">
        <v>5430</v>
      </c>
      <c r="R18" s="962">
        <v>560437.5</v>
      </c>
      <c r="S18" s="528">
        <v>0</v>
      </c>
      <c r="T18" s="384">
        <f t="shared" si="4"/>
        <v>560437.5</v>
      </c>
      <c r="U18" s="385">
        <v>224175</v>
      </c>
      <c r="V18" s="529">
        <v>224175</v>
      </c>
      <c r="W18" s="528">
        <f t="shared" si="1"/>
        <v>700546.88</v>
      </c>
      <c r="X18" s="963" t="s">
        <v>156</v>
      </c>
      <c r="Y18" s="387">
        <v>44980</v>
      </c>
      <c r="Z18" s="3" t="s">
        <v>193</v>
      </c>
      <c r="AA18" s="387">
        <v>44980</v>
      </c>
      <c r="AB18" s="387">
        <v>45291</v>
      </c>
      <c r="AC18" s="4" t="s">
        <v>3113</v>
      </c>
      <c r="AD18" s="412" t="s">
        <v>5431</v>
      </c>
      <c r="AE18" s="527" t="s">
        <v>5432</v>
      </c>
      <c r="AF18" s="521">
        <v>45168</v>
      </c>
      <c r="AG18" s="528">
        <v>140109.38</v>
      </c>
      <c r="AH18" s="414" t="str">
        <f t="shared" ca="1" si="7"/>
        <v>MUERTO</v>
      </c>
      <c r="AI18" s="3"/>
      <c r="AJ18" s="3"/>
      <c r="AK18" s="3" t="s">
        <v>193</v>
      </c>
      <c r="AL18" s="3"/>
      <c r="AM18" s="3" t="s">
        <v>193</v>
      </c>
      <c r="AN18" s="3"/>
      <c r="AO18" s="3"/>
      <c r="AP18" s="458"/>
      <c r="AQ18" s="388"/>
      <c r="AR18" s="4"/>
      <c r="AS18" s="459"/>
      <c r="AT18" s="281" t="s">
        <v>5433</v>
      </c>
      <c r="AU18" s="4"/>
      <c r="AV18" s="4" t="e">
        <f>VLOOKUP(I18,[2]RFC!$1:$1048576,2,0)</f>
        <v>#N/A</v>
      </c>
      <c r="AW18" s="6">
        <v>44977</v>
      </c>
      <c r="AX18" s="463" t="s">
        <v>5434</v>
      </c>
      <c r="AY18" s="6" t="s">
        <v>5435</v>
      </c>
      <c r="AZ18" s="6" t="str">
        <f t="shared" si="5"/>
        <v>24/02/2023
30/08/2023</v>
      </c>
      <c r="BA18" s="415" t="str">
        <f t="shared" si="6"/>
        <v>Contrato formalizdo con FC 23/03
Modif formalizado con endoso 03/10</v>
      </c>
      <c r="BB18" s="416" t="s">
        <v>5436</v>
      </c>
      <c r="BC18" s="255" t="s">
        <v>5437</v>
      </c>
      <c r="BD18" s="519"/>
      <c r="BE18" s="519"/>
      <c r="BF18" s="519"/>
      <c r="BG18" s="519"/>
      <c r="BH18" s="519"/>
    </row>
    <row r="19" spans="1:64" ht="60" x14ac:dyDescent="0.25">
      <c r="A19" s="286" t="s">
        <v>5438</v>
      </c>
      <c r="B19" s="252">
        <v>12</v>
      </c>
      <c r="C19" s="4" t="s">
        <v>225</v>
      </c>
      <c r="D19" s="3" t="s">
        <v>163</v>
      </c>
      <c r="E19" s="18" t="s">
        <v>5439</v>
      </c>
      <c r="F19" s="3" t="s">
        <v>5365</v>
      </c>
      <c r="G19" s="684" t="s">
        <v>163</v>
      </c>
      <c r="H19" s="3" t="s">
        <v>5440</v>
      </c>
      <c r="I19" s="275" t="s">
        <v>1162</v>
      </c>
      <c r="J19" s="17"/>
      <c r="K19" s="17"/>
      <c r="L19" s="17"/>
      <c r="M19" s="375" t="str">
        <f t="shared" si="2"/>
        <v xml:space="preserve">Lemonroy Business Solutions, S.A. de C.V.  </v>
      </c>
      <c r="N19" s="959" t="s">
        <v>198</v>
      </c>
      <c r="O19" s="959" t="s">
        <v>198</v>
      </c>
      <c r="P19" s="959" t="s">
        <v>5441</v>
      </c>
      <c r="Q19" s="959" t="s">
        <v>5442</v>
      </c>
      <c r="R19" s="962" t="s">
        <v>5443</v>
      </c>
      <c r="S19" s="383" t="s">
        <v>5444</v>
      </c>
      <c r="T19" s="384" t="s">
        <v>5445</v>
      </c>
      <c r="U19" s="385" t="s">
        <v>161</v>
      </c>
      <c r="V19" s="385" t="s">
        <v>161</v>
      </c>
      <c r="W19" s="384" t="s">
        <v>5445</v>
      </c>
      <c r="X19" s="963" t="s">
        <v>156</v>
      </c>
      <c r="Y19" s="387">
        <v>44986</v>
      </c>
      <c r="Z19" s="3" t="s">
        <v>234</v>
      </c>
      <c r="AA19" s="387">
        <v>44986</v>
      </c>
      <c r="AB19" s="387">
        <v>45012</v>
      </c>
      <c r="AC19" s="4" t="s">
        <v>3113</v>
      </c>
      <c r="AD19" s="412"/>
      <c r="AE19" s="4"/>
      <c r="AF19" s="388"/>
      <c r="AG19" s="383"/>
      <c r="AH19" s="414" t="str">
        <f t="shared" ca="1" si="7"/>
        <v>MUERTO</v>
      </c>
      <c r="AI19" s="3"/>
      <c r="AJ19" s="3"/>
      <c r="AK19" s="3" t="s">
        <v>234</v>
      </c>
      <c r="AL19" s="3"/>
      <c r="AM19" s="3" t="s">
        <v>234</v>
      </c>
      <c r="AN19" s="3"/>
      <c r="AO19" s="3"/>
      <c r="AP19" s="458"/>
      <c r="AQ19" s="388"/>
      <c r="AR19" s="4"/>
      <c r="AS19" s="459"/>
      <c r="AT19" s="281" t="s">
        <v>5446</v>
      </c>
      <c r="AU19" s="4"/>
      <c r="AV19" s="4" t="str">
        <f>VLOOKUP(I19,[2]RFC!$1:$1048576,2,0)</f>
        <v>LBS050426184</v>
      </c>
      <c r="AW19" s="6">
        <v>44981</v>
      </c>
      <c r="AX19" s="463">
        <v>44984</v>
      </c>
      <c r="AY19" s="6">
        <v>44988</v>
      </c>
      <c r="AZ19" s="6">
        <f t="shared" si="5"/>
        <v>44988</v>
      </c>
      <c r="BA19" s="415" t="str">
        <f t="shared" si="6"/>
        <v>Contrato formalizado con FC 14/03</v>
      </c>
      <c r="BB19" s="416">
        <v>44998</v>
      </c>
      <c r="BC19" s="255">
        <v>44994</v>
      </c>
      <c r="BD19" s="519"/>
      <c r="BE19" s="519"/>
      <c r="BF19" s="519"/>
      <c r="BG19" s="519"/>
      <c r="BH19" s="519"/>
    </row>
    <row r="20" spans="1:64" ht="150" x14ac:dyDescent="0.25">
      <c r="A20" s="417" t="s">
        <v>5447</v>
      </c>
      <c r="B20" s="1037">
        <v>13</v>
      </c>
      <c r="C20" s="4" t="s">
        <v>225</v>
      </c>
      <c r="D20" s="3" t="s">
        <v>173</v>
      </c>
      <c r="E20" s="18" t="s">
        <v>5448</v>
      </c>
      <c r="F20" s="3" t="str">
        <f t="shared" si="9"/>
        <v>Licitación Pública</v>
      </c>
      <c r="G20" s="3"/>
      <c r="H20" s="3" t="s">
        <v>3785</v>
      </c>
      <c r="I20" s="275" t="s">
        <v>679</v>
      </c>
      <c r="J20" s="17"/>
      <c r="K20" s="17"/>
      <c r="L20" s="17"/>
      <c r="M20" s="375" t="str">
        <f t="shared" si="2"/>
        <v xml:space="preserve">Mr. Limpieza, S.A. de C.V.  </v>
      </c>
      <c r="N20" s="959" t="s">
        <v>198</v>
      </c>
      <c r="O20" s="959" t="s">
        <v>198</v>
      </c>
      <c r="P20" s="959" t="s">
        <v>5449</v>
      </c>
      <c r="Q20" s="959" t="s">
        <v>5450</v>
      </c>
      <c r="R20" s="962">
        <v>1172413.79</v>
      </c>
      <c r="S20" s="383">
        <f>R20*0.16</f>
        <v>187586.2064</v>
      </c>
      <c r="T20" s="384">
        <f t="shared" ref="T20:T52" si="10">R20+S20</f>
        <v>1359999.9964000001</v>
      </c>
      <c r="U20" s="385">
        <v>468965.52</v>
      </c>
      <c r="V20" s="386">
        <f>(U20*0.16)+(U20)</f>
        <v>544000.00320000004</v>
      </c>
      <c r="W20" s="528">
        <f t="shared" ref="W20:W51" si="11">T20+AG20</f>
        <v>1574999.9964000001</v>
      </c>
      <c r="X20" s="963" t="s">
        <v>156</v>
      </c>
      <c r="Y20" s="387">
        <v>44995</v>
      </c>
      <c r="Z20" s="3" t="s">
        <v>234</v>
      </c>
      <c r="AA20" s="387">
        <v>44995</v>
      </c>
      <c r="AB20" s="387">
        <v>45291</v>
      </c>
      <c r="AC20" s="4" t="s">
        <v>3113</v>
      </c>
      <c r="AD20" s="412" t="s">
        <v>5451</v>
      </c>
      <c r="AE20" s="527" t="s">
        <v>5452</v>
      </c>
      <c r="AF20" s="521" t="s">
        <v>5453</v>
      </c>
      <c r="AG20" s="528">
        <v>215000</v>
      </c>
      <c r="AH20" s="414" t="str">
        <f t="shared" ca="1" si="7"/>
        <v>MUERTO</v>
      </c>
      <c r="AI20" s="3"/>
      <c r="AJ20" s="3"/>
      <c r="AK20" s="3" t="s">
        <v>234</v>
      </c>
      <c r="AL20" s="3" t="s">
        <v>5454</v>
      </c>
      <c r="AM20" s="3" t="s">
        <v>234</v>
      </c>
      <c r="AN20" s="3"/>
      <c r="AO20" s="3"/>
      <c r="AP20" s="458"/>
      <c r="AQ20" s="388"/>
      <c r="AR20" s="4"/>
      <c r="AS20" s="459"/>
      <c r="AT20" s="281" t="s">
        <v>5455</v>
      </c>
      <c r="AU20" s="4"/>
      <c r="AV20" s="4" t="str">
        <f>VLOOKUP(I20,[2]RFC!$1:$1048576,2,0)</f>
        <v>MLI0610289M7</v>
      </c>
      <c r="AW20" s="6" t="s">
        <v>5456</v>
      </c>
      <c r="AX20" s="463" t="s">
        <v>5457</v>
      </c>
      <c r="AY20" s="6" t="s">
        <v>5458</v>
      </c>
      <c r="AZ20" s="6" t="str">
        <f t="shared" si="5"/>
        <v>13/03/2023
29/09/2023
06/11/2023</v>
      </c>
      <c r="BA20" s="415" t="str">
        <f t="shared" si="6"/>
        <v>Contrato formalizado con garantía 21/03</v>
      </c>
      <c r="BB20" s="416" t="s">
        <v>5459</v>
      </c>
      <c r="BC20" s="255" t="s">
        <v>5460</v>
      </c>
      <c r="BD20" s="519"/>
      <c r="BE20" s="519"/>
      <c r="BF20" s="519"/>
      <c r="BG20" s="519"/>
      <c r="BH20" s="519"/>
    </row>
    <row r="21" spans="1:64" ht="255" x14ac:dyDescent="0.25">
      <c r="A21" s="417" t="s">
        <v>5461</v>
      </c>
      <c r="B21" s="252">
        <v>14</v>
      </c>
      <c r="C21" s="4" t="s">
        <v>225</v>
      </c>
      <c r="D21" s="3" t="s">
        <v>173</v>
      </c>
      <c r="E21" s="18" t="s">
        <v>5448</v>
      </c>
      <c r="F21" s="3" t="str">
        <f t="shared" si="9"/>
        <v>Licitación Pública</v>
      </c>
      <c r="G21" s="3"/>
      <c r="H21" s="3" t="s">
        <v>3785</v>
      </c>
      <c r="I21" s="275" t="s">
        <v>2310</v>
      </c>
      <c r="J21" s="17"/>
      <c r="K21" s="17"/>
      <c r="L21" s="17"/>
      <c r="M21" s="375" t="str">
        <f t="shared" si="2"/>
        <v xml:space="preserve">Sanipap de México, S.A. de C.V.  </v>
      </c>
      <c r="N21" s="959" t="s">
        <v>198</v>
      </c>
      <c r="O21" s="959" t="s">
        <v>198</v>
      </c>
      <c r="P21" s="959" t="s">
        <v>5449</v>
      </c>
      <c r="Q21" s="959" t="s">
        <v>5462</v>
      </c>
      <c r="R21" s="962">
        <v>1508620.69</v>
      </c>
      <c r="S21" s="383">
        <f>R21*0.16</f>
        <v>241379.31039999999</v>
      </c>
      <c r="T21" s="384">
        <f t="shared" si="10"/>
        <v>1750000.0004</v>
      </c>
      <c r="U21" s="385">
        <v>603448.27</v>
      </c>
      <c r="V21" s="386">
        <f>(U21*0.16)+(U21)</f>
        <v>699999.99320000003</v>
      </c>
      <c r="W21" s="383">
        <f t="shared" si="11"/>
        <v>2187500.0004000003</v>
      </c>
      <c r="X21" s="963" t="s">
        <v>156</v>
      </c>
      <c r="Y21" s="387">
        <v>44995</v>
      </c>
      <c r="Z21" s="3" t="s">
        <v>234</v>
      </c>
      <c r="AA21" s="387">
        <v>44995</v>
      </c>
      <c r="AB21" s="387">
        <v>45291</v>
      </c>
      <c r="AC21" s="4" t="s">
        <v>3113</v>
      </c>
      <c r="AD21" s="530" t="s">
        <v>5463</v>
      </c>
      <c r="AE21" s="527" t="s">
        <v>5464</v>
      </c>
      <c r="AF21" s="521" t="s">
        <v>5465</v>
      </c>
      <c r="AG21" s="528">
        <v>437500</v>
      </c>
      <c r="AH21" s="414" t="str">
        <f t="shared" ca="1" si="7"/>
        <v>MUERTO</v>
      </c>
      <c r="AI21" s="3"/>
      <c r="AJ21" s="3"/>
      <c r="AK21" s="3" t="s">
        <v>234</v>
      </c>
      <c r="AL21" s="3" t="s">
        <v>5398</v>
      </c>
      <c r="AM21" s="3" t="s">
        <v>234</v>
      </c>
      <c r="AN21" s="3"/>
      <c r="AO21" s="3"/>
      <c r="AP21" s="458"/>
      <c r="AQ21" s="388"/>
      <c r="AR21" s="4"/>
      <c r="AS21" s="459"/>
      <c r="AT21" s="281" t="s">
        <v>5466</v>
      </c>
      <c r="AU21" s="4"/>
      <c r="AV21" s="4" t="str">
        <f>VLOOKUP(I21,[2]RFC!$1:$1048576,2,0)</f>
        <v>SME0608184Z2</v>
      </c>
      <c r="AW21" s="6" t="s">
        <v>5467</v>
      </c>
      <c r="AX21" s="463" t="s">
        <v>5468</v>
      </c>
      <c r="AY21" s="6" t="s">
        <v>5469</v>
      </c>
      <c r="AZ21" s="6" t="str">
        <f t="shared" si="5"/>
        <v>13/03/2023
25/09/2023</v>
      </c>
      <c r="BA21" s="415" t="str">
        <f t="shared" si="6"/>
        <v>Contrato formalizado con garantía 21/03
Modificatorio formalizado con endoso 02/10
Convenio de terminación formalizado 07/11</v>
      </c>
      <c r="BB21" s="416" t="s">
        <v>5470</v>
      </c>
      <c r="BC21" s="255" t="s">
        <v>5471</v>
      </c>
      <c r="BD21" s="519"/>
      <c r="BE21" s="519"/>
      <c r="BF21" s="519"/>
      <c r="BG21" s="519"/>
      <c r="BH21" s="519"/>
    </row>
    <row r="22" spans="1:64" ht="150" x14ac:dyDescent="0.25">
      <c r="A22" s="286" t="s">
        <v>5472</v>
      </c>
      <c r="B22" s="1037">
        <v>15</v>
      </c>
      <c r="C22" s="4" t="s">
        <v>225</v>
      </c>
      <c r="D22" s="3" t="s">
        <v>173</v>
      </c>
      <c r="E22" s="18" t="s">
        <v>5448</v>
      </c>
      <c r="F22" s="3" t="str">
        <f t="shared" si="9"/>
        <v>Licitación Pública</v>
      </c>
      <c r="G22" s="3"/>
      <c r="H22" s="3" t="s">
        <v>3785</v>
      </c>
      <c r="I22" s="275" t="s">
        <v>1347</v>
      </c>
      <c r="J22" s="17"/>
      <c r="K22" s="17"/>
      <c r="L22" s="17"/>
      <c r="M22" s="375" t="str">
        <f t="shared" si="2"/>
        <v xml:space="preserve">Cocina y Aseo Institucional, S.A. de C.V.  </v>
      </c>
      <c r="N22" s="959" t="s">
        <v>198</v>
      </c>
      <c r="O22" s="959" t="s">
        <v>198</v>
      </c>
      <c r="P22" s="959" t="s">
        <v>5449</v>
      </c>
      <c r="Q22" s="959" t="s">
        <v>5473</v>
      </c>
      <c r="R22" s="962">
        <v>413793.1</v>
      </c>
      <c r="S22" s="383">
        <f>R22*0.16</f>
        <v>66206.895999999993</v>
      </c>
      <c r="T22" s="384">
        <f t="shared" si="10"/>
        <v>479999.99599999998</v>
      </c>
      <c r="U22" s="385">
        <v>165517.24</v>
      </c>
      <c r="V22" s="386">
        <f>(U22*0.16)+(U22)</f>
        <v>191999.99839999998</v>
      </c>
      <c r="W22" s="383">
        <f t="shared" si="11"/>
        <v>479999.99599999998</v>
      </c>
      <c r="X22" s="963" t="s">
        <v>156</v>
      </c>
      <c r="Y22" s="387">
        <v>44995</v>
      </c>
      <c r="Z22" s="3" t="s">
        <v>234</v>
      </c>
      <c r="AA22" s="387">
        <v>44995</v>
      </c>
      <c r="AB22" s="387">
        <v>45291</v>
      </c>
      <c r="AC22" s="4" t="s">
        <v>3113</v>
      </c>
      <c r="AD22" s="412"/>
      <c r="AE22" s="4"/>
      <c r="AF22" s="388"/>
      <c r="AG22" s="383"/>
      <c r="AH22" s="414" t="str">
        <f t="shared" ca="1" si="7"/>
        <v>MUERTO</v>
      </c>
      <c r="AI22" s="3"/>
      <c r="AJ22" s="3"/>
      <c r="AK22" s="3" t="s">
        <v>234</v>
      </c>
      <c r="AL22" s="3"/>
      <c r="AM22" s="3" t="s">
        <v>234</v>
      </c>
      <c r="AN22" s="3"/>
      <c r="AO22" s="3"/>
      <c r="AP22" s="458"/>
      <c r="AQ22" s="388"/>
      <c r="AR22" s="4"/>
      <c r="AS22" s="459"/>
      <c r="AT22" s="281" t="s">
        <v>5474</v>
      </c>
      <c r="AU22" s="4"/>
      <c r="AV22" s="4" t="e">
        <f>VLOOKUP(I22,[2]RFC!$1:$1048576,2,0)</f>
        <v>#N/A</v>
      </c>
      <c r="AW22" s="6">
        <v>44993</v>
      </c>
      <c r="AX22" s="463">
        <v>44994</v>
      </c>
      <c r="AY22" s="6">
        <v>44998</v>
      </c>
      <c r="AZ22" s="6">
        <f t="shared" si="5"/>
        <v>44998</v>
      </c>
      <c r="BA22" s="415" t="str">
        <f t="shared" si="6"/>
        <v>Contrato formalizado con garantía 22/03</v>
      </c>
      <c r="BB22" s="416">
        <v>45006</v>
      </c>
      <c r="BC22" s="255">
        <v>45001</v>
      </c>
      <c r="BD22" s="519"/>
      <c r="BE22" s="519"/>
      <c r="BF22" s="519"/>
      <c r="BG22" s="519"/>
      <c r="BH22" s="519"/>
    </row>
    <row r="23" spans="1:64" ht="135" x14ac:dyDescent="0.25">
      <c r="A23" s="417" t="s">
        <v>5475</v>
      </c>
      <c r="B23" s="252">
        <v>16</v>
      </c>
      <c r="C23" s="4" t="s">
        <v>225</v>
      </c>
      <c r="D23" s="3" t="s">
        <v>151</v>
      </c>
      <c r="E23" s="18" t="s">
        <v>5476</v>
      </c>
      <c r="F23" s="3" t="str">
        <f t="shared" si="9"/>
        <v>Invitación</v>
      </c>
      <c r="G23" s="3"/>
      <c r="H23" s="3" t="s">
        <v>3793</v>
      </c>
      <c r="I23" s="275"/>
      <c r="J23" s="17" t="s">
        <v>3850</v>
      </c>
      <c r="K23" s="17" t="s">
        <v>3851</v>
      </c>
      <c r="L23" s="17" t="s">
        <v>3852</v>
      </c>
      <c r="M23" s="375" t="str">
        <f t="shared" si="2"/>
        <v>Roberto Carlos Blanco Senties</v>
      </c>
      <c r="N23" s="959" t="s">
        <v>198</v>
      </c>
      <c r="O23" s="959" t="s">
        <v>198</v>
      </c>
      <c r="P23" s="959" t="s">
        <v>352</v>
      </c>
      <c r="Q23" s="959" t="s">
        <v>5477</v>
      </c>
      <c r="R23" s="962">
        <v>1129310.3448000001</v>
      </c>
      <c r="S23" s="383">
        <f>R23*0.16</f>
        <v>180689.65516800003</v>
      </c>
      <c r="T23" s="384">
        <f t="shared" si="10"/>
        <v>1309999.9999680002</v>
      </c>
      <c r="U23" s="385">
        <v>448275.86</v>
      </c>
      <c r="V23" s="386">
        <f>(U23*0.16)+(U23)</f>
        <v>519999.9976</v>
      </c>
      <c r="W23" s="528">
        <f t="shared" si="11"/>
        <v>1637499.9999680002</v>
      </c>
      <c r="X23" s="963" t="s">
        <v>156</v>
      </c>
      <c r="Y23" s="387">
        <v>44999</v>
      </c>
      <c r="Z23" s="3" t="s">
        <v>234</v>
      </c>
      <c r="AA23" s="387">
        <v>44999</v>
      </c>
      <c r="AB23" s="387">
        <v>45291</v>
      </c>
      <c r="AC23" s="4" t="s">
        <v>3113</v>
      </c>
      <c r="AD23" s="530" t="s">
        <v>5478</v>
      </c>
      <c r="AE23" s="527" t="s">
        <v>5479</v>
      </c>
      <c r="AF23" s="521">
        <v>45163</v>
      </c>
      <c r="AG23" s="528">
        <v>327500</v>
      </c>
      <c r="AH23" s="414" t="str">
        <f t="shared" ca="1" si="7"/>
        <v>MUERTO</v>
      </c>
      <c r="AI23" s="3"/>
      <c r="AJ23" s="3"/>
      <c r="AK23" s="3" t="s">
        <v>234</v>
      </c>
      <c r="AL23" s="3"/>
      <c r="AM23" s="3" t="s">
        <v>234</v>
      </c>
      <c r="AN23" s="3"/>
      <c r="AO23" s="3"/>
      <c r="AP23" s="458"/>
      <c r="AQ23" s="388"/>
      <c r="AR23" s="4"/>
      <c r="AS23" s="459"/>
      <c r="AT23" s="281" t="s">
        <v>5480</v>
      </c>
      <c r="AU23" s="4"/>
      <c r="AV23" s="4" t="e">
        <f>VLOOKUP(I23,[2]RFC!$1:$1048576,2,0)</f>
        <v>#N/A</v>
      </c>
      <c r="AW23" s="6" t="s">
        <v>5481</v>
      </c>
      <c r="AX23" s="463" t="s">
        <v>5482</v>
      </c>
      <c r="AY23" s="6" t="s">
        <v>5483</v>
      </c>
      <c r="AZ23" s="6" t="str">
        <f t="shared" si="5"/>
        <v>14/03/2023
28/08/2023</v>
      </c>
      <c r="BA23" s="415" t="str">
        <f t="shared" si="6"/>
        <v>Contrato formalizado con FC 31/3
Modif formalizado con endoso 20/09</v>
      </c>
      <c r="BB23" s="416" t="s">
        <v>5484</v>
      </c>
      <c r="BC23" s="255" t="s">
        <v>5485</v>
      </c>
      <c r="BD23" s="519"/>
      <c r="BE23" s="519"/>
      <c r="BF23" s="519"/>
      <c r="BG23" s="519"/>
      <c r="BH23" s="519"/>
    </row>
    <row r="24" spans="1:64" ht="165" x14ac:dyDescent="0.25">
      <c r="A24" s="417" t="s">
        <v>5486</v>
      </c>
      <c r="B24" s="1037">
        <v>17</v>
      </c>
      <c r="C24" s="4" t="s">
        <v>149</v>
      </c>
      <c r="D24" s="3" t="s">
        <v>151</v>
      </c>
      <c r="E24" s="18" t="s">
        <v>5487</v>
      </c>
      <c r="F24" s="3" t="str">
        <f t="shared" si="9"/>
        <v>Invitación</v>
      </c>
      <c r="G24" s="3"/>
      <c r="H24" s="3" t="s">
        <v>3793</v>
      </c>
      <c r="I24" s="275"/>
      <c r="J24" s="17" t="s">
        <v>2073</v>
      </c>
      <c r="K24" s="17" t="s">
        <v>466</v>
      </c>
      <c r="L24" s="17" t="s">
        <v>2074</v>
      </c>
      <c r="M24" s="375" t="str">
        <f t="shared" si="2"/>
        <v>José Eduardo Medina Ramírez</v>
      </c>
      <c r="N24" s="959" t="s">
        <v>198</v>
      </c>
      <c r="O24" s="959" t="s">
        <v>198</v>
      </c>
      <c r="P24" s="959" t="s">
        <v>352</v>
      </c>
      <c r="Q24" s="959" t="s">
        <v>5488</v>
      </c>
      <c r="R24" s="962">
        <v>1402125</v>
      </c>
      <c r="S24" s="383">
        <f>R24*0.16</f>
        <v>224340</v>
      </c>
      <c r="T24" s="384">
        <f t="shared" si="10"/>
        <v>1626465</v>
      </c>
      <c r="U24" s="385" t="s">
        <v>161</v>
      </c>
      <c r="V24" s="385" t="s">
        <v>161</v>
      </c>
      <c r="W24" s="383">
        <f t="shared" si="11"/>
        <v>1626465</v>
      </c>
      <c r="X24" s="963" t="s">
        <v>156</v>
      </c>
      <c r="Y24" s="387">
        <v>45008</v>
      </c>
      <c r="Z24" s="3" t="s">
        <v>234</v>
      </c>
      <c r="AA24" s="387">
        <v>45008</v>
      </c>
      <c r="AB24" s="387" t="s">
        <v>5489</v>
      </c>
      <c r="AC24" s="4" t="s">
        <v>4964</v>
      </c>
      <c r="AD24" s="531" t="s">
        <v>5490</v>
      </c>
      <c r="AE24" s="527" t="s">
        <v>5491</v>
      </c>
      <c r="AF24" s="521">
        <v>45107</v>
      </c>
      <c r="AG24" s="528">
        <v>0</v>
      </c>
      <c r="AH24" s="414" t="str">
        <f t="shared" ca="1" si="7"/>
        <v>VIGENTE</v>
      </c>
      <c r="AI24" s="3"/>
      <c r="AJ24" s="3"/>
      <c r="AK24" s="3" t="s">
        <v>234</v>
      </c>
      <c r="AL24" s="3"/>
      <c r="AM24" s="3" t="s">
        <v>234</v>
      </c>
      <c r="AN24" s="3"/>
      <c r="AO24" s="3"/>
      <c r="AP24" s="458"/>
      <c r="AQ24" s="388"/>
      <c r="AR24" s="4"/>
      <c r="AS24" s="459"/>
      <c r="AT24" s="281" t="s">
        <v>5492</v>
      </c>
      <c r="AU24" s="4"/>
      <c r="AV24" s="4" t="e">
        <f>VLOOKUP(I24,[2]RFC!$1:$1048576,2,0)</f>
        <v>#N/A</v>
      </c>
      <c r="AW24" s="6" t="s">
        <v>5493</v>
      </c>
      <c r="AX24" s="463" t="s">
        <v>5494</v>
      </c>
      <c r="AY24" s="6" t="s">
        <v>5495</v>
      </c>
      <c r="AZ24" s="6" t="str">
        <f t="shared" si="5"/>
        <v>27/03/2023
05/07/2023</v>
      </c>
      <c r="BA24" s="415" t="str">
        <f t="shared" si="6"/>
        <v>Contrato formalizado con garantías  04/05
Modificatorio formalizado con endosos 21/07</v>
      </c>
      <c r="BB24" s="416" t="s">
        <v>5496</v>
      </c>
      <c r="BC24" s="255" t="s">
        <v>5497</v>
      </c>
      <c r="BD24" s="519"/>
      <c r="BE24" s="519"/>
      <c r="BF24" s="519"/>
      <c r="BG24" s="519"/>
      <c r="BH24" s="519"/>
    </row>
    <row r="25" spans="1:64" ht="105" x14ac:dyDescent="0.25">
      <c r="A25" s="417" t="s">
        <v>5498</v>
      </c>
      <c r="B25" s="252">
        <v>18</v>
      </c>
      <c r="C25" s="4" t="s">
        <v>225</v>
      </c>
      <c r="D25" s="3" t="s">
        <v>163</v>
      </c>
      <c r="E25" s="18" t="s">
        <v>5499</v>
      </c>
      <c r="F25" s="3" t="s">
        <v>163</v>
      </c>
      <c r="G25" s="3" t="s">
        <v>163</v>
      </c>
      <c r="H25" s="3" t="s">
        <v>5500</v>
      </c>
      <c r="I25" s="275" t="s">
        <v>5501</v>
      </c>
      <c r="J25" s="17"/>
      <c r="K25" s="17"/>
      <c r="L25" s="17"/>
      <c r="M25" s="375" t="str">
        <f t="shared" si="2"/>
        <v xml:space="preserve">Comercializadora Electropura, S. de R.L. de C.V.  </v>
      </c>
      <c r="N25" s="959" t="s">
        <v>198</v>
      </c>
      <c r="O25" s="959" t="s">
        <v>198</v>
      </c>
      <c r="P25" s="959" t="s">
        <v>5502</v>
      </c>
      <c r="Q25" s="959" t="s">
        <v>5503</v>
      </c>
      <c r="R25" s="962">
        <v>675000</v>
      </c>
      <c r="S25" s="528">
        <v>0</v>
      </c>
      <c r="T25" s="384">
        <f t="shared" si="10"/>
        <v>675000</v>
      </c>
      <c r="U25" s="385">
        <v>270000</v>
      </c>
      <c r="V25" s="529">
        <v>270000</v>
      </c>
      <c r="W25" s="528">
        <f t="shared" si="11"/>
        <v>843750</v>
      </c>
      <c r="X25" s="963" t="s">
        <v>156</v>
      </c>
      <c r="Y25" s="387">
        <v>45019</v>
      </c>
      <c r="Z25" s="3" t="s">
        <v>333</v>
      </c>
      <c r="AA25" s="387">
        <v>45017</v>
      </c>
      <c r="AB25" s="531">
        <v>45359</v>
      </c>
      <c r="AC25" s="4" t="s">
        <v>3113</v>
      </c>
      <c r="AD25" s="412" t="s">
        <v>5504</v>
      </c>
      <c r="AE25" s="527" t="s">
        <v>5505</v>
      </c>
      <c r="AF25" s="521">
        <v>45211</v>
      </c>
      <c r="AG25" s="528">
        <v>168750</v>
      </c>
      <c r="AH25" s="414" t="str">
        <f t="shared" ca="1" si="7"/>
        <v>MUERTO</v>
      </c>
      <c r="AI25" s="3"/>
      <c r="AJ25" s="3"/>
      <c r="AK25" s="3" t="s">
        <v>333</v>
      </c>
      <c r="AL25" s="3" t="s">
        <v>5398</v>
      </c>
      <c r="AM25" s="3" t="s">
        <v>333</v>
      </c>
      <c r="AN25" s="3"/>
      <c r="AO25" s="3"/>
      <c r="AP25" s="458"/>
      <c r="AQ25" s="388"/>
      <c r="AR25" s="4"/>
      <c r="AS25" s="459"/>
      <c r="AT25" s="281" t="s">
        <v>5506</v>
      </c>
      <c r="AU25" s="4"/>
      <c r="AV25" s="4" t="e">
        <f>VLOOKUP(I25,[2]RFC!$1:$1048576,2,0)</f>
        <v>#N/A</v>
      </c>
      <c r="AW25" s="6" t="s">
        <v>5507</v>
      </c>
      <c r="AX25" s="463" t="s">
        <v>5508</v>
      </c>
      <c r="AY25" s="6" t="s">
        <v>5509</v>
      </c>
      <c r="AZ25" s="6" t="str">
        <f t="shared" si="5"/>
        <v>03/04/2023
12/10/2023</v>
      </c>
      <c r="BA25" s="415" t="str">
        <f t="shared" si="6"/>
        <v>Contrato formalizado 25/04
Modif formalizado 24/10</v>
      </c>
      <c r="BB25" s="416" t="s">
        <v>5510</v>
      </c>
      <c r="BC25" s="255" t="s">
        <v>5511</v>
      </c>
      <c r="BD25" s="519"/>
      <c r="BE25" s="519"/>
      <c r="BF25" s="519"/>
      <c r="BG25" s="519"/>
      <c r="BH25" s="519"/>
    </row>
    <row r="26" spans="1:64" ht="105" x14ac:dyDescent="0.25">
      <c r="A26" s="417" t="s">
        <v>5512</v>
      </c>
      <c r="B26" s="1037">
        <v>19</v>
      </c>
      <c r="C26" s="4" t="s">
        <v>225</v>
      </c>
      <c r="D26" s="3" t="s">
        <v>173</v>
      </c>
      <c r="E26" s="18" t="s">
        <v>5513</v>
      </c>
      <c r="F26" s="3" t="str">
        <f t="shared" ref="F26:F60" si="12">D26</f>
        <v>Licitación Pública</v>
      </c>
      <c r="G26" s="3"/>
      <c r="H26" s="3" t="s">
        <v>3785</v>
      </c>
      <c r="I26" s="275"/>
      <c r="J26" s="17" t="s">
        <v>4524</v>
      </c>
      <c r="K26" s="17" t="s">
        <v>467</v>
      </c>
      <c r="L26" s="17" t="s">
        <v>4525</v>
      </c>
      <c r="M26" s="375" t="str">
        <f t="shared" si="2"/>
        <v>Miguel Ángel Gutiérrez Gil</v>
      </c>
      <c r="N26" s="959" t="s">
        <v>198</v>
      </c>
      <c r="O26" s="959" t="s">
        <v>198</v>
      </c>
      <c r="P26" s="959" t="s">
        <v>5514</v>
      </c>
      <c r="Q26" s="959" t="s">
        <v>5515</v>
      </c>
      <c r="R26" s="962">
        <v>77586.210000000006</v>
      </c>
      <c r="S26" s="383">
        <f>R26*0.16</f>
        <v>12413.793600000001</v>
      </c>
      <c r="T26" s="384">
        <f t="shared" si="10"/>
        <v>90000.003600000011</v>
      </c>
      <c r="U26" s="385">
        <v>30172.41</v>
      </c>
      <c r="V26" s="386">
        <f>(U26*0.16)+(U26)</f>
        <v>34999.995600000002</v>
      </c>
      <c r="W26" s="528">
        <f t="shared" si="11"/>
        <v>112500.00360000001</v>
      </c>
      <c r="X26" s="963" t="s">
        <v>156</v>
      </c>
      <c r="Y26" s="387">
        <v>45021</v>
      </c>
      <c r="Z26" s="3" t="s">
        <v>333</v>
      </c>
      <c r="AA26" s="387">
        <v>45021</v>
      </c>
      <c r="AB26" s="387">
        <v>45291</v>
      </c>
      <c r="AC26" s="4" t="s">
        <v>3113</v>
      </c>
      <c r="AD26" s="455" t="s">
        <v>5516</v>
      </c>
      <c r="AE26" s="252" t="s">
        <v>5517</v>
      </c>
      <c r="AF26" s="265">
        <v>45237</v>
      </c>
      <c r="AG26" s="266">
        <v>22500</v>
      </c>
      <c r="AH26" s="414" t="str">
        <f t="shared" ca="1" si="7"/>
        <v>MUERTO</v>
      </c>
      <c r="AI26" s="3"/>
      <c r="AJ26" s="3"/>
      <c r="AK26" s="3" t="s">
        <v>333</v>
      </c>
      <c r="AL26" s="3"/>
      <c r="AM26" s="3" t="s">
        <v>333</v>
      </c>
      <c r="AN26" s="3"/>
      <c r="AO26" s="3"/>
      <c r="AP26" s="458"/>
      <c r="AQ26" s="388"/>
      <c r="AR26" s="4"/>
      <c r="AS26" s="459"/>
      <c r="AT26" s="281" t="s">
        <v>5518</v>
      </c>
      <c r="AU26" s="4"/>
      <c r="AV26" s="4" t="s">
        <v>4528</v>
      </c>
      <c r="AW26" s="6" t="s">
        <v>5519</v>
      </c>
      <c r="AX26" s="463" t="s">
        <v>5520</v>
      </c>
      <c r="AY26" s="6">
        <v>45260</v>
      </c>
      <c r="AZ26" s="6">
        <f t="shared" si="5"/>
        <v>45260</v>
      </c>
      <c r="BA26" s="415" t="str">
        <f t="shared" si="6"/>
        <v>Contrato formalizado 28/04</v>
      </c>
      <c r="BB26" s="416" t="s">
        <v>5521</v>
      </c>
      <c r="BC26" s="255" t="s">
        <v>5522</v>
      </c>
      <c r="BD26" s="519"/>
      <c r="BE26" s="519"/>
      <c r="BF26" s="519"/>
      <c r="BG26" s="519"/>
      <c r="BH26" s="519"/>
    </row>
    <row r="27" spans="1:64" ht="120" x14ac:dyDescent="0.25">
      <c r="A27" s="286" t="s">
        <v>5523</v>
      </c>
      <c r="B27" s="252">
        <v>20</v>
      </c>
      <c r="C27" s="4" t="s">
        <v>225</v>
      </c>
      <c r="D27" s="3" t="s">
        <v>151</v>
      </c>
      <c r="E27" s="18" t="s">
        <v>5524</v>
      </c>
      <c r="F27" s="3" t="str">
        <f t="shared" si="12"/>
        <v>Invitación</v>
      </c>
      <c r="G27" s="3"/>
      <c r="H27" s="3" t="s">
        <v>3793</v>
      </c>
      <c r="I27" s="275"/>
      <c r="J27" s="17" t="s">
        <v>4559</v>
      </c>
      <c r="K27" s="17" t="s">
        <v>4560</v>
      </c>
      <c r="L27" s="17" t="s">
        <v>4561</v>
      </c>
      <c r="M27" s="375" t="str">
        <f t="shared" si="2"/>
        <v>Violeta Córdoba Baeza</v>
      </c>
      <c r="N27" s="959" t="s">
        <v>656</v>
      </c>
      <c r="O27" s="959" t="s">
        <v>667</v>
      </c>
      <c r="P27" s="959" t="s">
        <v>5368</v>
      </c>
      <c r="Q27" s="959" t="s">
        <v>5525</v>
      </c>
      <c r="R27" s="962">
        <v>862068.97</v>
      </c>
      <c r="S27" s="383">
        <f>R27*0.16</f>
        <v>137931.03519999998</v>
      </c>
      <c r="T27" s="384">
        <f t="shared" si="10"/>
        <v>1000000.0052</v>
      </c>
      <c r="U27" s="385">
        <v>200000</v>
      </c>
      <c r="V27" s="386">
        <f>(U27*0.16)+(U27)</f>
        <v>232000</v>
      </c>
      <c r="W27" s="383">
        <f t="shared" si="11"/>
        <v>1000000.0052</v>
      </c>
      <c r="X27" s="963" t="s">
        <v>156</v>
      </c>
      <c r="Y27" s="387">
        <v>45027</v>
      </c>
      <c r="Z27" s="3" t="s">
        <v>333</v>
      </c>
      <c r="AA27" s="387">
        <v>45027</v>
      </c>
      <c r="AB27" s="387">
        <v>45291</v>
      </c>
      <c r="AC27" s="4" t="s">
        <v>3113</v>
      </c>
      <c r="AD27" s="412"/>
      <c r="AE27" s="4"/>
      <c r="AF27" s="388"/>
      <c r="AG27" s="383"/>
      <c r="AH27" s="414" t="str">
        <f t="shared" ca="1" si="7"/>
        <v>MUERTO</v>
      </c>
      <c r="AI27" s="3"/>
      <c r="AJ27" s="3"/>
      <c r="AK27" s="3" t="s">
        <v>333</v>
      </c>
      <c r="AL27" s="3"/>
      <c r="AM27" s="3" t="s">
        <v>333</v>
      </c>
      <c r="AN27" s="3"/>
      <c r="AO27" s="3"/>
      <c r="AP27" s="458"/>
      <c r="AQ27" s="388"/>
      <c r="AR27" s="4"/>
      <c r="AS27" s="459"/>
      <c r="AT27" s="281" t="s">
        <v>5518</v>
      </c>
      <c r="AU27" s="4"/>
      <c r="AV27" s="4" t="e">
        <f>VLOOKUP(I27,[2]RFC!$1:$1048576,2,0)</f>
        <v>#N/A</v>
      </c>
      <c r="AW27" s="6">
        <v>45020</v>
      </c>
      <c r="AX27" s="463">
        <v>45021</v>
      </c>
      <c r="AY27" s="6"/>
      <c r="AZ27" s="6">
        <f t="shared" si="5"/>
        <v>0</v>
      </c>
      <c r="BA27" s="415" t="str">
        <f t="shared" si="6"/>
        <v>Contrato formalizado 28/04</v>
      </c>
      <c r="BB27" s="416">
        <v>45040</v>
      </c>
      <c r="BC27" s="255">
        <v>45035</v>
      </c>
      <c r="BD27" s="519"/>
      <c r="BE27" s="519"/>
      <c r="BF27" s="519"/>
      <c r="BG27" s="519"/>
      <c r="BH27" s="519"/>
    </row>
    <row r="28" spans="1:64" ht="375" x14ac:dyDescent="0.25">
      <c r="A28" s="286" t="s">
        <v>5526</v>
      </c>
      <c r="B28" s="1037">
        <v>21</v>
      </c>
      <c r="C28" s="4" t="s">
        <v>225</v>
      </c>
      <c r="D28" s="3" t="s">
        <v>173</v>
      </c>
      <c r="E28" s="18" t="s">
        <v>5527</v>
      </c>
      <c r="F28" s="3" t="str">
        <f t="shared" si="12"/>
        <v>Licitación Pública</v>
      </c>
      <c r="G28" s="3"/>
      <c r="H28" s="3" t="s">
        <v>3785</v>
      </c>
      <c r="I28" s="275" t="s">
        <v>5076</v>
      </c>
      <c r="J28" s="17"/>
      <c r="K28" s="17"/>
      <c r="L28" s="17"/>
      <c r="M28" s="375" t="str">
        <f t="shared" si="2"/>
        <v xml:space="preserve">Medisalud MLR, S. de R.L. de C.V.  </v>
      </c>
      <c r="N28" s="959" t="s">
        <v>763</v>
      </c>
      <c r="O28" s="959" t="s">
        <v>763</v>
      </c>
      <c r="P28" s="959" t="s">
        <v>5528</v>
      </c>
      <c r="Q28" s="959" t="s">
        <v>5529</v>
      </c>
      <c r="R28" s="962">
        <v>1100000</v>
      </c>
      <c r="S28" s="528">
        <v>0</v>
      </c>
      <c r="T28" s="384">
        <f t="shared" si="10"/>
        <v>1100000</v>
      </c>
      <c r="U28" s="385">
        <v>500000</v>
      </c>
      <c r="V28" s="532">
        <v>500000</v>
      </c>
      <c r="W28" s="383">
        <f t="shared" si="11"/>
        <v>1100000</v>
      </c>
      <c r="X28" s="963" t="s">
        <v>156</v>
      </c>
      <c r="Y28" s="387">
        <v>45040</v>
      </c>
      <c r="Z28" s="3" t="s">
        <v>333</v>
      </c>
      <c r="AA28" s="387">
        <v>45040</v>
      </c>
      <c r="AB28" s="387">
        <v>45291</v>
      </c>
      <c r="AC28" s="4" t="s">
        <v>3113</v>
      </c>
      <c r="AD28" s="412" t="s">
        <v>5530</v>
      </c>
      <c r="AE28" s="4"/>
      <c r="AF28" s="388"/>
      <c r="AG28" s="383"/>
      <c r="AH28" s="414" t="str">
        <f t="shared" ca="1" si="7"/>
        <v>MUERTO</v>
      </c>
      <c r="AI28" s="3"/>
      <c r="AJ28" s="3"/>
      <c r="AK28" s="3" t="s">
        <v>333</v>
      </c>
      <c r="AL28" s="3"/>
      <c r="AM28" s="3" t="s">
        <v>333</v>
      </c>
      <c r="AN28" s="3"/>
      <c r="AO28" s="3"/>
      <c r="AP28" s="458"/>
      <c r="AQ28" s="388"/>
      <c r="AR28" s="4"/>
      <c r="AS28" s="459"/>
      <c r="AT28" s="281" t="s">
        <v>5531</v>
      </c>
      <c r="AU28" s="4"/>
      <c r="AV28" s="4" t="e">
        <f>VLOOKUP(I28,[2]RFC!$1:$1048576,2,0)</f>
        <v>#N/A</v>
      </c>
      <c r="AW28" s="6">
        <v>45035</v>
      </c>
      <c r="AX28" s="463">
        <v>45036</v>
      </c>
      <c r="AY28" s="6">
        <v>45041</v>
      </c>
      <c r="AZ28" s="6">
        <f t="shared" si="5"/>
        <v>45041</v>
      </c>
      <c r="BA28" s="415" t="str">
        <f t="shared" si="6"/>
        <v>Contrato formalizado con garantías 09/05</v>
      </c>
      <c r="BB28" s="416">
        <v>45048</v>
      </c>
      <c r="BC28" s="255">
        <v>45042</v>
      </c>
      <c r="BD28" s="519"/>
      <c r="BE28" s="519"/>
      <c r="BF28" s="519"/>
      <c r="BG28" s="519"/>
      <c r="BH28" s="519"/>
    </row>
    <row r="29" spans="1:64" ht="75" x14ac:dyDescent="0.25">
      <c r="A29" s="286" t="s">
        <v>5532</v>
      </c>
      <c r="B29" s="252">
        <v>22</v>
      </c>
      <c r="C29" s="4" t="s">
        <v>225</v>
      </c>
      <c r="D29" s="3" t="s">
        <v>173</v>
      </c>
      <c r="E29" s="18" t="s">
        <v>5527</v>
      </c>
      <c r="F29" s="3" t="str">
        <f t="shared" si="12"/>
        <v>Licitación Pública</v>
      </c>
      <c r="G29" s="3"/>
      <c r="H29" s="3" t="s">
        <v>3785</v>
      </c>
      <c r="I29" s="275" t="s">
        <v>1850</v>
      </c>
      <c r="J29" s="17"/>
      <c r="K29" s="17"/>
      <c r="L29" s="17"/>
      <c r="M29" s="375" t="str">
        <f t="shared" si="2"/>
        <v xml:space="preserve">Medingenium, S.A. de C.V.  </v>
      </c>
      <c r="N29" s="959" t="s">
        <v>763</v>
      </c>
      <c r="O29" s="959" t="s">
        <v>763</v>
      </c>
      <c r="P29" s="959" t="s">
        <v>5533</v>
      </c>
      <c r="Q29" s="959" t="s">
        <v>5534</v>
      </c>
      <c r="R29" s="962">
        <v>500000</v>
      </c>
      <c r="S29" s="383">
        <f t="shared" ref="S29:S52" si="13">R29*0.16</f>
        <v>80000</v>
      </c>
      <c r="T29" s="384">
        <f t="shared" si="10"/>
        <v>580000</v>
      </c>
      <c r="U29" s="385">
        <v>300000</v>
      </c>
      <c r="V29" s="386">
        <f>(U29*0.16)+(U29)</f>
        <v>348000</v>
      </c>
      <c r="W29" s="383">
        <f t="shared" si="11"/>
        <v>580000</v>
      </c>
      <c r="X29" s="963" t="s">
        <v>156</v>
      </c>
      <c r="Y29" s="387">
        <v>45040</v>
      </c>
      <c r="Z29" s="3" t="s">
        <v>333</v>
      </c>
      <c r="AA29" s="387">
        <v>45040</v>
      </c>
      <c r="AB29" s="387">
        <v>45291</v>
      </c>
      <c r="AC29" s="4" t="s">
        <v>3113</v>
      </c>
      <c r="AD29" s="412"/>
      <c r="AE29" s="4"/>
      <c r="AF29" s="388"/>
      <c r="AG29" s="383"/>
      <c r="AH29" s="414" t="str">
        <f t="shared" ca="1" si="7"/>
        <v>MUERTO</v>
      </c>
      <c r="AI29" s="3"/>
      <c r="AJ29" s="3"/>
      <c r="AK29" s="3" t="s">
        <v>333</v>
      </c>
      <c r="AL29" s="3"/>
      <c r="AM29" s="3" t="s">
        <v>333</v>
      </c>
      <c r="AN29" s="3"/>
      <c r="AO29" s="3"/>
      <c r="AP29" s="458"/>
      <c r="AQ29" s="388"/>
      <c r="AR29" s="4"/>
      <c r="AS29" s="459"/>
      <c r="AT29" s="281" t="s">
        <v>5535</v>
      </c>
      <c r="AU29" s="4"/>
      <c r="AV29" s="4" t="str">
        <f>VLOOKUP(I29,[2]RFC!$1:$1048576,2,0)</f>
        <v>MED090630739</v>
      </c>
      <c r="AW29" s="6">
        <v>45035</v>
      </c>
      <c r="AX29" s="463">
        <v>45036</v>
      </c>
      <c r="AY29" s="6">
        <v>45041</v>
      </c>
      <c r="AZ29" s="6">
        <f t="shared" si="5"/>
        <v>45041</v>
      </c>
      <c r="BA29" s="415" t="str">
        <f t="shared" si="6"/>
        <v>Contrato formalizado con garantías 11/05</v>
      </c>
      <c r="BB29" s="416">
        <v>45048</v>
      </c>
      <c r="BC29" s="255">
        <v>45042</v>
      </c>
      <c r="BD29" s="519"/>
      <c r="BE29" s="519"/>
      <c r="BF29" s="519"/>
      <c r="BG29" s="519"/>
      <c r="BH29" s="519"/>
    </row>
    <row r="30" spans="1:64" ht="75" x14ac:dyDescent="0.25">
      <c r="A30" s="286" t="s">
        <v>5536</v>
      </c>
      <c r="B30" s="1037">
        <v>23</v>
      </c>
      <c r="C30" s="4" t="s">
        <v>225</v>
      </c>
      <c r="D30" s="3" t="s">
        <v>151</v>
      </c>
      <c r="E30" s="18" t="s">
        <v>5537</v>
      </c>
      <c r="F30" s="3" t="str">
        <f t="shared" si="12"/>
        <v>Invitación</v>
      </c>
      <c r="G30" s="3"/>
      <c r="H30" s="3" t="s">
        <v>3793</v>
      </c>
      <c r="I30" s="275" t="s">
        <v>4199</v>
      </c>
      <c r="J30" s="17"/>
      <c r="K30" s="17"/>
      <c r="L30" s="17"/>
      <c r="M30" s="375" t="str">
        <f t="shared" si="2"/>
        <v xml:space="preserve">TVMDIGITAL, S. DE R.L. DE C.V.  </v>
      </c>
      <c r="N30" s="959" t="s">
        <v>1946</v>
      </c>
      <c r="O30" s="959" t="s">
        <v>1946</v>
      </c>
      <c r="P30" s="959" t="s">
        <v>1946</v>
      </c>
      <c r="Q30" s="959" t="s">
        <v>2680</v>
      </c>
      <c r="R30" s="962">
        <v>948000</v>
      </c>
      <c r="S30" s="383">
        <f t="shared" si="13"/>
        <v>151680</v>
      </c>
      <c r="T30" s="384">
        <f t="shared" si="10"/>
        <v>1099680</v>
      </c>
      <c r="U30" s="385" t="s">
        <v>161</v>
      </c>
      <c r="V30" s="386" t="s">
        <v>161</v>
      </c>
      <c r="W30" s="383">
        <f t="shared" si="11"/>
        <v>1099680</v>
      </c>
      <c r="X30" s="963" t="s">
        <v>156</v>
      </c>
      <c r="Y30" s="387">
        <v>45043</v>
      </c>
      <c r="Z30" s="3" t="s">
        <v>333</v>
      </c>
      <c r="AA30" s="387">
        <v>45043</v>
      </c>
      <c r="AB30" s="387">
        <v>45100</v>
      </c>
      <c r="AC30" s="4" t="s">
        <v>3113</v>
      </c>
      <c r="AD30" s="412"/>
      <c r="AE30" s="4"/>
      <c r="AF30" s="388"/>
      <c r="AG30" s="383"/>
      <c r="AH30" s="414" t="str">
        <f t="shared" ca="1" si="7"/>
        <v>MUERTO</v>
      </c>
      <c r="AI30" s="3"/>
      <c r="AJ30" s="3"/>
      <c r="AK30" s="3" t="s">
        <v>333</v>
      </c>
      <c r="AL30" s="3"/>
      <c r="AM30" s="3" t="s">
        <v>333</v>
      </c>
      <c r="AN30" s="3"/>
      <c r="AO30" s="3"/>
      <c r="AP30" s="458"/>
      <c r="AQ30" s="388"/>
      <c r="AR30" s="4"/>
      <c r="AS30" s="459"/>
      <c r="AT30" s="281" t="s">
        <v>5531</v>
      </c>
      <c r="AU30" s="4"/>
      <c r="AV30" s="4" t="e">
        <f>VLOOKUP(I30,[2]RFC!$1:$1048576,2,0)</f>
        <v>#N/A</v>
      </c>
      <c r="AW30" s="6">
        <v>45040</v>
      </c>
      <c r="AX30" s="463">
        <v>45041</v>
      </c>
      <c r="AY30" s="6">
        <v>45043</v>
      </c>
      <c r="AZ30" s="6">
        <f t="shared" si="5"/>
        <v>45043</v>
      </c>
      <c r="BA30" s="415" t="str">
        <f t="shared" si="6"/>
        <v>Contrato formalizado con garantías 09/05</v>
      </c>
      <c r="BB30" s="416">
        <v>45048</v>
      </c>
      <c r="BC30" s="255">
        <v>45043</v>
      </c>
      <c r="BD30" s="519"/>
      <c r="BE30" s="519"/>
      <c r="BF30" s="519"/>
      <c r="BG30" s="519"/>
      <c r="BH30" s="519"/>
    </row>
    <row r="31" spans="1:64" ht="225" x14ac:dyDescent="0.25">
      <c r="A31" s="533" t="s">
        <v>5538</v>
      </c>
      <c r="B31" s="252">
        <v>24</v>
      </c>
      <c r="C31" s="4" t="s">
        <v>225</v>
      </c>
      <c r="D31" s="3" t="s">
        <v>163</v>
      </c>
      <c r="E31" s="18" t="s">
        <v>5539</v>
      </c>
      <c r="F31" s="3" t="str">
        <f t="shared" si="12"/>
        <v>Adjudicación Directa</v>
      </c>
      <c r="G31" s="685" t="s">
        <v>546</v>
      </c>
      <c r="H31" s="3" t="s">
        <v>3986</v>
      </c>
      <c r="I31" s="275" t="s">
        <v>5540</v>
      </c>
      <c r="J31" s="17"/>
      <c r="K31" s="17"/>
      <c r="L31" s="17"/>
      <c r="M31" s="375" t="str">
        <f t="shared" si="2"/>
        <v xml:space="preserve">Jorab Proyectos Industriales, S.A. de C.V.  </v>
      </c>
      <c r="N31" s="959" t="s">
        <v>198</v>
      </c>
      <c r="O31" s="959" t="s">
        <v>198</v>
      </c>
      <c r="P31" s="959" t="s">
        <v>5541</v>
      </c>
      <c r="Q31" s="959" t="s">
        <v>5542</v>
      </c>
      <c r="R31" s="962">
        <v>86206.9</v>
      </c>
      <c r="S31" s="383">
        <f t="shared" si="13"/>
        <v>13793.103999999999</v>
      </c>
      <c r="T31" s="384">
        <f t="shared" si="10"/>
        <v>100000.00399999999</v>
      </c>
      <c r="U31" s="385">
        <v>34482.76</v>
      </c>
      <c r="V31" s="386">
        <f>(U31*0.16)+(U31)</f>
        <v>40000.001600000003</v>
      </c>
      <c r="W31" s="383">
        <f t="shared" si="11"/>
        <v>100000.00399999999</v>
      </c>
      <c r="X31" s="963" t="s">
        <v>156</v>
      </c>
      <c r="Y31" s="387">
        <v>45064</v>
      </c>
      <c r="Z31" s="3" t="s">
        <v>559</v>
      </c>
      <c r="AA31" s="387">
        <v>45064</v>
      </c>
      <c r="AB31" s="387">
        <v>45291</v>
      </c>
      <c r="AC31" s="4" t="s">
        <v>3113</v>
      </c>
      <c r="AD31" s="534" t="s">
        <v>5543</v>
      </c>
      <c r="AE31" s="4" t="s">
        <v>5544</v>
      </c>
      <c r="AF31" s="388">
        <v>45244</v>
      </c>
      <c r="AG31" s="383"/>
      <c r="AH31" s="414" t="str">
        <f t="shared" ca="1" si="7"/>
        <v>MUERTO</v>
      </c>
      <c r="AI31" s="3"/>
      <c r="AJ31" s="3"/>
      <c r="AK31" s="3" t="s">
        <v>559</v>
      </c>
      <c r="AL31" s="3"/>
      <c r="AM31" s="3" t="s">
        <v>559</v>
      </c>
      <c r="AN31" s="3"/>
      <c r="AO31" s="3"/>
      <c r="AP31" s="458"/>
      <c r="AQ31" s="388"/>
      <c r="AR31" s="4"/>
      <c r="AS31" s="459"/>
      <c r="AT31" s="281" t="s">
        <v>5545</v>
      </c>
      <c r="AU31" s="4"/>
      <c r="AV31" s="4" t="e">
        <f>VLOOKUP(I31,[2]RFC!$1:$1048576,2,0)</f>
        <v>#N/A</v>
      </c>
      <c r="AW31" s="6">
        <v>45058</v>
      </c>
      <c r="AX31" s="463">
        <v>45062</v>
      </c>
      <c r="AY31" s="6"/>
      <c r="AZ31" s="6">
        <f t="shared" si="5"/>
        <v>0</v>
      </c>
      <c r="BA31" s="415" t="str">
        <f t="shared" si="6"/>
        <v>Contrato formalizado con FC 21/06</v>
      </c>
      <c r="BB31" s="416">
        <v>45068</v>
      </c>
      <c r="BC31" s="255">
        <v>45065</v>
      </c>
      <c r="BD31" s="519"/>
      <c r="BE31" s="519"/>
      <c r="BF31" s="519"/>
      <c r="BG31" s="519"/>
      <c r="BH31" s="519"/>
    </row>
    <row r="32" spans="1:64" ht="105" x14ac:dyDescent="0.25">
      <c r="A32" s="417" t="s">
        <v>5546</v>
      </c>
      <c r="B32" s="1037">
        <v>25</v>
      </c>
      <c r="C32" s="4" t="s">
        <v>225</v>
      </c>
      <c r="D32" s="3" t="s">
        <v>163</v>
      </c>
      <c r="E32" s="18" t="s">
        <v>5539</v>
      </c>
      <c r="F32" s="3" t="str">
        <f t="shared" si="12"/>
        <v>Adjudicación Directa</v>
      </c>
      <c r="G32" s="685" t="s">
        <v>546</v>
      </c>
      <c r="H32" s="3" t="s">
        <v>3986</v>
      </c>
      <c r="I32" s="275" t="s">
        <v>5547</v>
      </c>
      <c r="J32" s="17"/>
      <c r="K32" s="17"/>
      <c r="L32" s="17"/>
      <c r="M32" s="375" t="str">
        <f t="shared" si="2"/>
        <v xml:space="preserve">Colorset Internacional, S.A. de C.V.  </v>
      </c>
      <c r="N32" s="959" t="s">
        <v>198</v>
      </c>
      <c r="O32" s="959" t="s">
        <v>198</v>
      </c>
      <c r="P32" s="959" t="s">
        <v>5541</v>
      </c>
      <c r="Q32" s="959" t="s">
        <v>5548</v>
      </c>
      <c r="R32" s="962">
        <v>1560344.83</v>
      </c>
      <c r="S32" s="383">
        <f t="shared" si="13"/>
        <v>249655.17280000003</v>
      </c>
      <c r="T32" s="384">
        <f t="shared" si="10"/>
        <v>1810000.0028000001</v>
      </c>
      <c r="U32" s="385">
        <v>567241.38</v>
      </c>
      <c r="V32" s="386">
        <f>(U32*0.16)+(U32)</f>
        <v>658000.00080000004</v>
      </c>
      <c r="W32" s="528">
        <f t="shared" si="11"/>
        <v>2262500.0027999999</v>
      </c>
      <c r="X32" s="963" t="s">
        <v>156</v>
      </c>
      <c r="Y32" s="387">
        <v>45064</v>
      </c>
      <c r="Z32" s="3" t="s">
        <v>559</v>
      </c>
      <c r="AA32" s="387">
        <v>45064</v>
      </c>
      <c r="AB32" s="387">
        <v>45291</v>
      </c>
      <c r="AC32" s="4" t="s">
        <v>3113</v>
      </c>
      <c r="AD32" s="530" t="s">
        <v>5549</v>
      </c>
      <c r="AE32" s="527" t="s">
        <v>5550</v>
      </c>
      <c r="AF32" s="521">
        <v>45167</v>
      </c>
      <c r="AG32" s="528">
        <v>452500</v>
      </c>
      <c r="AH32" s="414" t="str">
        <f t="shared" ca="1" si="7"/>
        <v>MUERTO</v>
      </c>
      <c r="AI32" s="3"/>
      <c r="AJ32" s="3"/>
      <c r="AK32" s="3" t="s">
        <v>559</v>
      </c>
      <c r="AL32" s="3"/>
      <c r="AM32" s="3" t="s">
        <v>559</v>
      </c>
      <c r="AN32" s="3"/>
      <c r="AO32" s="3"/>
      <c r="AP32" s="458"/>
      <c r="AQ32" s="388"/>
      <c r="AR32" s="4"/>
      <c r="AS32" s="459"/>
      <c r="AT32" s="281" t="s">
        <v>5551</v>
      </c>
      <c r="AU32" s="4"/>
      <c r="AV32" s="4" t="e">
        <f>VLOOKUP(I32,[2]RFC!$1:$1048576,2,0)</f>
        <v>#N/A</v>
      </c>
      <c r="AW32" s="6" t="s">
        <v>5552</v>
      </c>
      <c r="AX32" s="463" t="s">
        <v>5553</v>
      </c>
      <c r="AY32" s="6" t="s">
        <v>5554</v>
      </c>
      <c r="AZ32" s="6" t="str">
        <f t="shared" si="5"/>
        <v>22/05/2023
30/08/2023</v>
      </c>
      <c r="BA32" s="415" t="str">
        <f t="shared" si="6"/>
        <v>Contrato formalizado con FC 30/05
Modif formalizado 12/09</v>
      </c>
      <c r="BB32" s="416" t="s">
        <v>5555</v>
      </c>
      <c r="BC32" s="255" t="s">
        <v>5556</v>
      </c>
      <c r="BD32" s="519"/>
      <c r="BE32" s="519"/>
      <c r="BF32" s="519"/>
      <c r="BG32" s="519"/>
      <c r="BH32" s="519"/>
    </row>
    <row r="33" spans="1:66" ht="150" x14ac:dyDescent="0.25">
      <c r="A33" s="417" t="s">
        <v>5557</v>
      </c>
      <c r="B33" s="252">
        <v>26</v>
      </c>
      <c r="C33" s="4" t="s">
        <v>225</v>
      </c>
      <c r="D33" s="3" t="s">
        <v>173</v>
      </c>
      <c r="E33" s="18" t="s">
        <v>5558</v>
      </c>
      <c r="F33" s="3" t="str">
        <f t="shared" si="12"/>
        <v>Licitación Pública</v>
      </c>
      <c r="G33" s="3"/>
      <c r="H33" s="3" t="s">
        <v>3785</v>
      </c>
      <c r="I33" s="275" t="s">
        <v>2505</v>
      </c>
      <c r="J33" s="17"/>
      <c r="K33" s="17"/>
      <c r="L33" s="17"/>
      <c r="M33" s="375" t="str">
        <f t="shared" si="2"/>
        <v xml:space="preserve">Grupo Antda, S.A. de C.V.  </v>
      </c>
      <c r="N33" s="959" t="s">
        <v>198</v>
      </c>
      <c r="O33" s="959" t="s">
        <v>198</v>
      </c>
      <c r="P33" s="959" t="s">
        <v>5559</v>
      </c>
      <c r="Q33" s="959" t="s">
        <v>5560</v>
      </c>
      <c r="R33" s="962">
        <v>3351358</v>
      </c>
      <c r="S33" s="383">
        <f t="shared" si="13"/>
        <v>536217.28</v>
      </c>
      <c r="T33" s="384">
        <f t="shared" si="10"/>
        <v>3887575.2800000003</v>
      </c>
      <c r="U33" s="385">
        <v>1210300</v>
      </c>
      <c r="V33" s="386">
        <f>(U33*0.16)+(U33)</f>
        <v>1403948</v>
      </c>
      <c r="W33" s="528">
        <f t="shared" si="11"/>
        <v>4859469.1000000006</v>
      </c>
      <c r="X33" s="963" t="s">
        <v>156</v>
      </c>
      <c r="Y33" s="387">
        <v>45064</v>
      </c>
      <c r="Z33" s="3" t="s">
        <v>559</v>
      </c>
      <c r="AA33" s="387">
        <v>45064</v>
      </c>
      <c r="AB33" s="387">
        <v>45291</v>
      </c>
      <c r="AC33" s="4" t="s">
        <v>3113</v>
      </c>
      <c r="AD33" s="412" t="s">
        <v>5561</v>
      </c>
      <c r="AE33" s="527" t="s">
        <v>5562</v>
      </c>
      <c r="AF33" s="521">
        <v>45175</v>
      </c>
      <c r="AG33" s="528">
        <v>971893.82</v>
      </c>
      <c r="AH33" s="414" t="str">
        <f t="shared" ca="1" si="7"/>
        <v>MUERTO</v>
      </c>
      <c r="AI33" s="3"/>
      <c r="AJ33" s="3"/>
      <c r="AK33" s="3" t="s">
        <v>559</v>
      </c>
      <c r="AL33" s="3"/>
      <c r="AM33" s="3" t="s">
        <v>559</v>
      </c>
      <c r="AN33" s="3"/>
      <c r="AO33" s="3"/>
      <c r="AP33" s="458"/>
      <c r="AQ33" s="388"/>
      <c r="AR33" s="4"/>
      <c r="AS33" s="459"/>
      <c r="AT33" s="281" t="s">
        <v>5563</v>
      </c>
      <c r="AU33" s="4"/>
      <c r="AV33" s="4" t="e">
        <f>VLOOKUP(I33,[2]RFC!$1:$1048576,2,0)</f>
        <v>#N/A</v>
      </c>
      <c r="AW33" s="6">
        <v>45061</v>
      </c>
      <c r="AX33" s="463">
        <v>45062</v>
      </c>
      <c r="AY33" s="6" t="s">
        <v>5564</v>
      </c>
      <c r="AZ33" s="6" t="str">
        <f t="shared" si="5"/>
        <v>18/05/2023
06/09/2023</v>
      </c>
      <c r="BA33" s="415" t="str">
        <f t="shared" si="6"/>
        <v>Contrato formalizado con fc 05/06
Modificatorio formalizado con endosos 22/09</v>
      </c>
      <c r="BB33" s="416" t="s">
        <v>5565</v>
      </c>
      <c r="BC33" s="255" t="s">
        <v>5566</v>
      </c>
      <c r="BD33" s="519"/>
      <c r="BE33" s="519"/>
      <c r="BF33" s="519"/>
      <c r="BG33" s="519"/>
      <c r="BH33" s="519"/>
    </row>
    <row r="34" spans="1:66" ht="105" x14ac:dyDescent="0.25">
      <c r="A34" s="286" t="s">
        <v>5567</v>
      </c>
      <c r="B34" s="1037">
        <v>27</v>
      </c>
      <c r="C34" s="4" t="s">
        <v>225</v>
      </c>
      <c r="D34" s="3" t="s">
        <v>173</v>
      </c>
      <c r="E34" s="18" t="s">
        <v>5558</v>
      </c>
      <c r="F34" s="3" t="str">
        <f t="shared" si="12"/>
        <v>Licitación Pública</v>
      </c>
      <c r="G34" s="3"/>
      <c r="H34" s="3" t="s">
        <v>3785</v>
      </c>
      <c r="I34" s="275" t="s">
        <v>1761</v>
      </c>
      <c r="J34" s="17"/>
      <c r="K34" s="17"/>
      <c r="L34" s="17"/>
      <c r="M34" s="375" t="str">
        <f t="shared" si="2"/>
        <v xml:space="preserve">Interamericana CMH, S.A. de C.V.  </v>
      </c>
      <c r="N34" s="959" t="s">
        <v>198</v>
      </c>
      <c r="O34" s="959" t="s">
        <v>198</v>
      </c>
      <c r="P34" s="959" t="s">
        <v>5559</v>
      </c>
      <c r="Q34" s="959" t="s">
        <v>5568</v>
      </c>
      <c r="R34" s="962">
        <v>263820</v>
      </c>
      <c r="S34" s="383">
        <f t="shared" si="13"/>
        <v>42211.200000000004</v>
      </c>
      <c r="T34" s="384">
        <f t="shared" si="10"/>
        <v>306031.2</v>
      </c>
      <c r="U34" s="385">
        <v>101200</v>
      </c>
      <c r="V34" s="386">
        <f>(U34*0.16)+(U34)</f>
        <v>117392</v>
      </c>
      <c r="W34" s="383">
        <f t="shared" si="11"/>
        <v>306031.2</v>
      </c>
      <c r="X34" s="963" t="s">
        <v>156</v>
      </c>
      <c r="Y34" s="387">
        <v>45064</v>
      </c>
      <c r="Z34" s="3" t="s">
        <v>559</v>
      </c>
      <c r="AA34" s="387">
        <v>45064</v>
      </c>
      <c r="AB34" s="387">
        <v>45291</v>
      </c>
      <c r="AC34" s="4" t="s">
        <v>3113</v>
      </c>
      <c r="AD34" s="412"/>
      <c r="AE34" s="4"/>
      <c r="AF34" s="388"/>
      <c r="AG34" s="383"/>
      <c r="AH34" s="414" t="str">
        <f t="shared" ca="1" si="7"/>
        <v>MUERTO</v>
      </c>
      <c r="AI34" s="3"/>
      <c r="AJ34" s="3"/>
      <c r="AK34" s="3" t="s">
        <v>559</v>
      </c>
      <c r="AL34" s="3"/>
      <c r="AM34" s="3" t="s">
        <v>559</v>
      </c>
      <c r="AN34" s="3"/>
      <c r="AO34" s="3"/>
      <c r="AP34" s="458"/>
      <c r="AQ34" s="388"/>
      <c r="AR34" s="4"/>
      <c r="AS34" s="459"/>
      <c r="AT34" s="281" t="s">
        <v>5569</v>
      </c>
      <c r="AU34" s="4"/>
      <c r="AV34" s="4" t="e">
        <f>VLOOKUP(I34,[2]RFC!$1:$1048576,2,0)</f>
        <v>#N/A</v>
      </c>
      <c r="AW34" s="6">
        <v>45061</v>
      </c>
      <c r="AX34" s="463">
        <v>45062</v>
      </c>
      <c r="AY34" s="6"/>
      <c r="AZ34" s="6">
        <f t="shared" si="5"/>
        <v>0</v>
      </c>
      <c r="BA34" s="415" t="str">
        <f t="shared" si="6"/>
        <v>Contrato formalizado con fC 19/06</v>
      </c>
      <c r="BB34" s="416">
        <v>45078</v>
      </c>
      <c r="BC34" s="255">
        <v>45077</v>
      </c>
      <c r="BD34" s="519"/>
      <c r="BE34" s="519"/>
      <c r="BF34" s="519"/>
      <c r="BG34" s="519"/>
      <c r="BH34" s="519"/>
    </row>
    <row r="35" spans="1:66" ht="135" x14ac:dyDescent="0.25">
      <c r="A35" s="417" t="s">
        <v>5570</v>
      </c>
      <c r="B35" s="252">
        <v>28</v>
      </c>
      <c r="C35" s="4" t="s">
        <v>225</v>
      </c>
      <c r="D35" s="3" t="s">
        <v>173</v>
      </c>
      <c r="E35" s="18" t="s">
        <v>5558</v>
      </c>
      <c r="F35" s="3" t="str">
        <f t="shared" si="12"/>
        <v>Licitación Pública</v>
      </c>
      <c r="G35" s="3"/>
      <c r="H35" s="3" t="s">
        <v>3785</v>
      </c>
      <c r="I35" s="275"/>
      <c r="J35" s="17" t="s">
        <v>3850</v>
      </c>
      <c r="K35" s="17" t="s">
        <v>3851</v>
      </c>
      <c r="L35" s="17" t="s">
        <v>3852</v>
      </c>
      <c r="M35" s="375" t="str">
        <f t="shared" si="2"/>
        <v>Roberto Carlos Blanco Senties</v>
      </c>
      <c r="N35" s="959" t="s">
        <v>198</v>
      </c>
      <c r="O35" s="959" t="s">
        <v>198</v>
      </c>
      <c r="P35" s="959" t="s">
        <v>5559</v>
      </c>
      <c r="Q35" s="959" t="s">
        <v>5571</v>
      </c>
      <c r="R35" s="962">
        <v>528050</v>
      </c>
      <c r="S35" s="383">
        <f t="shared" si="13"/>
        <v>84488</v>
      </c>
      <c r="T35" s="384">
        <f t="shared" si="10"/>
        <v>612538</v>
      </c>
      <c r="U35" s="385">
        <v>142800</v>
      </c>
      <c r="V35" s="386">
        <f>(U35*0.16)+(U35)</f>
        <v>165648</v>
      </c>
      <c r="W35" s="528">
        <f t="shared" si="11"/>
        <v>765672.5</v>
      </c>
      <c r="X35" s="963" t="s">
        <v>156</v>
      </c>
      <c r="Y35" s="387">
        <v>45064</v>
      </c>
      <c r="Z35" s="3" t="s">
        <v>559</v>
      </c>
      <c r="AA35" s="387">
        <v>45064</v>
      </c>
      <c r="AB35" s="387">
        <v>45291</v>
      </c>
      <c r="AC35" s="4" t="s">
        <v>3113</v>
      </c>
      <c r="AD35" s="412" t="s">
        <v>5572</v>
      </c>
      <c r="AE35" s="527" t="s">
        <v>5573</v>
      </c>
      <c r="AF35" s="521">
        <v>45174</v>
      </c>
      <c r="AG35" s="528">
        <v>153134.5</v>
      </c>
      <c r="AH35" s="414" t="str">
        <f t="shared" ca="1" si="7"/>
        <v>MUERTO</v>
      </c>
      <c r="AI35" s="3"/>
      <c r="AJ35" s="3"/>
      <c r="AK35" s="3" t="s">
        <v>559</v>
      </c>
      <c r="AL35" s="3"/>
      <c r="AM35" s="3" t="s">
        <v>559</v>
      </c>
      <c r="AN35" s="3"/>
      <c r="AO35" s="3"/>
      <c r="AP35" s="458"/>
      <c r="AQ35" s="388"/>
      <c r="AR35" s="4"/>
      <c r="AS35" s="459"/>
      <c r="AT35" s="281" t="s">
        <v>5574</v>
      </c>
      <c r="AU35" s="4"/>
      <c r="AV35" s="4" t="e">
        <f>VLOOKUP(I35,[2]RFC!$1:$1048576,2,0)</f>
        <v>#N/A</v>
      </c>
      <c r="AW35" s="6">
        <v>45061</v>
      </c>
      <c r="AX35" s="463">
        <v>45062</v>
      </c>
      <c r="AY35" s="6" t="s">
        <v>5575</v>
      </c>
      <c r="AZ35" s="6" t="str">
        <f t="shared" si="5"/>
        <v>18/05/2023
05/09/2023</v>
      </c>
      <c r="BA35" s="415" t="str">
        <f t="shared" si="6"/>
        <v>Contrato formalizado con FC 09/06
Modif formalizado con endoso 22/09</v>
      </c>
      <c r="BB35" s="416" t="s">
        <v>5576</v>
      </c>
      <c r="BC35" s="255" t="s">
        <v>5577</v>
      </c>
      <c r="BD35" s="519"/>
      <c r="BE35" s="519"/>
      <c r="BF35" s="519"/>
      <c r="BG35" s="519"/>
      <c r="BH35" s="519"/>
    </row>
    <row r="36" spans="1:66" ht="120" x14ac:dyDescent="0.25">
      <c r="A36" s="286" t="s">
        <v>5578</v>
      </c>
      <c r="B36" s="1037">
        <v>29</v>
      </c>
      <c r="C36" s="4" t="s">
        <v>225</v>
      </c>
      <c r="D36" s="3" t="s">
        <v>173</v>
      </c>
      <c r="E36" s="18" t="s">
        <v>5579</v>
      </c>
      <c r="F36" s="3" t="str">
        <f t="shared" si="12"/>
        <v>Licitación Pública</v>
      </c>
      <c r="G36" s="3"/>
      <c r="H36" s="3" t="s">
        <v>3785</v>
      </c>
      <c r="I36" s="275" t="s">
        <v>5580</v>
      </c>
      <c r="J36" s="17"/>
      <c r="K36" s="17"/>
      <c r="L36" s="17"/>
      <c r="M36" s="375" t="str">
        <f t="shared" si="2"/>
        <v xml:space="preserve">Soluciones Abiertas en Telecomunicaciones, S.A. de C.V.  </v>
      </c>
      <c r="N36" s="959" t="s">
        <v>656</v>
      </c>
      <c r="O36" s="959" t="s">
        <v>667</v>
      </c>
      <c r="P36" s="959" t="s">
        <v>5368</v>
      </c>
      <c r="Q36" s="959" t="s">
        <v>5581</v>
      </c>
      <c r="R36" s="962">
        <v>2151440</v>
      </c>
      <c r="S36" s="383">
        <f t="shared" si="13"/>
        <v>344230.40000000002</v>
      </c>
      <c r="T36" s="384">
        <f t="shared" si="10"/>
        <v>2495670.4</v>
      </c>
      <c r="U36" s="385" t="s">
        <v>161</v>
      </c>
      <c r="V36" s="386" t="s">
        <v>161</v>
      </c>
      <c r="W36" s="383">
        <f t="shared" si="11"/>
        <v>2495670.4</v>
      </c>
      <c r="X36" s="963" t="s">
        <v>156</v>
      </c>
      <c r="Y36" s="387">
        <v>45065</v>
      </c>
      <c r="Z36" s="3" t="s">
        <v>559</v>
      </c>
      <c r="AA36" s="387">
        <v>45065</v>
      </c>
      <c r="AB36" s="387">
        <v>45138</v>
      </c>
      <c r="AC36" s="4" t="s">
        <v>3113</v>
      </c>
      <c r="AD36" s="412"/>
      <c r="AE36" s="4"/>
      <c r="AF36" s="388"/>
      <c r="AG36" s="383"/>
      <c r="AH36" s="414" t="str">
        <f t="shared" ca="1" si="7"/>
        <v>MUERTO</v>
      </c>
      <c r="AI36" s="3"/>
      <c r="AJ36" s="3"/>
      <c r="AK36" s="3" t="s">
        <v>559</v>
      </c>
      <c r="AL36" s="3"/>
      <c r="AM36" s="3" t="s">
        <v>559</v>
      </c>
      <c r="AN36" s="3"/>
      <c r="AO36" s="3"/>
      <c r="AP36" s="458"/>
      <c r="AQ36" s="388"/>
      <c r="AR36" s="4"/>
      <c r="AS36" s="459"/>
      <c r="AT36" s="281" t="s">
        <v>5582</v>
      </c>
      <c r="AU36" s="4"/>
      <c r="AV36" s="4" t="e">
        <f>VLOOKUP(I36,[2]RFC!$1:$1048576,2,0)</f>
        <v>#N/A</v>
      </c>
      <c r="AW36" s="6">
        <v>45062</v>
      </c>
      <c r="AX36" s="463">
        <v>45063</v>
      </c>
      <c r="AY36" s="6"/>
      <c r="AZ36" s="6">
        <f t="shared" si="5"/>
        <v>0</v>
      </c>
      <c r="BA36" s="415" t="str">
        <f t="shared" si="6"/>
        <v>Contrato formalizado con fc 05/06</v>
      </c>
      <c r="BB36" s="416">
        <v>45072</v>
      </c>
      <c r="BC36" s="255">
        <v>45070</v>
      </c>
      <c r="BD36" s="519"/>
      <c r="BE36" s="519"/>
      <c r="BF36" s="519"/>
      <c r="BG36" s="519"/>
      <c r="BH36" s="519"/>
    </row>
    <row r="37" spans="1:66" ht="120" x14ac:dyDescent="0.25">
      <c r="A37" s="286" t="s">
        <v>5583</v>
      </c>
      <c r="B37" s="252">
        <v>30</v>
      </c>
      <c r="C37" s="4" t="s">
        <v>225</v>
      </c>
      <c r="D37" s="3" t="s">
        <v>163</v>
      </c>
      <c r="E37" s="18" t="s">
        <v>5584</v>
      </c>
      <c r="F37" s="3" t="str">
        <f t="shared" si="12"/>
        <v>Adjudicación Directa</v>
      </c>
      <c r="G37" s="684" t="s">
        <v>163</v>
      </c>
      <c r="H37" s="3" t="s">
        <v>4004</v>
      </c>
      <c r="I37" s="275" t="s">
        <v>5585</v>
      </c>
      <c r="J37" s="17"/>
      <c r="K37" s="17"/>
      <c r="L37" s="17"/>
      <c r="M37" s="375" t="str">
        <f t="shared" si="2"/>
        <v xml:space="preserve">Aken &amp; CEO, S.A. de C.V.  </v>
      </c>
      <c r="N37" s="959" t="s">
        <v>656</v>
      </c>
      <c r="O37" s="959" t="s">
        <v>667</v>
      </c>
      <c r="P37" s="959" t="s">
        <v>5368</v>
      </c>
      <c r="Q37" s="959" t="s">
        <v>5586</v>
      </c>
      <c r="R37" s="962">
        <v>862068.96600000001</v>
      </c>
      <c r="S37" s="383">
        <f t="shared" si="13"/>
        <v>137931.03456</v>
      </c>
      <c r="T37" s="384">
        <f t="shared" si="10"/>
        <v>1000000.0005600001</v>
      </c>
      <c r="U37" s="385">
        <v>200000</v>
      </c>
      <c r="V37" s="386">
        <f>(U37*0.16)+(U37)</f>
        <v>232000</v>
      </c>
      <c r="W37" s="383">
        <f t="shared" si="11"/>
        <v>1000000.0005600001</v>
      </c>
      <c r="X37" s="963" t="s">
        <v>156</v>
      </c>
      <c r="Y37" s="387">
        <v>45075</v>
      </c>
      <c r="Z37" s="3" t="s">
        <v>559</v>
      </c>
      <c r="AA37" s="387">
        <v>45075</v>
      </c>
      <c r="AB37" s="387">
        <v>45291</v>
      </c>
      <c r="AC37" s="4" t="s">
        <v>3113</v>
      </c>
      <c r="AD37" s="412"/>
      <c r="AE37" s="4"/>
      <c r="AF37" s="388"/>
      <c r="AG37" s="383"/>
      <c r="AH37" s="414" t="str">
        <f t="shared" ca="1" si="7"/>
        <v>MUERTO</v>
      </c>
      <c r="AI37" s="3"/>
      <c r="AJ37" s="3"/>
      <c r="AK37" s="3" t="s">
        <v>559</v>
      </c>
      <c r="AL37" s="3"/>
      <c r="AM37" s="3" t="s">
        <v>559</v>
      </c>
      <c r="AN37" s="3"/>
      <c r="AO37" s="3"/>
      <c r="AP37" s="458"/>
      <c r="AQ37" s="388"/>
      <c r="AR37" s="4"/>
      <c r="AS37" s="459"/>
      <c r="AT37" s="281" t="s">
        <v>5587</v>
      </c>
      <c r="AU37" s="4"/>
      <c r="AV37" s="4"/>
      <c r="AW37" s="6">
        <v>45069</v>
      </c>
      <c r="AX37" s="463">
        <v>45070</v>
      </c>
      <c r="AY37" s="6"/>
      <c r="AZ37" s="6"/>
      <c r="BA37" s="415"/>
      <c r="BB37" s="416">
        <v>45082</v>
      </c>
      <c r="BC37" s="255">
        <v>45077</v>
      </c>
      <c r="BD37" s="519"/>
      <c r="BE37" s="519"/>
      <c r="BF37" s="519"/>
      <c r="BG37" s="519"/>
      <c r="BH37" s="519"/>
    </row>
    <row r="38" spans="1:66" ht="90" x14ac:dyDescent="0.25">
      <c r="A38" s="417" t="s">
        <v>5588</v>
      </c>
      <c r="B38" s="1037">
        <v>31</v>
      </c>
      <c r="C38" s="4" t="s">
        <v>225</v>
      </c>
      <c r="D38" s="3" t="s">
        <v>173</v>
      </c>
      <c r="E38" s="18" t="s">
        <v>5589</v>
      </c>
      <c r="F38" s="3" t="str">
        <f t="shared" si="12"/>
        <v>Licitación Pública</v>
      </c>
      <c r="G38" s="3"/>
      <c r="H38" s="3" t="s">
        <v>3785</v>
      </c>
      <c r="I38" s="275" t="s">
        <v>5158</v>
      </c>
      <c r="J38" s="17"/>
      <c r="K38" s="17"/>
      <c r="L38" s="17"/>
      <c r="M38" s="375" t="str">
        <f t="shared" si="2"/>
        <v xml:space="preserve">Cen Systems, S.A. de C.V.  </v>
      </c>
      <c r="N38" s="959" t="s">
        <v>656</v>
      </c>
      <c r="O38" s="959" t="s">
        <v>209</v>
      </c>
      <c r="P38" s="959" t="s">
        <v>694</v>
      </c>
      <c r="Q38" s="959" t="s">
        <v>5590</v>
      </c>
      <c r="R38" s="962">
        <v>6720230.1900000004</v>
      </c>
      <c r="S38" s="383">
        <f t="shared" si="13"/>
        <v>1075236.8304000001</v>
      </c>
      <c r="T38" s="384">
        <f t="shared" si="10"/>
        <v>7795467.0204000007</v>
      </c>
      <c r="U38" s="385" t="s">
        <v>161</v>
      </c>
      <c r="V38" s="386" t="s">
        <v>161</v>
      </c>
      <c r="W38" s="383">
        <f t="shared" si="11"/>
        <v>7795467.0204000007</v>
      </c>
      <c r="X38" s="963" t="s">
        <v>156</v>
      </c>
      <c r="Y38" s="387">
        <v>45075</v>
      </c>
      <c r="Z38" s="3" t="s">
        <v>559</v>
      </c>
      <c r="AA38" s="387">
        <v>45075</v>
      </c>
      <c r="AB38" s="387">
        <v>45289</v>
      </c>
      <c r="AC38" s="4" t="s">
        <v>3787</v>
      </c>
      <c r="AD38" s="417" t="s">
        <v>5161</v>
      </c>
      <c r="AE38" s="417" t="s">
        <v>5162</v>
      </c>
      <c r="AF38" s="524">
        <v>45265</v>
      </c>
      <c r="AG38" s="525">
        <v>0</v>
      </c>
      <c r="AH38" s="414" t="str">
        <f t="shared" ca="1" si="7"/>
        <v>MUERTO</v>
      </c>
      <c r="AI38" s="3"/>
      <c r="AJ38" s="3"/>
      <c r="AK38" s="3" t="s">
        <v>559</v>
      </c>
      <c r="AL38" s="3"/>
      <c r="AM38" s="3" t="s">
        <v>559</v>
      </c>
      <c r="AN38" s="3"/>
      <c r="AO38" s="3"/>
      <c r="AP38" s="458"/>
      <c r="AQ38" s="388"/>
      <c r="AR38" s="4"/>
      <c r="AS38" s="459"/>
      <c r="AT38" s="281">
        <v>45293</v>
      </c>
      <c r="AU38" s="4"/>
      <c r="AV38" s="4" t="str">
        <f>VLOOKUP(I38,[2]RFC!$1:$1048576,2,0)</f>
        <v>CSY100128PK5</v>
      </c>
      <c r="AW38" s="6" t="s">
        <v>5591</v>
      </c>
      <c r="AX38" s="463" t="s">
        <v>5592</v>
      </c>
      <c r="AY38" s="6">
        <v>45075</v>
      </c>
      <c r="AZ38" s="6">
        <f t="shared" ref="AZ38:AZ52" si="14">AY38</f>
        <v>45075</v>
      </c>
      <c r="BA38" s="415">
        <f>AT38</f>
        <v>45293</v>
      </c>
      <c r="BB38" s="416" t="s">
        <v>5593</v>
      </c>
      <c r="BC38" s="255" t="s">
        <v>5594</v>
      </c>
      <c r="BD38" s="519"/>
      <c r="BE38" s="519"/>
      <c r="BF38" s="519"/>
      <c r="BG38" s="519"/>
      <c r="BH38" s="519"/>
    </row>
    <row r="39" spans="1:66" ht="75" x14ac:dyDescent="0.25">
      <c r="A39" s="286" t="s">
        <v>5595</v>
      </c>
      <c r="B39" s="252">
        <v>32</v>
      </c>
      <c r="C39" s="4" t="s">
        <v>225</v>
      </c>
      <c r="D39" s="3" t="s">
        <v>173</v>
      </c>
      <c r="E39" s="18" t="s">
        <v>5596</v>
      </c>
      <c r="F39" s="3" t="str">
        <f t="shared" si="12"/>
        <v>Licitación Pública</v>
      </c>
      <c r="G39" s="3"/>
      <c r="H39" s="3" t="s">
        <v>4272</v>
      </c>
      <c r="I39" s="275" t="s">
        <v>625</v>
      </c>
      <c r="J39" s="17"/>
      <c r="K39" s="17"/>
      <c r="L39" s="17"/>
      <c r="M39" s="375" t="str">
        <f t="shared" si="2"/>
        <v xml:space="preserve">Videoservicios, S.A. de C.V.  </v>
      </c>
      <c r="N39" s="959" t="s">
        <v>860</v>
      </c>
      <c r="O39" s="959" t="s">
        <v>5152</v>
      </c>
      <c r="P39" s="959" t="s">
        <v>5152</v>
      </c>
      <c r="Q39" s="959" t="s">
        <v>5597</v>
      </c>
      <c r="R39" s="962">
        <v>3212000</v>
      </c>
      <c r="S39" s="383">
        <f t="shared" si="13"/>
        <v>513920</v>
      </c>
      <c r="T39" s="384">
        <f t="shared" si="10"/>
        <v>3725920</v>
      </c>
      <c r="U39" s="385" t="s">
        <v>161</v>
      </c>
      <c r="V39" s="386" t="s">
        <v>161</v>
      </c>
      <c r="W39" s="383">
        <f t="shared" si="11"/>
        <v>3725920</v>
      </c>
      <c r="X39" s="963" t="s">
        <v>156</v>
      </c>
      <c r="Y39" s="387">
        <v>45082</v>
      </c>
      <c r="Z39" s="3" t="s">
        <v>496</v>
      </c>
      <c r="AA39" s="387">
        <v>45082</v>
      </c>
      <c r="AB39" s="387">
        <v>45198</v>
      </c>
      <c r="AC39" s="4" t="s">
        <v>3113</v>
      </c>
      <c r="AD39" s="412"/>
      <c r="AE39" s="4"/>
      <c r="AF39" s="388"/>
      <c r="AG39" s="383"/>
      <c r="AH39" s="414" t="str">
        <f t="shared" ca="1" si="7"/>
        <v>MUERTO</v>
      </c>
      <c r="AI39" s="3"/>
      <c r="AJ39" s="3"/>
      <c r="AK39" s="3" t="s">
        <v>496</v>
      </c>
      <c r="AL39" s="3"/>
      <c r="AM39" s="3" t="s">
        <v>496</v>
      </c>
      <c r="AN39" s="3"/>
      <c r="AO39" s="3"/>
      <c r="AP39" s="458"/>
      <c r="AQ39" s="388"/>
      <c r="AR39" s="4"/>
      <c r="AS39" s="459"/>
      <c r="AT39" s="281" t="s">
        <v>5598</v>
      </c>
      <c r="AU39" s="4"/>
      <c r="AV39" s="4" t="str">
        <f>VLOOKUP(I39,[2]RFC!$1:$1048576,2,0)</f>
        <v>VID850330QL2</v>
      </c>
      <c r="AW39" s="6">
        <v>45077</v>
      </c>
      <c r="AX39" s="463">
        <v>45077</v>
      </c>
      <c r="AY39" s="6">
        <v>45082</v>
      </c>
      <c r="AZ39" s="6">
        <f t="shared" si="14"/>
        <v>45082</v>
      </c>
      <c r="BA39" s="415" t="str">
        <f>AT39</f>
        <v>contrato formalizado con garantías 14</v>
      </c>
      <c r="BB39" s="416">
        <v>45085</v>
      </c>
      <c r="BC39" s="255">
        <v>45084</v>
      </c>
      <c r="BD39" s="519"/>
      <c r="BE39" s="519"/>
      <c r="BF39" s="519"/>
      <c r="BG39" s="519"/>
      <c r="BH39" s="519"/>
    </row>
    <row r="40" spans="1:66" ht="75" x14ac:dyDescent="0.25">
      <c r="A40" s="286" t="s">
        <v>5599</v>
      </c>
      <c r="B40" s="1037">
        <v>33</v>
      </c>
      <c r="C40" s="4" t="s">
        <v>225</v>
      </c>
      <c r="D40" s="3" t="s">
        <v>173</v>
      </c>
      <c r="E40" s="18" t="s">
        <v>5600</v>
      </c>
      <c r="F40" s="3" t="str">
        <f t="shared" si="12"/>
        <v>Licitación Pública</v>
      </c>
      <c r="G40" s="3"/>
      <c r="H40" s="3" t="s">
        <v>3785</v>
      </c>
      <c r="I40" s="275" t="s">
        <v>5601</v>
      </c>
      <c r="J40" s="17"/>
      <c r="K40" s="17"/>
      <c r="L40" s="17"/>
      <c r="M40" s="375" t="str">
        <f t="shared" ref="M40:M71" si="15">I40&amp;J40&amp;" "&amp;K40&amp;" "&amp;L40</f>
        <v xml:space="preserve">Representaciones Subar, S.A. de C.V.  </v>
      </c>
      <c r="N40" s="959" t="s">
        <v>370</v>
      </c>
      <c r="O40" s="959" t="s">
        <v>370</v>
      </c>
      <c r="P40" s="959" t="s">
        <v>3359</v>
      </c>
      <c r="Q40" s="959" t="s">
        <v>5602</v>
      </c>
      <c r="R40" s="962">
        <v>654200.5</v>
      </c>
      <c r="S40" s="383">
        <f t="shared" si="13"/>
        <v>104672.08</v>
      </c>
      <c r="T40" s="384">
        <f t="shared" si="10"/>
        <v>758872.58</v>
      </c>
      <c r="U40" s="385" t="s">
        <v>161</v>
      </c>
      <c r="V40" s="386" t="s">
        <v>161</v>
      </c>
      <c r="W40" s="383">
        <f t="shared" si="11"/>
        <v>758872.58</v>
      </c>
      <c r="X40" s="963" t="s">
        <v>156</v>
      </c>
      <c r="Y40" s="387">
        <v>45098</v>
      </c>
      <c r="Z40" s="3" t="s">
        <v>496</v>
      </c>
      <c r="AA40" s="387">
        <v>45098</v>
      </c>
      <c r="AB40" s="387">
        <v>45291</v>
      </c>
      <c r="AC40" s="4" t="s">
        <v>3113</v>
      </c>
      <c r="AD40" s="412"/>
      <c r="AE40" s="4"/>
      <c r="AF40" s="388"/>
      <c r="AG40" s="383"/>
      <c r="AH40" s="414" t="str">
        <f t="shared" ca="1" si="7"/>
        <v>MUERTO</v>
      </c>
      <c r="AI40" s="3"/>
      <c r="AJ40" s="3"/>
      <c r="AK40" s="3" t="s">
        <v>496</v>
      </c>
      <c r="AL40" s="3"/>
      <c r="AM40" s="3" t="s">
        <v>496</v>
      </c>
      <c r="AN40" s="3"/>
      <c r="AO40" s="3"/>
      <c r="AP40" s="458"/>
      <c r="AQ40" s="388"/>
      <c r="AR40" s="4"/>
      <c r="AS40" s="459"/>
      <c r="AT40" s="281" t="s">
        <v>5603</v>
      </c>
      <c r="AU40" s="4"/>
      <c r="AV40" s="4" t="e">
        <f>VLOOKUP(I40,[2]RFC!$1:$1048576,2,0)</f>
        <v>#N/A</v>
      </c>
      <c r="AW40" s="6">
        <v>45093</v>
      </c>
      <c r="AX40" s="463">
        <v>45096</v>
      </c>
      <c r="AY40" s="6">
        <v>45099</v>
      </c>
      <c r="AZ40" s="6">
        <f t="shared" si="14"/>
        <v>45099</v>
      </c>
      <c r="BA40" s="415" t="str">
        <f>AT40</f>
        <v>Contrato formalizado con garantías 11/07</v>
      </c>
      <c r="BB40" s="416">
        <v>45105</v>
      </c>
      <c r="BC40" s="255">
        <v>45103</v>
      </c>
      <c r="BD40" s="519"/>
      <c r="BE40" s="519"/>
      <c r="BF40" s="519"/>
      <c r="BG40" s="519"/>
      <c r="BH40" s="519"/>
    </row>
    <row r="41" spans="1:66" ht="75" x14ac:dyDescent="0.25">
      <c r="A41" s="286" t="s">
        <v>5604</v>
      </c>
      <c r="B41" s="252">
        <v>34</v>
      </c>
      <c r="C41" s="4" t="s">
        <v>225</v>
      </c>
      <c r="D41" s="3" t="s">
        <v>173</v>
      </c>
      <c r="E41" s="18" t="s">
        <v>5600</v>
      </c>
      <c r="F41" s="3" t="str">
        <f t="shared" si="12"/>
        <v>Licitación Pública</v>
      </c>
      <c r="G41" s="3"/>
      <c r="H41" s="3" t="s">
        <v>3785</v>
      </c>
      <c r="I41" s="275" t="s">
        <v>2830</v>
      </c>
      <c r="J41" s="17"/>
      <c r="K41" s="17"/>
      <c r="L41" s="17"/>
      <c r="M41" s="375" t="str">
        <f t="shared" si="15"/>
        <v xml:space="preserve">Men´s International Collection, S.A. de C.V.  </v>
      </c>
      <c r="N41" s="959" t="s">
        <v>370</v>
      </c>
      <c r="O41" s="959" t="s">
        <v>370</v>
      </c>
      <c r="P41" s="959" t="s">
        <v>3359</v>
      </c>
      <c r="Q41" s="959" t="s">
        <v>5605</v>
      </c>
      <c r="R41" s="962">
        <v>681350</v>
      </c>
      <c r="S41" s="383">
        <f t="shared" si="13"/>
        <v>109016</v>
      </c>
      <c r="T41" s="384">
        <f t="shared" si="10"/>
        <v>790366</v>
      </c>
      <c r="U41" s="385" t="s">
        <v>161</v>
      </c>
      <c r="V41" s="386" t="s">
        <v>161</v>
      </c>
      <c r="W41" s="383">
        <f t="shared" si="11"/>
        <v>790366</v>
      </c>
      <c r="X41" s="963" t="s">
        <v>156</v>
      </c>
      <c r="Y41" s="387">
        <v>45098</v>
      </c>
      <c r="Z41" s="3" t="s">
        <v>496</v>
      </c>
      <c r="AA41" s="387">
        <v>45098</v>
      </c>
      <c r="AB41" s="387">
        <v>45291</v>
      </c>
      <c r="AC41" s="4" t="s">
        <v>3113</v>
      </c>
      <c r="AD41" s="412"/>
      <c r="AE41" s="4"/>
      <c r="AF41" s="388"/>
      <c r="AG41" s="383"/>
      <c r="AH41" s="414" t="str">
        <f t="shared" ca="1" si="7"/>
        <v>MUERTO</v>
      </c>
      <c r="AI41" s="3"/>
      <c r="AJ41" s="3"/>
      <c r="AK41" s="3" t="s">
        <v>496</v>
      </c>
      <c r="AL41" s="3"/>
      <c r="AM41" s="3" t="s">
        <v>496</v>
      </c>
      <c r="AN41" s="3"/>
      <c r="AO41" s="3"/>
      <c r="AP41" s="458"/>
      <c r="AQ41" s="388"/>
      <c r="AR41" s="4"/>
      <c r="AS41" s="459"/>
      <c r="AT41" s="535" t="s">
        <v>5606</v>
      </c>
      <c r="AU41" s="4"/>
      <c r="AV41" s="4" t="e">
        <f>VLOOKUP(I41,[2]RFC!$1:$1048576,2,0)</f>
        <v>#N/A</v>
      </c>
      <c r="AW41" s="6">
        <v>45093</v>
      </c>
      <c r="AX41" s="463">
        <v>45096</v>
      </c>
      <c r="AY41" s="6">
        <v>45099</v>
      </c>
      <c r="AZ41" s="6">
        <f t="shared" si="14"/>
        <v>45099</v>
      </c>
      <c r="BA41" s="415" t="str">
        <f>AT41</f>
        <v>Contrato formalizado con garantías 18/07</v>
      </c>
      <c r="BB41" s="416">
        <v>45103</v>
      </c>
      <c r="BC41" s="255">
        <v>45099</v>
      </c>
      <c r="BD41" s="519"/>
      <c r="BE41" s="519"/>
      <c r="BF41" s="519"/>
      <c r="BG41" s="519"/>
      <c r="BH41" s="519"/>
      <c r="BJ41" s="84"/>
    </row>
    <row r="42" spans="1:66" ht="60" x14ac:dyDescent="0.25">
      <c r="A42" s="286" t="s">
        <v>5607</v>
      </c>
      <c r="B42" s="1037">
        <v>35</v>
      </c>
      <c r="C42" s="4" t="s">
        <v>225</v>
      </c>
      <c r="D42" s="3" t="s">
        <v>173</v>
      </c>
      <c r="E42" s="18" t="s">
        <v>5600</v>
      </c>
      <c r="F42" s="3" t="str">
        <f t="shared" si="12"/>
        <v>Licitación Pública</v>
      </c>
      <c r="G42" s="3"/>
      <c r="H42" s="3" t="s">
        <v>3785</v>
      </c>
      <c r="I42" s="275" t="s">
        <v>5608</v>
      </c>
      <c r="J42" s="17"/>
      <c r="K42" s="17"/>
      <c r="L42" s="17"/>
      <c r="M42" s="375" t="str">
        <f>I42&amp;J42&amp;" "&amp;K42&amp;" "&amp;L42</f>
        <v xml:space="preserve">IQ Orgullo de Pertenencia, S.A. de C.V.  </v>
      </c>
      <c r="N42" s="959" t="s">
        <v>370</v>
      </c>
      <c r="O42" s="959" t="s">
        <v>370</v>
      </c>
      <c r="P42" s="959" t="s">
        <v>3359</v>
      </c>
      <c r="Q42" s="959" t="s">
        <v>5609</v>
      </c>
      <c r="R42" s="962">
        <v>216956.57699999999</v>
      </c>
      <c r="S42" s="383">
        <f t="shared" si="13"/>
        <v>34713.052320000003</v>
      </c>
      <c r="T42" s="384">
        <f t="shared" si="10"/>
        <v>251669.62932000001</v>
      </c>
      <c r="U42" s="385" t="s">
        <v>161</v>
      </c>
      <c r="V42" s="386" t="s">
        <v>161</v>
      </c>
      <c r="W42" s="383">
        <f t="shared" si="11"/>
        <v>251669.62932000001</v>
      </c>
      <c r="X42" s="963" t="s">
        <v>156</v>
      </c>
      <c r="Y42" s="387">
        <v>45098</v>
      </c>
      <c r="Z42" s="3" t="s">
        <v>496</v>
      </c>
      <c r="AA42" s="387">
        <v>45098</v>
      </c>
      <c r="AB42" s="387">
        <v>45291</v>
      </c>
      <c r="AC42" s="4" t="s">
        <v>3113</v>
      </c>
      <c r="AD42" s="412"/>
      <c r="AE42" s="4"/>
      <c r="AF42" s="388"/>
      <c r="AG42" s="383"/>
      <c r="AH42" s="414" t="str">
        <f t="shared" ca="1" si="7"/>
        <v>MUERTO</v>
      </c>
      <c r="AI42" s="3"/>
      <c r="AJ42" s="3"/>
      <c r="AK42" s="3" t="s">
        <v>496</v>
      </c>
      <c r="AL42" s="3"/>
      <c r="AM42" s="3" t="s">
        <v>496</v>
      </c>
      <c r="AN42" s="3"/>
      <c r="AO42" s="3"/>
      <c r="AP42" s="458"/>
      <c r="AQ42" s="388"/>
      <c r="AR42" s="4"/>
      <c r="AS42" s="459"/>
      <c r="AT42" s="281" t="s">
        <v>5610</v>
      </c>
      <c r="AU42" s="4"/>
      <c r="AV42" s="4" t="e">
        <f>VLOOKUP(I42,[2]RFC!$1:$1048576,2,0)</f>
        <v>#N/A</v>
      </c>
      <c r="AW42" s="6">
        <v>45093</v>
      </c>
      <c r="AX42" s="463" t="s">
        <v>5611</v>
      </c>
      <c r="AY42" s="6">
        <v>45099</v>
      </c>
      <c r="AZ42" s="6">
        <f t="shared" si="14"/>
        <v>45099</v>
      </c>
      <c r="BA42" s="415" t="str">
        <f>AT42</f>
        <v>Contrato formalizado 29/06</v>
      </c>
      <c r="BB42" s="416">
        <v>45105</v>
      </c>
      <c r="BC42" s="255">
        <v>45100</v>
      </c>
      <c r="BD42" s="519"/>
      <c r="BE42" s="519"/>
      <c r="BF42" s="519"/>
      <c r="BG42" s="519"/>
      <c r="BH42" s="519"/>
      <c r="BJ42" s="84"/>
    </row>
    <row r="43" spans="1:66" ht="120" x14ac:dyDescent="0.25">
      <c r="A43" s="286" t="s">
        <v>5612</v>
      </c>
      <c r="B43" s="252">
        <v>36</v>
      </c>
      <c r="C43" s="4" t="s">
        <v>225</v>
      </c>
      <c r="D43" s="3" t="s">
        <v>163</v>
      </c>
      <c r="E43" s="18" t="s">
        <v>5613</v>
      </c>
      <c r="F43" s="3" t="s">
        <v>5365</v>
      </c>
      <c r="G43" s="684" t="s">
        <v>163</v>
      </c>
      <c r="H43" s="3" t="s">
        <v>4054</v>
      </c>
      <c r="I43" s="275" t="s">
        <v>1782</v>
      </c>
      <c r="J43" s="17"/>
      <c r="K43" s="17"/>
      <c r="L43" s="17"/>
      <c r="M43" s="375" t="str">
        <f t="shared" si="15"/>
        <v xml:space="preserve">Consultores y Soporte AMD, S.A. de C.V.  </v>
      </c>
      <c r="N43" s="959" t="s">
        <v>656</v>
      </c>
      <c r="O43" s="959" t="s">
        <v>656</v>
      </c>
      <c r="P43" s="959" t="s">
        <v>5368</v>
      </c>
      <c r="Q43" s="959" t="s">
        <v>5614</v>
      </c>
      <c r="R43" s="962">
        <v>1666000</v>
      </c>
      <c r="S43" s="383">
        <f t="shared" si="13"/>
        <v>266560</v>
      </c>
      <c r="T43" s="384">
        <f t="shared" si="10"/>
        <v>1932560</v>
      </c>
      <c r="U43" s="385" t="s">
        <v>161</v>
      </c>
      <c r="V43" s="386" t="s">
        <v>161</v>
      </c>
      <c r="W43" s="383">
        <f t="shared" si="11"/>
        <v>1932560</v>
      </c>
      <c r="X43" s="963" t="s">
        <v>156</v>
      </c>
      <c r="Y43" s="387">
        <v>45142</v>
      </c>
      <c r="Z43" s="3" t="s">
        <v>815</v>
      </c>
      <c r="AA43" s="387">
        <v>45142</v>
      </c>
      <c r="AB43" s="387">
        <v>45169</v>
      </c>
      <c r="AC43" s="4" t="s">
        <v>2050</v>
      </c>
      <c r="AD43" s="412"/>
      <c r="AE43" s="4"/>
      <c r="AF43" s="388"/>
      <c r="AG43" s="383"/>
      <c r="AH43" s="414" t="str">
        <f t="shared" ca="1" si="7"/>
        <v>MUERTO</v>
      </c>
      <c r="AI43" s="3"/>
      <c r="AJ43" s="3"/>
      <c r="AK43" s="3" t="s">
        <v>815</v>
      </c>
      <c r="AL43" s="3"/>
      <c r="AM43" s="3" t="s">
        <v>815</v>
      </c>
      <c r="AN43" s="3"/>
      <c r="AO43" s="3"/>
      <c r="AP43" s="458"/>
      <c r="AQ43" s="388"/>
      <c r="AR43" s="4"/>
      <c r="AS43" s="459"/>
      <c r="AT43" s="281" t="s">
        <v>5615</v>
      </c>
      <c r="AU43" s="4"/>
      <c r="AV43" s="4"/>
      <c r="AW43" s="6">
        <v>45135</v>
      </c>
      <c r="AX43" s="463">
        <v>45140</v>
      </c>
      <c r="AY43" s="6">
        <v>45141</v>
      </c>
      <c r="AZ43" s="6">
        <f t="shared" si="14"/>
        <v>45141</v>
      </c>
      <c r="BA43" s="415"/>
      <c r="BB43" s="416">
        <v>45146</v>
      </c>
      <c r="BC43" s="255">
        <v>45145</v>
      </c>
      <c r="BD43" s="519"/>
      <c r="BE43" s="519"/>
      <c r="BF43" s="519"/>
      <c r="BG43" s="519"/>
      <c r="BH43" s="519"/>
      <c r="BJ43" s="84"/>
    </row>
    <row r="44" spans="1:66" ht="90" x14ac:dyDescent="0.25">
      <c r="A44" s="417" t="s">
        <v>5616</v>
      </c>
      <c r="B44" s="1037">
        <v>37</v>
      </c>
      <c r="C44" s="4" t="s">
        <v>225</v>
      </c>
      <c r="D44" s="3" t="s">
        <v>173</v>
      </c>
      <c r="E44" s="18" t="s">
        <v>5617</v>
      </c>
      <c r="F44" s="3" t="str">
        <f t="shared" si="12"/>
        <v>Licitación Pública</v>
      </c>
      <c r="G44" s="3"/>
      <c r="H44" s="3" t="s">
        <v>3785</v>
      </c>
      <c r="I44" s="275" t="s">
        <v>5158</v>
      </c>
      <c r="J44" s="17"/>
      <c r="K44" s="17"/>
      <c r="L44" s="17"/>
      <c r="M44" s="375" t="str">
        <f t="shared" si="15"/>
        <v xml:space="preserve">Cen Systems, S.A. de C.V.  </v>
      </c>
      <c r="N44" s="959" t="s">
        <v>656</v>
      </c>
      <c r="O44" s="959" t="s">
        <v>209</v>
      </c>
      <c r="P44" s="959" t="s">
        <v>5618</v>
      </c>
      <c r="Q44" s="959" t="s">
        <v>5619</v>
      </c>
      <c r="R44" s="962">
        <v>3319983.17</v>
      </c>
      <c r="S44" s="383">
        <f t="shared" si="13"/>
        <v>531197.30720000004</v>
      </c>
      <c r="T44" s="384">
        <f t="shared" si="10"/>
        <v>3851180.4772000001</v>
      </c>
      <c r="U44" s="385" t="s">
        <v>161</v>
      </c>
      <c r="V44" s="386" t="s">
        <v>161</v>
      </c>
      <c r="W44" s="383">
        <f t="shared" si="11"/>
        <v>3851180.4772000001</v>
      </c>
      <c r="X44" s="963" t="s">
        <v>156</v>
      </c>
      <c r="Y44" s="387">
        <v>45155</v>
      </c>
      <c r="Z44" s="3" t="s">
        <v>815</v>
      </c>
      <c r="AA44" s="387">
        <v>45155</v>
      </c>
      <c r="AB44" s="387">
        <v>45289</v>
      </c>
      <c r="AC44" s="4" t="s">
        <v>3787</v>
      </c>
      <c r="AD44" s="417" t="s">
        <v>5161</v>
      </c>
      <c r="AE44" s="417" t="s">
        <v>5162</v>
      </c>
      <c r="AF44" s="524">
        <v>45265</v>
      </c>
      <c r="AG44" s="525">
        <v>0</v>
      </c>
      <c r="AH44" s="414" t="str">
        <f t="shared" ca="1" si="7"/>
        <v>MUERTO</v>
      </c>
      <c r="AI44" s="3"/>
      <c r="AJ44" s="3"/>
      <c r="AK44" s="3" t="s">
        <v>815</v>
      </c>
      <c r="AL44" s="3"/>
      <c r="AM44" s="3" t="s">
        <v>815</v>
      </c>
      <c r="AN44" s="3"/>
      <c r="AO44" s="3"/>
      <c r="AP44" s="458"/>
      <c r="AQ44" s="388"/>
      <c r="AR44" s="4"/>
      <c r="AS44" s="459"/>
      <c r="AT44" s="281" t="s">
        <v>5620</v>
      </c>
      <c r="AU44" s="4"/>
      <c r="AV44" s="4"/>
      <c r="AW44" s="6" t="s">
        <v>5621</v>
      </c>
      <c r="AX44" s="463">
        <v>45153</v>
      </c>
      <c r="AY44" s="6">
        <v>45155</v>
      </c>
      <c r="AZ44" s="6">
        <f t="shared" si="14"/>
        <v>45155</v>
      </c>
      <c r="BA44" s="415" t="str">
        <f t="shared" ref="BA44:BA51" si="16">AT44</f>
        <v>Contato formalizado con garantías 01/09                                   02/01/2024</v>
      </c>
      <c r="BB44" s="416" t="s">
        <v>5622</v>
      </c>
      <c r="BC44" s="255" t="s">
        <v>5623</v>
      </c>
      <c r="BD44" s="519"/>
      <c r="BE44" s="519"/>
      <c r="BF44" s="519"/>
      <c r="BG44" s="519"/>
      <c r="BH44" s="519"/>
      <c r="BJ44" s="84"/>
    </row>
    <row r="45" spans="1:66" ht="90" x14ac:dyDescent="0.25">
      <c r="A45" s="417" t="s">
        <v>5624</v>
      </c>
      <c r="B45" s="252">
        <v>38</v>
      </c>
      <c r="C45" s="4" t="s">
        <v>225</v>
      </c>
      <c r="D45" s="3" t="s">
        <v>173</v>
      </c>
      <c r="E45" s="18" t="s">
        <v>5625</v>
      </c>
      <c r="F45" s="3" t="str">
        <f t="shared" si="12"/>
        <v>Licitación Pública</v>
      </c>
      <c r="G45" s="3"/>
      <c r="H45" s="3" t="s">
        <v>3785</v>
      </c>
      <c r="I45" s="275" t="s">
        <v>5626</v>
      </c>
      <c r="J45" s="17"/>
      <c r="K45" s="17"/>
      <c r="L45" s="17"/>
      <c r="M45" s="375" t="str">
        <f t="shared" si="15"/>
        <v xml:space="preserve">Soluciones Fibroptica, S.A. de C.V.  </v>
      </c>
      <c r="N45" s="959" t="s">
        <v>656</v>
      </c>
      <c r="O45" s="959" t="s">
        <v>209</v>
      </c>
      <c r="P45" s="959" t="s">
        <v>5627</v>
      </c>
      <c r="Q45" s="959" t="s">
        <v>5628</v>
      </c>
      <c r="R45" s="962">
        <v>12011537.93</v>
      </c>
      <c r="S45" s="383">
        <f t="shared" si="13"/>
        <v>1921846.0688</v>
      </c>
      <c r="T45" s="384">
        <f t="shared" si="10"/>
        <v>13933383.9988</v>
      </c>
      <c r="U45" s="385" t="s">
        <v>161</v>
      </c>
      <c r="V45" s="386" t="s">
        <v>161</v>
      </c>
      <c r="W45" s="383">
        <f t="shared" si="11"/>
        <v>13933383.9988</v>
      </c>
      <c r="X45" s="963" t="s">
        <v>156</v>
      </c>
      <c r="Y45" s="387">
        <v>45174</v>
      </c>
      <c r="Z45" s="3" t="s">
        <v>863</v>
      </c>
      <c r="AA45" s="387">
        <f t="shared" ref="AA45:AA51" si="17">Y45</f>
        <v>45174</v>
      </c>
      <c r="AB45" s="387">
        <v>45291</v>
      </c>
      <c r="AC45" s="4" t="s">
        <v>3948</v>
      </c>
      <c r="AD45" s="417" t="s">
        <v>5161</v>
      </c>
      <c r="AE45" s="417" t="s">
        <v>5162</v>
      </c>
      <c r="AF45" s="524">
        <v>45265</v>
      </c>
      <c r="AG45" s="525">
        <v>0</v>
      </c>
      <c r="AH45" s="414" t="str">
        <f t="shared" ca="1" si="7"/>
        <v>MUERTO</v>
      </c>
      <c r="AI45" s="3"/>
      <c r="AJ45" s="3"/>
      <c r="AK45" s="3" t="s">
        <v>863</v>
      </c>
      <c r="AL45" s="3"/>
      <c r="AM45" s="3" t="s">
        <v>863</v>
      </c>
      <c r="AN45" s="3"/>
      <c r="AO45" s="3"/>
      <c r="AP45" s="458"/>
      <c r="AQ45" s="388"/>
      <c r="AR45" s="4"/>
      <c r="AS45" s="459"/>
      <c r="AT45" s="281" t="s">
        <v>5629</v>
      </c>
      <c r="AU45" s="4"/>
      <c r="AV45" s="4" t="e">
        <f>VLOOKUP(I45,[2]RFC!$1:$1048576,2,0)</f>
        <v>#N/A</v>
      </c>
      <c r="AW45" s="6" t="s">
        <v>5630</v>
      </c>
      <c r="AX45" s="463">
        <v>45170</v>
      </c>
      <c r="AY45" s="6">
        <v>45175</v>
      </c>
      <c r="AZ45" s="6">
        <f t="shared" si="14"/>
        <v>45175</v>
      </c>
      <c r="BA45" s="415" t="str">
        <f t="shared" si="16"/>
        <v>Contrato formalizado con garantía 05/10</v>
      </c>
      <c r="BB45" s="416" t="s">
        <v>5631</v>
      </c>
      <c r="BC45" s="255" t="s">
        <v>5632</v>
      </c>
      <c r="BD45" s="519"/>
      <c r="BE45" s="519"/>
      <c r="BF45" s="519"/>
      <c r="BG45" s="519"/>
      <c r="BH45" s="519"/>
    </row>
    <row r="46" spans="1:66" ht="75" x14ac:dyDescent="0.25">
      <c r="A46" s="286" t="s">
        <v>5633</v>
      </c>
      <c r="B46" s="1037">
        <v>39</v>
      </c>
      <c r="C46" s="4" t="s">
        <v>225</v>
      </c>
      <c r="D46" s="3" t="s">
        <v>173</v>
      </c>
      <c r="E46" s="18" t="s">
        <v>5634</v>
      </c>
      <c r="F46" s="3" t="str">
        <f t="shared" si="12"/>
        <v>Licitación Pública</v>
      </c>
      <c r="G46" s="3"/>
      <c r="H46" s="3" t="s">
        <v>3785</v>
      </c>
      <c r="I46" s="275" t="s">
        <v>859</v>
      </c>
      <c r="J46" s="17"/>
      <c r="K46" s="17"/>
      <c r="L46" s="17"/>
      <c r="M46" s="375" t="str">
        <f t="shared" si="15"/>
        <v xml:space="preserve">Promexar, S.A. de C.V.  </v>
      </c>
      <c r="N46" s="959" t="s">
        <v>860</v>
      </c>
      <c r="O46" s="959" t="s">
        <v>5152</v>
      </c>
      <c r="P46" s="959" t="s">
        <v>5152</v>
      </c>
      <c r="Q46" s="959" t="s">
        <v>5635</v>
      </c>
      <c r="R46" s="962">
        <v>2773000</v>
      </c>
      <c r="S46" s="383">
        <f t="shared" si="13"/>
        <v>443680</v>
      </c>
      <c r="T46" s="384">
        <f t="shared" si="10"/>
        <v>3216680</v>
      </c>
      <c r="U46" s="385" t="s">
        <v>161</v>
      </c>
      <c r="V46" s="386" t="s">
        <v>161</v>
      </c>
      <c r="W46" s="383">
        <f t="shared" si="11"/>
        <v>3216680</v>
      </c>
      <c r="X46" s="963" t="s">
        <v>156</v>
      </c>
      <c r="Y46" s="387">
        <v>45176</v>
      </c>
      <c r="Z46" s="3" t="s">
        <v>863</v>
      </c>
      <c r="AA46" s="387">
        <f t="shared" si="17"/>
        <v>45176</v>
      </c>
      <c r="AB46" s="387">
        <v>45280</v>
      </c>
      <c r="AC46" s="4" t="s">
        <v>3113</v>
      </c>
      <c r="AD46" s="412"/>
      <c r="AE46" s="4"/>
      <c r="AF46" s="388"/>
      <c r="AG46" s="383"/>
      <c r="AH46" s="414" t="str">
        <f t="shared" ca="1" si="7"/>
        <v>MUERTO</v>
      </c>
      <c r="AI46" s="3"/>
      <c r="AJ46" s="3"/>
      <c r="AK46" s="3" t="s">
        <v>863</v>
      </c>
      <c r="AL46" s="3"/>
      <c r="AM46" s="3" t="s">
        <v>863</v>
      </c>
      <c r="AN46" s="3"/>
      <c r="AO46" s="3"/>
      <c r="AP46" s="458"/>
      <c r="AQ46" s="388"/>
      <c r="AR46" s="4"/>
      <c r="AS46" s="459"/>
      <c r="AT46" s="281" t="s">
        <v>5636</v>
      </c>
      <c r="AU46" s="4"/>
      <c r="AV46" s="4" t="str">
        <f>VLOOKUP(I46,[2]RFC!$1:$1048576,2,0)</f>
        <v>PRO0804072R0</v>
      </c>
      <c r="AW46" s="6">
        <v>45173</v>
      </c>
      <c r="AX46" s="463">
        <v>45174</v>
      </c>
      <c r="AY46" s="6">
        <v>45176</v>
      </c>
      <c r="AZ46" s="6">
        <f t="shared" si="14"/>
        <v>45176</v>
      </c>
      <c r="BA46" s="415" t="str">
        <f t="shared" si="16"/>
        <v>Contrato formalizado con garantías 18/09</v>
      </c>
      <c r="BB46" s="416">
        <v>45183</v>
      </c>
      <c r="BC46" s="255">
        <v>45181</v>
      </c>
      <c r="BD46" s="519"/>
      <c r="BE46" s="519"/>
      <c r="BF46" s="519"/>
      <c r="BG46" s="519"/>
      <c r="BH46" s="519"/>
    </row>
    <row r="47" spans="1:66" ht="195" x14ac:dyDescent="0.25">
      <c r="A47" s="536" t="s">
        <v>5637</v>
      </c>
      <c r="B47" s="252">
        <v>40</v>
      </c>
      <c r="C47" s="4" t="s">
        <v>225</v>
      </c>
      <c r="D47" s="3" t="s">
        <v>151</v>
      </c>
      <c r="E47" s="18" t="s">
        <v>5638</v>
      </c>
      <c r="F47" s="3" t="str">
        <f t="shared" si="12"/>
        <v>Invitación</v>
      </c>
      <c r="G47" s="3"/>
      <c r="H47" s="3" t="s">
        <v>3793</v>
      </c>
      <c r="I47" s="275"/>
      <c r="J47" s="17" t="s">
        <v>4287</v>
      </c>
      <c r="K47" s="17" t="s">
        <v>4288</v>
      </c>
      <c r="L47" s="17" t="s">
        <v>5032</v>
      </c>
      <c r="M47" s="375" t="str">
        <f t="shared" si="15"/>
        <v>Oscar Alonso Olguín Osnaya</v>
      </c>
      <c r="N47" s="959" t="s">
        <v>198</v>
      </c>
      <c r="O47" s="959" t="s">
        <v>198</v>
      </c>
      <c r="P47" s="959" t="s">
        <v>5639</v>
      </c>
      <c r="Q47" s="959" t="s">
        <v>5640</v>
      </c>
      <c r="R47" s="962">
        <v>729440</v>
      </c>
      <c r="S47" s="383">
        <f t="shared" si="13"/>
        <v>116710.40000000001</v>
      </c>
      <c r="T47" s="384">
        <f t="shared" si="10"/>
        <v>846150.4</v>
      </c>
      <c r="U47" s="385" t="s">
        <v>161</v>
      </c>
      <c r="V47" s="386" t="s">
        <v>161</v>
      </c>
      <c r="W47" s="383">
        <f t="shared" si="11"/>
        <v>846150.4</v>
      </c>
      <c r="X47" s="963" t="s">
        <v>156</v>
      </c>
      <c r="Y47" s="387">
        <v>45190</v>
      </c>
      <c r="Z47" s="3" t="s">
        <v>863</v>
      </c>
      <c r="AA47" s="387">
        <f t="shared" si="17"/>
        <v>45190</v>
      </c>
      <c r="AB47" s="387">
        <v>45215</v>
      </c>
      <c r="AC47" s="4" t="s">
        <v>3113</v>
      </c>
      <c r="AD47" s="412" t="s">
        <v>5641</v>
      </c>
      <c r="AE47" s="527" t="s">
        <v>5642</v>
      </c>
      <c r="AF47" s="521">
        <v>45198</v>
      </c>
      <c r="AG47" s="528">
        <v>0</v>
      </c>
      <c r="AH47" s="414" t="str">
        <f t="shared" ca="1" si="7"/>
        <v>MUERTO</v>
      </c>
      <c r="AI47" s="3"/>
      <c r="AJ47" s="3"/>
      <c r="AK47" s="3" t="s">
        <v>863</v>
      </c>
      <c r="AL47" s="3"/>
      <c r="AM47" s="3" t="s">
        <v>863</v>
      </c>
      <c r="AN47" s="3"/>
      <c r="AO47" s="3"/>
      <c r="AP47" s="458"/>
      <c r="AQ47" s="388"/>
      <c r="AR47" s="4"/>
      <c r="AS47" s="459"/>
      <c r="AT47" s="281" t="s">
        <v>5643</v>
      </c>
      <c r="AU47" s="4"/>
      <c r="AV47" s="4" t="e">
        <f>VLOOKUP(I47,[2]RFC!$1:$1048576,2,0)</f>
        <v>#N/A</v>
      </c>
      <c r="AW47" s="6">
        <v>45187</v>
      </c>
      <c r="AX47" s="463">
        <v>45187</v>
      </c>
      <c r="AY47" s="6">
        <v>45189</v>
      </c>
      <c r="AZ47" s="6">
        <f t="shared" si="14"/>
        <v>45189</v>
      </c>
      <c r="BA47" s="415" t="str">
        <f t="shared" si="16"/>
        <v>Contrato y Convenio de terminación formalizado 03/10</v>
      </c>
      <c r="BB47" s="416" t="s">
        <v>5644</v>
      </c>
      <c r="BC47" s="255" t="s">
        <v>5645</v>
      </c>
      <c r="BD47" s="519"/>
      <c r="BE47" s="519"/>
      <c r="BF47" s="519"/>
      <c r="BG47" s="519"/>
      <c r="BH47" s="519"/>
      <c r="BJ47" s="165"/>
      <c r="BK47" s="165"/>
      <c r="BL47" s="165"/>
      <c r="BM47" s="84"/>
      <c r="BN47" s="84"/>
    </row>
    <row r="48" spans="1:66" ht="90" x14ac:dyDescent="0.25">
      <c r="A48" s="537" t="s">
        <v>5646</v>
      </c>
      <c r="B48" s="1037">
        <v>41</v>
      </c>
      <c r="C48" s="4" t="s">
        <v>225</v>
      </c>
      <c r="D48" s="3" t="s">
        <v>151</v>
      </c>
      <c r="E48" s="18" t="s">
        <v>5647</v>
      </c>
      <c r="F48" s="3" t="str">
        <f t="shared" si="12"/>
        <v>Invitación</v>
      </c>
      <c r="G48" s="3"/>
      <c r="H48" s="3" t="s">
        <v>3793</v>
      </c>
      <c r="I48" s="275"/>
      <c r="J48" s="17" t="s">
        <v>3850</v>
      </c>
      <c r="K48" s="17" t="s">
        <v>3851</v>
      </c>
      <c r="L48" s="17" t="s">
        <v>3852</v>
      </c>
      <c r="M48" s="375" t="str">
        <f t="shared" si="15"/>
        <v>Roberto Carlos Blanco Senties</v>
      </c>
      <c r="N48" s="959" t="s">
        <v>198</v>
      </c>
      <c r="O48" s="959" t="s">
        <v>198</v>
      </c>
      <c r="P48" s="959" t="s">
        <v>5648</v>
      </c>
      <c r="Q48" s="959" t="s">
        <v>5649</v>
      </c>
      <c r="R48" s="962">
        <v>750229</v>
      </c>
      <c r="S48" s="383">
        <f t="shared" si="13"/>
        <v>120036.64</v>
      </c>
      <c r="T48" s="384">
        <f t="shared" si="10"/>
        <v>870265.64</v>
      </c>
      <c r="U48" s="385" t="s">
        <v>161</v>
      </c>
      <c r="V48" s="385" t="s">
        <v>161</v>
      </c>
      <c r="W48" s="383">
        <f t="shared" si="11"/>
        <v>870265.64</v>
      </c>
      <c r="X48" s="963" t="s">
        <v>156</v>
      </c>
      <c r="Y48" s="387">
        <v>45195</v>
      </c>
      <c r="Z48" s="3" t="s">
        <v>863</v>
      </c>
      <c r="AA48" s="387">
        <f t="shared" si="17"/>
        <v>45195</v>
      </c>
      <c r="AB48" s="387">
        <v>45261</v>
      </c>
      <c r="AC48" s="4" t="s">
        <v>3113</v>
      </c>
      <c r="AD48" s="412" t="s">
        <v>5650</v>
      </c>
      <c r="AE48" s="4"/>
      <c r="AF48" s="388"/>
      <c r="AG48" s="383"/>
      <c r="AH48" s="414" t="str">
        <f t="shared" ca="1" si="7"/>
        <v>MUERTO</v>
      </c>
      <c r="AI48" s="3"/>
      <c r="AJ48" s="3"/>
      <c r="AK48" s="3" t="s">
        <v>863</v>
      </c>
      <c r="AL48" s="3"/>
      <c r="AM48" s="3" t="s">
        <v>863</v>
      </c>
      <c r="AN48" s="3"/>
      <c r="AO48" s="3"/>
      <c r="AP48" s="458"/>
      <c r="AQ48" s="388"/>
      <c r="AR48" s="4"/>
      <c r="AS48" s="459"/>
      <c r="AT48" s="281" t="s">
        <v>5651</v>
      </c>
      <c r="AU48" s="4"/>
      <c r="AV48" s="4" t="e">
        <f>VLOOKUP(I48,[2]RFC!$1:$1048576,2,0)</f>
        <v>#N/A</v>
      </c>
      <c r="AW48" s="6">
        <v>45190</v>
      </c>
      <c r="AX48" s="463">
        <v>45194</v>
      </c>
      <c r="AY48" s="6">
        <v>45195</v>
      </c>
      <c r="AZ48" s="6">
        <f t="shared" si="14"/>
        <v>45195</v>
      </c>
      <c r="BA48" s="415" t="str">
        <f t="shared" si="16"/>
        <v>Contrato formalizado con garantía 13/10</v>
      </c>
      <c r="BB48" s="416">
        <v>45202</v>
      </c>
      <c r="BC48" s="255">
        <v>45201</v>
      </c>
      <c r="BD48" s="519"/>
      <c r="BE48" s="519"/>
      <c r="BF48" s="519"/>
      <c r="BG48" s="519"/>
      <c r="BH48" s="519"/>
    </row>
    <row r="49" spans="1:66" ht="75" x14ac:dyDescent="0.25">
      <c r="A49" s="537" t="s">
        <v>5652</v>
      </c>
      <c r="B49" s="252">
        <v>42</v>
      </c>
      <c r="C49" s="4" t="s">
        <v>225</v>
      </c>
      <c r="D49" s="3" t="s">
        <v>163</v>
      </c>
      <c r="E49" s="18" t="s">
        <v>5653</v>
      </c>
      <c r="F49" s="3" t="s">
        <v>5365</v>
      </c>
      <c r="G49" s="685" t="s">
        <v>546</v>
      </c>
      <c r="H49" s="3" t="s">
        <v>4030</v>
      </c>
      <c r="I49" s="275" t="s">
        <v>3017</v>
      </c>
      <c r="J49" s="17"/>
      <c r="K49" s="17"/>
      <c r="L49" s="17"/>
      <c r="M49" s="375" t="str">
        <f t="shared" si="15"/>
        <v xml:space="preserve">Magnum Audio Digital, S.A. de C.V.  </v>
      </c>
      <c r="N49" s="959" t="s">
        <v>860</v>
      </c>
      <c r="O49" s="959" t="s">
        <v>5152</v>
      </c>
      <c r="P49" s="959" t="s">
        <v>5152</v>
      </c>
      <c r="Q49" s="959" t="s">
        <v>5654</v>
      </c>
      <c r="R49" s="962">
        <v>2172900</v>
      </c>
      <c r="S49" s="383">
        <f t="shared" si="13"/>
        <v>347664</v>
      </c>
      <c r="T49" s="384">
        <f t="shared" si="10"/>
        <v>2520564</v>
      </c>
      <c r="U49" s="385" t="s">
        <v>161</v>
      </c>
      <c r="V49" s="386" t="s">
        <v>161</v>
      </c>
      <c r="W49" s="383">
        <f t="shared" si="11"/>
        <v>2520564</v>
      </c>
      <c r="X49" s="963" t="s">
        <v>156</v>
      </c>
      <c r="Y49" s="387">
        <v>45209</v>
      </c>
      <c r="Z49" s="3" t="s">
        <v>881</v>
      </c>
      <c r="AA49" s="387">
        <f t="shared" si="17"/>
        <v>45209</v>
      </c>
      <c r="AB49" s="387">
        <v>45275</v>
      </c>
      <c r="AC49" s="4" t="s">
        <v>3113</v>
      </c>
      <c r="AD49" s="412"/>
      <c r="AE49" s="4"/>
      <c r="AF49" s="388"/>
      <c r="AG49" s="383"/>
      <c r="AH49" s="414" t="str">
        <f t="shared" ca="1" si="7"/>
        <v>MUERTO</v>
      </c>
      <c r="AI49" s="3"/>
      <c r="AJ49" s="3"/>
      <c r="AK49" s="3" t="s">
        <v>881</v>
      </c>
      <c r="AL49" s="3"/>
      <c r="AM49" s="3" t="s">
        <v>881</v>
      </c>
      <c r="AN49" s="3"/>
      <c r="AO49" s="3"/>
      <c r="AP49" s="458"/>
      <c r="AQ49" s="388"/>
      <c r="AR49" s="4"/>
      <c r="AS49" s="459"/>
      <c r="AT49" s="281" t="s">
        <v>5655</v>
      </c>
      <c r="AU49" s="4"/>
      <c r="AV49" s="4" t="e">
        <f>VLOOKUP(I49,[2]RFC!$1:$1048576,2,0)</f>
        <v>#N/A</v>
      </c>
      <c r="AW49" s="6">
        <v>45198</v>
      </c>
      <c r="AX49" s="463">
        <v>45201</v>
      </c>
      <c r="AY49" s="6">
        <v>45208</v>
      </c>
      <c r="AZ49" s="6">
        <f t="shared" si="14"/>
        <v>45208</v>
      </c>
      <c r="BA49" s="415" t="str">
        <f t="shared" si="16"/>
        <v>Contrato formalizado con garantía</v>
      </c>
      <c r="BB49" s="416">
        <v>45210</v>
      </c>
      <c r="BC49" s="255">
        <v>45209</v>
      </c>
      <c r="BD49" s="519"/>
      <c r="BE49" s="519"/>
      <c r="BF49" s="519"/>
      <c r="BG49" s="519"/>
      <c r="BH49" s="519"/>
      <c r="BJ49" s="165"/>
      <c r="BK49" s="165"/>
      <c r="BL49" s="165"/>
      <c r="BM49" s="84"/>
      <c r="BN49" s="84"/>
    </row>
    <row r="50" spans="1:66" ht="75" x14ac:dyDescent="0.25">
      <c r="A50" s="537" t="s">
        <v>5656</v>
      </c>
      <c r="B50" s="1037">
        <v>43</v>
      </c>
      <c r="C50" s="3" t="s">
        <v>225</v>
      </c>
      <c r="D50" s="3" t="s">
        <v>163</v>
      </c>
      <c r="E50" s="18" t="s">
        <v>5657</v>
      </c>
      <c r="F50" s="3" t="str">
        <f t="shared" si="12"/>
        <v>Adjudicación Directa</v>
      </c>
      <c r="G50" s="685" t="s">
        <v>546</v>
      </c>
      <c r="H50" s="3" t="s">
        <v>3986</v>
      </c>
      <c r="I50" s="275" t="s">
        <v>5658</v>
      </c>
      <c r="J50" s="17"/>
      <c r="K50" s="17"/>
      <c r="L50" s="17"/>
      <c r="M50" s="375" t="str">
        <f t="shared" si="15"/>
        <v xml:space="preserve">Proyectos Equipos y Montajes Electromecánicos, S.A. de C.V.  </v>
      </c>
      <c r="N50" s="959" t="s">
        <v>656</v>
      </c>
      <c r="O50" s="959" t="s">
        <v>209</v>
      </c>
      <c r="P50" s="959" t="s">
        <v>210</v>
      </c>
      <c r="Q50" s="959" t="s">
        <v>5659</v>
      </c>
      <c r="R50" s="962">
        <v>6806170</v>
      </c>
      <c r="S50" s="383">
        <f t="shared" si="13"/>
        <v>1088987.2</v>
      </c>
      <c r="T50" s="384">
        <f t="shared" si="10"/>
        <v>7895157.2000000002</v>
      </c>
      <c r="U50" s="385" t="s">
        <v>161</v>
      </c>
      <c r="V50" s="386" t="s">
        <v>161</v>
      </c>
      <c r="W50" s="383">
        <f t="shared" si="11"/>
        <v>7895157.2000000002</v>
      </c>
      <c r="X50" s="963" t="s">
        <v>156</v>
      </c>
      <c r="Y50" s="387">
        <v>45222</v>
      </c>
      <c r="Z50" s="3" t="s">
        <v>881</v>
      </c>
      <c r="AA50" s="387">
        <f t="shared" si="17"/>
        <v>45222</v>
      </c>
      <c r="AB50" s="387">
        <v>45291</v>
      </c>
      <c r="AC50" s="4" t="s">
        <v>3787</v>
      </c>
      <c r="AD50" s="412" t="s">
        <v>5660</v>
      </c>
      <c r="AE50" s="4"/>
      <c r="AF50" s="388"/>
      <c r="AG50" s="383"/>
      <c r="AH50" s="414" t="str">
        <f t="shared" ca="1" si="7"/>
        <v>MUERTO</v>
      </c>
      <c r="AI50" s="3"/>
      <c r="AJ50" s="3"/>
      <c r="AK50" s="3" t="s">
        <v>881</v>
      </c>
      <c r="AL50" s="3"/>
      <c r="AM50" s="3" t="s">
        <v>881</v>
      </c>
      <c r="AN50" s="3"/>
      <c r="AO50" s="3"/>
      <c r="AP50" s="458"/>
      <c r="AQ50" s="388"/>
      <c r="AR50" s="4"/>
      <c r="AS50" s="459"/>
      <c r="AT50" s="281" t="s">
        <v>5661</v>
      </c>
      <c r="AU50" s="4"/>
      <c r="AV50" s="4" t="e">
        <f>VLOOKUP(I50,[2]RFC!$1:$1048576,2,0)</f>
        <v>#N/A</v>
      </c>
      <c r="AW50" s="6">
        <v>45217</v>
      </c>
      <c r="AX50" s="463">
        <v>45218</v>
      </c>
      <c r="AY50" s="6">
        <v>45222</v>
      </c>
      <c r="AZ50" s="6">
        <f t="shared" si="14"/>
        <v>45222</v>
      </c>
      <c r="BA50" s="415" t="str">
        <f t="shared" si="16"/>
        <v>Contrato formalizado con garantías 22/11</v>
      </c>
      <c r="BB50" s="416">
        <v>45239</v>
      </c>
      <c r="BC50" s="255">
        <v>45223</v>
      </c>
      <c r="BD50" s="519"/>
      <c r="BE50" s="519"/>
      <c r="BF50" s="519"/>
      <c r="BG50" s="519"/>
      <c r="BH50" s="519"/>
    </row>
    <row r="51" spans="1:66" ht="75" x14ac:dyDescent="0.25">
      <c r="A51" s="537" t="s">
        <v>5662</v>
      </c>
      <c r="B51" s="252">
        <v>44</v>
      </c>
      <c r="C51" s="4" t="s">
        <v>225</v>
      </c>
      <c r="D51" s="3" t="s">
        <v>163</v>
      </c>
      <c r="E51" s="18" t="s">
        <v>5663</v>
      </c>
      <c r="F51" s="3" t="s">
        <v>5365</v>
      </c>
      <c r="G51" s="685" t="s">
        <v>546</v>
      </c>
      <c r="H51" s="3" t="s">
        <v>3764</v>
      </c>
      <c r="I51" s="275" t="s">
        <v>2115</v>
      </c>
      <c r="J51" s="17"/>
      <c r="K51" s="17"/>
      <c r="L51" s="17"/>
      <c r="M51" s="375" t="str">
        <f t="shared" si="15"/>
        <v xml:space="preserve">Ingeniería Operativa, S.A. de C.V.  </v>
      </c>
      <c r="N51" s="959" t="s">
        <v>166</v>
      </c>
      <c r="O51" s="959" t="s">
        <v>2116</v>
      </c>
      <c r="P51" s="959" t="s">
        <v>5664</v>
      </c>
      <c r="Q51" s="959" t="s">
        <v>5665</v>
      </c>
      <c r="R51" s="962">
        <v>5750000</v>
      </c>
      <c r="S51" s="383">
        <f t="shared" si="13"/>
        <v>920000</v>
      </c>
      <c r="T51" s="384">
        <f t="shared" si="10"/>
        <v>6670000</v>
      </c>
      <c r="U51" s="385" t="s">
        <v>161</v>
      </c>
      <c r="V51" s="386" t="s">
        <v>161</v>
      </c>
      <c r="W51" s="383">
        <f t="shared" si="11"/>
        <v>6670000</v>
      </c>
      <c r="X51" s="963" t="s">
        <v>156</v>
      </c>
      <c r="Y51" s="387">
        <v>45231</v>
      </c>
      <c r="Z51" s="3" t="s">
        <v>892</v>
      </c>
      <c r="AA51" s="387">
        <f t="shared" si="17"/>
        <v>45231</v>
      </c>
      <c r="AB51" s="387">
        <v>45291</v>
      </c>
      <c r="AC51" s="4" t="s">
        <v>3787</v>
      </c>
      <c r="AD51" s="412"/>
      <c r="AE51" s="4"/>
      <c r="AF51" s="388"/>
      <c r="AG51" s="383">
        <v>0</v>
      </c>
      <c r="AH51" s="414" t="str">
        <f t="shared" ca="1" si="7"/>
        <v>MUERTO</v>
      </c>
      <c r="AI51" s="3"/>
      <c r="AJ51" s="3"/>
      <c r="AK51" s="3"/>
      <c r="AL51" s="3"/>
      <c r="AM51" s="3"/>
      <c r="AN51" s="3"/>
      <c r="AO51" s="3"/>
      <c r="AP51" s="458"/>
      <c r="AQ51" s="388"/>
      <c r="AR51" s="4"/>
      <c r="AS51" s="459"/>
      <c r="AT51" s="281" t="s">
        <v>5661</v>
      </c>
      <c r="AU51" s="4"/>
      <c r="AV51" s="4" t="e">
        <f>VLOOKUP(I51,[2]RFC!$1:$1048576,2,0)</f>
        <v>#N/A</v>
      </c>
      <c r="AW51" s="6">
        <v>45226</v>
      </c>
      <c r="AX51" s="6">
        <v>45229</v>
      </c>
      <c r="AY51" s="6">
        <v>45231</v>
      </c>
      <c r="AZ51" s="6">
        <f t="shared" si="14"/>
        <v>45231</v>
      </c>
      <c r="BA51" s="415" t="str">
        <f t="shared" si="16"/>
        <v>Contrato formalizado con garantías 22/11</v>
      </c>
      <c r="BB51" s="416">
        <v>45238</v>
      </c>
      <c r="BC51" s="255">
        <v>45233</v>
      </c>
      <c r="BD51" s="519"/>
      <c r="BE51" s="519"/>
      <c r="BF51" s="519"/>
      <c r="BG51" s="519"/>
      <c r="BH51" s="519"/>
    </row>
    <row r="52" spans="1:66" ht="90" x14ac:dyDescent="0.25">
      <c r="A52" s="537" t="s">
        <v>5666</v>
      </c>
      <c r="B52" s="1037">
        <v>45</v>
      </c>
      <c r="C52" s="4" t="s">
        <v>225</v>
      </c>
      <c r="D52" s="3" t="s">
        <v>163</v>
      </c>
      <c r="E52" s="18" t="s">
        <v>5667</v>
      </c>
      <c r="F52" s="3" t="s">
        <v>5365</v>
      </c>
      <c r="G52" s="685" t="s">
        <v>546</v>
      </c>
      <c r="H52" s="3" t="s">
        <v>4030</v>
      </c>
      <c r="I52" s="275" t="s">
        <v>1692</v>
      </c>
      <c r="J52" s="17"/>
      <c r="K52" s="17"/>
      <c r="L52" s="17"/>
      <c r="M52" s="375" t="str">
        <f t="shared" si="15"/>
        <v xml:space="preserve">Enforcer Units Fire Service Pluse México, S.A. de C.V.  </v>
      </c>
      <c r="N52" s="959" t="s">
        <v>5099</v>
      </c>
      <c r="O52" s="959" t="s">
        <v>315</v>
      </c>
      <c r="P52" s="959" t="s">
        <v>5668</v>
      </c>
      <c r="Q52" s="959" t="s">
        <v>5669</v>
      </c>
      <c r="R52" s="962">
        <v>873732</v>
      </c>
      <c r="S52" s="383">
        <f t="shared" si="13"/>
        <v>139797.12</v>
      </c>
      <c r="T52" s="384">
        <f t="shared" si="10"/>
        <v>1013529.12</v>
      </c>
      <c r="U52" s="385" t="s">
        <v>161</v>
      </c>
      <c r="V52" s="386" t="s">
        <v>161</v>
      </c>
      <c r="W52" s="383">
        <f t="shared" ref="W52:W77" si="18">T52+AG52</f>
        <v>1013529.12</v>
      </c>
      <c r="X52" s="963" t="s">
        <v>156</v>
      </c>
      <c r="Y52" s="387">
        <v>45261</v>
      </c>
      <c r="Z52" s="3" t="s">
        <v>924</v>
      </c>
      <c r="AA52" s="387">
        <v>45261</v>
      </c>
      <c r="AB52" s="387">
        <v>45291</v>
      </c>
      <c r="AC52" s="4" t="s">
        <v>3113</v>
      </c>
      <c r="AD52" s="412"/>
      <c r="AE52" s="4"/>
      <c r="AF52" s="388"/>
      <c r="AG52" s="383">
        <v>0</v>
      </c>
      <c r="AH52" s="414" t="str">
        <f t="shared" ca="1" si="7"/>
        <v>MUERTO</v>
      </c>
      <c r="AI52" s="3"/>
      <c r="AJ52" s="3"/>
      <c r="AK52" s="3"/>
      <c r="AL52" s="3"/>
      <c r="AM52" s="3"/>
      <c r="AN52" s="3"/>
      <c r="AO52" s="3"/>
      <c r="AP52" s="458"/>
      <c r="AQ52" s="388"/>
      <c r="AR52" s="4"/>
      <c r="AS52" s="459"/>
      <c r="AT52" s="281"/>
      <c r="AU52" s="4"/>
      <c r="AV52" s="4" t="e">
        <f>VLOOKUP(I52,[2]RFC!$1:$1048576,2,0)</f>
        <v>#N/A</v>
      </c>
      <c r="AW52" s="6">
        <v>45265</v>
      </c>
      <c r="AX52" s="463">
        <v>45254</v>
      </c>
      <c r="AY52" s="6">
        <v>45271</v>
      </c>
      <c r="AZ52" s="6">
        <f t="shared" si="14"/>
        <v>45271</v>
      </c>
      <c r="BA52" s="415">
        <v>45279</v>
      </c>
      <c r="BB52" s="416">
        <v>45265</v>
      </c>
      <c r="BC52" s="255">
        <v>45265</v>
      </c>
      <c r="BD52" s="519"/>
      <c r="BE52" s="519"/>
      <c r="BF52" s="519"/>
      <c r="BG52" s="519"/>
      <c r="BH52" s="519"/>
    </row>
    <row r="53" spans="1:66" ht="45" x14ac:dyDescent="0.25">
      <c r="A53" s="537" t="s">
        <v>5670</v>
      </c>
      <c r="B53" s="252">
        <v>46</v>
      </c>
      <c r="C53" s="4" t="s">
        <v>225</v>
      </c>
      <c r="D53" s="3" t="s">
        <v>163</v>
      </c>
      <c r="E53" s="18" t="s">
        <v>5671</v>
      </c>
      <c r="F53" s="3" t="str">
        <f t="shared" si="12"/>
        <v>Adjudicación Directa</v>
      </c>
      <c r="G53" s="684" t="s">
        <v>163</v>
      </c>
      <c r="H53" s="3" t="s">
        <v>2064</v>
      </c>
      <c r="I53" s="275" t="s">
        <v>369</v>
      </c>
      <c r="J53" s="17"/>
      <c r="K53" s="17"/>
      <c r="L53" s="17"/>
      <c r="M53" s="375" t="str">
        <f t="shared" si="15"/>
        <v xml:space="preserve">Si Vale México, S.A. de C.V.  </v>
      </c>
      <c r="N53" s="959" t="s">
        <v>370</v>
      </c>
      <c r="O53" s="959" t="s">
        <v>370</v>
      </c>
      <c r="P53" s="959">
        <v>0</v>
      </c>
      <c r="Q53" s="959" t="s">
        <v>5672</v>
      </c>
      <c r="R53" s="962">
        <v>6024480</v>
      </c>
      <c r="S53" s="383">
        <v>0</v>
      </c>
      <c r="T53" s="384">
        <f>+R53+S53</f>
        <v>6024480</v>
      </c>
      <c r="U53" s="385" t="s">
        <v>161</v>
      </c>
      <c r="V53" s="386" t="s">
        <v>161</v>
      </c>
      <c r="W53" s="383">
        <f t="shared" si="18"/>
        <v>6024480</v>
      </c>
      <c r="X53" s="963" t="s">
        <v>156</v>
      </c>
      <c r="Y53" s="387">
        <v>45261</v>
      </c>
      <c r="Z53" s="3" t="s">
        <v>924</v>
      </c>
      <c r="AA53" s="387">
        <f>Y53</f>
        <v>45261</v>
      </c>
      <c r="AB53" s="387">
        <v>45291</v>
      </c>
      <c r="AC53" s="4" t="s">
        <v>161</v>
      </c>
      <c r="AD53" s="412" t="s">
        <v>5673</v>
      </c>
      <c r="AE53" s="4"/>
      <c r="AF53" s="388"/>
      <c r="AG53" s="383">
        <v>0</v>
      </c>
      <c r="AH53" s="414" t="str">
        <f t="shared" ca="1" si="7"/>
        <v>MUERTO</v>
      </c>
      <c r="AI53" s="3"/>
      <c r="AJ53" s="3"/>
      <c r="AK53" s="3"/>
      <c r="AL53" s="3"/>
      <c r="AM53" s="3"/>
      <c r="AN53" s="3"/>
      <c r="AO53" s="3"/>
      <c r="AP53" s="458"/>
      <c r="AQ53" s="388"/>
      <c r="AR53" s="4"/>
      <c r="AS53" s="459"/>
      <c r="AT53" s="281"/>
      <c r="AU53" s="4"/>
      <c r="AV53" s="4" t="e">
        <f>VLOOKUP(I53,[2]RFC!$1:$1048576,2,0)</f>
        <v>#N/A</v>
      </c>
      <c r="AW53" s="6">
        <v>45252</v>
      </c>
      <c r="AX53" s="463">
        <v>45260</v>
      </c>
      <c r="AY53" s="6">
        <v>45273</v>
      </c>
      <c r="AZ53" s="6">
        <v>45273</v>
      </c>
      <c r="BA53" s="415">
        <v>45273</v>
      </c>
      <c r="BB53" s="416">
        <v>45268</v>
      </c>
      <c r="BC53" s="255">
        <v>45265</v>
      </c>
      <c r="BD53" s="519"/>
      <c r="BE53" s="519"/>
      <c r="BF53" s="519"/>
      <c r="BG53" s="519"/>
      <c r="BH53" s="519"/>
    </row>
    <row r="54" spans="1:66" ht="60" x14ac:dyDescent="0.25">
      <c r="A54" s="537" t="s">
        <v>5674</v>
      </c>
      <c r="B54" s="1037">
        <v>47</v>
      </c>
      <c r="C54" s="4" t="s">
        <v>225</v>
      </c>
      <c r="D54" s="3" t="s">
        <v>163</v>
      </c>
      <c r="E54" s="18" t="s">
        <v>5675</v>
      </c>
      <c r="F54" s="3" t="str">
        <f t="shared" si="12"/>
        <v>Adjudicación Directa</v>
      </c>
      <c r="G54" s="684" t="s">
        <v>163</v>
      </c>
      <c r="H54" s="3" t="s">
        <v>5676</v>
      </c>
      <c r="I54" s="275" t="s">
        <v>369</v>
      </c>
      <c r="J54" s="17"/>
      <c r="K54" s="17"/>
      <c r="L54" s="17"/>
      <c r="M54" s="375" t="str">
        <f t="shared" si="15"/>
        <v xml:space="preserve">Si Vale México, S.A. de C.V.  </v>
      </c>
      <c r="N54" s="959" t="s">
        <v>370</v>
      </c>
      <c r="O54" s="959" t="s">
        <v>370</v>
      </c>
      <c r="P54" s="959" t="s">
        <v>3359</v>
      </c>
      <c r="Q54" s="959" t="s">
        <v>5677</v>
      </c>
      <c r="R54" s="962">
        <v>1280000</v>
      </c>
      <c r="S54" s="383">
        <v>0</v>
      </c>
      <c r="T54" s="384">
        <f t="shared" ref="T54:T77" si="19">R54+S54</f>
        <v>1280000</v>
      </c>
      <c r="U54" s="385" t="s">
        <v>161</v>
      </c>
      <c r="V54" s="386" t="s">
        <v>161</v>
      </c>
      <c r="W54" s="383">
        <f t="shared" si="18"/>
        <v>1280000</v>
      </c>
      <c r="X54" s="963" t="s">
        <v>156</v>
      </c>
      <c r="Y54" s="387">
        <v>45271</v>
      </c>
      <c r="Z54" s="3" t="s">
        <v>924</v>
      </c>
      <c r="AA54" s="387">
        <v>45271</v>
      </c>
      <c r="AB54" s="387">
        <v>45291</v>
      </c>
      <c r="AC54" s="4" t="s">
        <v>161</v>
      </c>
      <c r="AD54" s="412"/>
      <c r="AE54" s="4"/>
      <c r="AF54" s="388"/>
      <c r="AG54" s="383">
        <v>0</v>
      </c>
      <c r="AH54" s="414" t="str">
        <f t="shared" ca="1" si="7"/>
        <v>MUERTO</v>
      </c>
      <c r="AI54" s="3"/>
      <c r="AJ54" s="3"/>
      <c r="AK54" s="3"/>
      <c r="AL54" s="3"/>
      <c r="AM54" s="3"/>
      <c r="AN54" s="3"/>
      <c r="AO54" s="3"/>
      <c r="AP54" s="458"/>
      <c r="AQ54" s="388"/>
      <c r="AR54" s="4"/>
      <c r="AS54" s="459"/>
      <c r="AT54" s="281"/>
      <c r="AU54" s="4"/>
      <c r="AV54" s="4" t="e">
        <f>VLOOKUP(I54,[2]RFC!$1:$1048576,2,0)</f>
        <v>#N/A</v>
      </c>
      <c r="AW54" s="6"/>
      <c r="AX54" s="463">
        <v>45267</v>
      </c>
      <c r="AY54" s="6">
        <v>45273</v>
      </c>
      <c r="AZ54" s="6">
        <f>AY54</f>
        <v>45273</v>
      </c>
      <c r="BA54" s="415">
        <v>45278</v>
      </c>
      <c r="BB54" s="416">
        <v>45278</v>
      </c>
      <c r="BC54" s="255">
        <v>45273</v>
      </c>
      <c r="BD54" s="519"/>
      <c r="BE54" s="519"/>
      <c r="BF54" s="519"/>
      <c r="BG54" s="519"/>
      <c r="BH54" s="519"/>
    </row>
    <row r="55" spans="1:66" ht="60" x14ac:dyDescent="0.25">
      <c r="A55" s="537" t="s">
        <v>5678</v>
      </c>
      <c r="B55" s="1037">
        <v>48</v>
      </c>
      <c r="C55" s="4" t="s">
        <v>225</v>
      </c>
      <c r="D55" s="3" t="s">
        <v>163</v>
      </c>
      <c r="E55" s="1038" t="s">
        <v>5679</v>
      </c>
      <c r="F55" s="3" t="str">
        <f t="shared" si="12"/>
        <v>Adjudicación Directa</v>
      </c>
      <c r="G55" s="684" t="s">
        <v>163</v>
      </c>
      <c r="H55" s="1028" t="s">
        <v>5680</v>
      </c>
      <c r="I55" s="538" t="s">
        <v>5681</v>
      </c>
      <c r="J55" s="17"/>
      <c r="K55" s="17"/>
      <c r="L55" s="17"/>
      <c r="M55" s="375" t="str">
        <f t="shared" si="15"/>
        <v xml:space="preserve">Servicios Broxel, S.A.P.I. de C.V.    </v>
      </c>
      <c r="N55" s="959" t="s">
        <v>370</v>
      </c>
      <c r="O55" s="959" t="s">
        <v>370</v>
      </c>
      <c r="P55" s="959" t="s">
        <v>3359</v>
      </c>
      <c r="Q55" s="959" t="s">
        <v>5682</v>
      </c>
      <c r="R55" s="1039">
        <v>19521534</v>
      </c>
      <c r="S55" s="383">
        <v>0</v>
      </c>
      <c r="T55" s="384">
        <f t="shared" si="19"/>
        <v>19521534</v>
      </c>
      <c r="U55" s="385">
        <v>0</v>
      </c>
      <c r="V55" s="386">
        <f>(U55*0.16)+(U55)</f>
        <v>0</v>
      </c>
      <c r="W55" s="383">
        <f t="shared" si="18"/>
        <v>19521534</v>
      </c>
      <c r="X55" s="963" t="s">
        <v>156</v>
      </c>
      <c r="Y55" s="387">
        <v>45286</v>
      </c>
      <c r="Z55" s="3" t="s">
        <v>924</v>
      </c>
      <c r="AA55" s="387">
        <v>45286</v>
      </c>
      <c r="AB55" s="387">
        <v>45291</v>
      </c>
      <c r="AC55" s="4" t="s">
        <v>161</v>
      </c>
      <c r="AD55" s="412"/>
      <c r="AE55" s="4"/>
      <c r="AF55" s="388"/>
      <c r="AG55" s="383">
        <v>0</v>
      </c>
      <c r="AH55" s="414" t="str">
        <f ca="1">IF(ISBLANK([3]CONTRATOS!H7),"",IF([3]CONTRATOS!H7&gt;=TODAY(),"VIGENTE","MUERTO"))</f>
        <v>MUERTO</v>
      </c>
      <c r="AI55" s="3"/>
      <c r="AJ55" s="3"/>
      <c r="AK55" s="3"/>
      <c r="AL55" s="3"/>
      <c r="AM55" s="3"/>
      <c r="AN55" s="3"/>
      <c r="AO55" s="3"/>
      <c r="AP55" s="458"/>
      <c r="AQ55" s="388"/>
      <c r="AR55" s="4"/>
      <c r="AS55" s="459"/>
      <c r="AT55" s="281">
        <v>45318</v>
      </c>
      <c r="AU55" s="4"/>
      <c r="AV55" s="4" t="e">
        <f>VLOOKUP(I55,[2]RFC!$1:$1048576,2,0)</f>
        <v>#N/A</v>
      </c>
      <c r="AW55" s="463">
        <v>45286</v>
      </c>
      <c r="AX55" s="463">
        <v>45286</v>
      </c>
      <c r="AY55" s="6" t="s">
        <v>5683</v>
      </c>
      <c r="AZ55" s="6" t="s">
        <v>5684</v>
      </c>
      <c r="BA55" s="415">
        <f t="shared" ref="BA55:BA86" si="20">AT55</f>
        <v>45318</v>
      </c>
      <c r="BB55" s="416">
        <v>45318</v>
      </c>
      <c r="BC55" s="255">
        <v>45322</v>
      </c>
      <c r="BD55" s="519"/>
      <c r="BE55" s="519"/>
      <c r="BF55" s="519"/>
      <c r="BG55" s="519"/>
      <c r="BH55" s="519"/>
    </row>
    <row r="56" spans="1:66" ht="135" x14ac:dyDescent="0.25">
      <c r="A56" s="539" t="s">
        <v>5685</v>
      </c>
      <c r="B56" s="1037">
        <v>49</v>
      </c>
      <c r="C56" s="4" t="s">
        <v>811</v>
      </c>
      <c r="D56" s="3" t="s">
        <v>163</v>
      </c>
      <c r="E56" s="18" t="s">
        <v>5686</v>
      </c>
      <c r="F56" s="3" t="str">
        <f t="shared" si="12"/>
        <v>Adjudicación Directa</v>
      </c>
      <c r="G56" s="684" t="s">
        <v>163</v>
      </c>
      <c r="H56" s="3" t="s">
        <v>4004</v>
      </c>
      <c r="I56" s="275" t="s">
        <v>5687</v>
      </c>
      <c r="J56" s="17"/>
      <c r="K56" s="17"/>
      <c r="L56" s="17"/>
      <c r="M56" s="375" t="str">
        <f t="shared" si="15"/>
        <v xml:space="preserve">Inmobiliaria y Constructura Mal &amp; Jor, S.A. de C.V.  </v>
      </c>
      <c r="N56" s="959" t="s">
        <v>198</v>
      </c>
      <c r="O56" s="959" t="s">
        <v>198</v>
      </c>
      <c r="P56" s="959" t="s">
        <v>5688</v>
      </c>
      <c r="Q56" s="959" t="s">
        <v>5689</v>
      </c>
      <c r="R56" s="962">
        <v>1115744.3700000001</v>
      </c>
      <c r="S56" s="383">
        <f t="shared" ref="S56:S63" si="21">R56*0.16</f>
        <v>178519.09920000003</v>
      </c>
      <c r="T56" s="384">
        <f t="shared" si="19"/>
        <v>1294263.4692000002</v>
      </c>
      <c r="U56" s="385" t="s">
        <v>161</v>
      </c>
      <c r="V56" s="386" t="s">
        <v>161</v>
      </c>
      <c r="W56" s="383">
        <f t="shared" si="18"/>
        <v>1294263.4692000002</v>
      </c>
      <c r="X56" s="963" t="s">
        <v>156</v>
      </c>
      <c r="Y56" s="387">
        <v>45058</v>
      </c>
      <c r="Z56" s="3" t="s">
        <v>559</v>
      </c>
      <c r="AA56" s="387">
        <v>45058</v>
      </c>
      <c r="AB56" s="387">
        <v>45137</v>
      </c>
      <c r="AC56" s="4" t="s">
        <v>4964</v>
      </c>
      <c r="AD56" s="412" t="s">
        <v>5690</v>
      </c>
      <c r="AE56" s="527" t="s">
        <v>5691</v>
      </c>
      <c r="AF56" s="521">
        <v>45135</v>
      </c>
      <c r="AG56" s="528">
        <v>0</v>
      </c>
      <c r="AH56" s="414" t="str">
        <f t="shared" ref="AH56:AH87" ca="1" si="22">IF(ISBLANK(AB56),"",IF(AB56&gt;=TODAY(),"VIGENTE","MUERTO"))</f>
        <v>MUERTO</v>
      </c>
      <c r="AI56" s="3"/>
      <c r="AJ56" s="3"/>
      <c r="AK56" s="3" t="s">
        <v>559</v>
      </c>
      <c r="AL56" s="3"/>
      <c r="AM56" s="3" t="s">
        <v>559</v>
      </c>
      <c r="AN56" s="3"/>
      <c r="AO56" s="3"/>
      <c r="AP56" s="458"/>
      <c r="AQ56" s="388"/>
      <c r="AR56" s="4"/>
      <c r="AS56" s="459"/>
      <c r="AT56" s="281" t="s">
        <v>5692</v>
      </c>
      <c r="AU56" s="4"/>
      <c r="AV56" s="4" t="e">
        <f>VLOOKUP(I56,[2]RFC!$1:$1048576,2,0)</f>
        <v>#N/A</v>
      </c>
      <c r="AW56" s="6">
        <v>45054</v>
      </c>
      <c r="AX56" s="463">
        <v>45055</v>
      </c>
      <c r="AY56" s="6" t="s">
        <v>5693</v>
      </c>
      <c r="AZ56" s="6" t="str">
        <f t="shared" ref="AZ56:AZ62" si="23">AY56</f>
        <v>12/05/2023
02/08/2023</v>
      </c>
      <c r="BA56" s="415" t="str">
        <f t="shared" si="20"/>
        <v>Contrato formalizado con garantías 22/06
Modificatorio formalizado 04/08/23</v>
      </c>
      <c r="BB56" s="416">
        <v>45068</v>
      </c>
      <c r="BC56" s="255" t="s">
        <v>5694</v>
      </c>
      <c r="BD56" s="519"/>
      <c r="BE56" s="519"/>
      <c r="BF56" s="519"/>
      <c r="BG56" s="519"/>
      <c r="BH56" s="519"/>
    </row>
    <row r="57" spans="1:66" ht="195" x14ac:dyDescent="0.25">
      <c r="A57" s="417" t="s">
        <v>5695</v>
      </c>
      <c r="B57" s="252">
        <v>50</v>
      </c>
      <c r="C57" s="4" t="s">
        <v>811</v>
      </c>
      <c r="D57" s="3" t="s">
        <v>163</v>
      </c>
      <c r="E57" s="18" t="s">
        <v>5696</v>
      </c>
      <c r="F57" s="3" t="str">
        <f t="shared" si="12"/>
        <v>Adjudicación Directa</v>
      </c>
      <c r="G57" s="684" t="s">
        <v>163</v>
      </c>
      <c r="H57" s="3" t="s">
        <v>4004</v>
      </c>
      <c r="I57" s="275" t="s">
        <v>5697</v>
      </c>
      <c r="J57" s="17"/>
      <c r="K57" s="17"/>
      <c r="L57" s="17"/>
      <c r="M57" s="375" t="str">
        <f t="shared" si="15"/>
        <v xml:space="preserve">Servicio de Ingeniería Integral G4s, S.A. de C.V.  </v>
      </c>
      <c r="N57" s="959" t="s">
        <v>198</v>
      </c>
      <c r="O57" s="959" t="s">
        <v>198</v>
      </c>
      <c r="P57" s="959" t="s">
        <v>5698</v>
      </c>
      <c r="Q57" s="959" t="s">
        <v>5699</v>
      </c>
      <c r="R57" s="962">
        <v>1292110.6299999999</v>
      </c>
      <c r="S57" s="383">
        <f t="shared" si="21"/>
        <v>206737.70079999999</v>
      </c>
      <c r="T57" s="384">
        <f t="shared" si="19"/>
        <v>1498848.3307999999</v>
      </c>
      <c r="U57" s="385" t="s">
        <v>161</v>
      </c>
      <c r="V57" s="386" t="s">
        <v>161</v>
      </c>
      <c r="W57" s="383">
        <f t="shared" si="18"/>
        <v>1498848.3307999999</v>
      </c>
      <c r="X57" s="963" t="s">
        <v>156</v>
      </c>
      <c r="Y57" s="387">
        <v>45100</v>
      </c>
      <c r="Z57" s="3" t="s">
        <v>496</v>
      </c>
      <c r="AA57" s="387">
        <v>45100</v>
      </c>
      <c r="AB57" s="387">
        <v>45174</v>
      </c>
      <c r="AC57" s="4" t="s">
        <v>3948</v>
      </c>
      <c r="AD57" s="412" t="s">
        <v>5700</v>
      </c>
      <c r="AE57" s="527" t="s">
        <v>5701</v>
      </c>
      <c r="AF57" s="521">
        <v>45174</v>
      </c>
      <c r="AG57" s="528">
        <v>0</v>
      </c>
      <c r="AH57" s="414" t="str">
        <f t="shared" ca="1" si="22"/>
        <v>MUERTO</v>
      </c>
      <c r="AI57" s="3"/>
      <c r="AJ57" s="3"/>
      <c r="AK57" s="3" t="s">
        <v>496</v>
      </c>
      <c r="AL57" s="3"/>
      <c r="AM57" s="3" t="s">
        <v>496</v>
      </c>
      <c r="AN57" s="3"/>
      <c r="AO57" s="3"/>
      <c r="AP57" s="458"/>
      <c r="AQ57" s="388"/>
      <c r="AR57" s="4"/>
      <c r="AS57" s="459"/>
      <c r="AT57" s="281" t="s">
        <v>5702</v>
      </c>
      <c r="AU57" s="4"/>
      <c r="AV57" s="4" t="e">
        <f>VLOOKUP(I57,[2]RFC!$1:$1048576,2,0)</f>
        <v>#N/A</v>
      </c>
      <c r="AW57" s="6">
        <v>45097</v>
      </c>
      <c r="AX57" s="463">
        <v>45098</v>
      </c>
      <c r="AY57" s="6" t="s">
        <v>5703</v>
      </c>
      <c r="AZ57" s="6" t="str">
        <f t="shared" si="23"/>
        <v>23/06/2023
05/09/2023</v>
      </c>
      <c r="BA57" s="415" t="str">
        <f t="shared" si="20"/>
        <v>Contrato formalizado con garantías 17/07
Modificatorio formalizado 12/09</v>
      </c>
      <c r="BB57" s="416" t="s">
        <v>5704</v>
      </c>
      <c r="BC57" s="255" t="s">
        <v>5705</v>
      </c>
      <c r="BD57" s="519"/>
      <c r="BE57" s="519"/>
      <c r="BF57" s="519"/>
      <c r="BG57" s="519"/>
      <c r="BH57" s="519"/>
    </row>
    <row r="58" spans="1:66" ht="135" x14ac:dyDescent="0.25">
      <c r="A58" s="539" t="s">
        <v>5706</v>
      </c>
      <c r="B58" s="1037">
        <v>51</v>
      </c>
      <c r="C58" s="4" t="s">
        <v>811</v>
      </c>
      <c r="D58" s="3" t="s">
        <v>173</v>
      </c>
      <c r="E58" s="18" t="s">
        <v>5707</v>
      </c>
      <c r="F58" s="3" t="str">
        <f t="shared" si="12"/>
        <v>Licitación Pública</v>
      </c>
      <c r="G58" s="3"/>
      <c r="H58" s="3" t="s">
        <v>3785</v>
      </c>
      <c r="I58" s="275" t="s">
        <v>1738</v>
      </c>
      <c r="J58" s="17"/>
      <c r="K58" s="17"/>
      <c r="L58" s="17"/>
      <c r="M58" s="375" t="str">
        <f t="shared" si="15"/>
        <v xml:space="preserve">Equipos y Climas de México, S.A. de C.V.  </v>
      </c>
      <c r="N58" s="959" t="s">
        <v>198</v>
      </c>
      <c r="O58" s="959" t="s">
        <v>198</v>
      </c>
      <c r="P58" s="959" t="s">
        <v>5708</v>
      </c>
      <c r="Q58" s="959" t="s">
        <v>5709</v>
      </c>
      <c r="R58" s="962">
        <v>19583669.010000002</v>
      </c>
      <c r="S58" s="383">
        <f t="shared" si="21"/>
        <v>3133387.0416000001</v>
      </c>
      <c r="T58" s="384">
        <f t="shared" si="19"/>
        <v>22717056.051600002</v>
      </c>
      <c r="U58" s="385" t="s">
        <v>161</v>
      </c>
      <c r="V58" s="386" t="s">
        <v>161</v>
      </c>
      <c r="W58" s="383">
        <f t="shared" si="18"/>
        <v>23700528.751600001</v>
      </c>
      <c r="X58" s="963" t="s">
        <v>156</v>
      </c>
      <c r="Y58" s="387">
        <v>45149</v>
      </c>
      <c r="Z58" s="3" t="s">
        <v>815</v>
      </c>
      <c r="AA58" s="387">
        <v>45149</v>
      </c>
      <c r="AB58" s="387">
        <v>45324</v>
      </c>
      <c r="AC58" s="4" t="s">
        <v>5710</v>
      </c>
      <c r="AD58" s="412" t="s">
        <v>5711</v>
      </c>
      <c r="AE58" s="4" t="s">
        <v>5712</v>
      </c>
      <c r="AF58" s="388">
        <v>45271</v>
      </c>
      <c r="AG58" s="383">
        <v>983472.7</v>
      </c>
      <c r="AH58" s="414" t="str">
        <f t="shared" ca="1" si="22"/>
        <v>MUERTO</v>
      </c>
      <c r="AI58" s="3"/>
      <c r="AJ58" s="3"/>
      <c r="AK58" s="3" t="s">
        <v>815</v>
      </c>
      <c r="AL58" s="3"/>
      <c r="AM58" s="3" t="s">
        <v>815</v>
      </c>
      <c r="AN58" s="3"/>
      <c r="AO58" s="3"/>
      <c r="AP58" s="458"/>
      <c r="AQ58" s="388"/>
      <c r="AR58" s="4"/>
      <c r="AS58" s="459"/>
      <c r="AT58" s="281" t="s">
        <v>5713</v>
      </c>
      <c r="AU58" s="4"/>
      <c r="AV58" s="4"/>
      <c r="AW58" s="6">
        <v>45146</v>
      </c>
      <c r="AX58" s="463" t="s">
        <v>5714</v>
      </c>
      <c r="AY58" s="6">
        <v>45152</v>
      </c>
      <c r="AZ58" s="6">
        <f t="shared" si="23"/>
        <v>45152</v>
      </c>
      <c r="BA58" s="415" t="str">
        <f t="shared" si="20"/>
        <v xml:space="preserve">Contrato formalizado con garantias 24/08             24/01/2024     </v>
      </c>
      <c r="BB58" s="416" t="s">
        <v>5715</v>
      </c>
      <c r="BC58" s="255" t="s">
        <v>5716</v>
      </c>
      <c r="BD58" s="519"/>
      <c r="BE58" s="519"/>
      <c r="BF58" s="519"/>
      <c r="BG58" s="519"/>
      <c r="BH58" s="519"/>
    </row>
    <row r="59" spans="1:66" ht="90" x14ac:dyDescent="0.25">
      <c r="A59" s="539" t="s">
        <v>5717</v>
      </c>
      <c r="B59" s="1037">
        <v>52</v>
      </c>
      <c r="C59" s="4" t="s">
        <v>811</v>
      </c>
      <c r="D59" s="3" t="s">
        <v>173</v>
      </c>
      <c r="E59" s="18" t="s">
        <v>5718</v>
      </c>
      <c r="F59" s="3" t="str">
        <f t="shared" si="12"/>
        <v>Licitación Pública</v>
      </c>
      <c r="G59" s="3"/>
      <c r="H59" s="3" t="s">
        <v>3785</v>
      </c>
      <c r="I59" s="275" t="s">
        <v>2436</v>
      </c>
      <c r="J59" s="17"/>
      <c r="K59" s="17"/>
      <c r="L59" s="17"/>
      <c r="M59" s="375" t="str">
        <f t="shared" si="15"/>
        <v xml:space="preserve">Teletec de México, S.A.P.I. de C.V.  </v>
      </c>
      <c r="N59" s="959" t="s">
        <v>198</v>
      </c>
      <c r="O59" s="959" t="s">
        <v>198</v>
      </c>
      <c r="P59" s="959" t="s">
        <v>5719</v>
      </c>
      <c r="Q59" s="959" t="s">
        <v>5720</v>
      </c>
      <c r="R59" s="962">
        <v>10936882.869999999</v>
      </c>
      <c r="S59" s="383">
        <f t="shared" si="21"/>
        <v>1749901.2592</v>
      </c>
      <c r="T59" s="384">
        <f t="shared" si="19"/>
        <v>12686784.129199998</v>
      </c>
      <c r="U59" s="385" t="s">
        <v>161</v>
      </c>
      <c r="V59" s="386" t="s">
        <v>161</v>
      </c>
      <c r="W59" s="383">
        <f t="shared" si="18"/>
        <v>12966866.674399998</v>
      </c>
      <c r="X59" s="963" t="s">
        <v>156</v>
      </c>
      <c r="Y59" s="387">
        <v>45152</v>
      </c>
      <c r="Z59" s="3" t="s">
        <v>815</v>
      </c>
      <c r="AA59" s="387">
        <v>45152</v>
      </c>
      <c r="AB59" s="387">
        <v>45291</v>
      </c>
      <c r="AC59" s="4" t="s">
        <v>5721</v>
      </c>
      <c r="AD59" s="3" t="s">
        <v>5722</v>
      </c>
      <c r="AE59" s="4" t="s">
        <v>5723</v>
      </c>
      <c r="AF59" s="388">
        <v>45279</v>
      </c>
      <c r="AG59" s="383">
        <f>241450.47*0.16+241450.47</f>
        <v>280082.54519999999</v>
      </c>
      <c r="AH59" s="414" t="str">
        <f t="shared" ca="1" si="22"/>
        <v>MUERTO</v>
      </c>
      <c r="AI59" s="3"/>
      <c r="AJ59" s="3"/>
      <c r="AK59" s="3" t="s">
        <v>815</v>
      </c>
      <c r="AL59" s="3"/>
      <c r="AM59" s="3" t="s">
        <v>815</v>
      </c>
      <c r="AN59" s="3"/>
      <c r="AO59" s="3"/>
      <c r="AP59" s="458"/>
      <c r="AQ59" s="388"/>
      <c r="AR59" s="4"/>
      <c r="AS59" s="459"/>
      <c r="AT59" s="281" t="s">
        <v>5724</v>
      </c>
      <c r="AU59" s="4"/>
      <c r="AV59" s="4"/>
      <c r="AW59" s="6" t="s">
        <v>5725</v>
      </c>
      <c r="AX59" s="463" t="s">
        <v>5726</v>
      </c>
      <c r="AY59" s="6">
        <v>45152</v>
      </c>
      <c r="AZ59" s="6">
        <f t="shared" si="23"/>
        <v>45152</v>
      </c>
      <c r="BA59" s="415" t="str">
        <f t="shared" si="20"/>
        <v>Contrato formalizado con F.A. 31/08      24/01/2024</v>
      </c>
      <c r="BB59" s="416" t="s">
        <v>5727</v>
      </c>
      <c r="BC59" s="255" t="s">
        <v>5728</v>
      </c>
      <c r="BD59" s="519"/>
      <c r="BE59" s="519"/>
      <c r="BF59" s="519"/>
      <c r="BG59" s="519"/>
      <c r="BH59" s="519"/>
    </row>
    <row r="60" spans="1:66" ht="105" x14ac:dyDescent="0.25">
      <c r="A60" s="539" t="s">
        <v>5729</v>
      </c>
      <c r="B60" s="1037">
        <v>53</v>
      </c>
      <c r="C60" s="4" t="s">
        <v>811</v>
      </c>
      <c r="D60" s="3" t="s">
        <v>173</v>
      </c>
      <c r="E60" s="18" t="s">
        <v>5730</v>
      </c>
      <c r="F60" s="3" t="str">
        <f t="shared" si="12"/>
        <v>Licitación Pública</v>
      </c>
      <c r="G60" s="3"/>
      <c r="H60" s="3" t="s">
        <v>3785</v>
      </c>
      <c r="I60" s="275" t="s">
        <v>2039</v>
      </c>
      <c r="J60" s="17"/>
      <c r="K60" s="17"/>
      <c r="L60" s="17"/>
      <c r="M60" s="375" t="str">
        <f t="shared" si="15"/>
        <v xml:space="preserve">Desarrollo de Proyectos Especializados, S.A. de C.V.  </v>
      </c>
      <c r="N60" s="959" t="s">
        <v>198</v>
      </c>
      <c r="O60" s="959" t="s">
        <v>198</v>
      </c>
      <c r="P60" s="959" t="s">
        <v>5731</v>
      </c>
      <c r="Q60" s="959" t="s">
        <v>5732</v>
      </c>
      <c r="R60" s="962">
        <v>8957804.1999999993</v>
      </c>
      <c r="S60" s="383">
        <f t="shared" si="21"/>
        <v>1433248.672</v>
      </c>
      <c r="T60" s="384">
        <f t="shared" si="19"/>
        <v>10391052.872</v>
      </c>
      <c r="U60" s="385" t="s">
        <v>161</v>
      </c>
      <c r="V60" s="386" t="s">
        <v>161</v>
      </c>
      <c r="W60" s="383">
        <f t="shared" si="18"/>
        <v>11073463.192</v>
      </c>
      <c r="X60" s="963" t="s">
        <v>156</v>
      </c>
      <c r="Y60" s="387">
        <v>45181</v>
      </c>
      <c r="Z60" s="3" t="s">
        <v>863</v>
      </c>
      <c r="AA60" s="387">
        <f>Y60</f>
        <v>45181</v>
      </c>
      <c r="AB60" s="387">
        <v>45291</v>
      </c>
      <c r="AC60" s="4" t="s">
        <v>5733</v>
      </c>
      <c r="AD60" s="412" t="s">
        <v>5734</v>
      </c>
      <c r="AE60" s="4" t="s">
        <v>5735</v>
      </c>
      <c r="AF60" s="388" t="s">
        <v>5736</v>
      </c>
      <c r="AG60" s="411">
        <f>855725.04-173314.72</f>
        <v>682410.32000000007</v>
      </c>
      <c r="AH60" s="414" t="str">
        <f t="shared" ca="1" si="22"/>
        <v>MUERTO</v>
      </c>
      <c r="AI60" s="3"/>
      <c r="AJ60" s="3"/>
      <c r="AK60" s="3" t="s">
        <v>863</v>
      </c>
      <c r="AL60" s="3"/>
      <c r="AM60" s="3" t="s">
        <v>863</v>
      </c>
      <c r="AN60" s="3"/>
      <c r="AO60" s="3"/>
      <c r="AP60" s="458"/>
      <c r="AQ60" s="388"/>
      <c r="AR60" s="4"/>
      <c r="AS60" s="459"/>
      <c r="AT60" s="281" t="s">
        <v>5737</v>
      </c>
      <c r="AU60" s="4"/>
      <c r="AV60" s="4" t="e">
        <f>VLOOKUP(I60,[2]RFC!$1:$1048576,2,0)</f>
        <v>#N/A</v>
      </c>
      <c r="AW60" s="6" t="s">
        <v>5738</v>
      </c>
      <c r="AX60" s="6" t="s">
        <v>5739</v>
      </c>
      <c r="AY60" s="6">
        <v>45182</v>
      </c>
      <c r="AZ60" s="6">
        <f t="shared" si="23"/>
        <v>45182</v>
      </c>
      <c r="BA60" s="415" t="str">
        <f t="shared" si="20"/>
        <v>Contrato formalizado con F.A. y TC 19/09                                         02/01/2023                         15/01/2023               24/01/2024</v>
      </c>
      <c r="BB60" s="416" t="s">
        <v>5740</v>
      </c>
      <c r="BC60" s="255" t="s">
        <v>5741</v>
      </c>
      <c r="BD60" s="519"/>
      <c r="BE60" s="519"/>
      <c r="BF60" s="519"/>
      <c r="BG60" s="519"/>
      <c r="BH60" s="519"/>
    </row>
    <row r="61" spans="1:66" ht="105" x14ac:dyDescent="0.25">
      <c r="A61" s="417" t="s">
        <v>5248</v>
      </c>
      <c r="B61" s="252">
        <v>54</v>
      </c>
      <c r="C61" s="4" t="s">
        <v>149</v>
      </c>
      <c r="D61" s="3" t="s">
        <v>173</v>
      </c>
      <c r="E61" s="18" t="s">
        <v>5742</v>
      </c>
      <c r="F61" s="3" t="s">
        <v>173</v>
      </c>
      <c r="G61" s="3"/>
      <c r="H61" s="3" t="s">
        <v>3785</v>
      </c>
      <c r="I61" s="375" t="s">
        <v>3786</v>
      </c>
      <c r="J61" s="17"/>
      <c r="K61" s="17"/>
      <c r="L61" s="17"/>
      <c r="M61" s="375" t="str">
        <f t="shared" si="15"/>
        <v xml:space="preserve">Kertec Corporation, S.A. de C.V.  </v>
      </c>
      <c r="N61" s="959" t="s">
        <v>656</v>
      </c>
      <c r="O61" s="959" t="s">
        <v>209</v>
      </c>
      <c r="P61" s="959" t="s">
        <v>5743</v>
      </c>
      <c r="Q61" s="959" t="s">
        <v>5744</v>
      </c>
      <c r="R61" s="962">
        <v>6034482.7599999998</v>
      </c>
      <c r="S61" s="383">
        <f t="shared" si="21"/>
        <v>965517.24159999995</v>
      </c>
      <c r="T61" s="384">
        <f t="shared" si="19"/>
        <v>7000000.0016000001</v>
      </c>
      <c r="U61" s="385">
        <v>2413793.1</v>
      </c>
      <c r="V61" s="386">
        <f>(U61*0.16)+(U61)</f>
        <v>2799999.9960000003</v>
      </c>
      <c r="W61" s="383">
        <f t="shared" si="18"/>
        <v>7000000.0016000001</v>
      </c>
      <c r="X61" s="963" t="s">
        <v>156</v>
      </c>
      <c r="Y61" s="387">
        <v>44928</v>
      </c>
      <c r="Z61" s="3" t="s">
        <v>157</v>
      </c>
      <c r="AA61" s="387">
        <v>44927</v>
      </c>
      <c r="AB61" s="387">
        <v>45291</v>
      </c>
      <c r="AC61" s="4" t="s">
        <v>4717</v>
      </c>
      <c r="AD61" s="417" t="s">
        <v>5161</v>
      </c>
      <c r="AE61" s="417" t="s">
        <v>5162</v>
      </c>
      <c r="AF61" s="524">
        <v>45265</v>
      </c>
      <c r="AG61" s="525">
        <v>0</v>
      </c>
      <c r="AH61" s="414" t="str">
        <f t="shared" ca="1" si="22"/>
        <v>MUERTO</v>
      </c>
      <c r="AI61" s="3"/>
      <c r="AJ61" s="3"/>
      <c r="AK61" s="3" t="s">
        <v>157</v>
      </c>
      <c r="AL61" s="3"/>
      <c r="AM61" s="3" t="s">
        <v>157</v>
      </c>
      <c r="AN61" s="3"/>
      <c r="AO61" s="3"/>
      <c r="AP61" s="458"/>
      <c r="AQ61" s="388"/>
      <c r="AR61" s="4"/>
      <c r="AS61" s="459"/>
      <c r="AT61" s="281" t="s">
        <v>5745</v>
      </c>
      <c r="AU61" s="4"/>
      <c r="AV61" s="4"/>
      <c r="AW61" s="523" t="s">
        <v>5746</v>
      </c>
      <c r="AX61" s="540" t="s">
        <v>5747</v>
      </c>
      <c r="AY61" s="6">
        <v>44900</v>
      </c>
      <c r="AZ61" s="6">
        <f t="shared" si="23"/>
        <v>44900</v>
      </c>
      <c r="BA61" s="415" t="str">
        <f t="shared" si="20"/>
        <v>Contrato formalizado con FC y PrC 25/01/22                    08/01/24</v>
      </c>
      <c r="BB61" s="416" t="s">
        <v>5748</v>
      </c>
      <c r="BC61" s="541" t="s">
        <v>5749</v>
      </c>
      <c r="BD61" s="6"/>
      <c r="BE61" s="6"/>
      <c r="BF61" s="519"/>
      <c r="BG61" s="519"/>
      <c r="BH61" s="519"/>
      <c r="BI61" s="84"/>
    </row>
    <row r="62" spans="1:66" ht="120" x14ac:dyDescent="0.25">
      <c r="A62" s="286" t="s">
        <v>5264</v>
      </c>
      <c r="B62" s="1037">
        <v>55</v>
      </c>
      <c r="C62" s="4" t="s">
        <v>149</v>
      </c>
      <c r="D62" s="3" t="s">
        <v>163</v>
      </c>
      <c r="E62" s="18" t="s">
        <v>5233</v>
      </c>
      <c r="F62" s="3" t="s">
        <v>5365</v>
      </c>
      <c r="G62" s="685" t="s">
        <v>546</v>
      </c>
      <c r="H62" s="3" t="s">
        <v>4030</v>
      </c>
      <c r="I62" s="275" t="s">
        <v>1038</v>
      </c>
      <c r="J62" s="17"/>
      <c r="K62" s="17"/>
      <c r="L62" s="17"/>
      <c r="M62" s="375" t="str">
        <f t="shared" si="15"/>
        <v xml:space="preserve">Sistemas Neumáticos de Envíos, S.A. de C.V.  </v>
      </c>
      <c r="N62" s="959" t="s">
        <v>301</v>
      </c>
      <c r="O62" s="959" t="s">
        <v>301</v>
      </c>
      <c r="P62" s="959" t="s">
        <v>5750</v>
      </c>
      <c r="Q62" s="959" t="s">
        <v>5751</v>
      </c>
      <c r="R62" s="962">
        <v>3282559.51</v>
      </c>
      <c r="S62" s="383">
        <f t="shared" si="21"/>
        <v>525209.52159999998</v>
      </c>
      <c r="T62" s="384">
        <f t="shared" si="19"/>
        <v>3807769.0315999999</v>
      </c>
      <c r="U62" s="385">
        <v>2134287.3199999998</v>
      </c>
      <c r="V62" s="386">
        <f>(U62*0.16)+(U62)</f>
        <v>2475773.2911999999</v>
      </c>
      <c r="W62" s="383">
        <f t="shared" si="18"/>
        <v>3807769.0315999999</v>
      </c>
      <c r="X62" s="963" t="s">
        <v>156</v>
      </c>
      <c r="Y62" s="387">
        <v>44928</v>
      </c>
      <c r="Z62" s="3" t="s">
        <v>157</v>
      </c>
      <c r="AA62" s="387">
        <v>44927</v>
      </c>
      <c r="AB62" s="387">
        <v>45291</v>
      </c>
      <c r="AC62" s="4" t="s">
        <v>4253</v>
      </c>
      <c r="AD62" s="4"/>
      <c r="AE62" s="4"/>
      <c r="AF62" s="388"/>
      <c r="AG62" s="383"/>
      <c r="AH62" s="414" t="str">
        <f t="shared" ca="1" si="22"/>
        <v>MUERTO</v>
      </c>
      <c r="AI62" s="3"/>
      <c r="AJ62" s="3"/>
      <c r="AK62" s="3" t="s">
        <v>157</v>
      </c>
      <c r="AL62" s="3"/>
      <c r="AM62" s="3" t="s">
        <v>157</v>
      </c>
      <c r="AN62" s="3"/>
      <c r="AO62" s="3"/>
      <c r="AP62" s="458"/>
      <c r="AQ62" s="388"/>
      <c r="AR62" s="4"/>
      <c r="AS62" s="459"/>
      <c r="AT62" s="281" t="s">
        <v>5752</v>
      </c>
      <c r="AU62" s="4"/>
      <c r="AV62" s="4" t="str">
        <f>VLOOKUP(I62,[2]RFC!$1:$1048576,2,0)</f>
        <v>SNE8902146C0</v>
      </c>
      <c r="AW62" s="523">
        <v>44890</v>
      </c>
      <c r="AX62" s="540">
        <v>44894</v>
      </c>
      <c r="AY62" s="6">
        <v>44901</v>
      </c>
      <c r="AZ62" s="6">
        <f t="shared" si="23"/>
        <v>44901</v>
      </c>
      <c r="BA62" s="415" t="str">
        <f t="shared" si="20"/>
        <v>Contrato formalizado con FC y PrC 25/01/22</v>
      </c>
      <c r="BB62" s="416">
        <v>44936</v>
      </c>
      <c r="BC62" s="541">
        <v>44936</v>
      </c>
      <c r="BD62" s="6"/>
      <c r="BE62" s="6"/>
      <c r="BF62" s="519"/>
      <c r="BG62" s="519"/>
      <c r="BH62" s="519"/>
      <c r="BI62" s="84"/>
    </row>
    <row r="63" spans="1:66" ht="90" x14ac:dyDescent="0.25">
      <c r="A63" s="417" t="s">
        <v>5271</v>
      </c>
      <c r="B63" s="1037">
        <v>56</v>
      </c>
      <c r="C63" s="4" t="s">
        <v>149</v>
      </c>
      <c r="D63" s="3" t="s">
        <v>163</v>
      </c>
      <c r="E63" s="18" t="s">
        <v>5233</v>
      </c>
      <c r="F63" s="3" t="s">
        <v>5365</v>
      </c>
      <c r="G63" s="685" t="s">
        <v>546</v>
      </c>
      <c r="H63" s="699" t="s">
        <v>4492</v>
      </c>
      <c r="I63" s="375" t="s">
        <v>2417</v>
      </c>
      <c r="J63" s="17"/>
      <c r="K63" s="17"/>
      <c r="L63" s="17"/>
      <c r="M63" s="375" t="str">
        <f t="shared" si="15"/>
        <v xml:space="preserve">Compañía Operadora de Estacionamientos Mexicanos, S.A. de C.V.  </v>
      </c>
      <c r="N63" s="959" t="s">
        <v>301</v>
      </c>
      <c r="O63" s="959" t="s">
        <v>301</v>
      </c>
      <c r="P63" s="959" t="s">
        <v>302</v>
      </c>
      <c r="Q63" s="959" t="s">
        <v>5753</v>
      </c>
      <c r="R63" s="962">
        <v>6035720.2699999996</v>
      </c>
      <c r="S63" s="383">
        <f t="shared" si="21"/>
        <v>965715.24319999991</v>
      </c>
      <c r="T63" s="384">
        <f t="shared" si="19"/>
        <v>7001435.5131999999</v>
      </c>
      <c r="U63" s="385">
        <v>2414288.11</v>
      </c>
      <c r="V63" s="386">
        <f>(U63*0.16)+(U63)</f>
        <v>2800574.2075999998</v>
      </c>
      <c r="W63" s="383">
        <f t="shared" si="18"/>
        <v>8751794.3931999989</v>
      </c>
      <c r="X63" s="963" t="s">
        <v>156</v>
      </c>
      <c r="Y63" s="387">
        <v>44928</v>
      </c>
      <c r="Z63" s="3" t="s">
        <v>157</v>
      </c>
      <c r="AA63" s="387">
        <v>44927</v>
      </c>
      <c r="AB63" s="387">
        <v>45382</v>
      </c>
      <c r="AC63" s="4" t="s">
        <v>4253</v>
      </c>
      <c r="AD63" s="4" t="s">
        <v>5754</v>
      </c>
      <c r="AE63" s="4" t="s">
        <v>5754</v>
      </c>
      <c r="AF63" s="388">
        <v>45287</v>
      </c>
      <c r="AG63" s="383">
        <v>1750358.88</v>
      </c>
      <c r="AH63" s="414" t="str">
        <f t="shared" ca="1" si="22"/>
        <v>MUERTO</v>
      </c>
      <c r="AI63" s="3"/>
      <c r="AJ63" s="3"/>
      <c r="AK63" s="3" t="s">
        <v>157</v>
      </c>
      <c r="AL63" s="3"/>
      <c r="AM63" s="3" t="s">
        <v>157</v>
      </c>
      <c r="AN63" s="3"/>
      <c r="AO63" s="3"/>
      <c r="AP63" s="458"/>
      <c r="AQ63" s="388"/>
      <c r="AR63" s="4"/>
      <c r="AS63" s="459"/>
      <c r="AT63" s="281" t="s">
        <v>5755</v>
      </c>
      <c r="AU63" s="4"/>
      <c r="AV63" s="4"/>
      <c r="AW63" s="542">
        <v>45279</v>
      </c>
      <c r="AX63" s="540" t="s">
        <v>5756</v>
      </c>
      <c r="AY63" s="6">
        <v>44890</v>
      </c>
      <c r="AZ63" s="6">
        <v>44894</v>
      </c>
      <c r="BA63" s="415" t="str">
        <f t="shared" si="20"/>
        <v>Contrato formalizado con garantías 26/01/23</v>
      </c>
      <c r="BB63" s="416">
        <v>44942</v>
      </c>
      <c r="BC63" s="271" t="s">
        <v>5757</v>
      </c>
      <c r="BD63" s="6"/>
      <c r="BE63" s="6"/>
      <c r="BF63" s="519"/>
      <c r="BG63" s="519"/>
      <c r="BH63" s="519"/>
      <c r="BI63" s="84"/>
    </row>
    <row r="64" spans="1:66" ht="105" x14ac:dyDescent="0.25">
      <c r="A64" s="286" t="s">
        <v>5276</v>
      </c>
      <c r="B64" s="1037">
        <v>57</v>
      </c>
      <c r="C64" s="4" t="s">
        <v>149</v>
      </c>
      <c r="D64" s="3" t="s">
        <v>151</v>
      </c>
      <c r="E64" s="18" t="s">
        <v>5310</v>
      </c>
      <c r="F64" s="3" t="s">
        <v>151</v>
      </c>
      <c r="G64" s="3"/>
      <c r="H64" s="3" t="s">
        <v>3793</v>
      </c>
      <c r="I64" s="375" t="s">
        <v>5758</v>
      </c>
      <c r="J64" s="17"/>
      <c r="K64" s="17"/>
      <c r="L64" s="17"/>
      <c r="M64" s="375" t="str">
        <f t="shared" si="15"/>
        <v xml:space="preserve">Metlife México, S.A. de C.V.  </v>
      </c>
      <c r="N64" s="959" t="s">
        <v>270</v>
      </c>
      <c r="O64" s="959" t="s">
        <v>270</v>
      </c>
      <c r="P64" s="959" t="s">
        <v>1077</v>
      </c>
      <c r="Q64" s="375" t="s">
        <v>5759</v>
      </c>
      <c r="R64" s="962">
        <v>24445663.050000001</v>
      </c>
      <c r="S64" s="543">
        <v>0</v>
      </c>
      <c r="T64" s="384">
        <f t="shared" si="19"/>
        <v>24445663.050000001</v>
      </c>
      <c r="U64" s="385" t="s">
        <v>161</v>
      </c>
      <c r="V64" s="385" t="s">
        <v>161</v>
      </c>
      <c r="W64" s="383">
        <f t="shared" si="18"/>
        <v>24445663.050000001</v>
      </c>
      <c r="X64" s="963" t="s">
        <v>156</v>
      </c>
      <c r="Y64" s="387">
        <v>44928</v>
      </c>
      <c r="Z64" s="3" t="s">
        <v>157</v>
      </c>
      <c r="AA64" s="387">
        <v>44927</v>
      </c>
      <c r="AB64" s="387">
        <v>45291</v>
      </c>
      <c r="AC64" s="4" t="s">
        <v>159</v>
      </c>
      <c r="AD64" s="4"/>
      <c r="AE64" s="4"/>
      <c r="AF64" s="388"/>
      <c r="AG64" s="383"/>
      <c r="AH64" s="414" t="str">
        <f t="shared" ca="1" si="22"/>
        <v>MUERTO</v>
      </c>
      <c r="AI64" s="3"/>
      <c r="AJ64" s="3"/>
      <c r="AK64" s="3" t="s">
        <v>157</v>
      </c>
      <c r="AL64" s="3"/>
      <c r="AM64" s="3" t="s">
        <v>157</v>
      </c>
      <c r="AN64" s="3"/>
      <c r="AO64" s="3"/>
      <c r="AP64" s="458"/>
      <c r="AQ64" s="388"/>
      <c r="AR64" s="4"/>
      <c r="AS64" s="459"/>
      <c r="AT64" s="281" t="s">
        <v>5760</v>
      </c>
      <c r="AU64" s="4"/>
      <c r="AV64" s="4"/>
      <c r="AW64" s="5">
        <f>AI64</f>
        <v>0</v>
      </c>
      <c r="AX64" s="544"/>
      <c r="AY64" s="6">
        <v>44901</v>
      </c>
      <c r="AZ64" s="6">
        <v>44904</v>
      </c>
      <c r="BA64" s="415" t="str">
        <f t="shared" si="20"/>
        <v>Contrato formalizado 03/01/23</v>
      </c>
      <c r="BB64" s="416">
        <v>44929</v>
      </c>
      <c r="BC64" s="541">
        <v>44929</v>
      </c>
      <c r="BD64" s="6"/>
      <c r="BE64" s="6"/>
      <c r="BF64" s="519"/>
      <c r="BG64" s="519"/>
      <c r="BH64" s="519"/>
      <c r="BI64" s="84"/>
    </row>
    <row r="65" spans="1:61" ht="90" x14ac:dyDescent="0.25">
      <c r="A65" s="417" t="s">
        <v>5280</v>
      </c>
      <c r="B65" s="252">
        <v>58</v>
      </c>
      <c r="C65" s="4" t="s">
        <v>149</v>
      </c>
      <c r="D65" s="3" t="s">
        <v>163</v>
      </c>
      <c r="E65" s="18" t="s">
        <v>5294</v>
      </c>
      <c r="F65" s="3" t="s">
        <v>5365</v>
      </c>
      <c r="G65" s="685" t="s">
        <v>546</v>
      </c>
      <c r="H65" s="3" t="s">
        <v>4030</v>
      </c>
      <c r="I65" s="375" t="s">
        <v>4420</v>
      </c>
      <c r="J65" s="17"/>
      <c r="K65" s="17"/>
      <c r="L65" s="17"/>
      <c r="M65" s="375" t="str">
        <f t="shared" si="15"/>
        <v xml:space="preserve">Johnson Controls BTS México, S.A. de C.V.  </v>
      </c>
      <c r="N65" s="959" t="s">
        <v>198</v>
      </c>
      <c r="O65" s="959" t="s">
        <v>198</v>
      </c>
      <c r="P65" s="959" t="s">
        <v>5441</v>
      </c>
      <c r="Q65" s="959" t="s">
        <v>5761</v>
      </c>
      <c r="R65" s="962">
        <v>6389531.8399999999</v>
      </c>
      <c r="S65" s="383">
        <f t="shared" ref="S65:S96" si="24">R65*0.16</f>
        <v>1022325.0943999999</v>
      </c>
      <c r="T65" s="384">
        <f t="shared" si="19"/>
        <v>7411856.9343999997</v>
      </c>
      <c r="U65" s="385">
        <v>5862068.4000000004</v>
      </c>
      <c r="V65" s="386">
        <f>(U65*0.16)+(U65)</f>
        <v>6799999.3440000005</v>
      </c>
      <c r="W65" s="528">
        <f t="shared" si="18"/>
        <v>8676505.9343999997</v>
      </c>
      <c r="X65" s="963" t="s">
        <v>156</v>
      </c>
      <c r="Y65" s="387">
        <v>44928</v>
      </c>
      <c r="Z65" s="3" t="s">
        <v>157</v>
      </c>
      <c r="AA65" s="387">
        <v>44927</v>
      </c>
      <c r="AB65" s="387">
        <v>45291</v>
      </c>
      <c r="AC65" s="4" t="s">
        <v>3787</v>
      </c>
      <c r="AD65" s="412" t="s">
        <v>5762</v>
      </c>
      <c r="AE65" s="527" t="s">
        <v>5763</v>
      </c>
      <c r="AF65" s="521" t="s">
        <v>5764</v>
      </c>
      <c r="AG65" s="528">
        <f>1111778.54+152870.46</f>
        <v>1264649</v>
      </c>
      <c r="AH65" s="414" t="str">
        <f t="shared" ca="1" si="22"/>
        <v>MUERTO</v>
      </c>
      <c r="AI65" s="3"/>
      <c r="AJ65" s="3"/>
      <c r="AK65" s="3" t="s">
        <v>157</v>
      </c>
      <c r="AL65" s="3"/>
      <c r="AM65" s="3" t="s">
        <v>157</v>
      </c>
      <c r="AN65" s="3"/>
      <c r="AO65" s="3"/>
      <c r="AP65" s="458"/>
      <c r="AQ65" s="388"/>
      <c r="AR65" s="4"/>
      <c r="AS65" s="459"/>
      <c r="AT65" s="281" t="s">
        <v>5765</v>
      </c>
      <c r="AU65" s="4"/>
      <c r="AV65" s="4" t="e">
        <f>VLOOKUP(I65,[2]RFC!$1:$1048576,2,0)</f>
        <v>#N/A</v>
      </c>
      <c r="AW65" s="6" t="s">
        <v>5766</v>
      </c>
      <c r="AX65" s="6" t="s">
        <v>5767</v>
      </c>
      <c r="AY65" s="6" t="s">
        <v>5768</v>
      </c>
      <c r="AZ65" s="6" t="str">
        <f t="shared" ref="AZ65:AZ75" si="25">AY65</f>
        <v xml:space="preserve">22/12/2022
13/11/2023
</v>
      </c>
      <c r="BA65" s="415" t="str">
        <f t="shared" si="20"/>
        <v>Contrato formalizado 07/03                                              02/01/2023</v>
      </c>
      <c r="BB65" s="416" t="s">
        <v>5769</v>
      </c>
      <c r="BC65" s="255" t="s">
        <v>5770</v>
      </c>
      <c r="BD65" s="519"/>
      <c r="BE65" s="519"/>
      <c r="BF65" s="519"/>
      <c r="BG65" s="519"/>
      <c r="BH65" s="519"/>
    </row>
    <row r="66" spans="1:61" ht="105" x14ac:dyDescent="0.25">
      <c r="A66" s="286" t="s">
        <v>5282</v>
      </c>
      <c r="B66" s="1037">
        <v>59</v>
      </c>
      <c r="C66" s="4" t="s">
        <v>149</v>
      </c>
      <c r="D66" s="3" t="s">
        <v>163</v>
      </c>
      <c r="E66" s="18" t="s">
        <v>5771</v>
      </c>
      <c r="F66" s="3" t="s">
        <v>163</v>
      </c>
      <c r="G66" s="684" t="s">
        <v>163</v>
      </c>
      <c r="H66" s="3" t="s">
        <v>4492</v>
      </c>
      <c r="I66" s="275" t="s">
        <v>4493</v>
      </c>
      <c r="J66" s="17"/>
      <c r="K66" s="17"/>
      <c r="L66" s="17"/>
      <c r="M66" s="375" t="str">
        <f t="shared" si="15"/>
        <v xml:space="preserve">Estrategia en Estacionamientos y Valet Parking, S.A. de C.V.  </v>
      </c>
      <c r="N66" s="959" t="s">
        <v>301</v>
      </c>
      <c r="O66" s="959" t="s">
        <v>301</v>
      </c>
      <c r="P66" s="959" t="s">
        <v>5772</v>
      </c>
      <c r="Q66" s="959" t="s">
        <v>5773</v>
      </c>
      <c r="R66" s="962">
        <v>8452160.6400000006</v>
      </c>
      <c r="S66" s="383">
        <f t="shared" si="24"/>
        <v>1352345.7024000001</v>
      </c>
      <c r="T66" s="384">
        <f t="shared" si="19"/>
        <v>9804506.3424000014</v>
      </c>
      <c r="U66" s="385">
        <v>3380864.26</v>
      </c>
      <c r="V66" s="386">
        <f>(U66*0.16)+(U66)</f>
        <v>3921802.5415999996</v>
      </c>
      <c r="W66" s="383">
        <f t="shared" si="18"/>
        <v>9804506.3424000014</v>
      </c>
      <c r="X66" s="963" t="s">
        <v>156</v>
      </c>
      <c r="Y66" s="387">
        <v>44928</v>
      </c>
      <c r="Z66" s="3" t="s">
        <v>157</v>
      </c>
      <c r="AA66" s="387">
        <v>44927</v>
      </c>
      <c r="AB66" s="387">
        <v>45291</v>
      </c>
      <c r="AC66" s="4" t="s">
        <v>2050</v>
      </c>
      <c r="AD66" s="412"/>
      <c r="AE66" s="4"/>
      <c r="AF66" s="388"/>
      <c r="AG66" s="383"/>
      <c r="AH66" s="414" t="str">
        <f t="shared" ca="1" si="22"/>
        <v>MUERTO</v>
      </c>
      <c r="AI66" s="3"/>
      <c r="AJ66" s="3"/>
      <c r="AK66" s="3" t="s">
        <v>157</v>
      </c>
      <c r="AL66" s="3"/>
      <c r="AM66" s="3" t="s">
        <v>157</v>
      </c>
      <c r="AN66" s="3"/>
      <c r="AO66" s="3"/>
      <c r="AP66" s="458"/>
      <c r="AQ66" s="388"/>
      <c r="AR66" s="4"/>
      <c r="AS66" s="459"/>
      <c r="AT66" s="281" t="s">
        <v>5774</v>
      </c>
      <c r="AU66" s="4"/>
      <c r="AV66" s="4" t="e">
        <f>VLOOKUP(I66,[2]RFC!$1:$1048576,2,0)</f>
        <v>#N/A</v>
      </c>
      <c r="AW66" s="6"/>
      <c r="AX66" s="463"/>
      <c r="AY66" s="6"/>
      <c r="AZ66" s="6">
        <f t="shared" si="25"/>
        <v>0</v>
      </c>
      <c r="BA66" s="415" t="str">
        <f t="shared" si="20"/>
        <v>Contrato formalizado en tesorería 11/01/23</v>
      </c>
      <c r="BB66" s="416">
        <v>44936</v>
      </c>
      <c r="BC66" s="255">
        <v>44917</v>
      </c>
      <c r="BD66" s="519"/>
      <c r="BE66" s="519"/>
      <c r="BF66" s="519"/>
      <c r="BG66" s="519"/>
      <c r="BH66" s="519"/>
    </row>
    <row r="67" spans="1:61" ht="90" x14ac:dyDescent="0.25">
      <c r="A67" s="417" t="s">
        <v>5287</v>
      </c>
      <c r="B67" s="1037">
        <v>60</v>
      </c>
      <c r="C67" s="4" t="s">
        <v>149</v>
      </c>
      <c r="D67" s="3" t="s">
        <v>163</v>
      </c>
      <c r="E67" s="18" t="s">
        <v>5294</v>
      </c>
      <c r="F67" s="3" t="s">
        <v>5365</v>
      </c>
      <c r="G67" s="685" t="s">
        <v>546</v>
      </c>
      <c r="H67" s="3" t="s">
        <v>3764</v>
      </c>
      <c r="I67" s="375" t="s">
        <v>1008</v>
      </c>
      <c r="J67" s="17"/>
      <c r="K67" s="17"/>
      <c r="L67" s="17"/>
      <c r="M67" s="375" t="str">
        <f t="shared" si="15"/>
        <v xml:space="preserve">Dhimex Ciudad de México, S.A. de C.V.  </v>
      </c>
      <c r="N67" s="959" t="s">
        <v>198</v>
      </c>
      <c r="O67" s="959" t="s">
        <v>198</v>
      </c>
      <c r="P67" s="959" t="s">
        <v>5441</v>
      </c>
      <c r="Q67" s="959" t="s">
        <v>5775</v>
      </c>
      <c r="R67" s="962">
        <v>2865774.19</v>
      </c>
      <c r="S67" s="383">
        <f t="shared" si="24"/>
        <v>458523.87040000001</v>
      </c>
      <c r="T67" s="384">
        <f t="shared" si="19"/>
        <v>3324298.0603999998</v>
      </c>
      <c r="U67" s="385">
        <v>2452544.52</v>
      </c>
      <c r="V67" s="386">
        <f>(U67*0.16)+(U67)</f>
        <v>2844951.6431999998</v>
      </c>
      <c r="W67" s="528">
        <f t="shared" si="18"/>
        <v>4155372.5703999996</v>
      </c>
      <c r="X67" s="963" t="s">
        <v>156</v>
      </c>
      <c r="Y67" s="387">
        <v>44928</v>
      </c>
      <c r="Z67" s="3" t="s">
        <v>157</v>
      </c>
      <c r="AA67" s="387">
        <v>44927</v>
      </c>
      <c r="AB67" s="387">
        <v>45291</v>
      </c>
      <c r="AC67" s="4" t="s">
        <v>4717</v>
      </c>
      <c r="AD67" s="4" t="s">
        <v>5776</v>
      </c>
      <c r="AE67" s="527" t="s">
        <v>5777</v>
      </c>
      <c r="AF67" s="545">
        <v>45239</v>
      </c>
      <c r="AG67" s="528">
        <v>831074.51</v>
      </c>
      <c r="AH67" s="414" t="str">
        <f t="shared" ca="1" si="22"/>
        <v>MUERTO</v>
      </c>
      <c r="AI67" s="3"/>
      <c r="AJ67" s="4"/>
      <c r="AK67" s="4" t="s">
        <v>157</v>
      </c>
      <c r="AL67" s="388"/>
      <c r="AM67" s="383" t="s">
        <v>157</v>
      </c>
      <c r="AN67" s="3"/>
      <c r="AO67" s="3"/>
      <c r="AP67" s="3"/>
      <c r="AQ67" s="3"/>
      <c r="AR67" s="3"/>
      <c r="AS67" s="3"/>
      <c r="AT67" s="281" t="s">
        <v>5778</v>
      </c>
      <c r="AU67" s="3"/>
      <c r="AV67" s="458"/>
      <c r="AW67" s="388" t="s">
        <v>5779</v>
      </c>
      <c r="AX67" s="412" t="s">
        <v>5780</v>
      </c>
      <c r="AY67" s="413" t="s">
        <v>5781</v>
      </c>
      <c r="AZ67" s="6" t="str">
        <f t="shared" si="25"/>
        <v>22/12/2022   13/11/2023</v>
      </c>
      <c r="BA67" s="415" t="str">
        <f t="shared" si="20"/>
        <v>Contrato formalizado con fianzas 16/01/23     07/12/2023</v>
      </c>
      <c r="BB67" s="416" t="s">
        <v>5782</v>
      </c>
      <c r="BC67" s="255" t="s">
        <v>5783</v>
      </c>
      <c r="BD67" s="519"/>
      <c r="BE67" s="6"/>
      <c r="BF67" s="6"/>
      <c r="BG67" s="3"/>
      <c r="BH67" s="6"/>
      <c r="BI67" s="165"/>
    </row>
    <row r="68" spans="1:61" ht="90" x14ac:dyDescent="0.25">
      <c r="A68" s="417" t="s">
        <v>5292</v>
      </c>
      <c r="B68" s="1037">
        <v>61</v>
      </c>
      <c r="C68" s="4" t="s">
        <v>149</v>
      </c>
      <c r="D68" s="3" t="s">
        <v>173</v>
      </c>
      <c r="E68" s="18" t="s">
        <v>5784</v>
      </c>
      <c r="F68" s="3" t="s">
        <v>173</v>
      </c>
      <c r="G68" s="3"/>
      <c r="H68" s="3" t="s">
        <v>3785</v>
      </c>
      <c r="I68" s="375" t="s">
        <v>4405</v>
      </c>
      <c r="J68" s="17"/>
      <c r="K68" s="17"/>
      <c r="L68" s="17"/>
      <c r="M68" s="375" t="str">
        <f t="shared" si="15"/>
        <v xml:space="preserve">Efinfo, S.A.P.I. de C.V.  </v>
      </c>
      <c r="N68" s="959" t="s">
        <v>179</v>
      </c>
      <c r="O68" s="959" t="s">
        <v>179</v>
      </c>
      <c r="P68" s="959" t="s">
        <v>3510</v>
      </c>
      <c r="Q68" s="959" t="s">
        <v>5785</v>
      </c>
      <c r="R68" s="962">
        <v>828000</v>
      </c>
      <c r="S68" s="383">
        <f t="shared" si="24"/>
        <v>132480</v>
      </c>
      <c r="T68" s="384">
        <f t="shared" si="19"/>
        <v>960480</v>
      </c>
      <c r="U68" s="385" t="s">
        <v>161</v>
      </c>
      <c r="V68" s="385" t="s">
        <v>161</v>
      </c>
      <c r="W68" s="383">
        <f t="shared" si="18"/>
        <v>1200600</v>
      </c>
      <c r="X68" s="963" t="s">
        <v>156</v>
      </c>
      <c r="Y68" s="387">
        <v>44563</v>
      </c>
      <c r="Z68" s="3" t="s">
        <v>157</v>
      </c>
      <c r="AA68" s="387">
        <v>44927</v>
      </c>
      <c r="AB68" s="387">
        <v>45382</v>
      </c>
      <c r="AC68" s="4" t="s">
        <v>5786</v>
      </c>
      <c r="AD68" s="412" t="s">
        <v>5787</v>
      </c>
      <c r="AE68" s="527" t="s">
        <v>5788</v>
      </c>
      <c r="AF68" s="545">
        <v>45258</v>
      </c>
      <c r="AG68" s="528">
        <f>+T68*0.25</f>
        <v>240120</v>
      </c>
      <c r="AH68" s="414" t="str">
        <f t="shared" ca="1" si="22"/>
        <v>MUERTO</v>
      </c>
      <c r="AI68" s="3"/>
      <c r="AJ68" s="3"/>
      <c r="AK68" s="3" t="s">
        <v>157</v>
      </c>
      <c r="AL68" s="3"/>
      <c r="AM68" s="3" t="s">
        <v>157</v>
      </c>
      <c r="AN68" s="3"/>
      <c r="AO68" s="3"/>
      <c r="AP68" s="458"/>
      <c r="AQ68" s="388">
        <v>45258</v>
      </c>
      <c r="AR68" s="4"/>
      <c r="AS68" s="459">
        <v>1035000</v>
      </c>
      <c r="AT68" s="281" t="s">
        <v>5789</v>
      </c>
      <c r="AU68" s="4"/>
      <c r="AV68" s="4" t="s">
        <v>4408</v>
      </c>
      <c r="AW68" s="6" t="s">
        <v>5790</v>
      </c>
      <c r="AX68" s="463" t="s">
        <v>5791</v>
      </c>
      <c r="AY68" s="6" t="s">
        <v>5792</v>
      </c>
      <c r="AZ68" s="6" t="str">
        <f t="shared" si="25"/>
        <v>22/12/2022      11/12/2023</v>
      </c>
      <c r="BA68" s="415" t="str">
        <f t="shared" si="20"/>
        <v>Contrato formalizado con FC 20/01     26/12/2023</v>
      </c>
      <c r="BB68" s="416" t="s">
        <v>5793</v>
      </c>
      <c r="BC68" s="255" t="s">
        <v>5794</v>
      </c>
      <c r="BD68" s="519"/>
      <c r="BE68" s="519"/>
      <c r="BF68" s="519"/>
      <c r="BG68" s="519"/>
      <c r="BH68" s="519"/>
    </row>
    <row r="69" spans="1:61" ht="105" x14ac:dyDescent="0.25">
      <c r="A69" s="417" t="s">
        <v>5299</v>
      </c>
      <c r="B69" s="252">
        <v>62</v>
      </c>
      <c r="C69" s="4" t="s">
        <v>149</v>
      </c>
      <c r="D69" s="3" t="s">
        <v>163</v>
      </c>
      <c r="E69" s="18" t="s">
        <v>5294</v>
      </c>
      <c r="F69" s="3" t="s">
        <v>5365</v>
      </c>
      <c r="G69" s="685" t="s">
        <v>546</v>
      </c>
      <c r="H69" s="3" t="s">
        <v>3764</v>
      </c>
      <c r="I69" s="375" t="s">
        <v>1008</v>
      </c>
      <c r="J69" s="17"/>
      <c r="K69" s="17"/>
      <c r="L69" s="17"/>
      <c r="M69" s="375" t="str">
        <f t="shared" si="15"/>
        <v xml:space="preserve">Dhimex Ciudad de México, S.A. de C.V.  </v>
      </c>
      <c r="N69" s="959" t="s">
        <v>198</v>
      </c>
      <c r="O69" s="959" t="s">
        <v>198</v>
      </c>
      <c r="P69" s="959" t="s">
        <v>5441</v>
      </c>
      <c r="Q69" s="959" t="s">
        <v>5795</v>
      </c>
      <c r="R69" s="962">
        <v>1731377.58</v>
      </c>
      <c r="S69" s="383">
        <f t="shared" si="24"/>
        <v>277020.41279999999</v>
      </c>
      <c r="T69" s="384">
        <f t="shared" si="19"/>
        <v>2008397.9928000001</v>
      </c>
      <c r="U69" s="385">
        <v>1313038.8799999999</v>
      </c>
      <c r="V69" s="386">
        <f>(U69*0.16)+(U69)</f>
        <v>1523125.1007999999</v>
      </c>
      <c r="W69" s="528">
        <f t="shared" si="18"/>
        <v>2510497.4898000001</v>
      </c>
      <c r="X69" s="963" t="s">
        <v>156</v>
      </c>
      <c r="Y69" s="387">
        <v>44928</v>
      </c>
      <c r="Z69" s="3" t="s">
        <v>157</v>
      </c>
      <c r="AA69" s="387">
        <v>44927</v>
      </c>
      <c r="AB69" s="387">
        <v>45291</v>
      </c>
      <c r="AC69" s="4" t="s">
        <v>4717</v>
      </c>
      <c r="AD69" s="4" t="s">
        <v>5796</v>
      </c>
      <c r="AE69" s="527" t="s">
        <v>5797</v>
      </c>
      <c r="AF69" s="545">
        <v>45240</v>
      </c>
      <c r="AG69" s="528">
        <v>502099.49699999997</v>
      </c>
      <c r="AH69" s="414" t="str">
        <f t="shared" ca="1" si="22"/>
        <v>MUERTO</v>
      </c>
      <c r="AI69" s="3"/>
      <c r="AJ69" s="4"/>
      <c r="AK69" s="4" t="s">
        <v>157</v>
      </c>
      <c r="AL69" s="388"/>
      <c r="AM69" s="383" t="s">
        <v>157</v>
      </c>
      <c r="AN69" s="3"/>
      <c r="AO69" s="3"/>
      <c r="AP69" s="3"/>
      <c r="AQ69" s="3"/>
      <c r="AR69" s="3"/>
      <c r="AS69" s="3"/>
      <c r="AT69" s="281" t="s">
        <v>5798</v>
      </c>
      <c r="AU69" s="3"/>
      <c r="AV69" s="458"/>
      <c r="AW69" s="388" t="s">
        <v>5799</v>
      </c>
      <c r="AX69" s="412" t="s">
        <v>5800</v>
      </c>
      <c r="AY69" s="413" t="s">
        <v>5801</v>
      </c>
      <c r="AZ69" s="6" t="str">
        <f t="shared" si="25"/>
        <v>22/12/2022
13/11/2023</v>
      </c>
      <c r="BA69" s="415" t="str">
        <f t="shared" si="20"/>
        <v xml:space="preserve">Contrato formalizado con fianzas 16/01/23     07/12/2023       </v>
      </c>
      <c r="BB69" s="416" t="s">
        <v>5802</v>
      </c>
      <c r="BC69" s="255" t="s">
        <v>5783</v>
      </c>
      <c r="BD69" s="544"/>
      <c r="BE69" s="6"/>
      <c r="BF69" s="6"/>
      <c r="BG69" s="3"/>
      <c r="BH69" s="6"/>
      <c r="BI69" s="165"/>
    </row>
    <row r="70" spans="1:61" ht="150" x14ac:dyDescent="0.25">
      <c r="A70" s="417" t="s">
        <v>5307</v>
      </c>
      <c r="B70" s="1037">
        <v>63</v>
      </c>
      <c r="C70" s="4" t="s">
        <v>149</v>
      </c>
      <c r="D70" s="3" t="s">
        <v>163</v>
      </c>
      <c r="E70" s="18" t="s">
        <v>5803</v>
      </c>
      <c r="F70" s="3" t="s">
        <v>5365</v>
      </c>
      <c r="G70" s="685" t="s">
        <v>546</v>
      </c>
      <c r="H70" s="3" t="s">
        <v>3764</v>
      </c>
      <c r="I70" s="375" t="s">
        <v>1008</v>
      </c>
      <c r="J70" s="17"/>
      <c r="K70" s="17"/>
      <c r="L70" s="17"/>
      <c r="M70" s="375" t="str">
        <f t="shared" si="15"/>
        <v xml:space="preserve">Dhimex Ciudad de México, S.A. de C.V.  </v>
      </c>
      <c r="N70" s="959" t="s">
        <v>5099</v>
      </c>
      <c r="O70" s="959" t="s">
        <v>5099</v>
      </c>
      <c r="P70" s="959" t="s">
        <v>5441</v>
      </c>
      <c r="Q70" s="959" t="s">
        <v>5804</v>
      </c>
      <c r="R70" s="962">
        <v>3205514.4</v>
      </c>
      <c r="S70" s="383">
        <f t="shared" si="24"/>
        <v>512882.304</v>
      </c>
      <c r="T70" s="384">
        <f t="shared" si="19"/>
        <v>3718396.7039999999</v>
      </c>
      <c r="U70" s="385" t="s">
        <v>161</v>
      </c>
      <c r="V70" s="385" t="s">
        <v>161</v>
      </c>
      <c r="W70" s="383">
        <f t="shared" si="18"/>
        <v>4647995.8839999996</v>
      </c>
      <c r="X70" s="963" t="s">
        <v>156</v>
      </c>
      <c r="Y70" s="387">
        <v>44928</v>
      </c>
      <c r="Z70" s="3" t="s">
        <v>157</v>
      </c>
      <c r="AA70" s="387">
        <v>44927</v>
      </c>
      <c r="AB70" s="387">
        <v>45382</v>
      </c>
      <c r="AC70" s="4" t="s">
        <v>4717</v>
      </c>
      <c r="AD70" s="412" t="s">
        <v>5805</v>
      </c>
      <c r="AE70" s="527" t="s">
        <v>5806</v>
      </c>
      <c r="AF70" s="521" t="s">
        <v>5807</v>
      </c>
      <c r="AG70" s="528">
        <v>929599.18</v>
      </c>
      <c r="AH70" s="414" t="str">
        <f t="shared" ca="1" si="22"/>
        <v>MUERTO</v>
      </c>
      <c r="AI70" s="3"/>
      <c r="AJ70" s="3"/>
      <c r="AK70" s="3" t="s">
        <v>157</v>
      </c>
      <c r="AL70" s="3"/>
      <c r="AM70" s="3" t="s">
        <v>157</v>
      </c>
      <c r="AN70" s="3"/>
      <c r="AO70" s="3"/>
      <c r="AP70" s="458"/>
      <c r="AQ70" s="388"/>
      <c r="AR70" s="4"/>
      <c r="AS70" s="459"/>
      <c r="AT70" s="281" t="s">
        <v>5808</v>
      </c>
      <c r="AU70" s="4"/>
      <c r="AV70" s="4" t="str">
        <f>VLOOKUP(I70,[2]RFC!$1:$1048576,2,0)</f>
        <v>DCM060704I30</v>
      </c>
      <c r="AW70" s="6" t="s">
        <v>5809</v>
      </c>
      <c r="AX70" s="463" t="s">
        <v>5810</v>
      </c>
      <c r="AY70" s="6" t="s">
        <v>5811</v>
      </c>
      <c r="AZ70" s="6" t="str">
        <f t="shared" si="25"/>
        <v>26/12/2022
17/03/2023</v>
      </c>
      <c r="BA70" s="415" t="str">
        <f t="shared" si="20"/>
        <v>Contrato formalizado con fianzas 16/01/23
Modificatorio formalizado 27/03/23</v>
      </c>
      <c r="BB70" s="416" t="s">
        <v>5812</v>
      </c>
      <c r="BC70" s="255" t="s">
        <v>5813</v>
      </c>
      <c r="BD70" s="519"/>
      <c r="BE70" s="519"/>
      <c r="BF70" s="519"/>
      <c r="BG70" s="519"/>
      <c r="BH70" s="519"/>
    </row>
    <row r="71" spans="1:61" ht="360" x14ac:dyDescent="0.25">
      <c r="A71" s="417" t="s">
        <v>5313</v>
      </c>
      <c r="B71" s="1037">
        <v>64</v>
      </c>
      <c r="C71" s="4" t="s">
        <v>149</v>
      </c>
      <c r="D71" s="3" t="s">
        <v>163</v>
      </c>
      <c r="E71" s="18" t="s">
        <v>5814</v>
      </c>
      <c r="F71" s="3" t="s">
        <v>163</v>
      </c>
      <c r="G71" s="684" t="s">
        <v>163</v>
      </c>
      <c r="H71" s="3" t="s">
        <v>5815</v>
      </c>
      <c r="I71" s="275" t="s">
        <v>5816</v>
      </c>
      <c r="J71" s="17"/>
      <c r="K71" s="17"/>
      <c r="L71" s="17"/>
      <c r="M71" s="375" t="str">
        <f t="shared" si="15"/>
        <v xml:space="preserve">Aquí se está mejor, S.A. de C.V  </v>
      </c>
      <c r="N71" s="959" t="s">
        <v>190</v>
      </c>
      <c r="O71" s="959" t="s">
        <v>5817</v>
      </c>
      <c r="P71" s="959" t="s">
        <v>191</v>
      </c>
      <c r="Q71" s="959" t="s">
        <v>5818</v>
      </c>
      <c r="R71" s="962">
        <v>5800000</v>
      </c>
      <c r="S71" s="383">
        <f t="shared" si="24"/>
        <v>928000</v>
      </c>
      <c r="T71" s="384">
        <f t="shared" si="19"/>
        <v>6728000</v>
      </c>
      <c r="U71" s="385">
        <v>2600000</v>
      </c>
      <c r="V71" s="386">
        <f>(U71*0.16)+(U71)</f>
        <v>3016000</v>
      </c>
      <c r="W71" s="383">
        <f t="shared" si="18"/>
        <v>8410000</v>
      </c>
      <c r="X71" s="963" t="s">
        <v>156</v>
      </c>
      <c r="Y71" s="387">
        <v>44563</v>
      </c>
      <c r="Z71" s="3" t="s">
        <v>157</v>
      </c>
      <c r="AA71" s="387">
        <v>44927</v>
      </c>
      <c r="AB71" s="387">
        <v>45230</v>
      </c>
      <c r="AC71" s="4" t="s">
        <v>4468</v>
      </c>
      <c r="AD71" s="412" t="s">
        <v>5819</v>
      </c>
      <c r="AE71" s="527" t="s">
        <v>5820</v>
      </c>
      <c r="AF71" s="521" t="s">
        <v>5821</v>
      </c>
      <c r="AG71" s="528">
        <v>1682000</v>
      </c>
      <c r="AH71" s="414" t="str">
        <f t="shared" ca="1" si="22"/>
        <v>MUERTO</v>
      </c>
      <c r="AI71" s="3"/>
      <c r="AJ71" s="3"/>
      <c r="AK71" s="3" t="s">
        <v>157</v>
      </c>
      <c r="AL71" s="3" t="s">
        <v>5398</v>
      </c>
      <c r="AM71" s="3" t="s">
        <v>157</v>
      </c>
      <c r="AN71" s="3"/>
      <c r="AO71" s="3"/>
      <c r="AP71" s="458"/>
      <c r="AQ71" s="388"/>
      <c r="AR71" s="4"/>
      <c r="AS71" s="459"/>
      <c r="AT71" s="281" t="s">
        <v>5822</v>
      </c>
      <c r="AU71" s="4"/>
      <c r="AV71" s="4" t="e">
        <f>VLOOKUP(I71,[2]RFC!$1:$1048576,2,0)</f>
        <v>#N/A</v>
      </c>
      <c r="AW71" s="6" t="s">
        <v>5823</v>
      </c>
      <c r="AX71" s="463" t="s">
        <v>5824</v>
      </c>
      <c r="AY71" s="6" t="s">
        <v>5825</v>
      </c>
      <c r="AZ71" s="6" t="str">
        <f t="shared" si="25"/>
        <v>02/01/2023
17/08/2023</v>
      </c>
      <c r="BA71" s="415" t="str">
        <f t="shared" si="20"/>
        <v>Contrato formalizado con garantías 26/01
Modific. Formalizado con endosos 21/09
26/10 2do modif formalizado</v>
      </c>
      <c r="BB71" s="416" t="s">
        <v>5826</v>
      </c>
      <c r="BC71" s="255" t="s">
        <v>5827</v>
      </c>
      <c r="BD71" s="519"/>
      <c r="BE71" s="519"/>
      <c r="BF71" s="519"/>
      <c r="BG71" s="519"/>
      <c r="BH71" s="519"/>
    </row>
    <row r="72" spans="1:61" ht="135" x14ac:dyDescent="0.25">
      <c r="A72" s="417" t="s">
        <v>5828</v>
      </c>
      <c r="B72" s="1037">
        <v>65</v>
      </c>
      <c r="C72" s="4" t="s">
        <v>149</v>
      </c>
      <c r="D72" s="3" t="s">
        <v>163</v>
      </c>
      <c r="E72" s="18" t="s">
        <v>5829</v>
      </c>
      <c r="F72" s="3" t="s">
        <v>163</v>
      </c>
      <c r="G72" s="684" t="s">
        <v>163</v>
      </c>
      <c r="H72" s="3" t="s">
        <v>2064</v>
      </c>
      <c r="I72" s="275" t="s">
        <v>903</v>
      </c>
      <c r="J72" s="17"/>
      <c r="K72" s="17"/>
      <c r="L72" s="17"/>
      <c r="M72" s="375" t="str">
        <f t="shared" ref="M72:M103" si="26">I72&amp;J72&amp;" "&amp;K72&amp;" "&amp;L72</f>
        <v xml:space="preserve">Escore Alimentos, S.A. de C.V.  </v>
      </c>
      <c r="N72" s="959" t="s">
        <v>190</v>
      </c>
      <c r="O72" s="959" t="s">
        <v>5817</v>
      </c>
      <c r="P72" s="959" t="s">
        <v>191</v>
      </c>
      <c r="Q72" s="959" t="s">
        <v>5830</v>
      </c>
      <c r="R72" s="962">
        <v>6500000</v>
      </c>
      <c r="S72" s="383">
        <f t="shared" si="24"/>
        <v>1040000</v>
      </c>
      <c r="T72" s="384">
        <f t="shared" si="19"/>
        <v>7540000</v>
      </c>
      <c r="U72" s="385">
        <v>4000000</v>
      </c>
      <c r="V72" s="386">
        <f>(U72*0.16)+(U72)</f>
        <v>4640000</v>
      </c>
      <c r="W72" s="383">
        <f t="shared" si="18"/>
        <v>8339999.9972000001</v>
      </c>
      <c r="X72" s="963" t="s">
        <v>156</v>
      </c>
      <c r="Y72" s="387">
        <v>44928</v>
      </c>
      <c r="Z72" s="3" t="s">
        <v>157</v>
      </c>
      <c r="AA72" s="387">
        <v>44927</v>
      </c>
      <c r="AB72" s="387">
        <v>45291</v>
      </c>
      <c r="AC72" s="4" t="s">
        <v>4353</v>
      </c>
      <c r="AD72" s="546" t="s">
        <v>5831</v>
      </c>
      <c r="AE72" s="547" t="s">
        <v>5832</v>
      </c>
      <c r="AF72" s="548">
        <v>45280</v>
      </c>
      <c r="AG72" s="543">
        <v>799999.9972000001</v>
      </c>
      <c r="AH72" s="414" t="str">
        <f t="shared" ca="1" si="22"/>
        <v>MUERTO</v>
      </c>
      <c r="AI72" s="3"/>
      <c r="AJ72" s="3"/>
      <c r="AK72" s="3" t="s">
        <v>157</v>
      </c>
      <c r="AL72" s="3" t="s">
        <v>5398</v>
      </c>
      <c r="AM72" s="3" t="s">
        <v>157</v>
      </c>
      <c r="AN72" s="3"/>
      <c r="AO72" s="3"/>
      <c r="AP72" s="458"/>
      <c r="AQ72" s="388"/>
      <c r="AR72" s="4"/>
      <c r="AS72" s="459"/>
      <c r="AT72" s="281" t="s">
        <v>5833</v>
      </c>
      <c r="AU72" s="4"/>
      <c r="AV72" s="4" t="e">
        <f>VLOOKUP(I72,[2]RFC!$1:$1048576,2,0)</f>
        <v>#N/A</v>
      </c>
      <c r="AW72" s="6" t="s">
        <v>5834</v>
      </c>
      <c r="AX72" s="463" t="s">
        <v>5835</v>
      </c>
      <c r="AY72" s="6" t="s">
        <v>5836</v>
      </c>
      <c r="AZ72" s="6" t="str">
        <f t="shared" si="25"/>
        <v>15/01/2023
31/10/2023</v>
      </c>
      <c r="BA72" s="415" t="str">
        <f t="shared" si="20"/>
        <v>Contrato formalizado con garantías 30/1
Modificatorio formalizado 06/11</v>
      </c>
      <c r="BB72" s="416" t="s">
        <v>5837</v>
      </c>
      <c r="BC72" s="255" t="s">
        <v>5838</v>
      </c>
      <c r="BD72" s="519"/>
      <c r="BE72" s="519"/>
      <c r="BF72" s="519"/>
      <c r="BG72" s="519"/>
      <c r="BH72" s="519"/>
    </row>
    <row r="73" spans="1:61" ht="90" x14ac:dyDescent="0.25">
      <c r="A73" s="417" t="s">
        <v>5326</v>
      </c>
      <c r="B73" s="252">
        <v>66</v>
      </c>
      <c r="C73" s="4" t="s">
        <v>149</v>
      </c>
      <c r="D73" s="3" t="s">
        <v>163</v>
      </c>
      <c r="E73" s="18" t="s">
        <v>5839</v>
      </c>
      <c r="F73" s="3" t="s">
        <v>163</v>
      </c>
      <c r="G73" s="685" t="s">
        <v>546</v>
      </c>
      <c r="H73" s="3" t="s">
        <v>5840</v>
      </c>
      <c r="I73" s="275" t="s">
        <v>5841</v>
      </c>
      <c r="J73" s="17"/>
      <c r="K73" s="17"/>
      <c r="L73" s="17"/>
      <c r="M73" s="375" t="str">
        <f t="shared" si="26"/>
        <v xml:space="preserve">Guzdan Services, S.A. de C.V.  </v>
      </c>
      <c r="N73" s="959" t="s">
        <v>656</v>
      </c>
      <c r="O73" s="959" t="s">
        <v>209</v>
      </c>
      <c r="P73" s="959" t="s">
        <v>5842</v>
      </c>
      <c r="Q73" s="959" t="s">
        <v>5843</v>
      </c>
      <c r="R73" s="962">
        <v>10343787.800000001</v>
      </c>
      <c r="S73" s="383">
        <f t="shared" si="24"/>
        <v>1655006.0480000002</v>
      </c>
      <c r="T73" s="384">
        <f t="shared" si="19"/>
        <v>11998793.848000001</v>
      </c>
      <c r="U73" s="385" t="s">
        <v>161</v>
      </c>
      <c r="V73" s="385" t="s">
        <v>161</v>
      </c>
      <c r="W73" s="383">
        <f t="shared" si="18"/>
        <v>11998793.848000001</v>
      </c>
      <c r="X73" s="963" t="s">
        <v>156</v>
      </c>
      <c r="Y73" s="387">
        <v>44928</v>
      </c>
      <c r="Z73" s="3" t="s">
        <v>157</v>
      </c>
      <c r="AA73" s="387">
        <v>44927</v>
      </c>
      <c r="AB73" s="387">
        <v>45291</v>
      </c>
      <c r="AC73" s="4" t="s">
        <v>3787</v>
      </c>
      <c r="AD73" s="417" t="s">
        <v>5161</v>
      </c>
      <c r="AE73" s="417" t="s">
        <v>5162</v>
      </c>
      <c r="AF73" s="524">
        <v>45265</v>
      </c>
      <c r="AG73" s="525">
        <v>0</v>
      </c>
      <c r="AH73" s="414" t="str">
        <f t="shared" ca="1" si="22"/>
        <v>MUERTO</v>
      </c>
      <c r="AI73" s="3"/>
      <c r="AJ73" s="3"/>
      <c r="AK73" s="3" t="s">
        <v>157</v>
      </c>
      <c r="AL73" s="3"/>
      <c r="AM73" s="3" t="s">
        <v>157</v>
      </c>
      <c r="AN73" s="3"/>
      <c r="AO73" s="3"/>
      <c r="AP73" s="458"/>
      <c r="AQ73" s="388"/>
      <c r="AR73" s="4"/>
      <c r="AS73" s="459"/>
      <c r="AT73" s="281" t="s">
        <v>5844</v>
      </c>
      <c r="AU73" s="4"/>
      <c r="AV73" s="4" t="e">
        <f>VLOOKUP(I73,[2]RFC!$1:$1048576,2,0)</f>
        <v>#N/A</v>
      </c>
      <c r="AW73" s="6" t="s">
        <v>5845</v>
      </c>
      <c r="AX73" s="463">
        <v>44922</v>
      </c>
      <c r="AY73" s="6">
        <v>44928</v>
      </c>
      <c r="AZ73" s="6">
        <f t="shared" si="25"/>
        <v>44928</v>
      </c>
      <c r="BA73" s="415" t="str">
        <f t="shared" si="20"/>
        <v>Contrato formalizado con garantías 09/02/23             24/01/2024</v>
      </c>
      <c r="BB73" s="416" t="s">
        <v>5846</v>
      </c>
      <c r="BC73" s="255" t="s">
        <v>5847</v>
      </c>
      <c r="BD73" s="519"/>
      <c r="BE73" s="519"/>
      <c r="BF73" s="519"/>
      <c r="BG73" s="519"/>
      <c r="BH73" s="519"/>
    </row>
    <row r="74" spans="1:61" ht="409.5" x14ac:dyDescent="0.25">
      <c r="A74" s="417" t="s">
        <v>5332</v>
      </c>
      <c r="B74" s="1037">
        <v>67</v>
      </c>
      <c r="C74" s="4" t="s">
        <v>149</v>
      </c>
      <c r="D74" s="3" t="s">
        <v>173</v>
      </c>
      <c r="E74" s="3" t="s">
        <v>5848</v>
      </c>
      <c r="F74" s="3" t="s">
        <v>173</v>
      </c>
      <c r="G74" s="3"/>
      <c r="H74" s="3" t="s">
        <v>3785</v>
      </c>
      <c r="I74" s="275" t="s">
        <v>1738</v>
      </c>
      <c r="J74" s="17"/>
      <c r="K74" s="17"/>
      <c r="L74" s="17"/>
      <c r="M74" s="375" t="str">
        <f t="shared" si="26"/>
        <v xml:space="preserve">Equipos y Climas de México, S.A. de C.V.  </v>
      </c>
      <c r="N74" s="959" t="s">
        <v>198</v>
      </c>
      <c r="O74" s="959" t="s">
        <v>198</v>
      </c>
      <c r="P74" s="959" t="s">
        <v>5849</v>
      </c>
      <c r="Q74" s="959" t="s">
        <v>5850</v>
      </c>
      <c r="R74" s="962">
        <v>10784197.41</v>
      </c>
      <c r="S74" s="383">
        <f t="shared" si="24"/>
        <v>1725471.5856000001</v>
      </c>
      <c r="T74" s="384">
        <f t="shared" si="19"/>
        <v>12509668.9956</v>
      </c>
      <c r="U74" s="385">
        <v>6784197.4100000001</v>
      </c>
      <c r="V74" s="386">
        <f>(U74*0.16)+(U74)</f>
        <v>7869668.9956</v>
      </c>
      <c r="W74" s="383">
        <f t="shared" si="18"/>
        <v>14279713.00115959</v>
      </c>
      <c r="X74" s="963" t="s">
        <v>156</v>
      </c>
      <c r="Y74" s="387">
        <v>44928</v>
      </c>
      <c r="Z74" s="3" t="s">
        <v>157</v>
      </c>
      <c r="AA74" s="387">
        <v>44927</v>
      </c>
      <c r="AB74" s="387">
        <v>45351</v>
      </c>
      <c r="AC74" s="4" t="s">
        <v>3787</v>
      </c>
      <c r="AD74" s="412" t="s">
        <v>5851</v>
      </c>
      <c r="AE74" s="527" t="s">
        <v>5852</v>
      </c>
      <c r="AF74" s="521" t="s">
        <v>5853</v>
      </c>
      <c r="AG74" s="528">
        <v>1770044.0055595899</v>
      </c>
      <c r="AH74" s="414" t="str">
        <f t="shared" ca="1" si="22"/>
        <v>MUERTO</v>
      </c>
      <c r="AI74" s="3"/>
      <c r="AJ74" s="3"/>
      <c r="AK74" s="3" t="s">
        <v>157</v>
      </c>
      <c r="AL74" s="3"/>
      <c r="AM74" s="3" t="s">
        <v>157</v>
      </c>
      <c r="AN74" s="3"/>
      <c r="AO74" s="3"/>
      <c r="AP74" s="458"/>
      <c r="AQ74" s="388"/>
      <c r="AR74" s="4"/>
      <c r="AS74" s="459"/>
      <c r="AT74" s="281" t="s">
        <v>5854</v>
      </c>
      <c r="AU74" s="4"/>
      <c r="AV74" s="4" t="str">
        <f>VLOOKUP(I74,[2]RFC!$1:$1048576,2,0)</f>
        <v>ECM840330286</v>
      </c>
      <c r="AW74" s="6" t="s">
        <v>5855</v>
      </c>
      <c r="AX74" s="6" t="s">
        <v>5856</v>
      </c>
      <c r="AY74" s="6" t="s">
        <v>5857</v>
      </c>
      <c r="AZ74" s="6" t="str">
        <f t="shared" si="25"/>
        <v>02/01/2023
20/06/2023                        28/12/2023</v>
      </c>
      <c r="BA74" s="415" t="str">
        <f t="shared" si="20"/>
        <v>Contrato formalizado con garantías 17/01/23
Modificatorio formalizado 27/06</v>
      </c>
      <c r="BB74" s="416" t="s">
        <v>5858</v>
      </c>
      <c r="BC74" s="255" t="s">
        <v>5859</v>
      </c>
      <c r="BD74" s="519"/>
      <c r="BE74" s="519"/>
      <c r="BF74" s="519"/>
      <c r="BG74" s="519"/>
      <c r="BH74" s="519"/>
    </row>
    <row r="75" spans="1:61" ht="150" x14ac:dyDescent="0.25">
      <c r="A75" s="417" t="s">
        <v>5860</v>
      </c>
      <c r="B75" s="1037">
        <v>68</v>
      </c>
      <c r="C75" s="4" t="s">
        <v>149</v>
      </c>
      <c r="D75" s="3" t="s">
        <v>163</v>
      </c>
      <c r="E75" s="18" t="s">
        <v>5861</v>
      </c>
      <c r="F75" s="3" t="s">
        <v>163</v>
      </c>
      <c r="G75" s="684" t="s">
        <v>163</v>
      </c>
      <c r="H75" s="3" t="s">
        <v>3935</v>
      </c>
      <c r="I75" s="275" t="s">
        <v>1305</v>
      </c>
      <c r="J75" s="17"/>
      <c r="K75" s="17"/>
      <c r="L75" s="17"/>
      <c r="M75" s="375" t="str">
        <f t="shared" si="26"/>
        <v xml:space="preserve">Fonatur Infraestructura, S.A. de C.V.  </v>
      </c>
      <c r="N75" s="959" t="s">
        <v>198</v>
      </c>
      <c r="O75" s="959" t="s">
        <v>198</v>
      </c>
      <c r="P75" s="959" t="s">
        <v>5541</v>
      </c>
      <c r="Q75" s="959" t="s">
        <v>1311</v>
      </c>
      <c r="R75" s="962">
        <v>43103448.299999997</v>
      </c>
      <c r="S75" s="383">
        <f t="shared" si="24"/>
        <v>6896551.7280000001</v>
      </c>
      <c r="T75" s="384">
        <f t="shared" si="19"/>
        <v>50000000.027999997</v>
      </c>
      <c r="U75" s="385">
        <v>25778698.120000001</v>
      </c>
      <c r="V75" s="386">
        <f>(U75*0.16)+(U75)</f>
        <v>29903289.819200002</v>
      </c>
      <c r="W75" s="383">
        <f t="shared" si="18"/>
        <v>54741379.340999998</v>
      </c>
      <c r="X75" s="963" t="s">
        <v>156</v>
      </c>
      <c r="Y75" s="387">
        <v>44928</v>
      </c>
      <c r="Z75" s="3" t="s">
        <v>157</v>
      </c>
      <c r="AA75" s="387">
        <v>44927</v>
      </c>
      <c r="AB75" s="387">
        <v>45291</v>
      </c>
      <c r="AC75" s="4" t="s">
        <v>5862</v>
      </c>
      <c r="AD75" s="526" t="s">
        <v>5863</v>
      </c>
      <c r="AE75" s="526" t="s">
        <v>5864</v>
      </c>
      <c r="AF75" s="524" t="s">
        <v>5865</v>
      </c>
      <c r="AG75" s="525">
        <f>+R75*0.11</f>
        <v>4741379.3130000001</v>
      </c>
      <c r="AH75" s="414" t="str">
        <f t="shared" ca="1" si="22"/>
        <v>MUERTO</v>
      </c>
      <c r="AI75" s="3"/>
      <c r="AJ75" s="3"/>
      <c r="AK75" s="3" t="s">
        <v>157</v>
      </c>
      <c r="AL75" s="3"/>
      <c r="AM75" s="3" t="s">
        <v>157</v>
      </c>
      <c r="AN75" s="3"/>
      <c r="AO75" s="3"/>
      <c r="AP75" s="458"/>
      <c r="AQ75" s="388">
        <v>45259</v>
      </c>
      <c r="AR75" s="4"/>
      <c r="AS75" s="459"/>
      <c r="AT75" s="281" t="s">
        <v>5866</v>
      </c>
      <c r="AU75" s="4"/>
      <c r="AV75" s="4" t="e">
        <f>VLOOKUP(I75,[2]RFC!$1:$1048576,2,0)</f>
        <v>#N/A</v>
      </c>
      <c r="AW75" s="6">
        <v>45289</v>
      </c>
      <c r="AX75" s="6">
        <v>45289</v>
      </c>
      <c r="AY75" s="6" t="s">
        <v>5867</v>
      </c>
      <c r="AZ75" s="6" t="str">
        <f t="shared" si="25"/>
        <v>02/01/2023   13/01/2023</v>
      </c>
      <c r="BA75" s="415" t="str">
        <f t="shared" si="20"/>
        <v>Contrato formalizado 17/01/23     13/12/2023</v>
      </c>
      <c r="BB75" s="416">
        <v>44947</v>
      </c>
      <c r="BC75" s="255">
        <v>44939</v>
      </c>
      <c r="BD75" s="519"/>
      <c r="BE75" s="519"/>
      <c r="BF75" s="519"/>
      <c r="BG75" s="519"/>
      <c r="BH75" s="519"/>
    </row>
    <row r="76" spans="1:61" ht="180" x14ac:dyDescent="0.25">
      <c r="A76" s="417" t="s">
        <v>5868</v>
      </c>
      <c r="B76" s="1037">
        <v>69</v>
      </c>
      <c r="C76" s="4" t="s">
        <v>149</v>
      </c>
      <c r="D76" s="3" t="s">
        <v>163</v>
      </c>
      <c r="E76" s="18" t="s">
        <v>5869</v>
      </c>
      <c r="F76" s="3" t="s">
        <v>163</v>
      </c>
      <c r="G76" s="684" t="s">
        <v>163</v>
      </c>
      <c r="H76" s="3" t="s">
        <v>3935</v>
      </c>
      <c r="I76" s="275" t="s">
        <v>1305</v>
      </c>
      <c r="J76" s="17"/>
      <c r="K76" s="17"/>
      <c r="L76" s="17"/>
      <c r="M76" s="375" t="str">
        <f t="shared" si="26"/>
        <v xml:space="preserve">Fonatur Infraestructura, S.A. de C.V.  </v>
      </c>
      <c r="N76" s="959" t="s">
        <v>198</v>
      </c>
      <c r="O76" s="959" t="s">
        <v>198</v>
      </c>
      <c r="P76" s="959" t="s">
        <v>5870</v>
      </c>
      <c r="Q76" s="959" t="s">
        <v>5871</v>
      </c>
      <c r="R76" s="962">
        <v>75000000</v>
      </c>
      <c r="S76" s="383">
        <f t="shared" si="24"/>
        <v>12000000</v>
      </c>
      <c r="T76" s="384">
        <f t="shared" si="19"/>
        <v>87000000</v>
      </c>
      <c r="U76" s="385">
        <v>40000000</v>
      </c>
      <c r="V76" s="386">
        <f>(U76*0.16)+(U76)</f>
        <v>46400000</v>
      </c>
      <c r="W76" s="383">
        <f t="shared" si="18"/>
        <v>100920000</v>
      </c>
      <c r="X76" s="963" t="s">
        <v>156</v>
      </c>
      <c r="Y76" s="387">
        <v>44928</v>
      </c>
      <c r="Z76" s="3" t="s">
        <v>157</v>
      </c>
      <c r="AA76" s="387">
        <v>44927</v>
      </c>
      <c r="AB76" s="387">
        <v>45291</v>
      </c>
      <c r="AC76" s="4" t="s">
        <v>5862</v>
      </c>
      <c r="AD76" s="526" t="s">
        <v>5872</v>
      </c>
      <c r="AE76" s="417" t="s">
        <v>5873</v>
      </c>
      <c r="AF76" s="524" t="s">
        <v>5874</v>
      </c>
      <c r="AG76" s="525">
        <v>13920000</v>
      </c>
      <c r="AH76" s="414" t="str">
        <f t="shared" ca="1" si="22"/>
        <v>MUERTO</v>
      </c>
      <c r="AI76" s="3"/>
      <c r="AJ76" s="3"/>
      <c r="AK76" s="3" t="s">
        <v>157</v>
      </c>
      <c r="AL76" s="3" t="s">
        <v>193</v>
      </c>
      <c r="AM76" s="3" t="s">
        <v>157</v>
      </c>
      <c r="AN76" s="3"/>
      <c r="AO76" s="3"/>
      <c r="AP76" s="458"/>
      <c r="AQ76" s="388">
        <v>45259</v>
      </c>
      <c r="AR76" s="4"/>
      <c r="AS76" s="459"/>
      <c r="AT76" s="281" t="s">
        <v>5875</v>
      </c>
      <c r="AU76" s="4"/>
      <c r="AV76" s="4" t="e">
        <f>VLOOKUP(I76,[2]RFC!$1:$1048576,2,0)</f>
        <v>#N/A</v>
      </c>
      <c r="AW76" s="6">
        <v>45289</v>
      </c>
      <c r="AX76" s="6">
        <v>45289</v>
      </c>
      <c r="AY76" s="6" t="s">
        <v>5876</v>
      </c>
      <c r="AZ76" s="6" t="s">
        <v>5877</v>
      </c>
      <c r="BA76" s="415" t="str">
        <f t="shared" si="20"/>
        <v>Contrato formalizado 17/01/23
Modif formalizado 18/01/23      2 Mod formalizado 13/12/2023</v>
      </c>
      <c r="BB76" s="416" t="s">
        <v>5878</v>
      </c>
      <c r="BC76" s="255" t="s">
        <v>5879</v>
      </c>
      <c r="BD76" s="519"/>
      <c r="BE76" s="519"/>
      <c r="BF76" s="519"/>
      <c r="BG76" s="519"/>
      <c r="BH76" s="519"/>
    </row>
    <row r="77" spans="1:61" ht="180" x14ac:dyDescent="0.25">
      <c r="A77" s="417" t="s">
        <v>5338</v>
      </c>
      <c r="B77" s="252">
        <v>70</v>
      </c>
      <c r="C77" s="4" t="s">
        <v>149</v>
      </c>
      <c r="D77" s="3" t="s">
        <v>173</v>
      </c>
      <c r="E77" s="3" t="s">
        <v>5880</v>
      </c>
      <c r="F77" s="3" t="s">
        <v>173</v>
      </c>
      <c r="G77" s="3"/>
      <c r="H77" s="3" t="s">
        <v>3785</v>
      </c>
      <c r="I77" s="275" t="s">
        <v>5881</v>
      </c>
      <c r="J77" s="17"/>
      <c r="K77" s="17"/>
      <c r="L77" s="17"/>
      <c r="M77" s="375" t="str">
        <f t="shared" si="26"/>
        <v xml:space="preserve">Operbes, S.A. de C.V.  </v>
      </c>
      <c r="N77" s="959" t="s">
        <v>656</v>
      </c>
      <c r="O77" s="959" t="s">
        <v>209</v>
      </c>
      <c r="P77" s="959" t="s">
        <v>5842</v>
      </c>
      <c r="Q77" s="959" t="s">
        <v>5882</v>
      </c>
      <c r="R77" s="962">
        <v>5640000</v>
      </c>
      <c r="S77" s="383">
        <f t="shared" si="24"/>
        <v>902400</v>
      </c>
      <c r="T77" s="384">
        <f t="shared" si="19"/>
        <v>6542400</v>
      </c>
      <c r="U77" s="385" t="s">
        <v>161</v>
      </c>
      <c r="V77" s="385" t="s">
        <v>161</v>
      </c>
      <c r="W77" s="383">
        <f t="shared" si="18"/>
        <v>8178000</v>
      </c>
      <c r="X77" s="963" t="s">
        <v>156</v>
      </c>
      <c r="Y77" s="387">
        <v>44932</v>
      </c>
      <c r="Z77" s="3" t="s">
        <v>157</v>
      </c>
      <c r="AA77" s="387">
        <v>44932</v>
      </c>
      <c r="AB77" s="387">
        <v>45381</v>
      </c>
      <c r="AC77" s="4" t="s">
        <v>3787</v>
      </c>
      <c r="AD77" s="417" t="s">
        <v>5883</v>
      </c>
      <c r="AE77" s="417" t="s">
        <v>5884</v>
      </c>
      <c r="AF77" s="524" t="s">
        <v>5885</v>
      </c>
      <c r="AG77" s="525">
        <v>1635600</v>
      </c>
      <c r="AH77" s="414" t="str">
        <f t="shared" ca="1" si="22"/>
        <v>MUERTO</v>
      </c>
      <c r="AI77" s="3"/>
      <c r="AJ77" s="3"/>
      <c r="AK77" s="3" t="s">
        <v>157</v>
      </c>
      <c r="AL77" s="3"/>
      <c r="AM77" s="3" t="s">
        <v>157</v>
      </c>
      <c r="AN77" s="3"/>
      <c r="AO77" s="3"/>
      <c r="AP77" s="458"/>
      <c r="AQ77" s="388"/>
      <c r="AR77" s="4"/>
      <c r="AS77" s="459"/>
      <c r="AT77" s="281" t="s">
        <v>5254</v>
      </c>
      <c r="AU77" s="4"/>
      <c r="AV77" s="4" t="e">
        <f>VLOOKUP(I77,[2]RFC!$1:$1048576,2,0)</f>
        <v>#N/A</v>
      </c>
      <c r="AW77" s="6">
        <v>44931</v>
      </c>
      <c r="AX77" s="463" t="s">
        <v>5886</v>
      </c>
      <c r="AY77" s="6">
        <v>44937</v>
      </c>
      <c r="AZ77" s="6">
        <f t="shared" ref="AZ77:AZ108" si="27">AY77</f>
        <v>44937</v>
      </c>
      <c r="BA77" s="415" t="str">
        <f t="shared" si="20"/>
        <v>Contrato formalizado con garantías 02/02/23</v>
      </c>
      <c r="BB77" s="416">
        <v>44945</v>
      </c>
      <c r="BC77" s="255">
        <v>44939</v>
      </c>
      <c r="BD77" s="519"/>
      <c r="BE77" s="519"/>
      <c r="BF77" s="519"/>
      <c r="BG77" s="519"/>
      <c r="BH77" s="519"/>
    </row>
    <row r="78" spans="1:61" ht="60" x14ac:dyDescent="0.25">
      <c r="A78" s="286" t="s">
        <v>5343</v>
      </c>
      <c r="B78" s="1037">
        <v>71</v>
      </c>
      <c r="C78" s="4" t="s">
        <v>149</v>
      </c>
      <c r="D78" s="3" t="s">
        <v>163</v>
      </c>
      <c r="E78" s="18" t="s">
        <v>5887</v>
      </c>
      <c r="F78" s="3" t="s">
        <v>163</v>
      </c>
      <c r="G78" s="684" t="s">
        <v>163</v>
      </c>
      <c r="H78" s="3" t="s">
        <v>3770</v>
      </c>
      <c r="I78" s="275" t="s">
        <v>5888</v>
      </c>
      <c r="J78" s="17"/>
      <c r="K78" s="17"/>
      <c r="L78" s="17"/>
      <c r="M78" s="375" t="str">
        <f t="shared" si="26"/>
        <v xml:space="preserve">Viajes Escalona, S.A. de C.V.  </v>
      </c>
      <c r="N78" s="959" t="s">
        <v>4481</v>
      </c>
      <c r="O78" s="959" t="s">
        <v>4481</v>
      </c>
      <c r="P78" s="959" t="s">
        <v>1367</v>
      </c>
      <c r="Q78" s="959" t="s">
        <v>5889</v>
      </c>
      <c r="R78" s="962">
        <v>0</v>
      </c>
      <c r="S78" s="383">
        <f t="shared" si="24"/>
        <v>0</v>
      </c>
      <c r="T78" s="384" t="s">
        <v>5890</v>
      </c>
      <c r="U78" s="385" t="s">
        <v>161</v>
      </c>
      <c r="V78" s="385" t="s">
        <v>161</v>
      </c>
      <c r="W78" s="383">
        <v>0</v>
      </c>
      <c r="X78" s="963" t="s">
        <v>156</v>
      </c>
      <c r="Y78" s="387">
        <v>44935</v>
      </c>
      <c r="Z78" s="3" t="s">
        <v>157</v>
      </c>
      <c r="AA78" s="387">
        <v>44935</v>
      </c>
      <c r="AB78" s="387">
        <v>45291</v>
      </c>
      <c r="AC78" s="4" t="s">
        <v>2050</v>
      </c>
      <c r="AD78" s="412"/>
      <c r="AE78" s="4"/>
      <c r="AF78" s="388"/>
      <c r="AG78" s="383"/>
      <c r="AH78" s="414" t="str">
        <f t="shared" ca="1" si="22"/>
        <v>MUERTO</v>
      </c>
      <c r="AI78" s="3"/>
      <c r="AJ78" s="3"/>
      <c r="AK78" s="3" t="s">
        <v>157</v>
      </c>
      <c r="AL78" s="3"/>
      <c r="AM78" s="3" t="s">
        <v>157</v>
      </c>
      <c r="AN78" s="3"/>
      <c r="AO78" s="3"/>
      <c r="AP78" s="458"/>
      <c r="AQ78" s="388"/>
      <c r="AR78" s="4"/>
      <c r="AS78" s="459"/>
      <c r="AT78" s="281" t="s">
        <v>5891</v>
      </c>
      <c r="AU78" s="4"/>
      <c r="AV78" s="4" t="e">
        <f>VLOOKUP(I78,[2]RFC!$1:$1048576,2,0)</f>
        <v>#N/A</v>
      </c>
      <c r="AW78" s="6">
        <v>44932</v>
      </c>
      <c r="AX78" s="6">
        <v>44932</v>
      </c>
      <c r="AY78" s="6">
        <v>44938</v>
      </c>
      <c r="AZ78" s="6">
        <f t="shared" si="27"/>
        <v>44938</v>
      </c>
      <c r="BA78" s="415" t="str">
        <f t="shared" si="20"/>
        <v>Contrato formalizado 20/01</v>
      </c>
      <c r="BB78" s="416">
        <v>44945</v>
      </c>
      <c r="BC78" s="255">
        <v>44942</v>
      </c>
      <c r="BD78" s="519"/>
      <c r="BE78" s="519"/>
      <c r="BF78" s="519"/>
      <c r="BG78" s="519"/>
      <c r="BH78" s="519"/>
    </row>
    <row r="79" spans="1:61" ht="60" x14ac:dyDescent="0.25">
      <c r="A79" s="286" t="s">
        <v>5347</v>
      </c>
      <c r="B79" s="1037">
        <v>72</v>
      </c>
      <c r="C79" s="4" t="s">
        <v>149</v>
      </c>
      <c r="D79" s="3" t="s">
        <v>163</v>
      </c>
      <c r="E79" s="18" t="s">
        <v>5887</v>
      </c>
      <c r="F79" s="3" t="s">
        <v>163</v>
      </c>
      <c r="G79" s="684" t="s">
        <v>163</v>
      </c>
      <c r="H79" s="3" t="s">
        <v>3770</v>
      </c>
      <c r="I79" s="275" t="s">
        <v>1391</v>
      </c>
      <c r="J79" s="17"/>
      <c r="K79" s="17"/>
      <c r="L79" s="17"/>
      <c r="M79" s="375" t="str">
        <f t="shared" si="26"/>
        <v xml:space="preserve">Viajes Helvetia, S.A. de C.V.  </v>
      </c>
      <c r="N79" s="959" t="s">
        <v>4481</v>
      </c>
      <c r="O79" s="959" t="s">
        <v>4481</v>
      </c>
      <c r="P79" s="959" t="s">
        <v>1367</v>
      </c>
      <c r="Q79" s="959" t="s">
        <v>4486</v>
      </c>
      <c r="R79" s="962">
        <v>0</v>
      </c>
      <c r="S79" s="383">
        <f t="shared" si="24"/>
        <v>0</v>
      </c>
      <c r="T79" s="384" t="s">
        <v>5890</v>
      </c>
      <c r="U79" s="385" t="s">
        <v>161</v>
      </c>
      <c r="V79" s="385" t="s">
        <v>161</v>
      </c>
      <c r="W79" s="383">
        <v>0</v>
      </c>
      <c r="X79" s="963" t="s">
        <v>156</v>
      </c>
      <c r="Y79" s="387">
        <v>44935</v>
      </c>
      <c r="Z79" s="3" t="s">
        <v>157</v>
      </c>
      <c r="AA79" s="387">
        <v>44935</v>
      </c>
      <c r="AB79" s="387">
        <v>45291</v>
      </c>
      <c r="AC79" s="4" t="s">
        <v>2050</v>
      </c>
      <c r="AD79" s="412"/>
      <c r="AE79" s="4"/>
      <c r="AF79" s="388"/>
      <c r="AG79" s="383"/>
      <c r="AH79" s="414" t="str">
        <f t="shared" ca="1" si="22"/>
        <v>MUERTO</v>
      </c>
      <c r="AI79" s="3"/>
      <c r="AJ79" s="3"/>
      <c r="AK79" s="3" t="s">
        <v>157</v>
      </c>
      <c r="AL79" s="3"/>
      <c r="AM79" s="3" t="s">
        <v>157</v>
      </c>
      <c r="AN79" s="3"/>
      <c r="AO79" s="3"/>
      <c r="AP79" s="458"/>
      <c r="AQ79" s="388"/>
      <c r="AR79" s="4"/>
      <c r="AS79" s="459"/>
      <c r="AT79" s="281" t="s">
        <v>5892</v>
      </c>
      <c r="AU79" s="4"/>
      <c r="AV79" s="4" t="str">
        <f>VLOOKUP(I79,[2]RFC!$1:$1048576,2,0)</f>
        <v>VHE860804S78</v>
      </c>
      <c r="AW79" s="6">
        <v>44932</v>
      </c>
      <c r="AX79" s="6">
        <v>44932</v>
      </c>
      <c r="AY79" s="6">
        <v>44938</v>
      </c>
      <c r="AZ79" s="6">
        <f t="shared" si="27"/>
        <v>44938</v>
      </c>
      <c r="BA79" s="415" t="str">
        <f t="shared" si="20"/>
        <v>Contrato formalizado 27/01</v>
      </c>
      <c r="BB79" s="416">
        <v>44952</v>
      </c>
      <c r="BC79" s="255">
        <v>44952</v>
      </c>
      <c r="BD79" s="519"/>
      <c r="BE79" s="519"/>
      <c r="BF79" s="519"/>
      <c r="BG79" s="519"/>
      <c r="BH79" s="519"/>
    </row>
    <row r="80" spans="1:61" ht="60" x14ac:dyDescent="0.25">
      <c r="A80" s="286" t="s">
        <v>5352</v>
      </c>
      <c r="B80" s="1037">
        <v>73</v>
      </c>
      <c r="C80" s="4" t="s">
        <v>149</v>
      </c>
      <c r="D80" s="3" t="s">
        <v>163</v>
      </c>
      <c r="E80" s="18" t="s">
        <v>5887</v>
      </c>
      <c r="F80" s="3" t="s">
        <v>163</v>
      </c>
      <c r="G80" s="684" t="s">
        <v>163</v>
      </c>
      <c r="H80" s="3" t="s">
        <v>3770</v>
      </c>
      <c r="I80" s="275" t="s">
        <v>1411</v>
      </c>
      <c r="J80" s="17"/>
      <c r="K80" s="17"/>
      <c r="L80" s="17"/>
      <c r="M80" s="375" t="str">
        <f t="shared" si="26"/>
        <v xml:space="preserve">G-Travel Express, S.A. de C.V.  </v>
      </c>
      <c r="N80" s="959" t="s">
        <v>4481</v>
      </c>
      <c r="O80" s="959" t="s">
        <v>4481</v>
      </c>
      <c r="P80" s="959" t="s">
        <v>1367</v>
      </c>
      <c r="Q80" s="959" t="s">
        <v>5889</v>
      </c>
      <c r="R80" s="962">
        <v>0</v>
      </c>
      <c r="S80" s="383">
        <f t="shared" si="24"/>
        <v>0</v>
      </c>
      <c r="T80" s="384" t="s">
        <v>5890</v>
      </c>
      <c r="U80" s="385" t="s">
        <v>161</v>
      </c>
      <c r="V80" s="549" t="e">
        <f>(U80*0.16)+(U80)</f>
        <v>#VALUE!</v>
      </c>
      <c r="W80" s="383">
        <v>0</v>
      </c>
      <c r="X80" s="963" t="s">
        <v>156</v>
      </c>
      <c r="Y80" s="387">
        <v>44935</v>
      </c>
      <c r="Z80" s="3" t="s">
        <v>157</v>
      </c>
      <c r="AA80" s="387">
        <v>44935</v>
      </c>
      <c r="AB80" s="387">
        <v>45291</v>
      </c>
      <c r="AC80" s="4" t="s">
        <v>2050</v>
      </c>
      <c r="AD80" s="412"/>
      <c r="AE80" s="4"/>
      <c r="AF80" s="388"/>
      <c r="AG80" s="383"/>
      <c r="AH80" s="414" t="str">
        <f t="shared" ca="1" si="22"/>
        <v>MUERTO</v>
      </c>
      <c r="AI80" s="3"/>
      <c r="AJ80" s="3"/>
      <c r="AK80" s="3" t="s">
        <v>157</v>
      </c>
      <c r="AL80" s="3"/>
      <c r="AM80" s="3" t="s">
        <v>157</v>
      </c>
      <c r="AN80" s="3"/>
      <c r="AO80" s="3"/>
      <c r="AP80" s="458"/>
      <c r="AQ80" s="388"/>
      <c r="AR80" s="4"/>
      <c r="AS80" s="459"/>
      <c r="AT80" s="281" t="s">
        <v>5891</v>
      </c>
      <c r="AU80" s="4"/>
      <c r="AV80" s="4" t="e">
        <f>VLOOKUP(I80,[2]RFC!$1:$1048576,2,0)</f>
        <v>#N/A</v>
      </c>
      <c r="AW80" s="6">
        <v>44932</v>
      </c>
      <c r="AX80" s="6">
        <v>44932</v>
      </c>
      <c r="AY80" s="6">
        <v>44938</v>
      </c>
      <c r="AZ80" s="6">
        <f t="shared" si="27"/>
        <v>44938</v>
      </c>
      <c r="BA80" s="415" t="str">
        <f t="shared" si="20"/>
        <v>Contrato formalizado 20/01</v>
      </c>
      <c r="BB80" s="416">
        <v>44945</v>
      </c>
      <c r="BC80" s="255">
        <v>44943</v>
      </c>
      <c r="BD80" s="519"/>
      <c r="BE80" s="519"/>
      <c r="BF80" s="519"/>
      <c r="BG80" s="519"/>
      <c r="BH80" s="519"/>
    </row>
    <row r="81" spans="1:60" ht="90" x14ac:dyDescent="0.25">
      <c r="A81" s="417" t="s">
        <v>5893</v>
      </c>
      <c r="B81" s="252">
        <v>74</v>
      </c>
      <c r="C81" s="4" t="s">
        <v>149</v>
      </c>
      <c r="D81" s="3" t="s">
        <v>163</v>
      </c>
      <c r="E81" s="18" t="s">
        <v>5894</v>
      </c>
      <c r="F81" s="3" t="s">
        <v>5365</v>
      </c>
      <c r="G81" s="685" t="s">
        <v>546</v>
      </c>
      <c r="H81" s="3" t="s">
        <v>4185</v>
      </c>
      <c r="I81" s="275" t="s">
        <v>5895</v>
      </c>
      <c r="J81" s="17"/>
      <c r="K81" s="17"/>
      <c r="L81" s="17"/>
      <c r="M81" s="375" t="str">
        <f t="shared" si="26"/>
        <v xml:space="preserve">Silent4bussiness, S.A. de C.V.  </v>
      </c>
      <c r="N81" s="959" t="s">
        <v>656</v>
      </c>
      <c r="O81" s="959" t="s">
        <v>209</v>
      </c>
      <c r="P81" s="959" t="s">
        <v>210</v>
      </c>
      <c r="Q81" s="959" t="s">
        <v>5896</v>
      </c>
      <c r="R81" s="962">
        <v>73800000</v>
      </c>
      <c r="S81" s="383">
        <f t="shared" si="24"/>
        <v>11808000</v>
      </c>
      <c r="T81" s="384">
        <f t="shared" ref="T81:T112" si="28">R81+S81</f>
        <v>85608000</v>
      </c>
      <c r="U81" s="385" t="s">
        <v>161</v>
      </c>
      <c r="V81" s="386" t="e">
        <f>(U81*0.16)+(U81)</f>
        <v>#VALUE!</v>
      </c>
      <c r="W81" s="383">
        <f t="shared" ref="W81:W112" si="29">T81+AG81</f>
        <v>85608000</v>
      </c>
      <c r="X81" s="963" t="s">
        <v>156</v>
      </c>
      <c r="Y81" s="387">
        <v>44942</v>
      </c>
      <c r="Z81" s="3" t="s">
        <v>157</v>
      </c>
      <c r="AA81" s="387">
        <v>44942</v>
      </c>
      <c r="AB81" s="387">
        <v>45291</v>
      </c>
      <c r="AC81" s="4" t="s">
        <v>5897</v>
      </c>
      <c r="AD81" s="417" t="s">
        <v>5161</v>
      </c>
      <c r="AE81" s="417" t="s">
        <v>5162</v>
      </c>
      <c r="AF81" s="524">
        <v>45265</v>
      </c>
      <c r="AG81" s="525">
        <v>0</v>
      </c>
      <c r="AH81" s="414" t="str">
        <f t="shared" ca="1" si="22"/>
        <v>MUERTO</v>
      </c>
      <c r="AI81" s="3"/>
      <c r="AJ81" s="3"/>
      <c r="AK81" s="3" t="s">
        <v>157</v>
      </c>
      <c r="AL81" s="3"/>
      <c r="AM81" s="3" t="s">
        <v>157</v>
      </c>
      <c r="AN81" s="3"/>
      <c r="AO81" s="3"/>
      <c r="AP81" s="458"/>
      <c r="AQ81" s="388"/>
      <c r="AR81" s="4"/>
      <c r="AS81" s="459"/>
      <c r="AT81" s="281" t="s">
        <v>5898</v>
      </c>
      <c r="AU81" s="4"/>
      <c r="AV81" s="4" t="e">
        <f>VLOOKUP(I81,[2]RFC!$1:$1048576,2,0)</f>
        <v>#N/A</v>
      </c>
      <c r="AW81" s="6" t="s">
        <v>5899</v>
      </c>
      <c r="AX81" s="463">
        <v>44938</v>
      </c>
      <c r="AY81" s="6">
        <v>44942</v>
      </c>
      <c r="AZ81" s="6">
        <f t="shared" si="27"/>
        <v>44942</v>
      </c>
      <c r="BA81" s="415" t="str">
        <f t="shared" si="20"/>
        <v>Contrato formalizado con garanías 10/02      26/12/2024</v>
      </c>
      <c r="BB81" s="416" t="s">
        <v>5900</v>
      </c>
      <c r="BC81" s="255" t="s">
        <v>5901</v>
      </c>
      <c r="BD81" s="519"/>
      <c r="BE81" s="519"/>
      <c r="BF81" s="519"/>
      <c r="BG81" s="519"/>
      <c r="BH81" s="519"/>
    </row>
    <row r="82" spans="1:60" ht="165" x14ac:dyDescent="0.25">
      <c r="A82" s="550" t="s">
        <v>5902</v>
      </c>
      <c r="B82" s="1037">
        <v>75</v>
      </c>
      <c r="C82" s="4" t="s">
        <v>149</v>
      </c>
      <c r="D82" s="3" t="s">
        <v>163</v>
      </c>
      <c r="E82" s="18" t="s">
        <v>5894</v>
      </c>
      <c r="F82" s="3" t="s">
        <v>5365</v>
      </c>
      <c r="G82" s="685" t="s">
        <v>546</v>
      </c>
      <c r="H82" s="3" t="s">
        <v>4185</v>
      </c>
      <c r="I82" s="275" t="s">
        <v>5903</v>
      </c>
      <c r="J82" s="17"/>
      <c r="K82" s="17"/>
      <c r="L82" s="17"/>
      <c r="M82" s="375" t="str">
        <f t="shared" si="26"/>
        <v xml:space="preserve">Vaindec, S.A. de C.V.  </v>
      </c>
      <c r="N82" s="959" t="s">
        <v>656</v>
      </c>
      <c r="O82" s="959" t="s">
        <v>209</v>
      </c>
      <c r="P82" s="959" t="s">
        <v>210</v>
      </c>
      <c r="Q82" s="959" t="s">
        <v>5904</v>
      </c>
      <c r="R82" s="962">
        <v>24999814.34</v>
      </c>
      <c r="S82" s="383">
        <f t="shared" si="24"/>
        <v>3999970.2944</v>
      </c>
      <c r="T82" s="384">
        <f t="shared" si="28"/>
        <v>28999784.634399999</v>
      </c>
      <c r="U82" s="385" t="s">
        <v>161</v>
      </c>
      <c r="V82" s="385" t="s">
        <v>161</v>
      </c>
      <c r="W82" s="383">
        <f t="shared" si="29"/>
        <v>28999784.634399999</v>
      </c>
      <c r="X82" s="963" t="s">
        <v>156</v>
      </c>
      <c r="Y82" s="387">
        <v>44942</v>
      </c>
      <c r="Z82" s="3" t="s">
        <v>157</v>
      </c>
      <c r="AA82" s="387">
        <v>44942</v>
      </c>
      <c r="AB82" s="387">
        <v>45291</v>
      </c>
      <c r="AC82" s="4" t="s">
        <v>5897</v>
      </c>
      <c r="AD82" s="412" t="s">
        <v>5905</v>
      </c>
      <c r="AE82" s="3" t="s">
        <v>5906</v>
      </c>
      <c r="AF82" s="387">
        <v>45100</v>
      </c>
      <c r="AG82" s="383">
        <v>0</v>
      </c>
      <c r="AH82" s="414" t="str">
        <f t="shared" ca="1" si="22"/>
        <v>MUERTO</v>
      </c>
      <c r="AI82" s="3"/>
      <c r="AJ82" s="3"/>
      <c r="AK82" s="3" t="s">
        <v>157</v>
      </c>
      <c r="AL82" s="3"/>
      <c r="AM82" s="3" t="s">
        <v>157</v>
      </c>
      <c r="AN82" s="3"/>
      <c r="AO82" s="3"/>
      <c r="AP82" s="458"/>
      <c r="AQ82" s="388"/>
      <c r="AR82" s="4"/>
      <c r="AS82" s="459"/>
      <c r="AT82" s="281" t="s">
        <v>5907</v>
      </c>
      <c r="AU82" s="4"/>
      <c r="AV82" s="4" t="e">
        <f>VLOOKUP(I82,[2]RFC!$1:$1048576,2,0)</f>
        <v>#N/A</v>
      </c>
      <c r="AW82" s="6" t="s">
        <v>5908</v>
      </c>
      <c r="AX82" s="463" t="s">
        <v>5909</v>
      </c>
      <c r="AY82" s="6" t="s">
        <v>5910</v>
      </c>
      <c r="AZ82" s="6" t="str">
        <f t="shared" si="27"/>
        <v>16/01/2023
23/06/2023</v>
      </c>
      <c r="BA82" s="415" t="str">
        <f t="shared" si="20"/>
        <v>Contrato formalizado con garantía 21/03
T.Anticip formalizada 28/06</v>
      </c>
      <c r="BB82" s="416" t="s">
        <v>5911</v>
      </c>
      <c r="BC82" s="255" t="s">
        <v>5912</v>
      </c>
      <c r="BD82" s="519"/>
      <c r="BE82" s="519"/>
      <c r="BF82" s="519"/>
      <c r="BG82" s="519"/>
      <c r="BH82" s="519"/>
    </row>
    <row r="83" spans="1:60" ht="75" x14ac:dyDescent="0.25">
      <c r="A83" s="286" t="s">
        <v>5913</v>
      </c>
      <c r="B83" s="1037">
        <v>76</v>
      </c>
      <c r="C83" s="4" t="s">
        <v>149</v>
      </c>
      <c r="D83" s="3" t="s">
        <v>173</v>
      </c>
      <c r="E83" s="18" t="s">
        <v>5914</v>
      </c>
      <c r="F83" s="3" t="s">
        <v>173</v>
      </c>
      <c r="G83" s="3"/>
      <c r="H83" s="3" t="s">
        <v>3785</v>
      </c>
      <c r="I83" s="275" t="s">
        <v>5302</v>
      </c>
      <c r="J83" s="17"/>
      <c r="K83" s="17"/>
      <c r="L83" s="17"/>
      <c r="M83" s="375" t="str">
        <f t="shared" si="26"/>
        <v xml:space="preserve">Criptex Seguridad Privada Mexicana, S.A. de C.V.  </v>
      </c>
      <c r="N83" s="959" t="s">
        <v>860</v>
      </c>
      <c r="O83" s="959" t="s">
        <v>1946</v>
      </c>
      <c r="P83" s="959" t="s">
        <v>159</v>
      </c>
      <c r="Q83" s="959" t="s">
        <v>5915</v>
      </c>
      <c r="R83" s="962">
        <v>8901000</v>
      </c>
      <c r="S83" s="383">
        <f t="shared" si="24"/>
        <v>1424160</v>
      </c>
      <c r="T83" s="384">
        <f t="shared" si="28"/>
        <v>10325160</v>
      </c>
      <c r="U83" s="385" t="s">
        <v>161</v>
      </c>
      <c r="V83" s="386" t="e">
        <f>(U83*0.16)+(U83)</f>
        <v>#VALUE!</v>
      </c>
      <c r="W83" s="383">
        <f t="shared" si="29"/>
        <v>10325160</v>
      </c>
      <c r="X83" s="963" t="s">
        <v>156</v>
      </c>
      <c r="Y83" s="387">
        <v>44944</v>
      </c>
      <c r="Z83" s="3" t="s">
        <v>157</v>
      </c>
      <c r="AA83" s="387">
        <v>44944</v>
      </c>
      <c r="AB83" s="387">
        <v>45291</v>
      </c>
      <c r="AC83" s="4" t="s">
        <v>3113</v>
      </c>
      <c r="AD83" s="412"/>
      <c r="AE83" s="4"/>
      <c r="AF83" s="388"/>
      <c r="AG83" s="383"/>
      <c r="AH83" s="414" t="str">
        <f t="shared" ca="1" si="22"/>
        <v>MUERTO</v>
      </c>
      <c r="AI83" s="3"/>
      <c r="AJ83" s="3"/>
      <c r="AK83" s="3" t="s">
        <v>157</v>
      </c>
      <c r="AL83" s="3"/>
      <c r="AM83" s="3" t="s">
        <v>157</v>
      </c>
      <c r="AN83" s="3"/>
      <c r="AO83" s="3"/>
      <c r="AP83" s="458"/>
      <c r="AQ83" s="388"/>
      <c r="AR83" s="4"/>
      <c r="AS83" s="459"/>
      <c r="AT83" s="281" t="s">
        <v>5916</v>
      </c>
      <c r="AU83" s="4"/>
      <c r="AV83" s="4" t="e">
        <f>VLOOKUP(I83,[2]RFC!$1:$1048576,2,0)</f>
        <v>#N/A</v>
      </c>
      <c r="AW83" s="6">
        <v>44930</v>
      </c>
      <c r="AX83" s="463">
        <v>44938</v>
      </c>
      <c r="AY83" s="6">
        <v>44944</v>
      </c>
      <c r="AZ83" s="6">
        <f t="shared" si="27"/>
        <v>44944</v>
      </c>
      <c r="BA83" s="415" t="str">
        <f t="shared" si="20"/>
        <v>Contrato formalizado con garantías 09/02/23</v>
      </c>
      <c r="BB83" s="416">
        <v>44951</v>
      </c>
      <c r="BC83" s="255">
        <v>44945</v>
      </c>
      <c r="BD83" s="519"/>
      <c r="BE83" s="519"/>
      <c r="BF83" s="519"/>
      <c r="BG83" s="519"/>
      <c r="BH83" s="519"/>
    </row>
    <row r="84" spans="1:60" ht="409.5" x14ac:dyDescent="0.25">
      <c r="A84" s="417" t="s">
        <v>5917</v>
      </c>
      <c r="B84" s="1037">
        <v>77</v>
      </c>
      <c r="C84" s="4" t="s">
        <v>149</v>
      </c>
      <c r="D84" s="3" t="s">
        <v>163</v>
      </c>
      <c r="E84" s="18" t="s">
        <v>5894</v>
      </c>
      <c r="F84" s="3" t="s">
        <v>5365</v>
      </c>
      <c r="G84" s="685" t="s">
        <v>546</v>
      </c>
      <c r="H84" s="3" t="s">
        <v>4185</v>
      </c>
      <c r="I84" s="275" t="s">
        <v>2937</v>
      </c>
      <c r="J84" s="17"/>
      <c r="K84" s="17"/>
      <c r="L84" s="17"/>
      <c r="M84" s="375" t="str">
        <f t="shared" si="26"/>
        <v xml:space="preserve">Scontinuidad Latam, S.A. de C.V.  </v>
      </c>
      <c r="N84" s="959" t="s">
        <v>656</v>
      </c>
      <c r="O84" s="959" t="s">
        <v>209</v>
      </c>
      <c r="P84" s="959" t="s">
        <v>210</v>
      </c>
      <c r="Q84" s="959" t="s">
        <v>5918</v>
      </c>
      <c r="R84" s="962">
        <v>29667733.329999998</v>
      </c>
      <c r="S84" s="383">
        <f t="shared" si="24"/>
        <v>4746837.3328</v>
      </c>
      <c r="T84" s="384">
        <f t="shared" si="28"/>
        <v>34414570.662799999</v>
      </c>
      <c r="U84" s="385" t="s">
        <v>161</v>
      </c>
      <c r="V84" s="386" t="e">
        <f>(U84*0.16)+(U84)</f>
        <v>#VALUE!</v>
      </c>
      <c r="W84" s="383">
        <f t="shared" si="29"/>
        <v>34414570.662799999</v>
      </c>
      <c r="X84" s="963" t="s">
        <v>156</v>
      </c>
      <c r="Y84" s="387">
        <v>44942</v>
      </c>
      <c r="Z84" s="3" t="s">
        <v>157</v>
      </c>
      <c r="AA84" s="387">
        <v>44942</v>
      </c>
      <c r="AB84" s="387">
        <v>45291</v>
      </c>
      <c r="AC84" s="4" t="s">
        <v>5897</v>
      </c>
      <c r="AD84" s="417" t="s">
        <v>5161</v>
      </c>
      <c r="AE84" s="417" t="s">
        <v>5162</v>
      </c>
      <c r="AF84" s="524">
        <v>45265</v>
      </c>
      <c r="AG84" s="525">
        <v>0</v>
      </c>
      <c r="AH84" s="414" t="str">
        <f t="shared" ca="1" si="22"/>
        <v>MUERTO</v>
      </c>
      <c r="AI84" s="3"/>
      <c r="AJ84" s="3"/>
      <c r="AK84" s="3" t="s">
        <v>157</v>
      </c>
      <c r="AL84" s="3"/>
      <c r="AM84" s="3" t="s">
        <v>157</v>
      </c>
      <c r="AN84" s="3"/>
      <c r="AO84" s="3"/>
      <c r="AP84" s="458"/>
      <c r="AQ84" s="388"/>
      <c r="AR84" s="4"/>
      <c r="AS84" s="459"/>
      <c r="AT84" s="281" t="s">
        <v>5919</v>
      </c>
      <c r="AU84" s="412" t="s">
        <v>5920</v>
      </c>
      <c r="AV84" s="4" t="e">
        <f>VLOOKUP(I84,[2]RFC!$1:$1048576,2,0)</f>
        <v>#N/A</v>
      </c>
      <c r="AW84" s="6" t="s">
        <v>5921</v>
      </c>
      <c r="AX84" s="463">
        <v>44938</v>
      </c>
      <c r="AY84" s="6">
        <v>44950</v>
      </c>
      <c r="AZ84" s="6">
        <f t="shared" si="27"/>
        <v>44950</v>
      </c>
      <c r="BA84" s="415" t="str">
        <f t="shared" si="20"/>
        <v>Contrato formalizado con garantías 08/02/23                                       08/01/24</v>
      </c>
      <c r="BB84" s="416" t="s">
        <v>5922</v>
      </c>
      <c r="BC84" s="255" t="s">
        <v>5923</v>
      </c>
      <c r="BD84" s="519"/>
      <c r="BE84" s="519"/>
      <c r="BF84" s="519"/>
      <c r="BG84" s="519"/>
      <c r="BH84" s="519"/>
    </row>
    <row r="85" spans="1:60" ht="120" x14ac:dyDescent="0.25">
      <c r="A85" s="286" t="s">
        <v>5924</v>
      </c>
      <c r="B85" s="252">
        <v>78</v>
      </c>
      <c r="C85" s="4" t="s">
        <v>149</v>
      </c>
      <c r="D85" s="3" t="s">
        <v>163</v>
      </c>
      <c r="E85" s="18" t="s">
        <v>5925</v>
      </c>
      <c r="F85" s="3" t="s">
        <v>163</v>
      </c>
      <c r="G85" s="684" t="s">
        <v>163</v>
      </c>
      <c r="H85" s="3" t="s">
        <v>2064</v>
      </c>
      <c r="I85" s="275" t="s">
        <v>4531</v>
      </c>
      <c r="J85" s="17"/>
      <c r="K85" s="17"/>
      <c r="L85" s="17"/>
      <c r="M85" s="375" t="str">
        <f t="shared" si="26"/>
        <v xml:space="preserve">Centro de Estudios para un Proyecto Nacional Alternativo, S.C.  </v>
      </c>
      <c r="N85" s="959" t="s">
        <v>3941</v>
      </c>
      <c r="O85" s="959" t="s">
        <v>3941</v>
      </c>
      <c r="P85" s="959" t="s">
        <v>3941</v>
      </c>
      <c r="Q85" s="959" t="s">
        <v>3942</v>
      </c>
      <c r="R85" s="962">
        <v>1725000</v>
      </c>
      <c r="S85" s="383">
        <f t="shared" si="24"/>
        <v>276000</v>
      </c>
      <c r="T85" s="384">
        <f t="shared" si="28"/>
        <v>2001000</v>
      </c>
      <c r="U85" s="385" t="s">
        <v>161</v>
      </c>
      <c r="V85" s="386" t="s">
        <v>161</v>
      </c>
      <c r="W85" s="383">
        <f t="shared" si="29"/>
        <v>2001000</v>
      </c>
      <c r="X85" s="963" t="s">
        <v>156</v>
      </c>
      <c r="Y85" s="387">
        <v>44942</v>
      </c>
      <c r="Z85" s="3" t="s">
        <v>157</v>
      </c>
      <c r="AA85" s="387">
        <v>44942</v>
      </c>
      <c r="AB85" s="387">
        <v>45122</v>
      </c>
      <c r="AC85" s="4" t="s">
        <v>2050</v>
      </c>
      <c r="AD85" s="412"/>
      <c r="AE85" s="4"/>
      <c r="AF85" s="388"/>
      <c r="AG85" s="383"/>
      <c r="AH85" s="3" t="str">
        <f t="shared" ca="1" si="22"/>
        <v>MUERTO</v>
      </c>
      <c r="AI85" s="3"/>
      <c r="AJ85" s="3"/>
      <c r="AK85" s="3" t="s">
        <v>157</v>
      </c>
      <c r="AL85" s="3"/>
      <c r="AM85" s="3" t="s">
        <v>193</v>
      </c>
      <c r="AN85" s="3"/>
      <c r="AO85" s="3"/>
      <c r="AP85" s="458"/>
      <c r="AQ85" s="388"/>
      <c r="AR85" s="4"/>
      <c r="AS85" s="459"/>
      <c r="AT85" s="281" t="s">
        <v>5926</v>
      </c>
      <c r="AU85" s="412"/>
      <c r="AV85" s="4"/>
      <c r="AW85" s="6">
        <v>44939</v>
      </c>
      <c r="AX85" s="6">
        <v>44939</v>
      </c>
      <c r="AY85" s="6">
        <v>44971</v>
      </c>
      <c r="AZ85" s="6">
        <f t="shared" si="27"/>
        <v>44971</v>
      </c>
      <c r="BA85" s="415" t="str">
        <f t="shared" si="20"/>
        <v>Contrato formalizado 16/02 con fecha especial 17/01/23</v>
      </c>
      <c r="BB85" s="416">
        <v>44972</v>
      </c>
      <c r="BC85" s="255">
        <v>44972</v>
      </c>
      <c r="BD85" s="519"/>
      <c r="BE85" s="519"/>
      <c r="BF85" s="519"/>
      <c r="BG85" s="519"/>
      <c r="BH85" s="519"/>
    </row>
    <row r="86" spans="1:60" ht="90" x14ac:dyDescent="0.25">
      <c r="A86" s="286" t="s">
        <v>5927</v>
      </c>
      <c r="B86" s="1037">
        <v>79</v>
      </c>
      <c r="C86" s="4" t="s">
        <v>149</v>
      </c>
      <c r="D86" s="3" t="s">
        <v>163</v>
      </c>
      <c r="E86" s="18" t="s">
        <v>5928</v>
      </c>
      <c r="F86" s="3" t="s">
        <v>5365</v>
      </c>
      <c r="G86" s="685" t="s">
        <v>546</v>
      </c>
      <c r="H86" s="3" t="s">
        <v>3764</v>
      </c>
      <c r="I86" s="275" t="s">
        <v>5929</v>
      </c>
      <c r="J86" s="17"/>
      <c r="K86" s="17"/>
      <c r="L86" s="17"/>
      <c r="M86" s="375" t="str">
        <f t="shared" si="26"/>
        <v xml:space="preserve">Blue &amp; Green Servicos y Soluciones al Medio Ambiente, S.A. de C.V.  </v>
      </c>
      <c r="N86" s="959" t="s">
        <v>198</v>
      </c>
      <c r="O86" s="959" t="s">
        <v>198</v>
      </c>
      <c r="P86" s="959" t="s">
        <v>5441</v>
      </c>
      <c r="Q86" s="959" t="s">
        <v>5930</v>
      </c>
      <c r="R86" s="962">
        <v>695427.58</v>
      </c>
      <c r="S86" s="383">
        <f t="shared" si="24"/>
        <v>111268.41279999999</v>
      </c>
      <c r="T86" s="384">
        <f t="shared" si="28"/>
        <v>806695.99279999989</v>
      </c>
      <c r="U86" s="385" t="s">
        <v>161</v>
      </c>
      <c r="V86" s="385" t="s">
        <v>161</v>
      </c>
      <c r="W86" s="383">
        <f t="shared" si="29"/>
        <v>806695.99279999989</v>
      </c>
      <c r="X86" s="963" t="s">
        <v>156</v>
      </c>
      <c r="Y86" s="387">
        <v>44958</v>
      </c>
      <c r="Z86" s="3" t="s">
        <v>193</v>
      </c>
      <c r="AA86" s="387">
        <v>44958</v>
      </c>
      <c r="AB86" s="387">
        <v>45016</v>
      </c>
      <c r="AC86" s="4" t="s">
        <v>3787</v>
      </c>
      <c r="AD86" s="412"/>
      <c r="AE86" s="4"/>
      <c r="AF86" s="388"/>
      <c r="AG86" s="383"/>
      <c r="AH86" s="414" t="str">
        <f t="shared" ca="1" si="22"/>
        <v>MUERTO</v>
      </c>
      <c r="AI86" s="3"/>
      <c r="AJ86" s="3"/>
      <c r="AK86" s="3" t="s">
        <v>193</v>
      </c>
      <c r="AL86" s="3"/>
      <c r="AM86" s="3" t="s">
        <v>193</v>
      </c>
      <c r="AN86" s="3"/>
      <c r="AO86" s="3"/>
      <c r="AP86" s="458"/>
      <c r="AQ86" s="388"/>
      <c r="AR86" s="4"/>
      <c r="AS86" s="459"/>
      <c r="AT86" s="281" t="s">
        <v>5931</v>
      </c>
      <c r="AU86" s="4"/>
      <c r="AV86" s="4" t="e">
        <f>VLOOKUP(I86,[2]RFC!$1:$1048576,2,0)</f>
        <v>#N/A</v>
      </c>
      <c r="AW86" s="6">
        <v>44953</v>
      </c>
      <c r="AX86" s="463">
        <v>44956</v>
      </c>
      <c r="AY86" s="6"/>
      <c r="AZ86" s="6">
        <f t="shared" si="27"/>
        <v>0</v>
      </c>
      <c r="BA86" s="415" t="str">
        <f t="shared" si="20"/>
        <v>Contrato formalizado con FCy PRC 16/02</v>
      </c>
      <c r="BB86" s="416">
        <v>44959</v>
      </c>
      <c r="BC86" s="255">
        <v>44958</v>
      </c>
      <c r="BD86" s="519"/>
      <c r="BE86" s="519"/>
      <c r="BF86" s="519"/>
      <c r="BG86" s="519"/>
      <c r="BH86" s="519"/>
    </row>
    <row r="87" spans="1:60" ht="60" x14ac:dyDescent="0.25">
      <c r="A87" s="551" t="s">
        <v>5932</v>
      </c>
      <c r="B87" s="1037">
        <v>80</v>
      </c>
      <c r="C87" s="4" t="s">
        <v>149</v>
      </c>
      <c r="D87" s="3" t="s">
        <v>163</v>
      </c>
      <c r="E87" s="18" t="s">
        <v>5928</v>
      </c>
      <c r="F87" s="3" t="s">
        <v>5365</v>
      </c>
      <c r="G87" s="685" t="s">
        <v>546</v>
      </c>
      <c r="H87" s="3" t="s">
        <v>4030</v>
      </c>
      <c r="I87" s="275" t="s">
        <v>4901</v>
      </c>
      <c r="J87" s="17"/>
      <c r="K87" s="17"/>
      <c r="L87" s="17"/>
      <c r="M87" s="375" t="str">
        <f t="shared" si="26"/>
        <v xml:space="preserve">Imaginación y Mass, S. de R.L. de C.V.  </v>
      </c>
      <c r="N87" s="959" t="s">
        <v>860</v>
      </c>
      <c r="O87" s="959" t="s">
        <v>5933</v>
      </c>
      <c r="P87" s="959" t="s">
        <v>5933</v>
      </c>
      <c r="Q87" s="959" t="s">
        <v>5934</v>
      </c>
      <c r="R87" s="962">
        <v>1118000</v>
      </c>
      <c r="S87" s="383">
        <f t="shared" si="24"/>
        <v>178880</v>
      </c>
      <c r="T87" s="384">
        <f t="shared" si="28"/>
        <v>1296880</v>
      </c>
      <c r="U87" s="385" t="s">
        <v>161</v>
      </c>
      <c r="V87" s="385" t="s">
        <v>161</v>
      </c>
      <c r="W87" s="383">
        <f t="shared" si="29"/>
        <v>1296880</v>
      </c>
      <c r="X87" s="963" t="s">
        <v>156</v>
      </c>
      <c r="Y87" s="387">
        <v>44964</v>
      </c>
      <c r="Z87" s="463" t="s">
        <v>193</v>
      </c>
      <c r="AA87" s="387">
        <v>44964</v>
      </c>
      <c r="AB87" s="387">
        <v>45138</v>
      </c>
      <c r="AC87" s="4" t="s">
        <v>3113</v>
      </c>
      <c r="AD87" s="412"/>
      <c r="AE87" s="4"/>
      <c r="AF87" s="388"/>
      <c r="AG87" s="383"/>
      <c r="AH87" s="414" t="str">
        <f t="shared" ca="1" si="22"/>
        <v>MUERTO</v>
      </c>
      <c r="AI87" s="3"/>
      <c r="AJ87" s="3"/>
      <c r="AK87" s="3" t="s">
        <v>193</v>
      </c>
      <c r="AL87" s="3"/>
      <c r="AM87" s="3" t="s">
        <v>193</v>
      </c>
      <c r="AN87" s="3"/>
      <c r="AO87" s="3"/>
      <c r="AP87" s="458"/>
      <c r="AQ87" s="388"/>
      <c r="AR87" s="4"/>
      <c r="AS87" s="459"/>
      <c r="AT87" s="281" t="s">
        <v>5935</v>
      </c>
      <c r="AU87" s="4"/>
      <c r="AV87" s="4" t="e">
        <f>VLOOKUP(I87,[2]RFC!$1:$1048576,2,0)</f>
        <v>#N/A</v>
      </c>
      <c r="AW87" s="6">
        <v>44953</v>
      </c>
      <c r="AX87" s="463">
        <v>44957</v>
      </c>
      <c r="AY87" s="6">
        <v>44960</v>
      </c>
      <c r="AZ87" s="6">
        <f t="shared" si="27"/>
        <v>44960</v>
      </c>
      <c r="BA87" s="415" t="str">
        <f t="shared" ref="BA87:BA118" si="30">AT87</f>
        <v>Contrato formalizado con FC 28/02</v>
      </c>
      <c r="BB87" s="416">
        <v>44966</v>
      </c>
      <c r="BC87" s="255">
        <v>44965</v>
      </c>
      <c r="BD87" s="519"/>
      <c r="BE87" s="519"/>
      <c r="BF87" s="519"/>
      <c r="BG87" s="519"/>
      <c r="BH87" s="519"/>
    </row>
    <row r="88" spans="1:60" ht="60" x14ac:dyDescent="0.25">
      <c r="A88" s="551" t="s">
        <v>5936</v>
      </c>
      <c r="B88" s="1037">
        <v>81</v>
      </c>
      <c r="C88" s="4" t="s">
        <v>149</v>
      </c>
      <c r="D88" s="3" t="s">
        <v>163</v>
      </c>
      <c r="E88" s="18" t="s">
        <v>5928</v>
      </c>
      <c r="F88" s="3" t="s">
        <v>5365</v>
      </c>
      <c r="G88" s="685" t="s">
        <v>546</v>
      </c>
      <c r="H88" s="3" t="s">
        <v>4030</v>
      </c>
      <c r="I88" s="275" t="s">
        <v>2602</v>
      </c>
      <c r="J88" s="17"/>
      <c r="K88" s="17"/>
      <c r="L88" s="17"/>
      <c r="M88" s="375" t="str">
        <f t="shared" si="26"/>
        <v xml:space="preserve">Rayuela Digital, S.A. de C.V.  </v>
      </c>
      <c r="N88" s="959" t="s">
        <v>860</v>
      </c>
      <c r="O88" s="959" t="s">
        <v>5933</v>
      </c>
      <c r="P88" s="959" t="s">
        <v>5933</v>
      </c>
      <c r="Q88" s="959" t="s">
        <v>5937</v>
      </c>
      <c r="R88" s="962">
        <v>1300000</v>
      </c>
      <c r="S88" s="383">
        <f t="shared" si="24"/>
        <v>208000</v>
      </c>
      <c r="T88" s="384">
        <f t="shared" si="28"/>
        <v>1508000</v>
      </c>
      <c r="U88" s="385" t="s">
        <v>161</v>
      </c>
      <c r="V88" s="385" t="s">
        <v>161</v>
      </c>
      <c r="W88" s="383">
        <f t="shared" si="29"/>
        <v>1508000</v>
      </c>
      <c r="X88" s="963" t="s">
        <v>156</v>
      </c>
      <c r="Y88" s="387">
        <v>44964</v>
      </c>
      <c r="Z88" s="3" t="s">
        <v>193</v>
      </c>
      <c r="AA88" s="387">
        <v>44964</v>
      </c>
      <c r="AB88" s="387">
        <v>45138</v>
      </c>
      <c r="AC88" s="4" t="s">
        <v>3113</v>
      </c>
      <c r="AD88" s="412"/>
      <c r="AE88" s="4"/>
      <c r="AF88" s="388"/>
      <c r="AG88" s="383"/>
      <c r="AH88" s="414" t="str">
        <f t="shared" ref="AH88:AH119" ca="1" si="31">IF(ISBLANK(AB88),"",IF(AB88&gt;=TODAY(),"VIGENTE","MUERTO"))</f>
        <v>MUERTO</v>
      </c>
      <c r="AI88" s="3"/>
      <c r="AJ88" s="3"/>
      <c r="AK88" s="3" t="s">
        <v>193</v>
      </c>
      <c r="AL88" s="3"/>
      <c r="AM88" s="3" t="s">
        <v>193</v>
      </c>
      <c r="AN88" s="3"/>
      <c r="AO88" s="3"/>
      <c r="AP88" s="458"/>
      <c r="AQ88" s="388"/>
      <c r="AR88" s="4"/>
      <c r="AS88" s="459"/>
      <c r="AT88" s="281" t="s">
        <v>5938</v>
      </c>
      <c r="AU88" s="4"/>
      <c r="AV88" s="4" t="e">
        <f>VLOOKUP(I88,[2]RFC!$1:$1048576,2,0)</f>
        <v>#N/A</v>
      </c>
      <c r="AW88" s="6">
        <v>44953</v>
      </c>
      <c r="AX88" s="463">
        <v>44957</v>
      </c>
      <c r="AY88" s="6">
        <v>44960</v>
      </c>
      <c r="AZ88" s="6">
        <f t="shared" si="27"/>
        <v>44960</v>
      </c>
      <c r="BA88" s="415" t="str">
        <f t="shared" si="30"/>
        <v>Contrato formalizado con FC 22/02</v>
      </c>
      <c r="BB88" s="416">
        <v>44966</v>
      </c>
      <c r="BC88" s="255">
        <v>44965</v>
      </c>
      <c r="BD88" s="519"/>
      <c r="BE88" s="519"/>
      <c r="BF88" s="519"/>
      <c r="BG88" s="519"/>
      <c r="BH88" s="519"/>
    </row>
    <row r="89" spans="1:60" ht="60" x14ac:dyDescent="0.25">
      <c r="A89" s="551" t="s">
        <v>5939</v>
      </c>
      <c r="B89" s="252">
        <v>82</v>
      </c>
      <c r="C89" s="4" t="s">
        <v>149</v>
      </c>
      <c r="D89" s="3" t="s">
        <v>163</v>
      </c>
      <c r="E89" s="18" t="s">
        <v>5928</v>
      </c>
      <c r="F89" s="3" t="s">
        <v>5365</v>
      </c>
      <c r="G89" s="685" t="s">
        <v>546</v>
      </c>
      <c r="H89" s="3" t="s">
        <v>4030</v>
      </c>
      <c r="I89" s="275"/>
      <c r="J89" s="17" t="s">
        <v>4875</v>
      </c>
      <c r="K89" s="17" t="s">
        <v>3743</v>
      </c>
      <c r="L89" s="17" t="s">
        <v>2745</v>
      </c>
      <c r="M89" s="375" t="str">
        <f t="shared" si="26"/>
        <v>Jorge Occelli Carranco</v>
      </c>
      <c r="N89" s="959" t="s">
        <v>860</v>
      </c>
      <c r="O89" s="959" t="s">
        <v>5933</v>
      </c>
      <c r="P89" s="959" t="s">
        <v>5933</v>
      </c>
      <c r="Q89" s="959" t="s">
        <v>5940</v>
      </c>
      <c r="R89" s="962">
        <v>930000</v>
      </c>
      <c r="S89" s="383">
        <f t="shared" si="24"/>
        <v>148800</v>
      </c>
      <c r="T89" s="384">
        <f t="shared" si="28"/>
        <v>1078800</v>
      </c>
      <c r="U89" s="385" t="s">
        <v>161</v>
      </c>
      <c r="V89" s="385" t="s">
        <v>161</v>
      </c>
      <c r="W89" s="383">
        <f t="shared" si="29"/>
        <v>1078800</v>
      </c>
      <c r="X89" s="963" t="s">
        <v>156</v>
      </c>
      <c r="Y89" s="387">
        <v>44964</v>
      </c>
      <c r="Z89" s="463" t="s">
        <v>193</v>
      </c>
      <c r="AA89" s="387">
        <v>44964</v>
      </c>
      <c r="AB89" s="387">
        <v>45077</v>
      </c>
      <c r="AC89" s="4" t="s">
        <v>3113</v>
      </c>
      <c r="AD89" s="412"/>
      <c r="AE89" s="4"/>
      <c r="AF89" s="388"/>
      <c r="AG89" s="383"/>
      <c r="AH89" s="414" t="str">
        <f t="shared" ca="1" si="31"/>
        <v>MUERTO</v>
      </c>
      <c r="AI89" s="3"/>
      <c r="AJ89" s="3"/>
      <c r="AK89" s="3" t="s">
        <v>193</v>
      </c>
      <c r="AL89" s="3"/>
      <c r="AM89" s="3" t="s">
        <v>193</v>
      </c>
      <c r="AN89" s="3"/>
      <c r="AO89" s="3"/>
      <c r="AP89" s="458"/>
      <c r="AQ89" s="388"/>
      <c r="AR89" s="4"/>
      <c r="AS89" s="459"/>
      <c r="AT89" s="281" t="s">
        <v>4483</v>
      </c>
      <c r="AU89" s="4"/>
      <c r="AV89" s="4" t="e">
        <f>VLOOKUP(I89,[2]RFC!$1:$1048576,2,0)</f>
        <v>#N/A</v>
      </c>
      <c r="AW89" s="6">
        <v>44953</v>
      </c>
      <c r="AX89" s="463">
        <v>44957</v>
      </c>
      <c r="AY89" s="6">
        <v>44960</v>
      </c>
      <c r="AZ89" s="6">
        <f t="shared" si="27"/>
        <v>44960</v>
      </c>
      <c r="BA89" s="415" t="str">
        <f t="shared" si="30"/>
        <v>Contrato formalizado 16/02</v>
      </c>
      <c r="BB89" s="416">
        <v>44972</v>
      </c>
      <c r="BC89" s="255">
        <v>44966</v>
      </c>
      <c r="BD89" s="519"/>
      <c r="BE89" s="519"/>
      <c r="BF89" s="519"/>
      <c r="BG89" s="519"/>
      <c r="BH89" s="519"/>
    </row>
    <row r="90" spans="1:60" ht="60" x14ac:dyDescent="0.25">
      <c r="A90" s="551" t="s">
        <v>5941</v>
      </c>
      <c r="B90" s="1037">
        <v>83</v>
      </c>
      <c r="C90" s="4" t="s">
        <v>149</v>
      </c>
      <c r="D90" s="3" t="s">
        <v>163</v>
      </c>
      <c r="E90" s="18" t="s">
        <v>5928</v>
      </c>
      <c r="F90" s="3" t="s">
        <v>5365</v>
      </c>
      <c r="G90" s="685" t="s">
        <v>546</v>
      </c>
      <c r="H90" s="3" t="s">
        <v>4030</v>
      </c>
      <c r="I90" s="275"/>
      <c r="J90" s="17" t="s">
        <v>5103</v>
      </c>
      <c r="K90" s="17" t="s">
        <v>5942</v>
      </c>
      <c r="L90" s="17" t="s">
        <v>393</v>
      </c>
      <c r="M90" s="375" t="str">
        <f t="shared" si="26"/>
        <v>Griselda Romero Martínez</v>
      </c>
      <c r="N90" s="959" t="s">
        <v>860</v>
      </c>
      <c r="O90" s="959" t="s">
        <v>5933</v>
      </c>
      <c r="P90" s="959" t="s">
        <v>5933</v>
      </c>
      <c r="Q90" s="959" t="s">
        <v>5943</v>
      </c>
      <c r="R90" s="962">
        <v>540000</v>
      </c>
      <c r="S90" s="383">
        <f t="shared" si="24"/>
        <v>86400</v>
      </c>
      <c r="T90" s="384">
        <f t="shared" si="28"/>
        <v>626400</v>
      </c>
      <c r="U90" s="385" t="s">
        <v>161</v>
      </c>
      <c r="V90" s="385" t="s">
        <v>161</v>
      </c>
      <c r="W90" s="383">
        <f t="shared" si="29"/>
        <v>626400</v>
      </c>
      <c r="X90" s="963" t="s">
        <v>156</v>
      </c>
      <c r="Y90" s="387">
        <v>44964</v>
      </c>
      <c r="Z90" s="463" t="s">
        <v>193</v>
      </c>
      <c r="AA90" s="387">
        <v>44964</v>
      </c>
      <c r="AB90" s="387">
        <v>45061</v>
      </c>
      <c r="AC90" s="4" t="s">
        <v>3113</v>
      </c>
      <c r="AD90" s="412"/>
      <c r="AE90" s="4"/>
      <c r="AF90" s="388"/>
      <c r="AG90" s="383"/>
      <c r="AH90" s="414" t="str">
        <f t="shared" ca="1" si="31"/>
        <v>MUERTO</v>
      </c>
      <c r="AI90" s="3"/>
      <c r="AJ90" s="3"/>
      <c r="AK90" s="3" t="s">
        <v>193</v>
      </c>
      <c r="AL90" s="3"/>
      <c r="AM90" s="3" t="s">
        <v>193</v>
      </c>
      <c r="AN90" s="3"/>
      <c r="AO90" s="3"/>
      <c r="AP90" s="458"/>
      <c r="AQ90" s="388"/>
      <c r="AR90" s="4"/>
      <c r="AS90" s="459"/>
      <c r="AT90" s="281" t="s">
        <v>5944</v>
      </c>
      <c r="AU90" s="4"/>
      <c r="AV90" s="4" t="e">
        <f>VLOOKUP(I90,[2]RFC!$1:$1048576,2,0)</f>
        <v>#N/A</v>
      </c>
      <c r="AW90" s="6">
        <v>44953</v>
      </c>
      <c r="AX90" s="463">
        <v>44957</v>
      </c>
      <c r="AY90" s="6">
        <v>44960</v>
      </c>
      <c r="AZ90" s="6">
        <f t="shared" si="27"/>
        <v>44960</v>
      </c>
      <c r="BA90" s="415" t="str">
        <f t="shared" si="30"/>
        <v>Contrato formalizado con FC 24/02</v>
      </c>
      <c r="BB90" s="416">
        <v>44972</v>
      </c>
      <c r="BC90" s="255">
        <v>44967</v>
      </c>
      <c r="BD90" s="519"/>
      <c r="BE90" s="519"/>
      <c r="BF90" s="519"/>
      <c r="BG90" s="519"/>
      <c r="BH90" s="519"/>
    </row>
    <row r="91" spans="1:60" ht="60" x14ac:dyDescent="0.25">
      <c r="A91" s="551" t="s">
        <v>5945</v>
      </c>
      <c r="B91" s="1037">
        <v>84</v>
      </c>
      <c r="C91" s="4" t="s">
        <v>149</v>
      </c>
      <c r="D91" s="3" t="s">
        <v>163</v>
      </c>
      <c r="E91" s="18" t="s">
        <v>5928</v>
      </c>
      <c r="F91" s="3" t="s">
        <v>5365</v>
      </c>
      <c r="G91" s="685" t="s">
        <v>546</v>
      </c>
      <c r="H91" s="3" t="s">
        <v>4030</v>
      </c>
      <c r="I91" s="275"/>
      <c r="J91" s="17" t="s">
        <v>2823</v>
      </c>
      <c r="K91" s="17" t="s">
        <v>3732</v>
      </c>
      <c r="L91" s="17" t="s">
        <v>2825</v>
      </c>
      <c r="M91" s="375" t="str">
        <f t="shared" si="26"/>
        <v>Cristian Selene Briseño Rodríguez</v>
      </c>
      <c r="N91" s="959" t="s">
        <v>860</v>
      </c>
      <c r="O91" s="959" t="s">
        <v>5933</v>
      </c>
      <c r="P91" s="959" t="s">
        <v>5933</v>
      </c>
      <c r="Q91" s="959" t="s">
        <v>5946</v>
      </c>
      <c r="R91" s="962">
        <v>1352000</v>
      </c>
      <c r="S91" s="383">
        <f t="shared" si="24"/>
        <v>216320</v>
      </c>
      <c r="T91" s="384">
        <f t="shared" si="28"/>
        <v>1568320</v>
      </c>
      <c r="U91" s="385" t="s">
        <v>161</v>
      </c>
      <c r="V91" s="385" t="s">
        <v>161</v>
      </c>
      <c r="W91" s="383">
        <f t="shared" si="29"/>
        <v>1568320</v>
      </c>
      <c r="X91" s="963" t="s">
        <v>156</v>
      </c>
      <c r="Y91" s="387">
        <v>44964</v>
      </c>
      <c r="Z91" s="463" t="s">
        <v>193</v>
      </c>
      <c r="AA91" s="387">
        <v>44964</v>
      </c>
      <c r="AB91" s="387">
        <v>45077</v>
      </c>
      <c r="AC91" s="4" t="s">
        <v>3113</v>
      </c>
      <c r="AD91" s="412"/>
      <c r="AE91" s="4"/>
      <c r="AF91" s="388"/>
      <c r="AG91" s="383"/>
      <c r="AH91" s="414" t="str">
        <f t="shared" ca="1" si="31"/>
        <v>MUERTO</v>
      </c>
      <c r="AI91" s="3"/>
      <c r="AJ91" s="3"/>
      <c r="AK91" s="3" t="s">
        <v>193</v>
      </c>
      <c r="AL91" s="3"/>
      <c r="AM91" s="3" t="s">
        <v>193</v>
      </c>
      <c r="AN91" s="3"/>
      <c r="AO91" s="3"/>
      <c r="AP91" s="458"/>
      <c r="AQ91" s="388"/>
      <c r="AR91" s="4"/>
      <c r="AS91" s="459"/>
      <c r="AT91" s="281" t="s">
        <v>5944</v>
      </c>
      <c r="AU91" s="4"/>
      <c r="AV91" s="4" t="e">
        <f>VLOOKUP(I91,[2]RFC!$1:$1048576,2,0)</f>
        <v>#N/A</v>
      </c>
      <c r="AW91" s="6">
        <v>44953</v>
      </c>
      <c r="AX91" s="463">
        <v>44957</v>
      </c>
      <c r="AY91" s="6">
        <v>44960</v>
      </c>
      <c r="AZ91" s="6">
        <f t="shared" si="27"/>
        <v>44960</v>
      </c>
      <c r="BA91" s="415" t="str">
        <f t="shared" si="30"/>
        <v>Contrato formalizado con FC 24/02</v>
      </c>
      <c r="BB91" s="416">
        <v>44966</v>
      </c>
      <c r="BC91" s="255">
        <v>44965</v>
      </c>
      <c r="BD91" s="519"/>
      <c r="BE91" s="519"/>
      <c r="BF91" s="519"/>
      <c r="BG91" s="519"/>
      <c r="BH91" s="519"/>
    </row>
    <row r="92" spans="1:60" ht="60" x14ac:dyDescent="0.25">
      <c r="A92" s="551" t="s">
        <v>5947</v>
      </c>
      <c r="B92" s="1037">
        <v>85</v>
      </c>
      <c r="C92" s="4" t="s">
        <v>149</v>
      </c>
      <c r="D92" s="3" t="s">
        <v>163</v>
      </c>
      <c r="E92" s="18" t="s">
        <v>5928</v>
      </c>
      <c r="F92" s="3" t="s">
        <v>5365</v>
      </c>
      <c r="G92" s="685" t="s">
        <v>546</v>
      </c>
      <c r="H92" s="3" t="s">
        <v>4030</v>
      </c>
      <c r="I92" s="275" t="s">
        <v>2622</v>
      </c>
      <c r="J92" s="17"/>
      <c r="K92" s="17"/>
      <c r="L92" s="17"/>
      <c r="M92" s="375" t="str">
        <f t="shared" si="26"/>
        <v xml:space="preserve">Programma Comunicación, S.A. de C.V.  </v>
      </c>
      <c r="N92" s="959" t="s">
        <v>860</v>
      </c>
      <c r="O92" s="959" t="s">
        <v>5933</v>
      </c>
      <c r="P92" s="959" t="s">
        <v>5933</v>
      </c>
      <c r="Q92" s="959" t="s">
        <v>4598</v>
      </c>
      <c r="R92" s="962">
        <v>5130000</v>
      </c>
      <c r="S92" s="383">
        <f t="shared" si="24"/>
        <v>820800</v>
      </c>
      <c r="T92" s="384">
        <f t="shared" si="28"/>
        <v>5950800</v>
      </c>
      <c r="U92" s="385" t="s">
        <v>161</v>
      </c>
      <c r="V92" s="385" t="s">
        <v>161</v>
      </c>
      <c r="W92" s="383">
        <f t="shared" si="29"/>
        <v>5950800</v>
      </c>
      <c r="X92" s="963" t="s">
        <v>156</v>
      </c>
      <c r="Y92" s="387">
        <v>44964</v>
      </c>
      <c r="Z92" s="3" t="s">
        <v>193</v>
      </c>
      <c r="AA92" s="387">
        <v>44964</v>
      </c>
      <c r="AB92" s="387">
        <v>45153</v>
      </c>
      <c r="AC92" s="4" t="s">
        <v>3113</v>
      </c>
      <c r="AD92" s="412"/>
      <c r="AE92" s="4"/>
      <c r="AF92" s="388"/>
      <c r="AG92" s="383"/>
      <c r="AH92" s="414" t="str">
        <f t="shared" ca="1" si="31"/>
        <v>MUERTO</v>
      </c>
      <c r="AI92" s="3"/>
      <c r="AJ92" s="3"/>
      <c r="AK92" s="3" t="s">
        <v>193</v>
      </c>
      <c r="AL92" s="3"/>
      <c r="AM92" s="3" t="s">
        <v>193</v>
      </c>
      <c r="AN92" s="3"/>
      <c r="AO92" s="3"/>
      <c r="AP92" s="458"/>
      <c r="AQ92" s="388"/>
      <c r="AR92" s="4"/>
      <c r="AS92" s="459"/>
      <c r="AT92" s="281" t="s">
        <v>5948</v>
      </c>
      <c r="AU92" s="4"/>
      <c r="AV92" s="4" t="e">
        <f>VLOOKUP(I92,[2]RFC!$1:$1048576,2,0)</f>
        <v>#N/A</v>
      </c>
      <c r="AW92" s="6">
        <v>44953</v>
      </c>
      <c r="AX92" s="463">
        <v>44957</v>
      </c>
      <c r="AY92" s="6">
        <v>44960</v>
      </c>
      <c r="AZ92" s="6">
        <f t="shared" si="27"/>
        <v>44960</v>
      </c>
      <c r="BA92" s="415" t="str">
        <f t="shared" si="30"/>
        <v>Contrato formalizado con FC 16/02</v>
      </c>
      <c r="BB92" s="416">
        <v>44967</v>
      </c>
      <c r="BC92" s="255">
        <v>44966</v>
      </c>
      <c r="BD92" s="519"/>
      <c r="BE92" s="519"/>
      <c r="BF92" s="519"/>
      <c r="BG92" s="519"/>
      <c r="BH92" s="519"/>
    </row>
    <row r="93" spans="1:60" ht="60" x14ac:dyDescent="0.25">
      <c r="A93" s="551" t="s">
        <v>5949</v>
      </c>
      <c r="B93" s="252">
        <v>86</v>
      </c>
      <c r="C93" s="4" t="s">
        <v>149</v>
      </c>
      <c r="D93" s="3" t="s">
        <v>163</v>
      </c>
      <c r="E93" s="18" t="s">
        <v>5928</v>
      </c>
      <c r="F93" s="3" t="s">
        <v>5365</v>
      </c>
      <c r="G93" s="685" t="s">
        <v>546</v>
      </c>
      <c r="H93" s="3" t="s">
        <v>4030</v>
      </c>
      <c r="I93" s="275" t="s">
        <v>4905</v>
      </c>
      <c r="J93" s="17"/>
      <c r="K93" s="17"/>
      <c r="L93" s="17"/>
      <c r="M93" s="375" t="str">
        <f t="shared" si="26"/>
        <v xml:space="preserve">Comercializadora Amezfier, S.A. de C.V.  </v>
      </c>
      <c r="N93" s="959" t="s">
        <v>860</v>
      </c>
      <c r="O93" s="959" t="s">
        <v>5933</v>
      </c>
      <c r="P93" s="959" t="s">
        <v>5933</v>
      </c>
      <c r="Q93" s="959" t="s">
        <v>5950</v>
      </c>
      <c r="R93" s="962">
        <v>1380000</v>
      </c>
      <c r="S93" s="383">
        <f t="shared" si="24"/>
        <v>220800</v>
      </c>
      <c r="T93" s="384">
        <f t="shared" si="28"/>
        <v>1600800</v>
      </c>
      <c r="U93" s="385" t="s">
        <v>161</v>
      </c>
      <c r="V93" s="385" t="s">
        <v>161</v>
      </c>
      <c r="W93" s="383">
        <f t="shared" si="29"/>
        <v>1600800</v>
      </c>
      <c r="X93" s="963" t="s">
        <v>156</v>
      </c>
      <c r="Y93" s="387">
        <v>44964</v>
      </c>
      <c r="Z93" s="463" t="s">
        <v>193</v>
      </c>
      <c r="AA93" s="387">
        <v>44964</v>
      </c>
      <c r="AB93" s="387">
        <v>45077</v>
      </c>
      <c r="AC93" s="4" t="s">
        <v>3113</v>
      </c>
      <c r="AD93" s="412"/>
      <c r="AE93" s="4"/>
      <c r="AF93" s="388"/>
      <c r="AG93" s="383"/>
      <c r="AH93" s="414" t="str">
        <f t="shared" ca="1" si="31"/>
        <v>MUERTO</v>
      </c>
      <c r="AI93" s="3"/>
      <c r="AJ93" s="3"/>
      <c r="AK93" s="3" t="s">
        <v>193</v>
      </c>
      <c r="AL93" s="3"/>
      <c r="AM93" s="3" t="s">
        <v>193</v>
      </c>
      <c r="AN93" s="3"/>
      <c r="AO93" s="3"/>
      <c r="AP93" s="458"/>
      <c r="AQ93" s="388"/>
      <c r="AR93" s="4"/>
      <c r="AS93" s="459"/>
      <c r="AT93" s="281" t="s">
        <v>5951</v>
      </c>
      <c r="AU93" s="4"/>
      <c r="AV93" s="4" t="e">
        <f>VLOOKUP(I93,[2]RFC!$1:$1048576,2,0)</f>
        <v>#N/A</v>
      </c>
      <c r="AW93" s="6">
        <v>44953</v>
      </c>
      <c r="AX93" s="463">
        <v>44957</v>
      </c>
      <c r="AY93" s="6">
        <v>44960</v>
      </c>
      <c r="AZ93" s="6">
        <f t="shared" si="27"/>
        <v>44960</v>
      </c>
      <c r="BA93" s="415" t="str">
        <f t="shared" si="30"/>
        <v>Contrato formalizado 17/02/23</v>
      </c>
      <c r="BB93" s="416">
        <v>44973</v>
      </c>
      <c r="BC93" s="255">
        <v>44970</v>
      </c>
      <c r="BD93" s="519"/>
      <c r="BE93" s="519"/>
      <c r="BF93" s="519"/>
      <c r="BG93" s="519"/>
      <c r="BH93" s="519"/>
    </row>
    <row r="94" spans="1:60" ht="90" x14ac:dyDescent="0.25">
      <c r="A94" s="552" t="s">
        <v>5952</v>
      </c>
      <c r="B94" s="1037">
        <v>87</v>
      </c>
      <c r="C94" s="4" t="s">
        <v>149</v>
      </c>
      <c r="D94" s="3" t="s">
        <v>151</v>
      </c>
      <c r="E94" s="18" t="s">
        <v>5953</v>
      </c>
      <c r="F94" s="3" t="s">
        <v>151</v>
      </c>
      <c r="G94" s="3"/>
      <c r="H94" s="3" t="s">
        <v>3793</v>
      </c>
      <c r="I94" s="275" t="s">
        <v>4644</v>
      </c>
      <c r="J94" s="17"/>
      <c r="K94" s="17"/>
      <c r="L94" s="17"/>
      <c r="M94" s="375" t="str">
        <f t="shared" si="26"/>
        <v xml:space="preserve">Gas Metropolitano, S.A. de C.V.  </v>
      </c>
      <c r="N94" s="959" t="s">
        <v>198</v>
      </c>
      <c r="O94" s="959" t="s">
        <v>198</v>
      </c>
      <c r="P94" s="959" t="s">
        <v>5441</v>
      </c>
      <c r="Q94" s="959" t="s">
        <v>5954</v>
      </c>
      <c r="R94" s="962">
        <v>725149.14</v>
      </c>
      <c r="S94" s="383">
        <f t="shared" si="24"/>
        <v>116023.8624</v>
      </c>
      <c r="T94" s="384">
        <f t="shared" si="28"/>
        <v>841173.0024</v>
      </c>
      <c r="U94" s="385">
        <v>426724.14</v>
      </c>
      <c r="V94" s="386">
        <f t="shared" ref="V94:V99" si="32">(U94*0.16)+(U94)</f>
        <v>495000.0024</v>
      </c>
      <c r="W94" s="383">
        <f t="shared" si="29"/>
        <v>841173.0024</v>
      </c>
      <c r="X94" s="963" t="s">
        <v>156</v>
      </c>
      <c r="Y94" s="387">
        <v>44966</v>
      </c>
      <c r="Z94" s="3" t="s">
        <v>193</v>
      </c>
      <c r="AA94" s="387">
        <v>44966</v>
      </c>
      <c r="AB94" s="387">
        <v>45372</v>
      </c>
      <c r="AC94" s="4" t="s">
        <v>3787</v>
      </c>
      <c r="AD94" s="412" t="s">
        <v>5955</v>
      </c>
      <c r="AE94" s="412" t="s">
        <v>5955</v>
      </c>
      <c r="AF94" s="388">
        <v>45289</v>
      </c>
      <c r="AG94" s="383">
        <v>0</v>
      </c>
      <c r="AH94" s="414" t="str">
        <f t="shared" ca="1" si="31"/>
        <v>MUERTO</v>
      </c>
      <c r="AI94" s="3"/>
      <c r="AJ94" s="3"/>
      <c r="AK94" s="3" t="s">
        <v>193</v>
      </c>
      <c r="AL94" s="3"/>
      <c r="AM94" s="3" t="s">
        <v>193</v>
      </c>
      <c r="AN94" s="3"/>
      <c r="AO94" s="3"/>
      <c r="AP94" s="458"/>
      <c r="AQ94" s="388"/>
      <c r="AR94" s="4"/>
      <c r="AS94" s="459"/>
      <c r="AT94" s="281" t="s">
        <v>213</v>
      </c>
      <c r="AU94" s="4"/>
      <c r="AV94" s="4" t="e">
        <f>VLOOKUP(I94,[2]RFC!$1:$1048576,2,0)</f>
        <v>#N/A</v>
      </c>
      <c r="AW94" s="6" t="s">
        <v>5956</v>
      </c>
      <c r="AX94" s="463" t="s">
        <v>5957</v>
      </c>
      <c r="AY94" s="6">
        <v>44966</v>
      </c>
      <c r="AZ94" s="6">
        <f t="shared" si="27"/>
        <v>44966</v>
      </c>
      <c r="BA94" s="415" t="str">
        <f t="shared" si="30"/>
        <v xml:space="preserve"> </v>
      </c>
      <c r="BB94" s="416" t="s">
        <v>5958</v>
      </c>
      <c r="BC94" s="255" t="s">
        <v>5959</v>
      </c>
      <c r="BD94" s="519"/>
      <c r="BE94" s="519"/>
      <c r="BF94" s="519"/>
      <c r="BG94" s="519"/>
      <c r="BH94" s="519"/>
    </row>
    <row r="95" spans="1:60" ht="60" x14ac:dyDescent="0.25">
      <c r="A95" s="539" t="s">
        <v>5960</v>
      </c>
      <c r="B95" s="1037">
        <v>88</v>
      </c>
      <c r="C95" s="4" t="s">
        <v>149</v>
      </c>
      <c r="D95" s="3" t="s">
        <v>173</v>
      </c>
      <c r="E95" s="18" t="s">
        <v>5961</v>
      </c>
      <c r="F95" s="3" t="str">
        <f t="shared" ref="F95:F131" si="33">D95</f>
        <v>Licitación Pública</v>
      </c>
      <c r="G95" s="3"/>
      <c r="H95" s="3" t="s">
        <v>3785</v>
      </c>
      <c r="I95" s="275"/>
      <c r="J95" s="17" t="s">
        <v>1469</v>
      </c>
      <c r="K95" s="17" t="s">
        <v>453</v>
      </c>
      <c r="L95" s="17" t="s">
        <v>454</v>
      </c>
      <c r="M95" s="375" t="str">
        <f t="shared" si="26"/>
        <v>Claudia Angélica López Flores</v>
      </c>
      <c r="N95" s="959" t="s">
        <v>301</v>
      </c>
      <c r="O95" s="959" t="s">
        <v>301</v>
      </c>
      <c r="P95" s="959" t="s">
        <v>5772</v>
      </c>
      <c r="Q95" s="959" t="s">
        <v>5962</v>
      </c>
      <c r="R95" s="962">
        <v>948275.86</v>
      </c>
      <c r="S95" s="383">
        <f t="shared" si="24"/>
        <v>151724.13759999999</v>
      </c>
      <c r="T95" s="384">
        <f t="shared" si="28"/>
        <v>1099999.9975999999</v>
      </c>
      <c r="U95" s="385">
        <v>379310.34</v>
      </c>
      <c r="V95" s="386">
        <f t="shared" si="32"/>
        <v>439999.99440000003</v>
      </c>
      <c r="W95" s="383">
        <f t="shared" si="29"/>
        <v>1099999.9975999999</v>
      </c>
      <c r="X95" s="963" t="s">
        <v>156</v>
      </c>
      <c r="Y95" s="387">
        <v>44986</v>
      </c>
      <c r="Z95" s="3" t="s">
        <v>234</v>
      </c>
      <c r="AA95" s="387">
        <v>44986</v>
      </c>
      <c r="AB95" s="387">
        <v>45351</v>
      </c>
      <c r="AC95" s="4" t="s">
        <v>3113</v>
      </c>
      <c r="AD95" s="412" t="s">
        <v>5963</v>
      </c>
      <c r="AE95" s="4" t="s">
        <v>5964</v>
      </c>
      <c r="AF95" s="388">
        <v>45281</v>
      </c>
      <c r="AG95" s="383">
        <v>0</v>
      </c>
      <c r="AH95" s="414" t="str">
        <f t="shared" ca="1" si="31"/>
        <v>MUERTO</v>
      </c>
      <c r="AI95" s="3"/>
      <c r="AJ95" s="3"/>
      <c r="AK95" s="3" t="s">
        <v>234</v>
      </c>
      <c r="AL95" s="3"/>
      <c r="AM95" s="3" t="s">
        <v>234</v>
      </c>
      <c r="AN95" s="3"/>
      <c r="AO95" s="3"/>
      <c r="AP95" s="458"/>
      <c r="AQ95" s="388"/>
      <c r="AR95" s="4"/>
      <c r="AS95" s="459"/>
      <c r="AT95" s="281" t="s">
        <v>4527</v>
      </c>
      <c r="AU95" s="4"/>
      <c r="AV95" s="4" t="e">
        <f>VLOOKUP(I95,[2]RFC!$1:$1048576,2,0)</f>
        <v>#N/A</v>
      </c>
      <c r="AW95" s="6" t="s">
        <v>5965</v>
      </c>
      <c r="AX95" s="463" t="s">
        <v>5966</v>
      </c>
      <c r="AY95" s="6">
        <v>44985</v>
      </c>
      <c r="AZ95" s="6">
        <f t="shared" si="27"/>
        <v>44985</v>
      </c>
      <c r="BA95" s="415" t="str">
        <f t="shared" si="30"/>
        <v>Contrato formalizado con FC 15/03</v>
      </c>
      <c r="BB95" s="416">
        <v>44992</v>
      </c>
      <c r="BC95" s="255">
        <v>44986</v>
      </c>
      <c r="BD95" s="519"/>
      <c r="BE95" s="519"/>
      <c r="BF95" s="519"/>
      <c r="BG95" s="519"/>
      <c r="BH95" s="519"/>
    </row>
    <row r="96" spans="1:60" ht="75" x14ac:dyDescent="0.25">
      <c r="A96" s="537" t="s">
        <v>5967</v>
      </c>
      <c r="B96" s="1037">
        <v>89</v>
      </c>
      <c r="C96" s="4" t="s">
        <v>149</v>
      </c>
      <c r="D96" s="3" t="s">
        <v>151</v>
      </c>
      <c r="E96" s="18" t="s">
        <v>5968</v>
      </c>
      <c r="F96" s="3" t="str">
        <f t="shared" si="33"/>
        <v>Invitación</v>
      </c>
      <c r="G96" s="3"/>
      <c r="H96" s="3" t="s">
        <v>3793</v>
      </c>
      <c r="I96" s="275" t="s">
        <v>3527</v>
      </c>
      <c r="J96" s="17"/>
      <c r="K96" s="17"/>
      <c r="L96" s="17"/>
      <c r="M96" s="375" t="str">
        <f t="shared" si="26"/>
        <v xml:space="preserve">Ambiente, Paisajismo y Ojo de Agua, S. de R.L. de C.V.  </v>
      </c>
      <c r="N96" s="959" t="s">
        <v>198</v>
      </c>
      <c r="O96" s="959" t="s">
        <v>198</v>
      </c>
      <c r="P96" s="959" t="s">
        <v>5969</v>
      </c>
      <c r="Q96" s="959" t="s">
        <v>5970</v>
      </c>
      <c r="R96" s="962">
        <v>948275.86</v>
      </c>
      <c r="S96" s="383">
        <f t="shared" si="24"/>
        <v>151724.13759999999</v>
      </c>
      <c r="T96" s="384">
        <f t="shared" si="28"/>
        <v>1099999.9975999999</v>
      </c>
      <c r="U96" s="385">
        <v>517241.38</v>
      </c>
      <c r="V96" s="386">
        <f t="shared" si="32"/>
        <v>600000.00080000004</v>
      </c>
      <c r="W96" s="383">
        <f t="shared" si="29"/>
        <v>1099999.9975999999</v>
      </c>
      <c r="X96" s="963" t="s">
        <v>156</v>
      </c>
      <c r="Y96" s="387">
        <v>44986</v>
      </c>
      <c r="Z96" s="3" t="s">
        <v>234</v>
      </c>
      <c r="AA96" s="387">
        <v>44986</v>
      </c>
      <c r="AB96" s="387">
        <v>45291</v>
      </c>
      <c r="AC96" s="4" t="s">
        <v>3787</v>
      </c>
      <c r="AD96" s="412"/>
      <c r="AE96" s="4"/>
      <c r="AF96" s="388"/>
      <c r="AG96" s="383"/>
      <c r="AH96" s="414" t="str">
        <f t="shared" ca="1" si="31"/>
        <v>MUERTO</v>
      </c>
      <c r="AI96" s="3"/>
      <c r="AJ96" s="3"/>
      <c r="AK96" s="3" t="s">
        <v>234</v>
      </c>
      <c r="AL96" s="3"/>
      <c r="AM96" s="3" t="s">
        <v>234</v>
      </c>
      <c r="AN96" s="3"/>
      <c r="AO96" s="3"/>
      <c r="AP96" s="458"/>
      <c r="AQ96" s="388"/>
      <c r="AR96" s="4"/>
      <c r="AS96" s="459"/>
      <c r="AT96" s="281" t="s">
        <v>5971</v>
      </c>
      <c r="AU96" s="4"/>
      <c r="AV96" s="4" t="e">
        <f>VLOOKUP(I96,[2]RFC!$1:$1048576,2,0)</f>
        <v>#N/A</v>
      </c>
      <c r="AW96" s="6">
        <v>44979</v>
      </c>
      <c r="AX96" s="463">
        <v>44981</v>
      </c>
      <c r="AY96" s="6">
        <v>44985</v>
      </c>
      <c r="AZ96" s="6">
        <f t="shared" si="27"/>
        <v>44985</v>
      </c>
      <c r="BA96" s="415" t="str">
        <f t="shared" si="30"/>
        <v>Contrato formalizado con FC y PRC 13/03</v>
      </c>
      <c r="BB96" s="416">
        <v>44992</v>
      </c>
      <c r="BC96" s="255">
        <v>44988</v>
      </c>
      <c r="BD96" s="519"/>
      <c r="BE96" s="519"/>
      <c r="BF96" s="519"/>
      <c r="BG96" s="519"/>
      <c r="BH96" s="519"/>
    </row>
    <row r="97" spans="1:60" ht="75" x14ac:dyDescent="0.25">
      <c r="A97" s="537" t="s">
        <v>5972</v>
      </c>
      <c r="B97" s="252">
        <v>90</v>
      </c>
      <c r="C97" s="4" t="s">
        <v>149</v>
      </c>
      <c r="D97" s="3" t="s">
        <v>163</v>
      </c>
      <c r="E97" s="18" t="s">
        <v>5973</v>
      </c>
      <c r="F97" s="3" t="str">
        <f t="shared" si="33"/>
        <v>Adjudicación Directa</v>
      </c>
      <c r="G97" s="684" t="s">
        <v>163</v>
      </c>
      <c r="H97" s="3" t="s">
        <v>3935</v>
      </c>
      <c r="I97" s="275" t="s">
        <v>1884</v>
      </c>
      <c r="J97" s="17"/>
      <c r="K97" s="17"/>
      <c r="L97" s="17"/>
      <c r="M97" s="375" t="str">
        <f t="shared" si="26"/>
        <v xml:space="preserve">Idiomas de Iztapalapa, S.C.  </v>
      </c>
      <c r="N97" s="959" t="s">
        <v>370</v>
      </c>
      <c r="O97" s="959" t="s">
        <v>5974</v>
      </c>
      <c r="P97" s="959" t="s">
        <v>5975</v>
      </c>
      <c r="Q97" s="959" t="s">
        <v>5976</v>
      </c>
      <c r="R97" s="962">
        <v>775862.07</v>
      </c>
      <c r="S97" s="383">
        <f t="shared" ref="S97:S129" si="34">R97*0.16</f>
        <v>124137.93119999999</v>
      </c>
      <c r="T97" s="384">
        <f t="shared" si="28"/>
        <v>900000.00119999994</v>
      </c>
      <c r="U97" s="385" t="s">
        <v>161</v>
      </c>
      <c r="V97" s="386" t="e">
        <f t="shared" si="32"/>
        <v>#VALUE!</v>
      </c>
      <c r="W97" s="383">
        <f t="shared" si="29"/>
        <v>900000.00119999994</v>
      </c>
      <c r="X97" s="963" t="s">
        <v>156</v>
      </c>
      <c r="Y97" s="387">
        <v>44986</v>
      </c>
      <c r="Z97" s="3" t="s">
        <v>234</v>
      </c>
      <c r="AA97" s="387">
        <v>44986</v>
      </c>
      <c r="AB97" s="387">
        <v>45291</v>
      </c>
      <c r="AC97" s="4" t="s">
        <v>2050</v>
      </c>
      <c r="AD97" s="412"/>
      <c r="AE97" s="4"/>
      <c r="AF97" s="388"/>
      <c r="AG97" s="383"/>
      <c r="AH97" s="414" t="str">
        <f t="shared" ca="1" si="31"/>
        <v>MUERTO</v>
      </c>
      <c r="AI97" s="3"/>
      <c r="AJ97" s="3"/>
      <c r="AK97" s="3" t="s">
        <v>234</v>
      </c>
      <c r="AL97" s="3"/>
      <c r="AM97" s="3" t="s">
        <v>234</v>
      </c>
      <c r="AN97" s="3"/>
      <c r="AO97" s="3"/>
      <c r="AP97" s="458"/>
      <c r="AQ97" s="388"/>
      <c r="AR97" s="4"/>
      <c r="AS97" s="459"/>
      <c r="AT97" s="281" t="s">
        <v>5977</v>
      </c>
      <c r="AU97" s="4"/>
      <c r="AV97" s="4" t="e">
        <f>VLOOKUP(I97,[2]RFC!$1:$1048576,2,0)</f>
        <v>#N/A</v>
      </c>
      <c r="AW97" s="6">
        <v>44980</v>
      </c>
      <c r="AX97" s="463">
        <v>44981</v>
      </c>
      <c r="AY97" s="6">
        <v>44985</v>
      </c>
      <c r="AZ97" s="6">
        <f t="shared" si="27"/>
        <v>44985</v>
      </c>
      <c r="BA97" s="415" t="str">
        <f t="shared" si="30"/>
        <v>Contrato formalizado 03/03</v>
      </c>
      <c r="BB97" s="416">
        <v>44988</v>
      </c>
      <c r="BC97" s="255">
        <v>44986</v>
      </c>
      <c r="BD97" s="519"/>
      <c r="BE97" s="519"/>
      <c r="BF97" s="519"/>
      <c r="BG97" s="519"/>
      <c r="BH97" s="519"/>
    </row>
    <row r="98" spans="1:60" ht="75" x14ac:dyDescent="0.25">
      <c r="A98" s="539" t="s">
        <v>5978</v>
      </c>
      <c r="B98" s="1037">
        <v>91</v>
      </c>
      <c r="C98" s="4" t="s">
        <v>149</v>
      </c>
      <c r="D98" s="3" t="s">
        <v>173</v>
      </c>
      <c r="E98" s="18" t="s">
        <v>5961</v>
      </c>
      <c r="F98" s="3" t="str">
        <f t="shared" si="33"/>
        <v>Licitación Pública</v>
      </c>
      <c r="G98" s="3"/>
      <c r="H98" s="3" t="s">
        <v>3785</v>
      </c>
      <c r="I98" s="275"/>
      <c r="J98" s="17" t="s">
        <v>384</v>
      </c>
      <c r="K98" s="17" t="s">
        <v>259</v>
      </c>
      <c r="L98" s="17" t="s">
        <v>385</v>
      </c>
      <c r="M98" s="375" t="str">
        <f t="shared" si="26"/>
        <v>Mario Alberto Contreras García</v>
      </c>
      <c r="N98" s="959" t="s">
        <v>301</v>
      </c>
      <c r="O98" s="959" t="s">
        <v>301</v>
      </c>
      <c r="P98" s="959" t="s">
        <v>5772</v>
      </c>
      <c r="Q98" s="959" t="s">
        <v>5979</v>
      </c>
      <c r="R98" s="962">
        <v>1580459.77</v>
      </c>
      <c r="S98" s="383">
        <f t="shared" si="34"/>
        <v>252873.5632</v>
      </c>
      <c r="T98" s="384">
        <f t="shared" si="28"/>
        <v>1833333.3332</v>
      </c>
      <c r="U98" s="385">
        <v>632183.91</v>
      </c>
      <c r="V98" s="386">
        <f t="shared" si="32"/>
        <v>733333.33559999999</v>
      </c>
      <c r="W98" s="383">
        <f t="shared" si="29"/>
        <v>1833333.3332</v>
      </c>
      <c r="X98" s="963" t="s">
        <v>156</v>
      </c>
      <c r="Y98" s="387">
        <v>44986</v>
      </c>
      <c r="Z98" s="3" t="s">
        <v>234</v>
      </c>
      <c r="AA98" s="387">
        <v>44986</v>
      </c>
      <c r="AB98" s="387">
        <v>45351</v>
      </c>
      <c r="AC98" s="4" t="s">
        <v>3113</v>
      </c>
      <c r="AD98" s="412" t="s">
        <v>5963</v>
      </c>
      <c r="AE98" s="4" t="s">
        <v>5964</v>
      </c>
      <c r="AF98" s="388">
        <v>45279</v>
      </c>
      <c r="AG98" s="383">
        <v>0</v>
      </c>
      <c r="AH98" s="414" t="str">
        <f t="shared" ca="1" si="31"/>
        <v>MUERTO</v>
      </c>
      <c r="AI98" s="3"/>
      <c r="AJ98" s="3"/>
      <c r="AK98" s="3" t="s">
        <v>234</v>
      </c>
      <c r="AL98" s="3"/>
      <c r="AM98" s="3" t="s">
        <v>234</v>
      </c>
      <c r="AN98" s="3"/>
      <c r="AO98" s="3"/>
      <c r="AP98" s="458"/>
      <c r="AQ98" s="388"/>
      <c r="AR98" s="4"/>
      <c r="AS98" s="459"/>
      <c r="AT98" s="281" t="s">
        <v>5980</v>
      </c>
      <c r="AU98" s="4"/>
      <c r="AV98" s="4" t="e">
        <f>VLOOKUP(I98,[2]RFC!$1:$1048576,2,0)</f>
        <v>#N/A</v>
      </c>
      <c r="AW98" s="6" t="s">
        <v>5981</v>
      </c>
      <c r="AX98" s="463" t="s">
        <v>5982</v>
      </c>
      <c r="AY98" s="6">
        <v>44985</v>
      </c>
      <c r="AZ98" s="6">
        <f t="shared" si="27"/>
        <v>44985</v>
      </c>
      <c r="BA98" s="415" t="str">
        <f t="shared" si="30"/>
        <v>Contrato formalizado con FC 15/03  24/01/2024</v>
      </c>
      <c r="BB98" s="416" t="s">
        <v>5983</v>
      </c>
      <c r="BC98" s="255" t="s">
        <v>5984</v>
      </c>
      <c r="BD98" s="519"/>
      <c r="BE98" s="519"/>
      <c r="BF98" s="519"/>
      <c r="BG98" s="519"/>
      <c r="BH98" s="519"/>
    </row>
    <row r="99" spans="1:60" ht="105" x14ac:dyDescent="0.25">
      <c r="A99" s="537" t="s">
        <v>5985</v>
      </c>
      <c r="B99" s="1037">
        <v>92</v>
      </c>
      <c r="C99" s="4" t="s">
        <v>149</v>
      </c>
      <c r="D99" s="3" t="s">
        <v>173</v>
      </c>
      <c r="E99" s="18" t="s">
        <v>5986</v>
      </c>
      <c r="F99" s="3" t="str">
        <f t="shared" si="33"/>
        <v>Licitación Pública</v>
      </c>
      <c r="G99" s="3"/>
      <c r="H99" s="3" t="s">
        <v>3785</v>
      </c>
      <c r="I99" s="275" t="s">
        <v>4537</v>
      </c>
      <c r="J99" s="17"/>
      <c r="K99" s="17"/>
      <c r="L99" s="17"/>
      <c r="M99" s="375" t="str">
        <f t="shared" si="26"/>
        <v xml:space="preserve">Escalator, Elevator &amp; Electromechanics Enterprise, S.A. de C.V.  </v>
      </c>
      <c r="N99" s="959" t="s">
        <v>198</v>
      </c>
      <c r="O99" s="959" t="s">
        <v>198</v>
      </c>
      <c r="P99" s="959" t="s">
        <v>5441</v>
      </c>
      <c r="Q99" s="959" t="s">
        <v>5987</v>
      </c>
      <c r="R99" s="962">
        <v>2860101.56</v>
      </c>
      <c r="S99" s="383">
        <f t="shared" si="34"/>
        <v>457616.24960000004</v>
      </c>
      <c r="T99" s="384">
        <f t="shared" si="28"/>
        <v>3317717.8096000003</v>
      </c>
      <c r="U99" s="385">
        <v>1609114.92</v>
      </c>
      <c r="V99" s="386">
        <f t="shared" si="32"/>
        <v>1866573.3071999999</v>
      </c>
      <c r="W99" s="383">
        <f t="shared" si="29"/>
        <v>3317717.8096000003</v>
      </c>
      <c r="X99" s="963" t="s">
        <v>156</v>
      </c>
      <c r="Y99" s="387">
        <v>44986</v>
      </c>
      <c r="Z99" s="463" t="s">
        <v>234</v>
      </c>
      <c r="AA99" s="387">
        <v>44986</v>
      </c>
      <c r="AB99" s="387">
        <v>45291</v>
      </c>
      <c r="AC99" s="4" t="s">
        <v>4717</v>
      </c>
      <c r="AD99" s="412" t="s">
        <v>5988</v>
      </c>
      <c r="AE99" s="4"/>
      <c r="AF99" s="388"/>
      <c r="AG99" s="383"/>
      <c r="AH99" s="414" t="str">
        <f t="shared" ca="1" si="31"/>
        <v>MUERTO</v>
      </c>
      <c r="AI99" s="3"/>
      <c r="AJ99" s="3"/>
      <c r="AK99" s="3" t="s">
        <v>234</v>
      </c>
      <c r="AL99" s="3"/>
      <c r="AM99" s="3" t="s">
        <v>234</v>
      </c>
      <c r="AN99" s="3"/>
      <c r="AO99" s="3"/>
      <c r="AP99" s="458"/>
      <c r="AQ99" s="388"/>
      <c r="AR99" s="4"/>
      <c r="AS99" s="459"/>
      <c r="AT99" s="281" t="s">
        <v>5455</v>
      </c>
      <c r="AU99" s="4"/>
      <c r="AV99" s="4" t="str">
        <f>VLOOKUP(I99,[2]RFC!$1:$1048576,2,0)</f>
        <v>EEA1006077G5</v>
      </c>
      <c r="AW99" s="6">
        <v>44984</v>
      </c>
      <c r="AX99" s="463"/>
      <c r="AY99" s="6"/>
      <c r="AZ99" s="6">
        <f t="shared" si="27"/>
        <v>0</v>
      </c>
      <c r="BA99" s="415" t="str">
        <f t="shared" si="30"/>
        <v>Contrato formalizado con garantía 21/03</v>
      </c>
      <c r="BB99" s="416">
        <v>44998</v>
      </c>
      <c r="BC99" s="255">
        <v>44995</v>
      </c>
      <c r="BD99" s="519"/>
      <c r="BE99" s="519"/>
      <c r="BF99" s="519"/>
      <c r="BG99" s="519"/>
      <c r="BH99" s="519"/>
    </row>
    <row r="100" spans="1:60" ht="90" x14ac:dyDescent="0.25">
      <c r="A100" s="537" t="s">
        <v>5989</v>
      </c>
      <c r="B100" s="1037">
        <v>93</v>
      </c>
      <c r="C100" s="4" t="s">
        <v>149</v>
      </c>
      <c r="D100" s="3" t="s">
        <v>163</v>
      </c>
      <c r="E100" s="18" t="s">
        <v>5439</v>
      </c>
      <c r="F100" s="3" t="s">
        <v>5365</v>
      </c>
      <c r="G100" s="685" t="s">
        <v>546</v>
      </c>
      <c r="H100" s="3" t="s">
        <v>4185</v>
      </c>
      <c r="I100" s="275" t="s">
        <v>2132</v>
      </c>
      <c r="J100" s="17"/>
      <c r="K100" s="17"/>
      <c r="L100" s="17"/>
      <c r="M100" s="375" t="str">
        <f t="shared" si="26"/>
        <v xml:space="preserve">Detecno, S.A. de C.V.  </v>
      </c>
      <c r="N100" s="959" t="s">
        <v>461</v>
      </c>
      <c r="O100" s="959" t="s">
        <v>461</v>
      </c>
      <c r="P100" s="959" t="s">
        <v>3433</v>
      </c>
      <c r="Q100" s="959" t="s">
        <v>5990</v>
      </c>
      <c r="R100" s="962">
        <v>2135341.92</v>
      </c>
      <c r="S100" s="383">
        <f t="shared" si="34"/>
        <v>341654.7072</v>
      </c>
      <c r="T100" s="384">
        <f t="shared" si="28"/>
        <v>2476996.6272</v>
      </c>
      <c r="U100" s="385" t="s">
        <v>161</v>
      </c>
      <c r="V100" s="385" t="s">
        <v>161</v>
      </c>
      <c r="W100" s="383">
        <f t="shared" si="29"/>
        <v>2476996.6272</v>
      </c>
      <c r="X100" s="963" t="s">
        <v>156</v>
      </c>
      <c r="Y100" s="387">
        <v>44986</v>
      </c>
      <c r="Z100" s="3" t="s">
        <v>234</v>
      </c>
      <c r="AA100" s="387">
        <v>44986</v>
      </c>
      <c r="AB100" s="387">
        <v>45291</v>
      </c>
      <c r="AC100" s="4" t="s">
        <v>3113</v>
      </c>
      <c r="AD100" s="412"/>
      <c r="AE100" s="4"/>
      <c r="AF100" s="388"/>
      <c r="AG100" s="383"/>
      <c r="AH100" s="414" t="str">
        <f t="shared" ca="1" si="31"/>
        <v>MUERTO</v>
      </c>
      <c r="AI100" s="3"/>
      <c r="AJ100" s="3"/>
      <c r="AK100" s="3" t="s">
        <v>234</v>
      </c>
      <c r="AL100" s="3"/>
      <c r="AM100" s="3" t="s">
        <v>234</v>
      </c>
      <c r="AN100" s="3"/>
      <c r="AO100" s="3"/>
      <c r="AP100" s="458"/>
      <c r="AQ100" s="388"/>
      <c r="AR100" s="4"/>
      <c r="AS100" s="459"/>
      <c r="AT100" s="281" t="s">
        <v>5991</v>
      </c>
      <c r="AU100" s="4"/>
      <c r="AV100" s="4" t="e">
        <f>VLOOKUP(I100,[2]RFC!$1:$1048576,2,0)</f>
        <v>#N/A</v>
      </c>
      <c r="AW100" s="6">
        <v>44981</v>
      </c>
      <c r="AX100" s="463">
        <v>44985</v>
      </c>
      <c r="AY100" s="6">
        <v>44987</v>
      </c>
      <c r="AZ100" s="6">
        <f t="shared" si="27"/>
        <v>44987</v>
      </c>
      <c r="BA100" s="415" t="str">
        <f t="shared" si="30"/>
        <v>Contrato formalizado con fc 13/03</v>
      </c>
      <c r="BB100" s="416">
        <v>44992</v>
      </c>
      <c r="BC100" s="255">
        <v>44992</v>
      </c>
      <c r="BD100" s="519"/>
      <c r="BE100" s="519"/>
      <c r="BF100" s="519"/>
      <c r="BG100" s="519"/>
      <c r="BH100" s="519"/>
    </row>
    <row r="101" spans="1:60" ht="75" x14ac:dyDescent="0.25">
      <c r="A101" s="537" t="s">
        <v>5992</v>
      </c>
      <c r="B101" s="252">
        <v>94</v>
      </c>
      <c r="C101" s="4" t="s">
        <v>149</v>
      </c>
      <c r="D101" s="3" t="s">
        <v>163</v>
      </c>
      <c r="E101" s="18" t="s">
        <v>5439</v>
      </c>
      <c r="F101" s="3" t="s">
        <v>5365</v>
      </c>
      <c r="G101" s="685" t="s">
        <v>546</v>
      </c>
      <c r="H101" s="3" t="s">
        <v>4030</v>
      </c>
      <c r="I101" s="275" t="s">
        <v>4173</v>
      </c>
      <c r="J101" s="17"/>
      <c r="K101" s="17"/>
      <c r="L101" s="17"/>
      <c r="M101" s="375" t="str">
        <f t="shared" si="26"/>
        <v xml:space="preserve">Catorce días, S.A. de C.V.  </v>
      </c>
      <c r="N101" s="959" t="s">
        <v>860</v>
      </c>
      <c r="O101" s="959" t="s">
        <v>1946</v>
      </c>
      <c r="P101" s="959" t="s">
        <v>1946</v>
      </c>
      <c r="Q101" s="959" t="s">
        <v>4174</v>
      </c>
      <c r="R101" s="962">
        <v>540000</v>
      </c>
      <c r="S101" s="383">
        <f t="shared" si="34"/>
        <v>86400</v>
      </c>
      <c r="T101" s="384">
        <f t="shared" si="28"/>
        <v>626400</v>
      </c>
      <c r="U101" s="385" t="s">
        <v>161</v>
      </c>
      <c r="V101" s="386" t="s">
        <v>161</v>
      </c>
      <c r="W101" s="383">
        <f t="shared" si="29"/>
        <v>626400</v>
      </c>
      <c r="X101" s="963" t="s">
        <v>156</v>
      </c>
      <c r="Y101" s="387">
        <v>44991</v>
      </c>
      <c r="Z101" s="3" t="s">
        <v>234</v>
      </c>
      <c r="AA101" s="387">
        <v>44991</v>
      </c>
      <c r="AB101" s="387">
        <v>45260</v>
      </c>
      <c r="AC101" s="4" t="s">
        <v>3113</v>
      </c>
      <c r="AD101" s="412"/>
      <c r="AE101" s="4"/>
      <c r="AF101" s="388"/>
      <c r="AG101" s="383"/>
      <c r="AH101" s="414" t="str">
        <f t="shared" ca="1" si="31"/>
        <v>MUERTO</v>
      </c>
      <c r="AI101" s="3"/>
      <c r="AJ101" s="3"/>
      <c r="AK101" s="3" t="s">
        <v>234</v>
      </c>
      <c r="AL101" s="3"/>
      <c r="AM101" s="3" t="s">
        <v>234</v>
      </c>
      <c r="AN101" s="3"/>
      <c r="AO101" s="3"/>
      <c r="AP101" s="458"/>
      <c r="AQ101" s="388"/>
      <c r="AR101" s="4"/>
      <c r="AS101" s="459"/>
      <c r="AT101" s="281" t="s">
        <v>5993</v>
      </c>
      <c r="AU101" s="4"/>
      <c r="AV101" s="4" t="e">
        <f>VLOOKUP(I101,[2]RFC!$1:$1048576,2,0)</f>
        <v>#N/A</v>
      </c>
      <c r="AW101" s="6">
        <v>44981</v>
      </c>
      <c r="AX101" s="463">
        <v>44984</v>
      </c>
      <c r="AY101" s="6">
        <v>44991</v>
      </c>
      <c r="AZ101" s="6">
        <f t="shared" si="27"/>
        <v>44991</v>
      </c>
      <c r="BA101" s="415" t="str">
        <f t="shared" si="30"/>
        <v>Contrato formalizado con garantía 29/03</v>
      </c>
      <c r="BB101" s="416">
        <v>44995</v>
      </c>
      <c r="BC101" s="255">
        <v>44992</v>
      </c>
      <c r="BD101" s="519"/>
      <c r="BE101" s="519"/>
      <c r="BF101" s="519"/>
      <c r="BG101" s="519"/>
      <c r="BH101" s="519"/>
    </row>
    <row r="102" spans="1:60" ht="90" x14ac:dyDescent="0.25">
      <c r="A102" s="537" t="s">
        <v>5994</v>
      </c>
      <c r="B102" s="1037">
        <v>95</v>
      </c>
      <c r="C102" s="4" t="s">
        <v>149</v>
      </c>
      <c r="D102" s="3" t="s">
        <v>173</v>
      </c>
      <c r="E102" s="18" t="s">
        <v>5995</v>
      </c>
      <c r="F102" s="3" t="str">
        <f t="shared" si="33"/>
        <v>Licitación Pública</v>
      </c>
      <c r="G102" s="3"/>
      <c r="H102" s="3" t="s">
        <v>3785</v>
      </c>
      <c r="I102" s="275" t="s">
        <v>4199</v>
      </c>
      <c r="J102" s="17"/>
      <c r="K102" s="17"/>
      <c r="L102" s="17"/>
      <c r="M102" s="375" t="str">
        <f t="shared" si="26"/>
        <v xml:space="preserve">TVMDIGITAL, S. DE R.L. DE C.V.  </v>
      </c>
      <c r="N102" s="959" t="s">
        <v>179</v>
      </c>
      <c r="O102" s="959" t="s">
        <v>179</v>
      </c>
      <c r="P102" s="959" t="s">
        <v>3541</v>
      </c>
      <c r="Q102" s="959" t="s">
        <v>5996</v>
      </c>
      <c r="R102" s="962">
        <v>2844827.59</v>
      </c>
      <c r="S102" s="383">
        <f t="shared" si="34"/>
        <v>455172.41440000001</v>
      </c>
      <c r="T102" s="384">
        <f t="shared" si="28"/>
        <v>3300000.0044</v>
      </c>
      <c r="U102" s="385">
        <v>1137931.04</v>
      </c>
      <c r="V102" s="386">
        <f>(U102*0.16)+(U102)</f>
        <v>1320000.0064000001</v>
      </c>
      <c r="W102" s="383">
        <f t="shared" si="29"/>
        <v>3300000.0044</v>
      </c>
      <c r="X102" s="963" t="s">
        <v>156</v>
      </c>
      <c r="Y102" s="387">
        <v>44993</v>
      </c>
      <c r="Z102" s="3" t="s">
        <v>234</v>
      </c>
      <c r="AA102" s="387">
        <v>44993</v>
      </c>
      <c r="AB102" s="387">
        <v>45291</v>
      </c>
      <c r="AC102" s="4" t="s">
        <v>4007</v>
      </c>
      <c r="AD102" s="412"/>
      <c r="AE102" s="4"/>
      <c r="AF102" s="388"/>
      <c r="AG102" s="383"/>
      <c r="AH102" s="414" t="str">
        <f t="shared" ca="1" si="31"/>
        <v>MUERTO</v>
      </c>
      <c r="AI102" s="3"/>
      <c r="AJ102" s="3"/>
      <c r="AK102" s="3" t="s">
        <v>234</v>
      </c>
      <c r="AL102" s="3"/>
      <c r="AM102" s="3" t="s">
        <v>234</v>
      </c>
      <c r="AN102" s="3"/>
      <c r="AO102" s="3"/>
      <c r="AP102" s="458"/>
      <c r="AQ102" s="388"/>
      <c r="AR102" s="4"/>
      <c r="AS102" s="459"/>
      <c r="AT102" s="281" t="s">
        <v>5993</v>
      </c>
      <c r="AU102" s="4"/>
      <c r="AV102" s="4" t="e">
        <f>VLOOKUP(I102,[2]RFC!$1:$1048576,2,0)</f>
        <v>#N/A</v>
      </c>
      <c r="AW102" s="6">
        <v>44992</v>
      </c>
      <c r="AX102" s="463">
        <v>44992</v>
      </c>
      <c r="AY102" s="6">
        <v>44994</v>
      </c>
      <c r="AZ102" s="6">
        <f t="shared" si="27"/>
        <v>44994</v>
      </c>
      <c r="BA102" s="415" t="str">
        <f t="shared" si="30"/>
        <v>Contrato formalizado con garantía 29/03</v>
      </c>
      <c r="BB102" s="416">
        <v>45001</v>
      </c>
      <c r="BC102" s="255">
        <v>44998</v>
      </c>
      <c r="BD102" s="519"/>
      <c r="BE102" s="519"/>
      <c r="BF102" s="519"/>
      <c r="BG102" s="519"/>
      <c r="BH102" s="519"/>
    </row>
    <row r="103" spans="1:60" ht="75" x14ac:dyDescent="0.25">
      <c r="A103" s="537" t="s">
        <v>5997</v>
      </c>
      <c r="B103" s="1037">
        <v>96</v>
      </c>
      <c r="C103" s="4" t="s">
        <v>149</v>
      </c>
      <c r="D103" s="3" t="s">
        <v>151</v>
      </c>
      <c r="E103" s="18" t="s">
        <v>5998</v>
      </c>
      <c r="F103" s="3" t="str">
        <f t="shared" si="33"/>
        <v>Invitación</v>
      </c>
      <c r="G103" s="3"/>
      <c r="H103" s="3" t="s">
        <v>3793</v>
      </c>
      <c r="I103" s="275" t="s">
        <v>1038</v>
      </c>
      <c r="J103" s="17"/>
      <c r="K103" s="17"/>
      <c r="L103" s="17"/>
      <c r="M103" s="375" t="str">
        <f t="shared" si="26"/>
        <v xml:space="preserve">Sistemas Neumáticos de Envíos, S.A. de C.V.  </v>
      </c>
      <c r="N103" s="959" t="s">
        <v>198</v>
      </c>
      <c r="O103" s="959" t="s">
        <v>198</v>
      </c>
      <c r="P103" s="959" t="s">
        <v>5441</v>
      </c>
      <c r="Q103" s="959" t="s">
        <v>5999</v>
      </c>
      <c r="R103" s="962">
        <v>833126.97</v>
      </c>
      <c r="S103" s="383">
        <f t="shared" si="34"/>
        <v>133300.31520000001</v>
      </c>
      <c r="T103" s="384">
        <f t="shared" si="28"/>
        <v>966427.28520000004</v>
      </c>
      <c r="U103" s="385">
        <v>451455.73</v>
      </c>
      <c r="V103" s="386">
        <f>(U103*0.16)+(U103)</f>
        <v>523688.64679999999</v>
      </c>
      <c r="W103" s="383">
        <f t="shared" si="29"/>
        <v>966427.28520000004</v>
      </c>
      <c r="X103" s="963" t="s">
        <v>156</v>
      </c>
      <c r="Y103" s="387">
        <v>44998</v>
      </c>
      <c r="Z103" s="3" t="s">
        <v>234</v>
      </c>
      <c r="AA103" s="387">
        <v>44998</v>
      </c>
      <c r="AB103" s="387">
        <v>45291</v>
      </c>
      <c r="AC103" s="4" t="s">
        <v>3787</v>
      </c>
      <c r="AD103" s="412"/>
      <c r="AE103" s="4"/>
      <c r="AF103" s="388"/>
      <c r="AG103" s="383"/>
      <c r="AH103" s="414" t="str">
        <f t="shared" ca="1" si="31"/>
        <v>MUERTO</v>
      </c>
      <c r="AI103" s="3"/>
      <c r="AJ103" s="3"/>
      <c r="AK103" s="3" t="s">
        <v>234</v>
      </c>
      <c r="AL103" s="3"/>
      <c r="AM103" s="3" t="s">
        <v>234</v>
      </c>
      <c r="AN103" s="3"/>
      <c r="AO103" s="3"/>
      <c r="AP103" s="458"/>
      <c r="AQ103" s="388"/>
      <c r="AR103" s="4"/>
      <c r="AS103" s="459"/>
      <c r="AT103" s="281" t="s">
        <v>6000</v>
      </c>
      <c r="AU103" s="4"/>
      <c r="AV103" s="4" t="str">
        <f>VLOOKUP(I103,[2]RFC!$1:$1048576,2,0)</f>
        <v>SNE8902146C0</v>
      </c>
      <c r="AW103" s="6">
        <v>44993</v>
      </c>
      <c r="AX103" s="463">
        <v>44994</v>
      </c>
      <c r="AY103" s="6">
        <v>44998</v>
      </c>
      <c r="AZ103" s="6">
        <f t="shared" si="27"/>
        <v>44998</v>
      </c>
      <c r="BA103" s="415" t="str">
        <f t="shared" si="30"/>
        <v>Contrato formalizado con garantías 13/04</v>
      </c>
      <c r="BB103" s="416">
        <v>45001</v>
      </c>
      <c r="BC103" s="255">
        <v>44999</v>
      </c>
      <c r="BD103" s="519"/>
      <c r="BE103" s="519"/>
      <c r="BF103" s="519"/>
      <c r="BG103" s="519"/>
      <c r="BH103" s="519"/>
    </row>
    <row r="104" spans="1:60" ht="75" x14ac:dyDescent="0.25">
      <c r="A104" s="537" t="s">
        <v>6001</v>
      </c>
      <c r="B104" s="1037">
        <v>97</v>
      </c>
      <c r="C104" s="4" t="s">
        <v>149</v>
      </c>
      <c r="D104" s="3" t="s">
        <v>151</v>
      </c>
      <c r="E104" s="18" t="s">
        <v>6002</v>
      </c>
      <c r="F104" s="3" t="str">
        <f t="shared" si="33"/>
        <v>Invitación</v>
      </c>
      <c r="G104" s="3"/>
      <c r="H104" s="3" t="s">
        <v>3793</v>
      </c>
      <c r="I104" s="275" t="s">
        <v>4537</v>
      </c>
      <c r="J104" s="17"/>
      <c r="K104" s="17"/>
      <c r="L104" s="17"/>
      <c r="M104" s="375" t="str">
        <f t="shared" ref="M104:M136" si="35">I104&amp;J104&amp;" "&amp;K104&amp;" "&amp;L104</f>
        <v xml:space="preserve">Escalator, Elevator &amp; Electromechanics Enterprise, S.A. de C.V.  </v>
      </c>
      <c r="N104" s="959" t="s">
        <v>198</v>
      </c>
      <c r="O104" s="959" t="s">
        <v>198</v>
      </c>
      <c r="P104" s="959" t="s">
        <v>352</v>
      </c>
      <c r="Q104" s="959" t="s">
        <v>6003</v>
      </c>
      <c r="R104" s="962">
        <v>844700</v>
      </c>
      <c r="S104" s="383">
        <f t="shared" si="34"/>
        <v>135152</v>
      </c>
      <c r="T104" s="384">
        <f t="shared" si="28"/>
        <v>979852</v>
      </c>
      <c r="U104" s="385" t="s">
        <v>161</v>
      </c>
      <c r="V104" s="385" t="s">
        <v>161</v>
      </c>
      <c r="W104" s="383">
        <f t="shared" si="29"/>
        <v>979852</v>
      </c>
      <c r="X104" s="963" t="s">
        <v>156</v>
      </c>
      <c r="Y104" s="387">
        <v>45013</v>
      </c>
      <c r="Z104" s="3" t="s">
        <v>234</v>
      </c>
      <c r="AA104" s="387">
        <v>45013</v>
      </c>
      <c r="AB104" s="387">
        <v>45291</v>
      </c>
      <c r="AC104" s="4" t="s">
        <v>4044</v>
      </c>
      <c r="AD104" s="412"/>
      <c r="AE104" s="4"/>
      <c r="AF104" s="388"/>
      <c r="AG104" s="383"/>
      <c r="AH104" s="414" t="str">
        <f t="shared" ca="1" si="31"/>
        <v>MUERTO</v>
      </c>
      <c r="AI104" s="3"/>
      <c r="AJ104" s="3"/>
      <c r="AK104" s="3" t="s">
        <v>234</v>
      </c>
      <c r="AL104" s="3"/>
      <c r="AM104" s="3" t="s">
        <v>234</v>
      </c>
      <c r="AN104" s="3"/>
      <c r="AO104" s="3"/>
      <c r="AP104" s="458"/>
      <c r="AQ104" s="388"/>
      <c r="AR104" s="4"/>
      <c r="AS104" s="459"/>
      <c r="AT104" s="281" t="s">
        <v>6004</v>
      </c>
      <c r="AU104" s="4"/>
      <c r="AV104" s="4" t="str">
        <f>VLOOKUP(I104,[2]RFC!$1:$1048576,2,0)</f>
        <v>EEA1006077G5</v>
      </c>
      <c r="AW104" s="6">
        <v>45008</v>
      </c>
      <c r="AX104" s="463">
        <v>45009</v>
      </c>
      <c r="AY104" s="6">
        <v>45014</v>
      </c>
      <c r="AZ104" s="6">
        <f t="shared" si="27"/>
        <v>45014</v>
      </c>
      <c r="BA104" s="415" t="str">
        <f t="shared" si="30"/>
        <v>Contrato formalizado con garantías 20/04</v>
      </c>
      <c r="BB104" s="416">
        <v>45016</v>
      </c>
      <c r="BC104" s="255">
        <v>45014</v>
      </c>
      <c r="BD104" s="519"/>
      <c r="BE104" s="519"/>
      <c r="BF104" s="519"/>
      <c r="BG104" s="519"/>
      <c r="BH104" s="519"/>
    </row>
    <row r="105" spans="1:60" ht="90" x14ac:dyDescent="0.25">
      <c r="A105" s="537" t="s">
        <v>6005</v>
      </c>
      <c r="B105" s="252">
        <v>98</v>
      </c>
      <c r="C105" s="4" t="s">
        <v>149</v>
      </c>
      <c r="D105" s="3" t="s">
        <v>151</v>
      </c>
      <c r="E105" s="18" t="s">
        <v>6006</v>
      </c>
      <c r="F105" s="3" t="str">
        <f t="shared" si="33"/>
        <v>Invitación</v>
      </c>
      <c r="G105" s="3"/>
      <c r="H105" s="3" t="s">
        <v>3793</v>
      </c>
      <c r="I105" s="275" t="s">
        <v>1692</v>
      </c>
      <c r="J105" s="17"/>
      <c r="K105" s="17"/>
      <c r="L105" s="17"/>
      <c r="M105" s="375" t="str">
        <f t="shared" si="35"/>
        <v xml:space="preserve">Enforcer Units Fire Service Pluse México, S.A. de C.V.  </v>
      </c>
      <c r="N105" s="959" t="s">
        <v>5099</v>
      </c>
      <c r="O105" s="959" t="s">
        <v>5099</v>
      </c>
      <c r="P105" s="959" t="s">
        <v>6007</v>
      </c>
      <c r="Q105" s="959" t="s">
        <v>6008</v>
      </c>
      <c r="R105" s="962">
        <v>821340</v>
      </c>
      <c r="S105" s="383">
        <f t="shared" si="34"/>
        <v>131414.39999999999</v>
      </c>
      <c r="T105" s="384">
        <f t="shared" si="28"/>
        <v>952754.4</v>
      </c>
      <c r="U105" s="385" t="s">
        <v>161</v>
      </c>
      <c r="V105" s="386" t="s">
        <v>161</v>
      </c>
      <c r="W105" s="383">
        <f t="shared" si="29"/>
        <v>952754.4</v>
      </c>
      <c r="X105" s="963" t="s">
        <v>156</v>
      </c>
      <c r="Y105" s="387">
        <v>45014</v>
      </c>
      <c r="Z105" s="3" t="s">
        <v>234</v>
      </c>
      <c r="AA105" s="387">
        <v>45014</v>
      </c>
      <c r="AB105" s="387">
        <v>45291</v>
      </c>
      <c r="AC105" s="4" t="s">
        <v>4044</v>
      </c>
      <c r="AD105" s="412"/>
      <c r="AE105" s="4"/>
      <c r="AF105" s="388"/>
      <c r="AG105" s="383"/>
      <c r="AH105" s="414" t="str">
        <f t="shared" ca="1" si="31"/>
        <v>MUERTO</v>
      </c>
      <c r="AI105" s="3"/>
      <c r="AJ105" s="3"/>
      <c r="AK105" s="3" t="s">
        <v>234</v>
      </c>
      <c r="AL105" s="3"/>
      <c r="AM105" s="3" t="s">
        <v>234</v>
      </c>
      <c r="AN105" s="3"/>
      <c r="AO105" s="3"/>
      <c r="AP105" s="458"/>
      <c r="AQ105" s="388"/>
      <c r="AR105" s="4"/>
      <c r="AS105" s="459"/>
      <c r="AT105" s="281" t="s">
        <v>6009</v>
      </c>
      <c r="AU105" s="4"/>
      <c r="AV105" s="4" t="e">
        <f>VLOOKUP(I105,[2]RFC!$1:$1048576,2,0)</f>
        <v>#N/A</v>
      </c>
      <c r="AW105" s="6">
        <v>45009</v>
      </c>
      <c r="AX105" s="463">
        <v>45012</v>
      </c>
      <c r="AY105" s="6">
        <v>45014</v>
      </c>
      <c r="AZ105" s="6">
        <f t="shared" si="27"/>
        <v>45014</v>
      </c>
      <c r="BA105" s="415" t="str">
        <f t="shared" si="30"/>
        <v>Contrato formalizado con garantias 03/05</v>
      </c>
      <c r="BB105" s="416">
        <v>45027</v>
      </c>
      <c r="BC105" s="255">
        <v>45015</v>
      </c>
      <c r="BD105" s="519"/>
      <c r="BE105" s="519"/>
      <c r="BF105" s="519"/>
      <c r="BG105" s="519"/>
      <c r="BH105" s="519"/>
    </row>
    <row r="106" spans="1:60" ht="60" x14ac:dyDescent="0.25">
      <c r="A106" s="537" t="s">
        <v>6010</v>
      </c>
      <c r="B106" s="1037">
        <v>99</v>
      </c>
      <c r="C106" s="4" t="s">
        <v>149</v>
      </c>
      <c r="D106" s="3" t="s">
        <v>163</v>
      </c>
      <c r="E106" s="18" t="s">
        <v>6011</v>
      </c>
      <c r="F106" s="3" t="s">
        <v>5365</v>
      </c>
      <c r="G106" s="685" t="s">
        <v>546</v>
      </c>
      <c r="H106" s="3" t="s">
        <v>4030</v>
      </c>
      <c r="I106" s="275" t="s">
        <v>6012</v>
      </c>
      <c r="J106" s="17"/>
      <c r="K106" s="17"/>
      <c r="L106" s="17"/>
      <c r="M106" s="375" t="str">
        <f t="shared" si="35"/>
        <v xml:space="preserve">Elevadores Schindler  </v>
      </c>
      <c r="N106" s="959" t="s">
        <v>198</v>
      </c>
      <c r="O106" s="959" t="s">
        <v>198</v>
      </c>
      <c r="P106" s="959" t="s">
        <v>5441</v>
      </c>
      <c r="Q106" s="959" t="s">
        <v>6013</v>
      </c>
      <c r="R106" s="962">
        <v>760500</v>
      </c>
      <c r="S106" s="383">
        <f t="shared" si="34"/>
        <v>121680</v>
      </c>
      <c r="T106" s="384">
        <f t="shared" si="28"/>
        <v>882180</v>
      </c>
      <c r="U106" s="385" t="s">
        <v>161</v>
      </c>
      <c r="V106" s="386" t="s">
        <v>161</v>
      </c>
      <c r="W106" s="383">
        <f t="shared" si="29"/>
        <v>882180</v>
      </c>
      <c r="X106" s="963" t="s">
        <v>156</v>
      </c>
      <c r="Y106" s="387">
        <v>45015</v>
      </c>
      <c r="Z106" s="463" t="s">
        <v>234</v>
      </c>
      <c r="AA106" s="387">
        <v>45015</v>
      </c>
      <c r="AB106" s="387">
        <v>45291</v>
      </c>
      <c r="AC106" s="4" t="s">
        <v>4044</v>
      </c>
      <c r="AD106" s="412"/>
      <c r="AE106" s="4"/>
      <c r="AF106" s="388"/>
      <c r="AG106" s="383"/>
      <c r="AH106" s="414" t="str">
        <f t="shared" ca="1" si="31"/>
        <v>MUERTO</v>
      </c>
      <c r="AI106" s="3"/>
      <c r="AJ106" s="3"/>
      <c r="AK106" s="3" t="s">
        <v>234</v>
      </c>
      <c r="AL106" s="3"/>
      <c r="AM106" s="3" t="s">
        <v>333</v>
      </c>
      <c r="AN106" s="3"/>
      <c r="AO106" s="3"/>
      <c r="AP106" s="458"/>
      <c r="AQ106" s="388"/>
      <c r="AR106" s="4"/>
      <c r="AS106" s="459"/>
      <c r="AT106" s="281">
        <v>0</v>
      </c>
      <c r="AU106" s="4"/>
      <c r="AV106" s="4" t="e">
        <f>VLOOKUP(I106,[2]RFC!$1:$1048576,2,0)</f>
        <v>#N/A</v>
      </c>
      <c r="AW106" s="6">
        <v>45007</v>
      </c>
      <c r="AX106" s="463">
        <v>45009</v>
      </c>
      <c r="AY106" s="6">
        <v>45014</v>
      </c>
      <c r="AZ106" s="6">
        <f t="shared" si="27"/>
        <v>45014</v>
      </c>
      <c r="BA106" s="415">
        <f t="shared" si="30"/>
        <v>0</v>
      </c>
      <c r="BB106" s="416">
        <v>45028</v>
      </c>
      <c r="BC106" s="255">
        <v>45026</v>
      </c>
      <c r="BD106" s="519"/>
      <c r="BE106" s="519"/>
      <c r="BF106" s="519"/>
      <c r="BG106" s="519"/>
      <c r="BH106" s="519"/>
    </row>
    <row r="107" spans="1:60" ht="105" x14ac:dyDescent="0.25">
      <c r="A107" s="537" t="s">
        <v>6014</v>
      </c>
      <c r="B107" s="1037">
        <v>100</v>
      </c>
      <c r="C107" s="4" t="s">
        <v>149</v>
      </c>
      <c r="D107" s="3" t="s">
        <v>151</v>
      </c>
      <c r="E107" s="18" t="s">
        <v>6015</v>
      </c>
      <c r="F107" s="3" t="str">
        <f t="shared" si="33"/>
        <v>Invitación</v>
      </c>
      <c r="G107" s="3"/>
      <c r="H107" s="3" t="s">
        <v>3793</v>
      </c>
      <c r="I107" s="275" t="s">
        <v>6016</v>
      </c>
      <c r="J107" s="17"/>
      <c r="K107" s="17"/>
      <c r="L107" s="17"/>
      <c r="M107" s="375" t="str">
        <f t="shared" si="35"/>
        <v xml:space="preserve">Ecoblue de México, S.A. de C.V.  </v>
      </c>
      <c r="N107" s="959" t="s">
        <v>198</v>
      </c>
      <c r="O107" s="959" t="s">
        <v>198</v>
      </c>
      <c r="P107" s="959" t="s">
        <v>329</v>
      </c>
      <c r="Q107" s="959" t="s">
        <v>6017</v>
      </c>
      <c r="R107" s="962">
        <v>631896.55000000005</v>
      </c>
      <c r="S107" s="383">
        <f t="shared" si="34"/>
        <v>101103.448</v>
      </c>
      <c r="T107" s="384">
        <f t="shared" si="28"/>
        <v>732999.99800000002</v>
      </c>
      <c r="U107" s="385">
        <v>232758.62</v>
      </c>
      <c r="V107" s="386">
        <f>(U107*0.16)+(U107)</f>
        <v>269999.99920000002</v>
      </c>
      <c r="W107" s="383">
        <f t="shared" si="29"/>
        <v>732999.99800000002</v>
      </c>
      <c r="X107" s="963" t="s">
        <v>156</v>
      </c>
      <c r="Y107" s="387">
        <v>45019</v>
      </c>
      <c r="Z107" s="463" t="s">
        <v>333</v>
      </c>
      <c r="AA107" s="387">
        <v>45017</v>
      </c>
      <c r="AB107" s="387">
        <v>45291</v>
      </c>
      <c r="AC107" s="4" t="s">
        <v>4717</v>
      </c>
      <c r="AD107" s="412"/>
      <c r="AE107" s="4"/>
      <c r="AF107" s="388"/>
      <c r="AG107" s="383"/>
      <c r="AH107" s="414" t="str">
        <f t="shared" ca="1" si="31"/>
        <v>MUERTO</v>
      </c>
      <c r="AI107" s="3"/>
      <c r="AJ107" s="3"/>
      <c r="AK107" s="3" t="s">
        <v>333</v>
      </c>
      <c r="AL107" s="3"/>
      <c r="AM107" s="3" t="s">
        <v>333</v>
      </c>
      <c r="AN107" s="3"/>
      <c r="AO107" s="3"/>
      <c r="AP107" s="458"/>
      <c r="AQ107" s="388"/>
      <c r="AR107" s="4"/>
      <c r="AS107" s="459"/>
      <c r="AT107" s="281" t="s">
        <v>6018</v>
      </c>
      <c r="AU107" s="4"/>
      <c r="AV107" s="4" t="e">
        <f>VLOOKUP(I107,[2]RFC!$1:$1048576,2,0)</f>
        <v>#N/A</v>
      </c>
      <c r="AW107" s="6">
        <v>44981</v>
      </c>
      <c r="AX107" s="463">
        <v>44987</v>
      </c>
      <c r="AY107" s="6">
        <v>45019</v>
      </c>
      <c r="AZ107" s="6">
        <f t="shared" si="27"/>
        <v>45019</v>
      </c>
      <c r="BA107" s="415" t="str">
        <f t="shared" si="30"/>
        <v>Contrato formalizad 28/04</v>
      </c>
      <c r="BB107" s="416">
        <v>45021</v>
      </c>
      <c r="BC107" s="255">
        <v>45019</v>
      </c>
      <c r="BD107" s="519"/>
      <c r="BE107" s="519"/>
      <c r="BF107" s="519"/>
      <c r="BG107" s="519"/>
      <c r="BH107" s="519"/>
    </row>
    <row r="108" spans="1:60" ht="90" x14ac:dyDescent="0.25">
      <c r="A108" s="537" t="s">
        <v>6019</v>
      </c>
      <c r="B108" s="1037">
        <v>101</v>
      </c>
      <c r="C108" s="4" t="s">
        <v>149</v>
      </c>
      <c r="D108" s="3" t="s">
        <v>151</v>
      </c>
      <c r="E108" s="18" t="s">
        <v>6020</v>
      </c>
      <c r="F108" s="3" t="str">
        <f t="shared" si="33"/>
        <v>Invitación</v>
      </c>
      <c r="G108" s="3"/>
      <c r="H108" s="3" t="s">
        <v>3793</v>
      </c>
      <c r="I108" s="275" t="s">
        <v>1966</v>
      </c>
      <c r="J108" s="17"/>
      <c r="K108" s="17"/>
      <c r="L108" s="17"/>
      <c r="M108" s="375" t="str">
        <f t="shared" si="35"/>
        <v xml:space="preserve">Corporate Accon en Conocimientos e Ingeniería, S.A. de C.V.  </v>
      </c>
      <c r="N108" s="959" t="s">
        <v>5099</v>
      </c>
      <c r="O108" s="959" t="s">
        <v>5099</v>
      </c>
      <c r="P108" s="959" t="s">
        <v>5441</v>
      </c>
      <c r="Q108" s="959" t="s">
        <v>6021</v>
      </c>
      <c r="R108" s="962">
        <v>921195</v>
      </c>
      <c r="S108" s="383">
        <f t="shared" si="34"/>
        <v>147391.20000000001</v>
      </c>
      <c r="T108" s="384">
        <f t="shared" si="28"/>
        <v>1068586.2</v>
      </c>
      <c r="U108" s="385" t="s">
        <v>161</v>
      </c>
      <c r="V108" s="385" t="s">
        <v>161</v>
      </c>
      <c r="W108" s="383">
        <f t="shared" si="29"/>
        <v>1068586.2</v>
      </c>
      <c r="X108" s="963" t="s">
        <v>156</v>
      </c>
      <c r="Y108" s="387">
        <v>45019</v>
      </c>
      <c r="Z108" s="3" t="s">
        <v>333</v>
      </c>
      <c r="AA108" s="387">
        <v>45017</v>
      </c>
      <c r="AB108" s="387">
        <v>45291</v>
      </c>
      <c r="AC108" s="4" t="s">
        <v>4044</v>
      </c>
      <c r="AD108" s="412"/>
      <c r="AE108" s="4"/>
      <c r="AF108" s="388"/>
      <c r="AG108" s="383"/>
      <c r="AH108" s="414" t="str">
        <f t="shared" ca="1" si="31"/>
        <v>MUERTO</v>
      </c>
      <c r="AI108" s="3"/>
      <c r="AJ108" s="3"/>
      <c r="AK108" s="3" t="s">
        <v>333</v>
      </c>
      <c r="AL108" s="3"/>
      <c r="AM108" s="3" t="s">
        <v>333</v>
      </c>
      <c r="AN108" s="3"/>
      <c r="AO108" s="3"/>
      <c r="AP108" s="458"/>
      <c r="AQ108" s="388"/>
      <c r="AR108" s="4"/>
      <c r="AS108" s="459"/>
      <c r="AT108" s="281" t="s">
        <v>6022</v>
      </c>
      <c r="AU108" s="4"/>
      <c r="AV108" s="4" t="e">
        <f>VLOOKUP(I108,[2]RFC!$1:$1048576,2,0)</f>
        <v>#N/A</v>
      </c>
      <c r="AW108" s="6">
        <v>45006</v>
      </c>
      <c r="AX108" s="463">
        <v>45007</v>
      </c>
      <c r="AY108" s="6">
        <v>45019</v>
      </c>
      <c r="AZ108" s="6">
        <f t="shared" si="27"/>
        <v>45019</v>
      </c>
      <c r="BA108" s="415" t="str">
        <f t="shared" si="30"/>
        <v>Contrato formalizado con garantías 20/04                            19/01/2024</v>
      </c>
      <c r="BB108" s="416">
        <v>45030</v>
      </c>
      <c r="BC108" s="255">
        <v>45029</v>
      </c>
      <c r="BD108" s="519"/>
      <c r="BE108" s="519"/>
      <c r="BF108" s="519"/>
      <c r="BG108" s="519"/>
      <c r="BH108" s="519"/>
    </row>
    <row r="109" spans="1:60" ht="60" x14ac:dyDescent="0.25">
      <c r="A109" s="537" t="s">
        <v>6023</v>
      </c>
      <c r="B109" s="252">
        <v>102</v>
      </c>
      <c r="C109" s="4" t="s">
        <v>149</v>
      </c>
      <c r="D109" s="3" t="s">
        <v>163</v>
      </c>
      <c r="E109" s="18" t="s">
        <v>6011</v>
      </c>
      <c r="F109" s="3" t="s">
        <v>5365</v>
      </c>
      <c r="G109" s="685" t="s">
        <v>546</v>
      </c>
      <c r="H109" s="3" t="s">
        <v>3764</v>
      </c>
      <c r="I109" s="275" t="s">
        <v>1844</v>
      </c>
      <c r="J109" s="17"/>
      <c r="K109" s="17"/>
      <c r="L109" s="17"/>
      <c r="M109" s="375" t="str">
        <f t="shared" si="35"/>
        <v xml:space="preserve">Estafeta Mexicana, S.A. de C.V.  </v>
      </c>
      <c r="N109" s="959" t="s">
        <v>301</v>
      </c>
      <c r="O109" s="959" t="s">
        <v>301</v>
      </c>
      <c r="P109" s="959" t="s">
        <v>302</v>
      </c>
      <c r="Q109" s="959" t="s">
        <v>6024</v>
      </c>
      <c r="R109" s="962">
        <v>1125000</v>
      </c>
      <c r="S109" s="383">
        <f t="shared" si="34"/>
        <v>180000</v>
      </c>
      <c r="T109" s="384">
        <f t="shared" si="28"/>
        <v>1305000</v>
      </c>
      <c r="U109" s="385">
        <v>450000</v>
      </c>
      <c r="V109" s="386">
        <f>(U109*0.16)+(U109)</f>
        <v>522000</v>
      </c>
      <c r="W109" s="383">
        <f t="shared" si="29"/>
        <v>1305000</v>
      </c>
      <c r="X109" s="963" t="s">
        <v>156</v>
      </c>
      <c r="Y109" s="387">
        <v>45019</v>
      </c>
      <c r="Z109" s="3" t="s">
        <v>333</v>
      </c>
      <c r="AA109" s="387">
        <v>45017</v>
      </c>
      <c r="AB109" s="387">
        <v>45291</v>
      </c>
      <c r="AC109" s="4" t="s">
        <v>4044</v>
      </c>
      <c r="AD109" s="412"/>
      <c r="AE109" s="4"/>
      <c r="AF109" s="388"/>
      <c r="AG109" s="383"/>
      <c r="AH109" s="414" t="str">
        <f t="shared" ca="1" si="31"/>
        <v>MUERTO</v>
      </c>
      <c r="AI109" s="3"/>
      <c r="AJ109" s="3"/>
      <c r="AK109" s="3" t="s">
        <v>333</v>
      </c>
      <c r="AL109" s="3"/>
      <c r="AM109" s="3" t="s">
        <v>333</v>
      </c>
      <c r="AN109" s="3"/>
      <c r="AO109" s="3"/>
      <c r="AP109" s="458"/>
      <c r="AQ109" s="388"/>
      <c r="AR109" s="4"/>
      <c r="AS109" s="459"/>
      <c r="AT109" s="281" t="s">
        <v>6025</v>
      </c>
      <c r="AU109" s="4"/>
      <c r="AV109" s="4" t="e">
        <f>VLOOKUP(I109,[2]RFC!$1:$1048576,2,0)</f>
        <v>#N/A</v>
      </c>
      <c r="AW109" s="6">
        <v>45007</v>
      </c>
      <c r="AX109" s="6">
        <v>45007</v>
      </c>
      <c r="AY109" s="6">
        <v>45019</v>
      </c>
      <c r="AZ109" s="6">
        <f t="shared" ref="AZ109:AZ127" si="36">AY109</f>
        <v>45019</v>
      </c>
      <c r="BA109" s="415" t="str">
        <f t="shared" si="30"/>
        <v>Contrato formalizado 25/04</v>
      </c>
      <c r="BB109" s="416">
        <v>45027</v>
      </c>
      <c r="BC109" s="255">
        <v>45020</v>
      </c>
      <c r="BD109" s="519"/>
      <c r="BE109" s="519"/>
      <c r="BF109" s="519"/>
      <c r="BG109" s="519"/>
      <c r="BH109" s="519"/>
    </row>
    <row r="110" spans="1:60" ht="75" x14ac:dyDescent="0.25">
      <c r="A110" s="537" t="s">
        <v>6026</v>
      </c>
      <c r="B110" s="1037">
        <v>103</v>
      </c>
      <c r="C110" s="4" t="s">
        <v>149</v>
      </c>
      <c r="D110" s="3" t="s">
        <v>151</v>
      </c>
      <c r="E110" s="18" t="s">
        <v>6027</v>
      </c>
      <c r="F110" s="3" t="str">
        <f t="shared" si="33"/>
        <v>Invitación</v>
      </c>
      <c r="G110" s="3"/>
      <c r="H110" s="3" t="s">
        <v>3793</v>
      </c>
      <c r="I110" s="275" t="s">
        <v>1966</v>
      </c>
      <c r="J110" s="17"/>
      <c r="K110" s="17"/>
      <c r="L110" s="17"/>
      <c r="M110" s="375" t="str">
        <f t="shared" si="35"/>
        <v xml:space="preserve">Corporate Accon en Conocimientos e Ingeniería, S.A. de C.V.  </v>
      </c>
      <c r="N110" s="959" t="s">
        <v>5099</v>
      </c>
      <c r="O110" s="959" t="s">
        <v>5099</v>
      </c>
      <c r="P110" s="959" t="s">
        <v>5441</v>
      </c>
      <c r="Q110" s="959" t="s">
        <v>6028</v>
      </c>
      <c r="R110" s="962">
        <v>1145583</v>
      </c>
      <c r="S110" s="383">
        <f t="shared" si="34"/>
        <v>183293.28</v>
      </c>
      <c r="T110" s="384">
        <f t="shared" si="28"/>
        <v>1328876.28</v>
      </c>
      <c r="U110" s="385" t="s">
        <v>161</v>
      </c>
      <c r="V110" s="385" t="s">
        <v>161</v>
      </c>
      <c r="W110" s="383">
        <f t="shared" si="29"/>
        <v>1328876.28</v>
      </c>
      <c r="X110" s="963" t="s">
        <v>156</v>
      </c>
      <c r="Y110" s="387">
        <v>45019</v>
      </c>
      <c r="Z110" s="3" t="s">
        <v>333</v>
      </c>
      <c r="AA110" s="387">
        <v>45017</v>
      </c>
      <c r="AB110" s="387">
        <v>45291</v>
      </c>
      <c r="AC110" s="4" t="s">
        <v>4044</v>
      </c>
      <c r="AD110" s="412"/>
      <c r="AE110" s="4"/>
      <c r="AF110" s="388"/>
      <c r="AG110" s="383"/>
      <c r="AH110" s="414" t="str">
        <f t="shared" ca="1" si="31"/>
        <v>MUERTO</v>
      </c>
      <c r="AI110" s="3"/>
      <c r="AJ110" s="3"/>
      <c r="AK110" s="3" t="s">
        <v>333</v>
      </c>
      <c r="AL110" s="3"/>
      <c r="AM110" s="3" t="s">
        <v>333</v>
      </c>
      <c r="AN110" s="3"/>
      <c r="AO110" s="3"/>
      <c r="AP110" s="458"/>
      <c r="AQ110" s="388"/>
      <c r="AR110" s="4"/>
      <c r="AS110" s="459"/>
      <c r="AT110" s="281" t="s">
        <v>6004</v>
      </c>
      <c r="AU110" s="4"/>
      <c r="AV110" s="4" t="e">
        <f>VLOOKUP(I110,[2]RFC!$1:$1048576,2,0)</f>
        <v>#N/A</v>
      </c>
      <c r="AW110" s="6">
        <v>45007</v>
      </c>
      <c r="AX110" s="463">
        <v>45008</v>
      </c>
      <c r="AY110" s="6">
        <v>45019</v>
      </c>
      <c r="AZ110" s="6">
        <f t="shared" si="36"/>
        <v>45019</v>
      </c>
      <c r="BA110" s="415" t="str">
        <f t="shared" si="30"/>
        <v>Contrato formalizado con garantías 20/04</v>
      </c>
      <c r="BB110" s="416">
        <v>45030</v>
      </c>
      <c r="BC110" s="255">
        <v>45029</v>
      </c>
      <c r="BD110" s="519"/>
      <c r="BE110" s="519"/>
      <c r="BF110" s="519"/>
      <c r="BG110" s="519"/>
      <c r="BH110" s="519"/>
    </row>
    <row r="111" spans="1:60" ht="90" x14ac:dyDescent="0.25">
      <c r="A111" s="537" t="s">
        <v>6029</v>
      </c>
      <c r="B111" s="1037">
        <v>104</v>
      </c>
      <c r="C111" s="4" t="s">
        <v>149</v>
      </c>
      <c r="D111" s="3" t="s">
        <v>163</v>
      </c>
      <c r="E111" s="18" t="s">
        <v>6030</v>
      </c>
      <c r="F111" s="3" t="str">
        <f t="shared" si="33"/>
        <v>Adjudicación Directa</v>
      </c>
      <c r="G111" s="684" t="s">
        <v>163</v>
      </c>
      <c r="H111" s="3" t="s">
        <v>4004</v>
      </c>
      <c r="I111" s="275" t="s">
        <v>569</v>
      </c>
      <c r="J111" s="17"/>
      <c r="K111" s="17"/>
      <c r="L111" s="17"/>
      <c r="M111" s="375" t="str">
        <f t="shared" si="35"/>
        <v xml:space="preserve">Audio Video &amp; Control, S.A. de C.V.  </v>
      </c>
      <c r="N111" s="959" t="s">
        <v>5099</v>
      </c>
      <c r="O111" s="959" t="s">
        <v>5099</v>
      </c>
      <c r="P111" s="959" t="s">
        <v>6007</v>
      </c>
      <c r="Q111" s="959" t="s">
        <v>6031</v>
      </c>
      <c r="R111" s="962">
        <v>630000</v>
      </c>
      <c r="S111" s="383">
        <f t="shared" si="34"/>
        <v>100800</v>
      </c>
      <c r="T111" s="384">
        <f t="shared" si="28"/>
        <v>730800</v>
      </c>
      <c r="U111" s="385" t="s">
        <v>161</v>
      </c>
      <c r="V111" s="385" t="s">
        <v>161</v>
      </c>
      <c r="W111" s="383">
        <f t="shared" si="29"/>
        <v>730800</v>
      </c>
      <c r="X111" s="963" t="s">
        <v>156</v>
      </c>
      <c r="Y111" s="387">
        <v>45019</v>
      </c>
      <c r="Z111" s="3" t="s">
        <v>333</v>
      </c>
      <c r="AA111" s="387">
        <v>45019</v>
      </c>
      <c r="AB111" s="387">
        <v>45291</v>
      </c>
      <c r="AC111" s="4" t="s">
        <v>4044</v>
      </c>
      <c r="AD111" s="412"/>
      <c r="AE111" s="4"/>
      <c r="AF111" s="388"/>
      <c r="AG111" s="383"/>
      <c r="AH111" s="414" t="str">
        <f t="shared" ca="1" si="31"/>
        <v>MUERTO</v>
      </c>
      <c r="AI111" s="3"/>
      <c r="AJ111" s="3"/>
      <c r="AK111" s="3" t="s">
        <v>333</v>
      </c>
      <c r="AL111" s="3"/>
      <c r="AM111" s="3" t="s">
        <v>333</v>
      </c>
      <c r="AN111" s="3"/>
      <c r="AO111" s="3"/>
      <c r="AP111" s="458"/>
      <c r="AQ111" s="388"/>
      <c r="AR111" s="4"/>
      <c r="AS111" s="459"/>
      <c r="AT111" s="281" t="s">
        <v>5531</v>
      </c>
      <c r="AU111" s="4"/>
      <c r="AV111" s="4" t="str">
        <f>VLOOKUP(I111,[2]RFC!$1:$1048576,2,0)</f>
        <v>AV&amp;060117UX0</v>
      </c>
      <c r="AW111" s="6">
        <v>45014</v>
      </c>
      <c r="AX111" s="463">
        <v>45015</v>
      </c>
      <c r="AY111" s="6">
        <v>45019</v>
      </c>
      <c r="AZ111" s="6">
        <f t="shared" si="36"/>
        <v>45019</v>
      </c>
      <c r="BA111" s="415" t="str">
        <f t="shared" si="30"/>
        <v>Contrato formalizado con garantías 09/05</v>
      </c>
      <c r="BB111" s="416">
        <v>45027</v>
      </c>
      <c r="BC111" s="255">
        <v>45026</v>
      </c>
      <c r="BD111" s="519"/>
      <c r="BE111" s="519"/>
      <c r="BF111" s="519"/>
      <c r="BG111" s="519"/>
      <c r="BH111" s="519"/>
    </row>
    <row r="112" spans="1:60" ht="135" x14ac:dyDescent="0.25">
      <c r="A112" s="553" t="s">
        <v>6032</v>
      </c>
      <c r="B112" s="1037">
        <v>105</v>
      </c>
      <c r="C112" s="4" t="s">
        <v>149</v>
      </c>
      <c r="D112" s="3" t="s">
        <v>163</v>
      </c>
      <c r="E112" s="18" t="s">
        <v>6033</v>
      </c>
      <c r="F112" s="3" t="s">
        <v>5365</v>
      </c>
      <c r="G112" s="685" t="s">
        <v>546</v>
      </c>
      <c r="H112" s="3" t="s">
        <v>3764</v>
      </c>
      <c r="I112" s="275" t="s">
        <v>757</v>
      </c>
      <c r="J112" s="17"/>
      <c r="K112" s="17"/>
      <c r="L112" s="17"/>
      <c r="M112" s="375" t="str">
        <f t="shared" si="35"/>
        <v xml:space="preserve">Teléfonos de México, S.A.B. de C.V.  </v>
      </c>
      <c r="N112" s="959" t="s">
        <v>656</v>
      </c>
      <c r="O112" s="959" t="s">
        <v>209</v>
      </c>
      <c r="P112" s="959" t="s">
        <v>210</v>
      </c>
      <c r="Q112" s="959" t="s">
        <v>6034</v>
      </c>
      <c r="R112" s="962">
        <v>12413785.344827587</v>
      </c>
      <c r="S112" s="383">
        <f t="shared" si="34"/>
        <v>1986205.6551724139</v>
      </c>
      <c r="T112" s="384">
        <f t="shared" si="28"/>
        <v>14399991</v>
      </c>
      <c r="U112" s="385">
        <v>11586199.66</v>
      </c>
      <c r="V112" s="386">
        <f t="shared" ref="V112:V122" si="37">(U112*0.16)+(U112)</f>
        <v>13439991.605599999</v>
      </c>
      <c r="W112" s="383">
        <f t="shared" si="29"/>
        <v>14399991</v>
      </c>
      <c r="X112" s="963" t="s">
        <v>183</v>
      </c>
      <c r="Y112" s="387">
        <v>45019</v>
      </c>
      <c r="Z112" s="3" t="s">
        <v>333</v>
      </c>
      <c r="AA112" s="387">
        <v>45017</v>
      </c>
      <c r="AB112" s="387">
        <v>45657</v>
      </c>
      <c r="AC112" s="4" t="s">
        <v>4044</v>
      </c>
      <c r="AD112" s="417" t="s">
        <v>6035</v>
      </c>
      <c r="AE112" s="417" t="s">
        <v>6036</v>
      </c>
      <c r="AF112" s="524">
        <v>45266</v>
      </c>
      <c r="AG112" s="525"/>
      <c r="AH112" s="414" t="str">
        <f t="shared" ca="1" si="31"/>
        <v>MUERTO</v>
      </c>
      <c r="AI112" s="3"/>
      <c r="AJ112" s="3"/>
      <c r="AK112" s="3" t="s">
        <v>333</v>
      </c>
      <c r="AL112" s="3"/>
      <c r="AM112" s="3" t="s">
        <v>333</v>
      </c>
      <c r="AN112" s="3"/>
      <c r="AO112" s="3"/>
      <c r="AP112" s="458"/>
      <c r="AQ112" s="388"/>
      <c r="AR112" s="4"/>
      <c r="AS112" s="459"/>
      <c r="AT112" s="281" t="s">
        <v>6037</v>
      </c>
      <c r="AU112" s="4"/>
      <c r="AV112" s="4" t="s">
        <v>4318</v>
      </c>
      <c r="AW112" s="6" t="s">
        <v>6038</v>
      </c>
      <c r="AX112" s="463">
        <v>45021</v>
      </c>
      <c r="AY112" s="6"/>
      <c r="AZ112" s="6">
        <f t="shared" si="36"/>
        <v>0</v>
      </c>
      <c r="BA112" s="415" t="str">
        <f t="shared" si="30"/>
        <v>Contrato formalizado 25/04                                   02/00/2024</v>
      </c>
      <c r="BB112" s="416" t="s">
        <v>6039</v>
      </c>
      <c r="BC112" s="255" t="s">
        <v>6040</v>
      </c>
      <c r="BD112" s="519">
        <f>12413785.345*1.16</f>
        <v>14399991.0002</v>
      </c>
      <c r="BE112" s="519">
        <f>16551713.79*1.16</f>
        <v>19199987.996399999</v>
      </c>
      <c r="BF112" s="519"/>
      <c r="BG112" s="519"/>
      <c r="BH112" s="519"/>
    </row>
    <row r="113" spans="1:60" ht="90" x14ac:dyDescent="0.25">
      <c r="A113" s="539" t="s">
        <v>6041</v>
      </c>
      <c r="B113" s="252">
        <v>106</v>
      </c>
      <c r="C113" s="4" t="s">
        <v>149</v>
      </c>
      <c r="D113" s="3" t="s">
        <v>163</v>
      </c>
      <c r="E113" s="18" t="s">
        <v>6033</v>
      </c>
      <c r="F113" s="3" t="s">
        <v>5365</v>
      </c>
      <c r="G113" s="685" t="s">
        <v>546</v>
      </c>
      <c r="H113" s="3" t="s">
        <v>4030</v>
      </c>
      <c r="I113" s="275" t="s">
        <v>2436</v>
      </c>
      <c r="J113" s="17"/>
      <c r="K113" s="17"/>
      <c r="L113" s="17"/>
      <c r="M113" s="375" t="str">
        <f t="shared" si="35"/>
        <v xml:space="preserve">Teletec de México, S.A.P.I. de C.V.  </v>
      </c>
      <c r="N113" s="959" t="s">
        <v>198</v>
      </c>
      <c r="O113" s="959" t="s">
        <v>198</v>
      </c>
      <c r="P113" s="959" t="s">
        <v>5441</v>
      </c>
      <c r="Q113" s="959" t="s">
        <v>6042</v>
      </c>
      <c r="R113" s="962">
        <v>3290478.45</v>
      </c>
      <c r="S113" s="383">
        <f t="shared" si="34"/>
        <v>526476.55200000003</v>
      </c>
      <c r="T113" s="384">
        <f t="shared" ref="T113:T145" si="38">R113+S113</f>
        <v>3816955.0020000003</v>
      </c>
      <c r="U113" s="385">
        <v>2775000</v>
      </c>
      <c r="V113" s="386">
        <f t="shared" si="37"/>
        <v>3219000</v>
      </c>
      <c r="W113" s="383">
        <f t="shared" ref="W113:W144" si="39">T113+AG113</f>
        <v>3816955.0020000003</v>
      </c>
      <c r="X113" s="963" t="s">
        <v>156</v>
      </c>
      <c r="Y113" s="387">
        <v>45019</v>
      </c>
      <c r="Z113" s="3" t="s">
        <v>333</v>
      </c>
      <c r="AA113" s="387">
        <v>45017</v>
      </c>
      <c r="AB113" s="387">
        <v>45291</v>
      </c>
      <c r="AC113" s="4" t="s">
        <v>4044</v>
      </c>
      <c r="AD113" s="3" t="s">
        <v>6043</v>
      </c>
      <c r="AE113" s="4" t="s">
        <v>6044</v>
      </c>
      <c r="AF113" s="388">
        <v>45279</v>
      </c>
      <c r="AG113" s="383">
        <v>0</v>
      </c>
      <c r="AH113" s="414" t="str">
        <f t="shared" ca="1" si="31"/>
        <v>MUERTO</v>
      </c>
      <c r="AI113" s="3"/>
      <c r="AJ113" s="3"/>
      <c r="AK113" s="3" t="s">
        <v>333</v>
      </c>
      <c r="AL113" s="3"/>
      <c r="AM113" s="3" t="s">
        <v>333</v>
      </c>
      <c r="AN113" s="3"/>
      <c r="AO113" s="3"/>
      <c r="AP113" s="458"/>
      <c r="AQ113" s="388"/>
      <c r="AR113" s="4"/>
      <c r="AS113" s="459"/>
      <c r="AT113" s="281" t="s">
        <v>6045</v>
      </c>
      <c r="AU113" s="4"/>
      <c r="AV113" s="4" t="str">
        <f>VLOOKUP(I113,[2]RFC!$1:$1048576,2,0)</f>
        <v>TME910924TL5</v>
      </c>
      <c r="AW113" s="6" t="s">
        <v>6046</v>
      </c>
      <c r="AX113" s="463" t="s">
        <v>6047</v>
      </c>
      <c r="AY113" s="6"/>
      <c r="AZ113" s="6">
        <f t="shared" si="36"/>
        <v>0</v>
      </c>
      <c r="BA113" s="415" t="str">
        <f t="shared" si="30"/>
        <v>Contrato formalizado con garantías  04/05</v>
      </c>
      <c r="BB113" s="416" t="s">
        <v>6048</v>
      </c>
      <c r="BC113" s="255" t="s">
        <v>6049</v>
      </c>
      <c r="BD113" s="519"/>
      <c r="BE113" s="519"/>
      <c r="BF113" s="519"/>
      <c r="BG113" s="519"/>
      <c r="BH113" s="519"/>
    </row>
    <row r="114" spans="1:60" ht="90" x14ac:dyDescent="0.25">
      <c r="A114" s="537" t="s">
        <v>6050</v>
      </c>
      <c r="B114" s="1037">
        <v>107</v>
      </c>
      <c r="C114" s="4" t="s">
        <v>149</v>
      </c>
      <c r="D114" s="3" t="s">
        <v>173</v>
      </c>
      <c r="E114" s="18" t="s">
        <v>6051</v>
      </c>
      <c r="F114" s="3" t="str">
        <f t="shared" si="33"/>
        <v>Licitación Pública</v>
      </c>
      <c r="G114" s="3"/>
      <c r="H114" s="3" t="s">
        <v>3785</v>
      </c>
      <c r="I114" s="275" t="s">
        <v>5929</v>
      </c>
      <c r="J114" s="17"/>
      <c r="K114" s="17"/>
      <c r="L114" s="17"/>
      <c r="M114" s="375" t="str">
        <f t="shared" si="35"/>
        <v xml:space="preserve">Blue &amp; Green Servicos y Soluciones al Medio Ambiente, S.A. de C.V.  </v>
      </c>
      <c r="N114" s="959" t="s">
        <v>198</v>
      </c>
      <c r="O114" s="959" t="s">
        <v>198</v>
      </c>
      <c r="P114" s="959" t="s">
        <v>5441</v>
      </c>
      <c r="Q114" s="959" t="s">
        <v>6052</v>
      </c>
      <c r="R114" s="962">
        <v>4886358.16</v>
      </c>
      <c r="S114" s="383">
        <f t="shared" si="34"/>
        <v>781817.30560000008</v>
      </c>
      <c r="T114" s="384">
        <f t="shared" si="38"/>
        <v>5668175.4656000007</v>
      </c>
      <c r="U114" s="385">
        <v>3376873.2579999999</v>
      </c>
      <c r="V114" s="386">
        <f t="shared" si="37"/>
        <v>3917172.9792799996</v>
      </c>
      <c r="W114" s="383">
        <f t="shared" si="39"/>
        <v>5668175.4656000007</v>
      </c>
      <c r="X114" s="963" t="s">
        <v>156</v>
      </c>
      <c r="Y114" s="387">
        <v>45027</v>
      </c>
      <c r="Z114" s="3" t="s">
        <v>333</v>
      </c>
      <c r="AA114" s="387">
        <v>45027</v>
      </c>
      <c r="AB114" s="387">
        <v>45291</v>
      </c>
      <c r="AC114" s="4" t="s">
        <v>4044</v>
      </c>
      <c r="AD114" s="412"/>
      <c r="AE114" s="4"/>
      <c r="AF114" s="388"/>
      <c r="AG114" s="383"/>
      <c r="AH114" s="414" t="str">
        <f t="shared" ca="1" si="31"/>
        <v>MUERTO</v>
      </c>
      <c r="AI114" s="3"/>
      <c r="AJ114" s="3"/>
      <c r="AK114" s="3" t="s">
        <v>333</v>
      </c>
      <c r="AL114" s="3"/>
      <c r="AM114" s="3" t="s">
        <v>333</v>
      </c>
      <c r="AN114" s="3"/>
      <c r="AO114" s="3"/>
      <c r="AP114" s="458"/>
      <c r="AQ114" s="388"/>
      <c r="AR114" s="4"/>
      <c r="AS114" s="459"/>
      <c r="AT114" s="281" t="s">
        <v>5535</v>
      </c>
      <c r="AU114" s="4"/>
      <c r="AV114" s="4" t="e">
        <f>VLOOKUP(I114,[2]RFC!$1:$1048576,2,0)</f>
        <v>#N/A</v>
      </c>
      <c r="AW114" s="6">
        <v>45020</v>
      </c>
      <c r="AX114" s="463">
        <v>45021</v>
      </c>
      <c r="AY114" s="6">
        <v>45028</v>
      </c>
      <c r="AZ114" s="6">
        <f t="shared" si="36"/>
        <v>45028</v>
      </c>
      <c r="BA114" s="415" t="str">
        <f t="shared" si="30"/>
        <v>Contrato formalizado con garantías 11/05</v>
      </c>
      <c r="BB114" s="416">
        <v>45028</v>
      </c>
      <c r="BC114" s="255">
        <v>45028</v>
      </c>
      <c r="BD114" s="519"/>
      <c r="BE114" s="519"/>
      <c r="BF114" s="519"/>
      <c r="BG114" s="519"/>
      <c r="BH114" s="519"/>
    </row>
    <row r="115" spans="1:60" ht="75" x14ac:dyDescent="0.25">
      <c r="A115" s="537" t="s">
        <v>6053</v>
      </c>
      <c r="B115" s="1037">
        <v>108</v>
      </c>
      <c r="C115" s="4" t="s">
        <v>149</v>
      </c>
      <c r="D115" s="3" t="s">
        <v>163</v>
      </c>
      <c r="E115" s="18" t="s">
        <v>6054</v>
      </c>
      <c r="F115" s="3" t="str">
        <f t="shared" si="33"/>
        <v>Adjudicación Directa</v>
      </c>
      <c r="G115" s="684" t="s">
        <v>163</v>
      </c>
      <c r="H115" s="3" t="s">
        <v>607</v>
      </c>
      <c r="I115" s="275" t="s">
        <v>1162</v>
      </c>
      <c r="J115" s="17"/>
      <c r="K115" s="17"/>
      <c r="L115" s="17"/>
      <c r="M115" s="375" t="str">
        <f t="shared" si="35"/>
        <v xml:space="preserve">Lemonroy Business Solutions, S.A. de C.V.  </v>
      </c>
      <c r="N115" s="959" t="s">
        <v>198</v>
      </c>
      <c r="O115" s="959" t="s">
        <v>198</v>
      </c>
      <c r="P115" s="959" t="s">
        <v>5441</v>
      </c>
      <c r="Q115" s="959" t="s">
        <v>6055</v>
      </c>
      <c r="R115" s="962">
        <v>1526456.9</v>
      </c>
      <c r="S115" s="383">
        <f t="shared" si="34"/>
        <v>244233.10399999999</v>
      </c>
      <c r="T115" s="384">
        <f t="shared" si="38"/>
        <v>1770690.004</v>
      </c>
      <c r="U115" s="385">
        <v>1064079.31</v>
      </c>
      <c r="V115" s="386">
        <f t="shared" si="37"/>
        <v>1234331.9996</v>
      </c>
      <c r="W115" s="383">
        <f t="shared" si="39"/>
        <v>1770690.004</v>
      </c>
      <c r="X115" s="963" t="s">
        <v>156</v>
      </c>
      <c r="Y115" s="387">
        <v>45029</v>
      </c>
      <c r="Z115" s="3" t="s">
        <v>333</v>
      </c>
      <c r="AA115" s="387">
        <v>45029</v>
      </c>
      <c r="AB115" s="387">
        <v>45291</v>
      </c>
      <c r="AC115" s="4" t="s">
        <v>4717</v>
      </c>
      <c r="AD115" s="412"/>
      <c r="AE115" s="4"/>
      <c r="AF115" s="388"/>
      <c r="AG115" s="383"/>
      <c r="AH115" s="414" t="str">
        <f t="shared" ca="1" si="31"/>
        <v>MUERTO</v>
      </c>
      <c r="AI115" s="3"/>
      <c r="AJ115" s="3"/>
      <c r="AK115" s="3" t="s">
        <v>333</v>
      </c>
      <c r="AL115" s="3"/>
      <c r="AM115" s="3" t="s">
        <v>333</v>
      </c>
      <c r="AN115" s="3"/>
      <c r="AO115" s="3"/>
      <c r="AP115" s="458"/>
      <c r="AQ115" s="388"/>
      <c r="AR115" s="4"/>
      <c r="AS115" s="459"/>
      <c r="AT115" s="281" t="s">
        <v>5531</v>
      </c>
      <c r="AU115" s="4"/>
      <c r="AV115" s="4" t="str">
        <f>VLOOKUP(I115,[2]RFC!$1:$1048576,2,0)</f>
        <v>LBS050426184</v>
      </c>
      <c r="AW115" s="6">
        <v>45026</v>
      </c>
      <c r="AX115" s="463">
        <v>45027</v>
      </c>
      <c r="AY115" s="6">
        <v>45029</v>
      </c>
      <c r="AZ115" s="6">
        <f t="shared" si="36"/>
        <v>45029</v>
      </c>
      <c r="BA115" s="415" t="str">
        <f t="shared" si="30"/>
        <v>Contrato formalizado con garantías 09/05</v>
      </c>
      <c r="BB115" s="416">
        <v>45030</v>
      </c>
      <c r="BC115" s="255">
        <v>45030</v>
      </c>
      <c r="BD115" s="519"/>
      <c r="BE115" s="519"/>
      <c r="BF115" s="519"/>
      <c r="BG115" s="519"/>
      <c r="BH115" s="519"/>
    </row>
    <row r="116" spans="1:60" ht="105" x14ac:dyDescent="0.25">
      <c r="A116" s="537" t="s">
        <v>6056</v>
      </c>
      <c r="B116" s="1037">
        <v>109</v>
      </c>
      <c r="C116" s="4" t="s">
        <v>149</v>
      </c>
      <c r="D116" s="3" t="s">
        <v>151</v>
      </c>
      <c r="E116" s="18" t="s">
        <v>6057</v>
      </c>
      <c r="F116" s="3" t="str">
        <f t="shared" si="33"/>
        <v>Invitación</v>
      </c>
      <c r="G116" s="3"/>
      <c r="H116" s="3" t="s">
        <v>3793</v>
      </c>
      <c r="I116" s="275" t="s">
        <v>6058</v>
      </c>
      <c r="J116" s="17"/>
      <c r="K116" s="17"/>
      <c r="L116" s="17"/>
      <c r="M116" s="375" t="str">
        <f t="shared" si="35"/>
        <v xml:space="preserve">Suministros Frimar, S.A. de C.V.  </v>
      </c>
      <c r="N116" s="959" t="s">
        <v>198</v>
      </c>
      <c r="O116" s="959" t="s">
        <v>198</v>
      </c>
      <c r="P116" s="959" t="s">
        <v>329</v>
      </c>
      <c r="Q116" s="959" t="s">
        <v>6059</v>
      </c>
      <c r="R116" s="962">
        <v>880172.41</v>
      </c>
      <c r="S116" s="383">
        <f t="shared" si="34"/>
        <v>140827.58560000002</v>
      </c>
      <c r="T116" s="384">
        <f t="shared" si="38"/>
        <v>1020999.9956</v>
      </c>
      <c r="U116" s="385">
        <v>528139.51</v>
      </c>
      <c r="V116" s="386">
        <f t="shared" si="37"/>
        <v>612641.83160000003</v>
      </c>
      <c r="W116" s="383">
        <f t="shared" si="39"/>
        <v>1020999.9956</v>
      </c>
      <c r="X116" s="963" t="s">
        <v>156</v>
      </c>
      <c r="Y116" s="387">
        <v>45035</v>
      </c>
      <c r="Z116" s="3" t="s">
        <v>333</v>
      </c>
      <c r="AA116" s="387">
        <v>45036</v>
      </c>
      <c r="AB116" s="387">
        <v>45291</v>
      </c>
      <c r="AC116" s="4" t="s">
        <v>4717</v>
      </c>
      <c r="AD116" s="412"/>
      <c r="AE116" s="4"/>
      <c r="AF116" s="388"/>
      <c r="AG116" s="383"/>
      <c r="AH116" s="414" t="str">
        <f t="shared" ca="1" si="31"/>
        <v>MUERTO</v>
      </c>
      <c r="AI116" s="3"/>
      <c r="AJ116" s="3"/>
      <c r="AK116" s="3" t="s">
        <v>333</v>
      </c>
      <c r="AL116" s="3"/>
      <c r="AM116" s="3" t="s">
        <v>333</v>
      </c>
      <c r="AN116" s="3"/>
      <c r="AO116" s="3"/>
      <c r="AP116" s="458"/>
      <c r="AQ116" s="388"/>
      <c r="AR116" s="4"/>
      <c r="AS116" s="459"/>
      <c r="AT116" s="281" t="s">
        <v>6060</v>
      </c>
      <c r="AU116" s="4"/>
      <c r="AV116" s="4" t="e">
        <f>VLOOKUP(I116,[2]RFC!$1:$1048576,2,0)</f>
        <v>#N/A</v>
      </c>
      <c r="AW116" s="6">
        <v>45030</v>
      </c>
      <c r="AX116" s="463">
        <v>45033</v>
      </c>
      <c r="AY116" s="6">
        <v>45036</v>
      </c>
      <c r="AZ116" s="6">
        <f t="shared" si="36"/>
        <v>45036</v>
      </c>
      <c r="BA116" s="415" t="str">
        <f t="shared" si="30"/>
        <v>Contrato formalizado con garantías 22/05</v>
      </c>
      <c r="BB116" s="416">
        <v>45040</v>
      </c>
      <c r="BC116" s="255">
        <v>45037</v>
      </c>
      <c r="BD116" s="519"/>
      <c r="BE116" s="519"/>
      <c r="BF116" s="519"/>
      <c r="BG116" s="519"/>
      <c r="BH116" s="519"/>
    </row>
    <row r="117" spans="1:60" ht="90" x14ac:dyDescent="0.25">
      <c r="A117" s="537" t="s">
        <v>6061</v>
      </c>
      <c r="B117" s="252">
        <v>110</v>
      </c>
      <c r="C117" s="4" t="s">
        <v>149</v>
      </c>
      <c r="D117" s="3" t="s">
        <v>163</v>
      </c>
      <c r="E117" s="18" t="s">
        <v>6062</v>
      </c>
      <c r="F117" s="3" t="str">
        <f t="shared" si="33"/>
        <v>Adjudicación Directa</v>
      </c>
      <c r="G117" s="684" t="s">
        <v>163</v>
      </c>
      <c r="H117" s="3" t="s">
        <v>4004</v>
      </c>
      <c r="I117" s="275" t="s">
        <v>1692</v>
      </c>
      <c r="J117" s="17"/>
      <c r="K117" s="17"/>
      <c r="L117" s="17"/>
      <c r="M117" s="375" t="str">
        <f t="shared" si="35"/>
        <v xml:space="preserve">Enforcer Units Fire Service Pluse México, S.A. de C.V.  </v>
      </c>
      <c r="N117" s="959" t="s">
        <v>5099</v>
      </c>
      <c r="O117" s="959" t="s">
        <v>5099</v>
      </c>
      <c r="P117" s="959" t="s">
        <v>6007</v>
      </c>
      <c r="Q117" s="959" t="s">
        <v>6063</v>
      </c>
      <c r="R117" s="962">
        <v>492658.1</v>
      </c>
      <c r="S117" s="383">
        <f t="shared" si="34"/>
        <v>78825.296000000002</v>
      </c>
      <c r="T117" s="384">
        <f t="shared" si="38"/>
        <v>571483.39599999995</v>
      </c>
      <c r="U117" s="385">
        <v>221496.83</v>
      </c>
      <c r="V117" s="386">
        <f t="shared" si="37"/>
        <v>256936.32279999999</v>
      </c>
      <c r="W117" s="383">
        <f t="shared" si="39"/>
        <v>571483.39599999995</v>
      </c>
      <c r="X117" s="963" t="s">
        <v>156</v>
      </c>
      <c r="Y117" s="387">
        <v>45036</v>
      </c>
      <c r="Z117" s="3" t="s">
        <v>333</v>
      </c>
      <c r="AA117" s="387">
        <v>45036</v>
      </c>
      <c r="AB117" s="387">
        <v>45291</v>
      </c>
      <c r="AC117" s="4" t="s">
        <v>4717</v>
      </c>
      <c r="AD117" s="412"/>
      <c r="AE117" s="4"/>
      <c r="AF117" s="388"/>
      <c r="AG117" s="383"/>
      <c r="AH117" s="414" t="str">
        <f t="shared" ca="1" si="31"/>
        <v>MUERTO</v>
      </c>
      <c r="AI117" s="3"/>
      <c r="AJ117" s="3"/>
      <c r="AK117" s="3" t="s">
        <v>333</v>
      </c>
      <c r="AL117" s="3"/>
      <c r="AM117" s="3" t="s">
        <v>333</v>
      </c>
      <c r="AN117" s="3"/>
      <c r="AO117" s="3"/>
      <c r="AP117" s="458"/>
      <c r="AQ117" s="388"/>
      <c r="AR117" s="4"/>
      <c r="AS117" s="459"/>
      <c r="AT117" s="281" t="s">
        <v>6009</v>
      </c>
      <c r="AU117" s="4"/>
      <c r="AV117" s="4" t="e">
        <f>VLOOKUP(I117,[2]RFC!$1:$1048576,2,0)</f>
        <v>#N/A</v>
      </c>
      <c r="AW117" s="6">
        <v>45030</v>
      </c>
      <c r="AX117" s="463">
        <v>45033</v>
      </c>
      <c r="AY117" s="6">
        <v>45036</v>
      </c>
      <c r="AZ117" s="6">
        <f t="shared" si="36"/>
        <v>45036</v>
      </c>
      <c r="BA117" s="415" t="str">
        <f t="shared" si="30"/>
        <v>Contrato formalizado con garantias 03/05</v>
      </c>
      <c r="BB117" s="416">
        <v>45042</v>
      </c>
      <c r="BC117" s="255">
        <v>45037</v>
      </c>
      <c r="BD117" s="519"/>
      <c r="BE117" s="519"/>
      <c r="BF117" s="519"/>
      <c r="BG117" s="519"/>
      <c r="BH117" s="519"/>
    </row>
    <row r="118" spans="1:60" ht="75" x14ac:dyDescent="0.25">
      <c r="A118" s="537" t="s">
        <v>6064</v>
      </c>
      <c r="B118" s="1037">
        <v>111</v>
      </c>
      <c r="C118" s="4" t="s">
        <v>149</v>
      </c>
      <c r="D118" s="3" t="s">
        <v>151</v>
      </c>
      <c r="E118" s="18" t="s">
        <v>6065</v>
      </c>
      <c r="F118" s="3" t="str">
        <f t="shared" si="33"/>
        <v>Invitación</v>
      </c>
      <c r="G118" s="3"/>
      <c r="H118" s="3" t="s">
        <v>3793</v>
      </c>
      <c r="I118" s="275" t="s">
        <v>4537</v>
      </c>
      <c r="J118" s="17"/>
      <c r="K118" s="17"/>
      <c r="L118" s="17"/>
      <c r="M118" s="375" t="str">
        <f t="shared" si="35"/>
        <v xml:space="preserve">Escalator, Elevator &amp; Electromechanics Enterprise, S.A. de C.V.  </v>
      </c>
      <c r="N118" s="959" t="s">
        <v>198</v>
      </c>
      <c r="O118" s="959" t="s">
        <v>198</v>
      </c>
      <c r="P118" s="959" t="s">
        <v>352</v>
      </c>
      <c r="Q118" s="959" t="s">
        <v>6066</v>
      </c>
      <c r="R118" s="962">
        <v>1176000</v>
      </c>
      <c r="S118" s="383">
        <f t="shared" si="34"/>
        <v>188160</v>
      </c>
      <c r="T118" s="384">
        <f t="shared" si="38"/>
        <v>1364160</v>
      </c>
      <c r="U118" s="385">
        <v>540107.80000000005</v>
      </c>
      <c r="V118" s="386">
        <f t="shared" si="37"/>
        <v>626525.04800000007</v>
      </c>
      <c r="W118" s="383">
        <f t="shared" si="39"/>
        <v>1364160</v>
      </c>
      <c r="X118" s="963" t="s">
        <v>156</v>
      </c>
      <c r="Y118" s="387">
        <v>45036</v>
      </c>
      <c r="Z118" s="3" t="s">
        <v>333</v>
      </c>
      <c r="AA118" s="387">
        <v>45036</v>
      </c>
      <c r="AB118" s="387">
        <v>45291</v>
      </c>
      <c r="AC118" s="4" t="s">
        <v>4717</v>
      </c>
      <c r="AD118" s="412"/>
      <c r="AE118" s="4"/>
      <c r="AF118" s="388"/>
      <c r="AG118" s="383"/>
      <c r="AH118" s="414" t="str">
        <f t="shared" ca="1" si="31"/>
        <v>MUERTO</v>
      </c>
      <c r="AI118" s="3"/>
      <c r="AJ118" s="3"/>
      <c r="AK118" s="3" t="s">
        <v>333</v>
      </c>
      <c r="AL118" s="3"/>
      <c r="AM118" s="3" t="s">
        <v>333</v>
      </c>
      <c r="AN118" s="3"/>
      <c r="AO118" s="3"/>
      <c r="AP118" s="458"/>
      <c r="AQ118" s="388"/>
      <c r="AR118" s="4"/>
      <c r="AS118" s="459"/>
      <c r="AT118" s="281" t="s">
        <v>5535</v>
      </c>
      <c r="AU118" s="4"/>
      <c r="AV118" s="4" t="str">
        <f>VLOOKUP(I118,[2]RFC!$1:$1048576,2,0)</f>
        <v>EEA1006077G5</v>
      </c>
      <c r="AW118" s="6">
        <v>45033</v>
      </c>
      <c r="AX118" s="463">
        <v>45034</v>
      </c>
      <c r="AY118" s="6"/>
      <c r="AZ118" s="6">
        <f t="shared" si="36"/>
        <v>0</v>
      </c>
      <c r="BA118" s="415" t="str">
        <f t="shared" si="30"/>
        <v>Contrato formalizado con garantías 11/05</v>
      </c>
      <c r="BB118" s="416">
        <v>45040</v>
      </c>
      <c r="BC118" s="255">
        <v>45037</v>
      </c>
      <c r="BD118" s="519"/>
      <c r="BE118" s="519"/>
      <c r="BF118" s="519"/>
      <c r="BG118" s="519"/>
      <c r="BH118" s="519"/>
    </row>
    <row r="119" spans="1:60" ht="120" x14ac:dyDescent="0.25">
      <c r="A119" s="371" t="s">
        <v>6067</v>
      </c>
      <c r="B119" s="1037">
        <v>112</v>
      </c>
      <c r="C119" s="4" t="s">
        <v>149</v>
      </c>
      <c r="D119" s="3" t="s">
        <v>163</v>
      </c>
      <c r="E119" s="18" t="s">
        <v>6011</v>
      </c>
      <c r="F119" s="3" t="s">
        <v>5365</v>
      </c>
      <c r="G119" s="685" t="s">
        <v>546</v>
      </c>
      <c r="H119" s="3" t="s">
        <v>3764</v>
      </c>
      <c r="I119" s="275" t="s">
        <v>1655</v>
      </c>
      <c r="J119" s="17"/>
      <c r="K119" s="17"/>
      <c r="L119" s="17"/>
      <c r="M119" s="375" t="str">
        <f t="shared" si="35"/>
        <v xml:space="preserve">Comercializadora Dopaj, S.A. de C.V.  </v>
      </c>
      <c r="N119" s="959" t="s">
        <v>301</v>
      </c>
      <c r="O119" s="959" t="s">
        <v>301</v>
      </c>
      <c r="P119" s="959" t="s">
        <v>4461</v>
      </c>
      <c r="Q119" s="959" t="s">
        <v>6068</v>
      </c>
      <c r="R119" s="962">
        <v>11598666.67</v>
      </c>
      <c r="S119" s="383">
        <f t="shared" si="34"/>
        <v>1855786.6672</v>
      </c>
      <c r="T119" s="384">
        <f t="shared" si="38"/>
        <v>13454453.337200001</v>
      </c>
      <c r="U119" s="385">
        <v>11432000</v>
      </c>
      <c r="V119" s="386">
        <f t="shared" si="37"/>
        <v>13261120</v>
      </c>
      <c r="W119" s="528">
        <f t="shared" si="39"/>
        <v>13454453.337200001</v>
      </c>
      <c r="X119" s="963" t="s">
        <v>183</v>
      </c>
      <c r="Y119" s="387">
        <v>45048</v>
      </c>
      <c r="Z119" s="3" t="s">
        <v>559</v>
      </c>
      <c r="AA119" s="387">
        <v>45047</v>
      </c>
      <c r="AB119" s="387">
        <v>45777</v>
      </c>
      <c r="AC119" s="4" t="s">
        <v>6069</v>
      </c>
      <c r="AD119" s="530"/>
      <c r="AE119" s="527"/>
      <c r="AF119" s="521"/>
      <c r="AG119" s="528"/>
      <c r="AH119" s="414" t="str">
        <f t="shared" ca="1" si="31"/>
        <v>VIGENTE</v>
      </c>
      <c r="AI119" s="3"/>
      <c r="AJ119" s="3"/>
      <c r="AK119" s="3" t="s">
        <v>559</v>
      </c>
      <c r="AL119" s="3"/>
      <c r="AM119" s="3" t="s">
        <v>559</v>
      </c>
      <c r="AN119" s="3"/>
      <c r="AO119" s="3"/>
      <c r="AP119" s="458"/>
      <c r="AQ119" s="388"/>
      <c r="AR119" s="4"/>
      <c r="AS119" s="459"/>
      <c r="AT119" s="281" t="s">
        <v>6070</v>
      </c>
      <c r="AU119" s="4"/>
      <c r="AV119" s="4" t="e">
        <f>VLOOKUP(I119,[2]RFC!$1:$1048576,2,0)</f>
        <v>#N/A</v>
      </c>
      <c r="AW119" s="6" t="s">
        <v>6071</v>
      </c>
      <c r="AX119" s="463" t="s">
        <v>6072</v>
      </c>
      <c r="AY119" s="6" t="s">
        <v>6073</v>
      </c>
      <c r="AZ119" s="6" t="str">
        <f t="shared" si="36"/>
        <v>02/05/2023
06/11/2023</v>
      </c>
      <c r="BA119" s="415" t="str">
        <f t="shared" ref="BA119:BA152" si="40">AT119</f>
        <v>Contrato formalizado con FC 09/06                  12/01/2024</v>
      </c>
      <c r="BB119" s="416" t="s">
        <v>6074</v>
      </c>
      <c r="BC119" s="255" t="s">
        <v>6075</v>
      </c>
      <c r="BD119" s="519">
        <f>11598666.67*1.16</f>
        <v>13454453.337199999</v>
      </c>
      <c r="BE119" s="519">
        <f>17398000*1.16</f>
        <v>20181680</v>
      </c>
      <c r="BF119" s="519">
        <f>5799333.33*1.16</f>
        <v>6727226.6628</v>
      </c>
      <c r="BG119" s="519"/>
      <c r="BH119" s="519"/>
    </row>
    <row r="120" spans="1:60" ht="120" x14ac:dyDescent="0.25">
      <c r="A120" s="371" t="s">
        <v>6076</v>
      </c>
      <c r="B120" s="1037">
        <v>112</v>
      </c>
      <c r="C120" s="4" t="s">
        <v>149</v>
      </c>
      <c r="D120" s="3" t="s">
        <v>163</v>
      </c>
      <c r="E120" s="18" t="s">
        <v>6011</v>
      </c>
      <c r="F120" s="3" t="s">
        <v>5365</v>
      </c>
      <c r="G120" s="685" t="s">
        <v>546</v>
      </c>
      <c r="H120" s="3" t="s">
        <v>3764</v>
      </c>
      <c r="I120" s="275" t="s">
        <v>1655</v>
      </c>
      <c r="J120" s="17"/>
      <c r="K120" s="17"/>
      <c r="L120" s="17"/>
      <c r="M120" s="375" t="str">
        <f>I120&amp;J120&amp;" "&amp;K120&amp;" "&amp;L120</f>
        <v xml:space="preserve">Comercializadora Dopaj, S.A. de C.V.  </v>
      </c>
      <c r="N120" s="959" t="s">
        <v>301</v>
      </c>
      <c r="O120" s="959" t="s">
        <v>301</v>
      </c>
      <c r="P120" s="959" t="s">
        <v>4461</v>
      </c>
      <c r="Q120" s="959" t="s">
        <v>6068</v>
      </c>
      <c r="R120" s="962">
        <v>431034.4827586207</v>
      </c>
      <c r="S120" s="383">
        <f>R120*0.16</f>
        <v>68965.517241379319</v>
      </c>
      <c r="T120" s="384">
        <f>R120+S120</f>
        <v>500000</v>
      </c>
      <c r="U120" s="385">
        <v>0</v>
      </c>
      <c r="V120" s="386">
        <v>0</v>
      </c>
      <c r="W120" s="528">
        <f t="shared" si="39"/>
        <v>500000</v>
      </c>
      <c r="X120" s="963" t="s">
        <v>183</v>
      </c>
      <c r="Y120" s="387">
        <v>45048</v>
      </c>
      <c r="Z120" s="3" t="s">
        <v>559</v>
      </c>
      <c r="AA120" s="387">
        <v>45047</v>
      </c>
      <c r="AB120" s="387">
        <v>45777</v>
      </c>
      <c r="AC120" s="4" t="s">
        <v>6069</v>
      </c>
      <c r="AD120" s="530" t="s">
        <v>6077</v>
      </c>
      <c r="AE120" s="527" t="s">
        <v>6078</v>
      </c>
      <c r="AF120" s="521">
        <v>45236</v>
      </c>
      <c r="AG120" s="528"/>
      <c r="AH120" s="414" t="str">
        <f ca="1">IF(ISBLANK(AB120),"",IF(AB120&gt;=TODAY(),"VIGENTE","MUERTO"))</f>
        <v>VIGENTE</v>
      </c>
      <c r="AI120" s="3"/>
      <c r="AJ120" s="3"/>
      <c r="AK120" s="3" t="s">
        <v>559</v>
      </c>
      <c r="AL120" s="3"/>
      <c r="AM120" s="3" t="s">
        <v>559</v>
      </c>
      <c r="AN120" s="3"/>
      <c r="AO120" s="3"/>
      <c r="AP120" s="458"/>
      <c r="AQ120" s="388"/>
      <c r="AR120" s="4"/>
      <c r="AS120" s="459"/>
      <c r="AT120" s="281" t="s">
        <v>6070</v>
      </c>
      <c r="AU120" s="4"/>
      <c r="AV120" s="4" t="e">
        <f>VLOOKUP(I120,[2]RFC!$1:$1048576,2,0)</f>
        <v>#N/A</v>
      </c>
      <c r="AW120" s="6" t="s">
        <v>6071</v>
      </c>
      <c r="AX120" s="463" t="s">
        <v>6072</v>
      </c>
      <c r="AY120" s="6" t="s">
        <v>6073</v>
      </c>
      <c r="AZ120" s="6" t="str">
        <f>AY120</f>
        <v>02/05/2023
06/11/2023</v>
      </c>
      <c r="BA120" s="415" t="str">
        <f>AT120</f>
        <v>Contrato formalizado con FC 09/06                  12/01/2024</v>
      </c>
      <c r="BB120" s="416" t="s">
        <v>6074</v>
      </c>
      <c r="BC120" s="255" t="s">
        <v>6075</v>
      </c>
      <c r="BD120" s="519">
        <f>11598666.67*1.16</f>
        <v>13454453.337199999</v>
      </c>
      <c r="BE120" s="519">
        <f>17398000*1.16</f>
        <v>20181680</v>
      </c>
      <c r="BF120" s="519">
        <f>5799333.33*1.16</f>
        <v>6727226.6628</v>
      </c>
      <c r="BG120" s="519"/>
      <c r="BH120" s="519"/>
    </row>
    <row r="121" spans="1:60" ht="90" x14ac:dyDescent="0.25">
      <c r="A121" s="537" t="s">
        <v>6079</v>
      </c>
      <c r="B121" s="1037">
        <v>113</v>
      </c>
      <c r="C121" s="4" t="s">
        <v>149</v>
      </c>
      <c r="D121" s="3" t="s">
        <v>173</v>
      </c>
      <c r="E121" s="18" t="s">
        <v>6080</v>
      </c>
      <c r="F121" s="3" t="str">
        <f t="shared" si="33"/>
        <v>Licitación Pública</v>
      </c>
      <c r="G121" s="3"/>
      <c r="H121" s="3" t="s">
        <v>3785</v>
      </c>
      <c r="I121" s="275" t="s">
        <v>1966</v>
      </c>
      <c r="J121" s="17"/>
      <c r="K121" s="17"/>
      <c r="L121" s="17"/>
      <c r="M121" s="375" t="str">
        <f t="shared" si="35"/>
        <v xml:space="preserve">Corporate Accon en Conocimientos e Ingeniería, S.A. de C.V.  </v>
      </c>
      <c r="N121" s="959" t="s">
        <v>301</v>
      </c>
      <c r="O121" s="959" t="s">
        <v>301</v>
      </c>
      <c r="P121" s="959" t="s">
        <v>6081</v>
      </c>
      <c r="Q121" s="959" t="s">
        <v>6082</v>
      </c>
      <c r="R121" s="962">
        <v>1837966.19</v>
      </c>
      <c r="S121" s="383">
        <f t="shared" si="34"/>
        <v>294074.59039999999</v>
      </c>
      <c r="T121" s="384">
        <f t="shared" si="38"/>
        <v>2132040.7804</v>
      </c>
      <c r="U121" s="385">
        <v>735186.47</v>
      </c>
      <c r="V121" s="386">
        <f t="shared" si="37"/>
        <v>852816.30519999994</v>
      </c>
      <c r="W121" s="383">
        <f t="shared" si="39"/>
        <v>2132040.7804</v>
      </c>
      <c r="X121" s="963" t="s">
        <v>156</v>
      </c>
      <c r="Y121" s="387">
        <v>45048</v>
      </c>
      <c r="Z121" s="3" t="s">
        <v>559</v>
      </c>
      <c r="AA121" s="387">
        <v>45047</v>
      </c>
      <c r="AB121" s="387">
        <v>45291</v>
      </c>
      <c r="AC121" s="4" t="s">
        <v>4773</v>
      </c>
      <c r="AD121" s="412"/>
      <c r="AE121" s="4"/>
      <c r="AF121" s="388"/>
      <c r="AG121" s="383"/>
      <c r="AH121" s="414" t="str">
        <f t="shared" ref="AH121:AH157" ca="1" si="41">IF(ISBLANK(AB121),"",IF(AB121&gt;=TODAY(),"VIGENTE","MUERTO"))</f>
        <v>MUERTO</v>
      </c>
      <c r="AI121" s="3"/>
      <c r="AJ121" s="3"/>
      <c r="AK121" s="3" t="s">
        <v>559</v>
      </c>
      <c r="AL121" s="3"/>
      <c r="AM121" s="3" t="s">
        <v>559</v>
      </c>
      <c r="AN121" s="3"/>
      <c r="AO121" s="3"/>
      <c r="AP121" s="458"/>
      <c r="AQ121" s="388"/>
      <c r="AR121" s="4"/>
      <c r="AS121" s="459"/>
      <c r="AT121" s="281" t="s">
        <v>5582</v>
      </c>
      <c r="AU121" s="4"/>
      <c r="AV121" s="4" t="e">
        <f>VLOOKUP(I121,[2]RFC!$1:$1048576,2,0)</f>
        <v>#N/A</v>
      </c>
      <c r="AW121" s="6">
        <v>45037</v>
      </c>
      <c r="AX121" s="463">
        <v>45040</v>
      </c>
      <c r="AY121" s="6">
        <v>45048</v>
      </c>
      <c r="AZ121" s="6">
        <f t="shared" si="36"/>
        <v>45048</v>
      </c>
      <c r="BA121" s="415" t="str">
        <f t="shared" si="40"/>
        <v>Contrato formalizado con fc 05/06</v>
      </c>
      <c r="BB121" s="416">
        <v>45068</v>
      </c>
      <c r="BC121" s="255">
        <v>45068</v>
      </c>
      <c r="BD121" s="519"/>
      <c r="BE121" s="519"/>
      <c r="BF121" s="519"/>
      <c r="BG121" s="519"/>
      <c r="BH121" s="519"/>
    </row>
    <row r="122" spans="1:60" ht="165" x14ac:dyDescent="0.25">
      <c r="A122" s="539" t="s">
        <v>6083</v>
      </c>
      <c r="B122" s="252">
        <v>114</v>
      </c>
      <c r="C122" s="4" t="s">
        <v>149</v>
      </c>
      <c r="D122" s="3" t="s">
        <v>163</v>
      </c>
      <c r="E122" s="18" t="s">
        <v>6084</v>
      </c>
      <c r="F122" s="3" t="s">
        <v>5365</v>
      </c>
      <c r="G122" s="685" t="s">
        <v>546</v>
      </c>
      <c r="H122" s="3" t="s">
        <v>3764</v>
      </c>
      <c r="I122" s="275" t="s">
        <v>569</v>
      </c>
      <c r="J122" s="17"/>
      <c r="K122" s="17"/>
      <c r="L122" s="17"/>
      <c r="M122" s="375" t="str">
        <f t="shared" si="35"/>
        <v xml:space="preserve">Audio Video &amp; Control, S.A. de C.V.  </v>
      </c>
      <c r="N122" s="959" t="s">
        <v>656</v>
      </c>
      <c r="O122" s="959" t="s">
        <v>667</v>
      </c>
      <c r="P122" s="959" t="s">
        <v>5368</v>
      </c>
      <c r="Q122" s="959" t="s">
        <v>6085</v>
      </c>
      <c r="R122" s="962">
        <v>2585000</v>
      </c>
      <c r="S122" s="383">
        <f t="shared" si="34"/>
        <v>413600</v>
      </c>
      <c r="T122" s="384">
        <f t="shared" si="38"/>
        <v>2998600</v>
      </c>
      <c r="U122" s="385">
        <v>860000</v>
      </c>
      <c r="V122" s="386">
        <f t="shared" si="37"/>
        <v>997600</v>
      </c>
      <c r="W122" s="383">
        <f t="shared" si="39"/>
        <v>3748250</v>
      </c>
      <c r="X122" s="963" t="s">
        <v>156</v>
      </c>
      <c r="Y122" s="387">
        <v>45048</v>
      </c>
      <c r="Z122" s="3" t="s">
        <v>559</v>
      </c>
      <c r="AA122" s="387">
        <v>45047</v>
      </c>
      <c r="AB122" s="387">
        <v>45291</v>
      </c>
      <c r="AC122" s="4" t="s">
        <v>3811</v>
      </c>
      <c r="AD122" s="412" t="s">
        <v>6086</v>
      </c>
      <c r="AE122" s="527" t="s">
        <v>5517</v>
      </c>
      <c r="AF122" s="521">
        <v>45126</v>
      </c>
      <c r="AG122" s="528">
        <v>749650</v>
      </c>
      <c r="AH122" s="414" t="str">
        <f t="shared" ca="1" si="41"/>
        <v>MUERTO</v>
      </c>
      <c r="AI122" s="3"/>
      <c r="AJ122" s="3"/>
      <c r="AK122" s="3" t="s">
        <v>559</v>
      </c>
      <c r="AL122" s="3"/>
      <c r="AM122" s="3" t="s">
        <v>559</v>
      </c>
      <c r="AN122" s="3"/>
      <c r="AO122" s="3"/>
      <c r="AP122" s="458"/>
      <c r="AQ122" s="388"/>
      <c r="AR122" s="4"/>
      <c r="AS122" s="459"/>
      <c r="AT122" s="281" t="s">
        <v>6087</v>
      </c>
      <c r="AU122" s="4"/>
      <c r="AV122" s="4" t="str">
        <f>VLOOKUP(I122,[2]RFC!$1:$1048576,2,0)</f>
        <v>AV&amp;060117UX0</v>
      </c>
      <c r="AW122" s="6" t="s">
        <v>6088</v>
      </c>
      <c r="AX122" s="463" t="s">
        <v>6089</v>
      </c>
      <c r="AY122" s="6">
        <v>45054</v>
      </c>
      <c r="AZ122" s="6">
        <f t="shared" si="36"/>
        <v>45054</v>
      </c>
      <c r="BA122" s="415" t="str">
        <f t="shared" si="40"/>
        <v>Contrato formalizado con garantías 19/05
Modificatorio formalizado con endosos 31/08</v>
      </c>
      <c r="BB122" s="416" t="s">
        <v>6090</v>
      </c>
      <c r="BC122" s="255" t="s">
        <v>6091</v>
      </c>
      <c r="BD122" s="519"/>
      <c r="BE122" s="519"/>
      <c r="BF122" s="519"/>
      <c r="BG122" s="519"/>
      <c r="BH122" s="519"/>
    </row>
    <row r="123" spans="1:60" ht="75" x14ac:dyDescent="0.25">
      <c r="A123" s="537" t="s">
        <v>6092</v>
      </c>
      <c r="B123" s="1037">
        <v>115</v>
      </c>
      <c r="C123" s="4" t="s">
        <v>149</v>
      </c>
      <c r="D123" s="3" t="s">
        <v>163</v>
      </c>
      <c r="E123" s="18" t="s">
        <v>6084</v>
      </c>
      <c r="F123" s="3" t="s">
        <v>5365</v>
      </c>
      <c r="G123" s="685" t="s">
        <v>546</v>
      </c>
      <c r="H123" s="3" t="s">
        <v>4030</v>
      </c>
      <c r="I123" s="275" t="s">
        <v>6093</v>
      </c>
      <c r="J123" s="17"/>
      <c r="K123" s="17"/>
      <c r="L123" s="17"/>
      <c r="M123" s="375" t="str">
        <f t="shared" si="35"/>
        <v xml:space="preserve">Innova Publicidad Digital, S.A. de C.V.  </v>
      </c>
      <c r="N123" s="959" t="s">
        <v>860</v>
      </c>
      <c r="O123" s="959" t="s">
        <v>1946</v>
      </c>
      <c r="P123" s="959" t="s">
        <v>1946</v>
      </c>
      <c r="Q123" s="959" t="s">
        <v>6094</v>
      </c>
      <c r="R123" s="962">
        <v>1368900</v>
      </c>
      <c r="S123" s="383">
        <f t="shared" si="34"/>
        <v>219024</v>
      </c>
      <c r="T123" s="384">
        <f t="shared" si="38"/>
        <v>1587924</v>
      </c>
      <c r="U123" s="385" t="s">
        <v>161</v>
      </c>
      <c r="V123" s="386" t="s">
        <v>161</v>
      </c>
      <c r="W123" s="383">
        <f t="shared" si="39"/>
        <v>1587924</v>
      </c>
      <c r="X123" s="963" t="s">
        <v>156</v>
      </c>
      <c r="Y123" s="387">
        <v>45056</v>
      </c>
      <c r="Z123" s="3" t="s">
        <v>559</v>
      </c>
      <c r="AA123" s="387">
        <v>45056</v>
      </c>
      <c r="AB123" s="387">
        <v>45148</v>
      </c>
      <c r="AC123" s="4" t="s">
        <v>3113</v>
      </c>
      <c r="AD123" s="412"/>
      <c r="AE123" s="4"/>
      <c r="AF123" s="388"/>
      <c r="AG123" s="383"/>
      <c r="AH123" s="414" t="str">
        <f t="shared" ca="1" si="41"/>
        <v>MUERTO</v>
      </c>
      <c r="AI123" s="3"/>
      <c r="AJ123" s="3"/>
      <c r="AK123" s="3" t="s">
        <v>559</v>
      </c>
      <c r="AL123" s="3"/>
      <c r="AM123" s="3" t="s">
        <v>559</v>
      </c>
      <c r="AN123" s="3"/>
      <c r="AO123" s="3"/>
      <c r="AP123" s="458"/>
      <c r="AQ123" s="388"/>
      <c r="AR123" s="4"/>
      <c r="AS123" s="459"/>
      <c r="AT123" s="281" t="s">
        <v>5582</v>
      </c>
      <c r="AU123" s="4"/>
      <c r="AV123" s="412"/>
      <c r="AW123" s="412">
        <v>45044</v>
      </c>
      <c r="AX123" s="6">
        <v>45050</v>
      </c>
      <c r="AY123" s="6">
        <v>45056</v>
      </c>
      <c r="AZ123" s="6">
        <f t="shared" si="36"/>
        <v>45056</v>
      </c>
      <c r="BA123" s="415" t="str">
        <f t="shared" si="40"/>
        <v>Contrato formalizado con fc 05/06</v>
      </c>
      <c r="BB123" s="416">
        <v>45062</v>
      </c>
      <c r="BC123" s="255">
        <v>45058</v>
      </c>
      <c r="BD123" s="519"/>
      <c r="BE123" s="519"/>
      <c r="BF123" s="519"/>
      <c r="BG123" s="519"/>
      <c r="BH123" s="519"/>
    </row>
    <row r="124" spans="1:60" ht="150" x14ac:dyDescent="0.25">
      <c r="A124" s="286" t="s">
        <v>6095</v>
      </c>
      <c r="B124" s="1037">
        <v>116</v>
      </c>
      <c r="C124" s="4" t="s">
        <v>149</v>
      </c>
      <c r="D124" s="3" t="s">
        <v>173</v>
      </c>
      <c r="E124" s="18" t="s">
        <v>6096</v>
      </c>
      <c r="F124" s="3" t="str">
        <f t="shared" si="33"/>
        <v>Licitación Pública</v>
      </c>
      <c r="G124" s="3"/>
      <c r="H124" s="3" t="s">
        <v>3785</v>
      </c>
      <c r="I124" s="275" t="s">
        <v>5158</v>
      </c>
      <c r="J124" s="17"/>
      <c r="K124" s="17"/>
      <c r="L124" s="17"/>
      <c r="M124" s="375" t="str">
        <f t="shared" si="35"/>
        <v xml:space="preserve">Cen Systems, S.A. de C.V.  </v>
      </c>
      <c r="N124" s="959" t="s">
        <v>656</v>
      </c>
      <c r="O124" s="959" t="s">
        <v>209</v>
      </c>
      <c r="P124" s="959" t="s">
        <v>6097</v>
      </c>
      <c r="Q124" s="959" t="s">
        <v>6098</v>
      </c>
      <c r="R124" s="962">
        <v>4830811.83</v>
      </c>
      <c r="S124" s="383">
        <f t="shared" si="34"/>
        <v>772929.89280000003</v>
      </c>
      <c r="T124" s="384">
        <f t="shared" si="38"/>
        <v>5603741.7227999996</v>
      </c>
      <c r="U124" s="385" t="s">
        <v>161</v>
      </c>
      <c r="V124" s="386" t="s">
        <v>161</v>
      </c>
      <c r="W124" s="383">
        <f t="shared" si="39"/>
        <v>5603741.7227999996</v>
      </c>
      <c r="X124" s="963" t="s">
        <v>156</v>
      </c>
      <c r="Y124" s="387">
        <v>45071</v>
      </c>
      <c r="Z124" s="3" t="s">
        <v>559</v>
      </c>
      <c r="AA124" s="387">
        <v>45071</v>
      </c>
      <c r="AB124" s="387">
        <v>45169</v>
      </c>
      <c r="AC124" s="4" t="s">
        <v>3787</v>
      </c>
      <c r="AD124" s="412"/>
      <c r="AE124" s="4"/>
      <c r="AF124" s="388"/>
      <c r="AG124" s="383"/>
      <c r="AH124" s="414" t="str">
        <f t="shared" ca="1" si="41"/>
        <v>MUERTO</v>
      </c>
      <c r="AI124" s="3"/>
      <c r="AJ124" s="3"/>
      <c r="AK124" s="3" t="s">
        <v>559</v>
      </c>
      <c r="AL124" s="3"/>
      <c r="AM124" s="3" t="s">
        <v>559</v>
      </c>
      <c r="AN124" s="3"/>
      <c r="AO124" s="3"/>
      <c r="AP124" s="458"/>
      <c r="AQ124" s="388"/>
      <c r="AR124" s="4"/>
      <c r="AS124" s="459"/>
      <c r="AT124" s="281" t="s">
        <v>5587</v>
      </c>
      <c r="AU124" s="4"/>
      <c r="AV124" s="4" t="str">
        <f>VLOOKUP(I124,[2]RFC!$1:$1048576,2,0)</f>
        <v>CSY100128PK5</v>
      </c>
      <c r="AW124" s="6">
        <v>45068</v>
      </c>
      <c r="AX124" s="463">
        <v>45069</v>
      </c>
      <c r="AY124" s="6">
        <v>45071</v>
      </c>
      <c r="AZ124" s="6">
        <f t="shared" si="36"/>
        <v>45071</v>
      </c>
      <c r="BA124" s="415" t="str">
        <f t="shared" si="40"/>
        <v>Contrato formalizado con Garantía 20/06</v>
      </c>
      <c r="BB124" s="416">
        <v>45078</v>
      </c>
      <c r="BC124" s="255">
        <v>45072</v>
      </c>
      <c r="BD124" s="519"/>
      <c r="BE124" s="519"/>
      <c r="BF124" s="519"/>
      <c r="BG124" s="519"/>
      <c r="BH124" s="519"/>
    </row>
    <row r="125" spans="1:60" ht="135" x14ac:dyDescent="0.25">
      <c r="A125" s="286" t="s">
        <v>6099</v>
      </c>
      <c r="B125" s="1037">
        <v>117</v>
      </c>
      <c r="C125" s="4" t="s">
        <v>149</v>
      </c>
      <c r="D125" s="3" t="s">
        <v>151</v>
      </c>
      <c r="E125" s="18" t="s">
        <v>6100</v>
      </c>
      <c r="F125" s="3" t="str">
        <f t="shared" si="33"/>
        <v>Invitación</v>
      </c>
      <c r="G125" s="3"/>
      <c r="H125" s="3" t="s">
        <v>3793</v>
      </c>
      <c r="I125" s="275" t="s">
        <v>6101</v>
      </c>
      <c r="J125" s="17"/>
      <c r="K125" s="17"/>
      <c r="L125" s="17"/>
      <c r="M125" s="375" t="str">
        <f t="shared" si="35"/>
        <v xml:space="preserve">Construcciones y Materiales Keno, S.A. de C.V.  </v>
      </c>
      <c r="N125" s="959" t="s">
        <v>198</v>
      </c>
      <c r="O125" s="959" t="s">
        <v>198</v>
      </c>
      <c r="P125" s="959" t="s">
        <v>6102</v>
      </c>
      <c r="Q125" s="959" t="s">
        <v>6103</v>
      </c>
      <c r="R125" s="962">
        <v>1498956</v>
      </c>
      <c r="S125" s="383">
        <f t="shared" si="34"/>
        <v>239832.95999999999</v>
      </c>
      <c r="T125" s="384">
        <f t="shared" si="38"/>
        <v>1738788.96</v>
      </c>
      <c r="U125" s="385">
        <v>993893</v>
      </c>
      <c r="V125" s="386">
        <f>(U125*0.16)+(U125)</f>
        <v>1152915.8799999999</v>
      </c>
      <c r="W125" s="383">
        <f t="shared" si="39"/>
        <v>1738788.96</v>
      </c>
      <c r="X125" s="963" t="s">
        <v>156</v>
      </c>
      <c r="Y125" s="387">
        <v>45077</v>
      </c>
      <c r="Z125" s="3" t="s">
        <v>559</v>
      </c>
      <c r="AA125" s="387">
        <v>45077</v>
      </c>
      <c r="AB125" s="387">
        <v>45291</v>
      </c>
      <c r="AC125" s="4" t="s">
        <v>3811</v>
      </c>
      <c r="AD125" s="412"/>
      <c r="AE125" s="4"/>
      <c r="AF125" s="388"/>
      <c r="AG125" s="383"/>
      <c r="AH125" s="414" t="str">
        <f t="shared" ca="1" si="41"/>
        <v>MUERTO</v>
      </c>
      <c r="AI125" s="3"/>
      <c r="AJ125" s="3"/>
      <c r="AK125" s="3" t="s">
        <v>559</v>
      </c>
      <c r="AL125" s="3"/>
      <c r="AM125" s="3" t="s">
        <v>496</v>
      </c>
      <c r="AN125" s="3"/>
      <c r="AO125" s="3"/>
      <c r="AP125" s="458"/>
      <c r="AQ125" s="388"/>
      <c r="AR125" s="4"/>
      <c r="AS125" s="459"/>
      <c r="AT125" s="281" t="s">
        <v>6104</v>
      </c>
      <c r="AU125" s="4"/>
      <c r="AV125" s="4" t="e">
        <f>VLOOKUP(I125,[2]RFC!$1:$1048576,2,0)</f>
        <v>#N/A</v>
      </c>
      <c r="AW125" s="6">
        <v>45072</v>
      </c>
      <c r="AX125" s="463">
        <v>45075</v>
      </c>
      <c r="AY125" s="6">
        <v>45077</v>
      </c>
      <c r="AZ125" s="6">
        <f t="shared" si="36"/>
        <v>45077</v>
      </c>
      <c r="BA125" s="415" t="str">
        <f t="shared" si="40"/>
        <v>Contrato formalizado con garantías 06/07</v>
      </c>
      <c r="BB125" s="416">
        <v>45091</v>
      </c>
      <c r="BC125" s="255">
        <v>45091</v>
      </c>
      <c r="BD125" s="519"/>
      <c r="BE125" s="519"/>
      <c r="BF125" s="519"/>
      <c r="BG125" s="519"/>
      <c r="BH125" s="519"/>
    </row>
    <row r="126" spans="1:60" ht="75" x14ac:dyDescent="0.25">
      <c r="A126" s="286" t="s">
        <v>6105</v>
      </c>
      <c r="B126" s="252">
        <v>118</v>
      </c>
      <c r="C126" s="4" t="s">
        <v>149</v>
      </c>
      <c r="D126" s="3" t="s">
        <v>163</v>
      </c>
      <c r="E126" s="18" t="s">
        <v>6106</v>
      </c>
      <c r="F126" s="3" t="str">
        <f t="shared" si="33"/>
        <v>Adjudicación Directa</v>
      </c>
      <c r="G126" s="684" t="s">
        <v>163</v>
      </c>
      <c r="H126" s="3" t="s">
        <v>4123</v>
      </c>
      <c r="I126" s="275" t="s">
        <v>6107</v>
      </c>
      <c r="J126" s="17"/>
      <c r="K126" s="17"/>
      <c r="L126" s="17"/>
      <c r="M126" s="375" t="str">
        <f t="shared" si="35"/>
        <v xml:space="preserve">Programas y Aplicaciones Certificadas, S.A. de C.V.  </v>
      </c>
      <c r="N126" s="959" t="s">
        <v>860</v>
      </c>
      <c r="O126" s="959" t="s">
        <v>5152</v>
      </c>
      <c r="P126" s="959" t="s">
        <v>5152</v>
      </c>
      <c r="Q126" s="959" t="s">
        <v>4504</v>
      </c>
      <c r="R126" s="962">
        <v>4140000</v>
      </c>
      <c r="S126" s="383">
        <f t="shared" si="34"/>
        <v>662400</v>
      </c>
      <c r="T126" s="384">
        <f t="shared" si="38"/>
        <v>4802400</v>
      </c>
      <c r="U126" s="385" t="s">
        <v>161</v>
      </c>
      <c r="V126" s="386" t="s">
        <v>161</v>
      </c>
      <c r="W126" s="383">
        <f t="shared" si="39"/>
        <v>4802400</v>
      </c>
      <c r="X126" s="963" t="s">
        <v>156</v>
      </c>
      <c r="Y126" s="387">
        <v>45078</v>
      </c>
      <c r="Z126" s="3" t="s">
        <v>496</v>
      </c>
      <c r="AA126" s="387">
        <v>45078</v>
      </c>
      <c r="AB126" s="387">
        <v>45169</v>
      </c>
      <c r="AC126" s="4" t="s">
        <v>3787</v>
      </c>
      <c r="AD126" s="412"/>
      <c r="AE126" s="4"/>
      <c r="AF126" s="388"/>
      <c r="AG126" s="383"/>
      <c r="AH126" s="414" t="str">
        <f t="shared" ca="1" si="41"/>
        <v>MUERTO</v>
      </c>
      <c r="AI126" s="3"/>
      <c r="AJ126" s="3"/>
      <c r="AK126" s="3" t="s">
        <v>496</v>
      </c>
      <c r="AL126" s="3"/>
      <c r="AM126" s="3" t="s">
        <v>496</v>
      </c>
      <c r="AN126" s="3"/>
      <c r="AO126" s="3"/>
      <c r="AP126" s="458"/>
      <c r="AQ126" s="388"/>
      <c r="AR126" s="4"/>
      <c r="AS126" s="459"/>
      <c r="AT126" s="281" t="s">
        <v>6108</v>
      </c>
      <c r="AU126" s="4"/>
      <c r="AV126" s="4" t="e">
        <f>VLOOKUP(I126,[2]RFC!$1:$1048576,2,0)</f>
        <v>#N/A</v>
      </c>
      <c r="AW126" s="6">
        <v>45076</v>
      </c>
      <c r="AX126" s="6">
        <v>45076</v>
      </c>
      <c r="AY126" s="6">
        <v>45078</v>
      </c>
      <c r="AZ126" s="6">
        <f t="shared" si="36"/>
        <v>45078</v>
      </c>
      <c r="BA126" s="415" t="str">
        <f t="shared" si="40"/>
        <v>Contrato formalizado con garantías 07/07</v>
      </c>
      <c r="BB126" s="416">
        <v>45082</v>
      </c>
      <c r="BC126" s="255">
        <v>45079</v>
      </c>
      <c r="BD126" s="519"/>
      <c r="BE126" s="519"/>
      <c r="BF126" s="519"/>
      <c r="BG126" s="519"/>
      <c r="BH126" s="519"/>
    </row>
    <row r="127" spans="1:60" ht="75" x14ac:dyDescent="0.25">
      <c r="A127" s="286" t="s">
        <v>6109</v>
      </c>
      <c r="B127" s="1037">
        <v>119</v>
      </c>
      <c r="C127" s="4" t="s">
        <v>149</v>
      </c>
      <c r="D127" s="3" t="s">
        <v>163</v>
      </c>
      <c r="E127" s="18" t="s">
        <v>6110</v>
      </c>
      <c r="F127" s="3" t="s">
        <v>5365</v>
      </c>
      <c r="G127" s="685" t="s">
        <v>546</v>
      </c>
      <c r="H127" s="3" t="s">
        <v>4030</v>
      </c>
      <c r="I127" s="275" t="s">
        <v>6111</v>
      </c>
      <c r="J127" s="17"/>
      <c r="K127" s="17"/>
      <c r="L127" s="17"/>
      <c r="M127" s="375" t="str">
        <f t="shared" si="35"/>
        <v xml:space="preserve">BA Innovation México, S.A. de C.V.  </v>
      </c>
      <c r="N127" s="959" t="s">
        <v>860</v>
      </c>
      <c r="O127" s="959" t="s">
        <v>1946</v>
      </c>
      <c r="P127" s="959" t="s">
        <v>1946</v>
      </c>
      <c r="Q127" s="959" t="s">
        <v>6112</v>
      </c>
      <c r="R127" s="962">
        <v>837600</v>
      </c>
      <c r="S127" s="383">
        <f t="shared" si="34"/>
        <v>134016</v>
      </c>
      <c r="T127" s="384">
        <f t="shared" si="38"/>
        <v>971616</v>
      </c>
      <c r="U127" s="385" t="s">
        <v>161</v>
      </c>
      <c r="V127" s="386" t="s">
        <v>161</v>
      </c>
      <c r="W127" s="383">
        <f t="shared" si="39"/>
        <v>971616</v>
      </c>
      <c r="X127" s="963" t="s">
        <v>156</v>
      </c>
      <c r="Y127" s="387">
        <v>45084</v>
      </c>
      <c r="Z127" s="3" t="s">
        <v>496</v>
      </c>
      <c r="AA127" s="387">
        <v>45084</v>
      </c>
      <c r="AB127" s="387">
        <v>45153</v>
      </c>
      <c r="AC127" s="4" t="s">
        <v>3113</v>
      </c>
      <c r="AD127" s="412"/>
      <c r="AE127" s="4"/>
      <c r="AF127" s="388"/>
      <c r="AG127" s="383"/>
      <c r="AH127" s="414" t="str">
        <f t="shared" ca="1" si="41"/>
        <v>MUERTO</v>
      </c>
      <c r="AI127" s="3"/>
      <c r="AJ127" s="3"/>
      <c r="AK127" s="3" t="s">
        <v>496</v>
      </c>
      <c r="AL127" s="3"/>
      <c r="AM127" s="3" t="s">
        <v>496</v>
      </c>
      <c r="AN127" s="3"/>
      <c r="AO127" s="3"/>
      <c r="AP127" s="458"/>
      <c r="AQ127" s="388"/>
      <c r="AR127" s="4"/>
      <c r="AS127" s="459"/>
      <c r="AT127" s="281" t="s">
        <v>6113</v>
      </c>
      <c r="AU127" s="4"/>
      <c r="AV127" s="4" t="e">
        <f>VLOOKUP(I127,[2]RFC!$1:$1048576,2,0)</f>
        <v>#N/A</v>
      </c>
      <c r="AW127" s="6"/>
      <c r="AX127" s="463"/>
      <c r="AY127" s="6"/>
      <c r="AZ127" s="6">
        <f t="shared" si="36"/>
        <v>0</v>
      </c>
      <c r="BA127" s="415" t="str">
        <f t="shared" si="40"/>
        <v>Contrato formalizado con FC 28/06</v>
      </c>
      <c r="BB127" s="416">
        <v>45090</v>
      </c>
      <c r="BC127" s="255">
        <v>45086</v>
      </c>
      <c r="BD127" s="519"/>
      <c r="BE127" s="519"/>
      <c r="BF127" s="519"/>
      <c r="BG127" s="519"/>
      <c r="BH127" s="519"/>
    </row>
    <row r="128" spans="1:60" ht="360" x14ac:dyDescent="0.25">
      <c r="A128" s="417" t="s">
        <v>6114</v>
      </c>
      <c r="B128" s="1037">
        <v>120</v>
      </c>
      <c r="C128" s="4" t="s">
        <v>149</v>
      </c>
      <c r="D128" s="3" t="s">
        <v>163</v>
      </c>
      <c r="E128" s="18" t="s">
        <v>6115</v>
      </c>
      <c r="F128" s="3" t="str">
        <f t="shared" si="33"/>
        <v>Adjudicación Directa</v>
      </c>
      <c r="G128" s="684" t="s">
        <v>163</v>
      </c>
      <c r="H128" s="3" t="s">
        <v>6116</v>
      </c>
      <c r="I128" s="275" t="s">
        <v>6117</v>
      </c>
      <c r="J128" s="17"/>
      <c r="K128" s="17"/>
      <c r="L128" s="17"/>
      <c r="M128" s="375" t="str">
        <f t="shared" si="35"/>
        <v xml:space="preserve">Productora de Eventos Leganés, S.A. de C.V.  </v>
      </c>
      <c r="N128" s="959" t="s">
        <v>190</v>
      </c>
      <c r="O128" s="959" t="s">
        <v>6118</v>
      </c>
      <c r="P128" s="959" t="s">
        <v>6119</v>
      </c>
      <c r="Q128" s="959" t="s">
        <v>6120</v>
      </c>
      <c r="R128" s="962">
        <v>11122380</v>
      </c>
      <c r="S128" s="383">
        <f t="shared" si="34"/>
        <v>1779580.8</v>
      </c>
      <c r="T128" s="384">
        <f t="shared" si="38"/>
        <v>12901960.800000001</v>
      </c>
      <c r="U128" s="385" t="s">
        <v>161</v>
      </c>
      <c r="V128" s="386" t="s">
        <v>161</v>
      </c>
      <c r="W128" s="383">
        <f t="shared" si="39"/>
        <v>8620014.8900000006</v>
      </c>
      <c r="X128" s="963" t="s">
        <v>156</v>
      </c>
      <c r="Y128" s="387">
        <v>45090</v>
      </c>
      <c r="Z128" s="3" t="s">
        <v>496</v>
      </c>
      <c r="AA128" s="387">
        <v>45090</v>
      </c>
      <c r="AB128" s="387">
        <v>45291</v>
      </c>
      <c r="AC128" s="4" t="s">
        <v>6121</v>
      </c>
      <c r="AD128" s="412" t="s">
        <v>6122</v>
      </c>
      <c r="AE128" s="4" t="s">
        <v>6123</v>
      </c>
      <c r="AF128" s="554">
        <v>45282</v>
      </c>
      <c r="AG128" s="383">
        <v>-4281945.91</v>
      </c>
      <c r="AH128" s="414" t="str">
        <f t="shared" ca="1" si="41"/>
        <v>MUERTO</v>
      </c>
      <c r="AI128" s="3"/>
      <c r="AJ128" s="3"/>
      <c r="AK128" s="3" t="s">
        <v>496</v>
      </c>
      <c r="AL128" s="3"/>
      <c r="AM128" s="3" t="s">
        <v>496</v>
      </c>
      <c r="AN128" s="3"/>
      <c r="AO128" s="3"/>
      <c r="AP128" s="458"/>
      <c r="AQ128" s="388"/>
      <c r="AR128" s="4"/>
      <c r="AS128" s="459"/>
      <c r="AT128" s="281" t="s">
        <v>6124</v>
      </c>
      <c r="AU128" s="4"/>
      <c r="AV128" s="4" t="e">
        <f>VLOOKUP(I128,[2]RFC!$1:$1048576,2,0)</f>
        <v>#N/A</v>
      </c>
      <c r="AW128" s="6" t="s">
        <v>6125</v>
      </c>
      <c r="AX128" s="463" t="s">
        <v>6126</v>
      </c>
      <c r="AY128" s="6">
        <v>45089</v>
      </c>
      <c r="AZ128" s="6">
        <v>45090</v>
      </c>
      <c r="BA128" s="415" t="str">
        <f t="shared" si="40"/>
        <v>Contrato formalizado con F.A. 18/07                12/01/2024</v>
      </c>
      <c r="BB128" s="416" t="s">
        <v>6127</v>
      </c>
      <c r="BC128" s="255" t="s">
        <v>6128</v>
      </c>
      <c r="BD128" s="519"/>
      <c r="BE128" s="519"/>
      <c r="BF128" s="519"/>
      <c r="BG128" s="519"/>
      <c r="BH128" s="519"/>
    </row>
    <row r="129" spans="1:60" ht="165" x14ac:dyDescent="0.25">
      <c r="A129" s="417" t="s">
        <v>6129</v>
      </c>
      <c r="B129" s="1037">
        <v>121</v>
      </c>
      <c r="C129" s="4" t="s">
        <v>149</v>
      </c>
      <c r="D129" s="3" t="s">
        <v>151</v>
      </c>
      <c r="E129" s="18" t="s">
        <v>6130</v>
      </c>
      <c r="F129" s="3" t="str">
        <f t="shared" si="33"/>
        <v>Invitación</v>
      </c>
      <c r="G129" s="3"/>
      <c r="H129" s="3" t="s">
        <v>3793</v>
      </c>
      <c r="I129" s="275" t="s">
        <v>2115</v>
      </c>
      <c r="J129" s="17"/>
      <c r="K129" s="17"/>
      <c r="L129" s="17"/>
      <c r="M129" s="375" t="str">
        <f t="shared" si="35"/>
        <v xml:space="preserve">Ingeniería Operativa, S.A. de C.V.  </v>
      </c>
      <c r="N129" s="959" t="s">
        <v>166</v>
      </c>
      <c r="O129" s="959" t="s">
        <v>2116</v>
      </c>
      <c r="P129" s="959" t="s">
        <v>6131</v>
      </c>
      <c r="Q129" s="959" t="s">
        <v>6132</v>
      </c>
      <c r="R129" s="962">
        <v>898689.66</v>
      </c>
      <c r="S129" s="383">
        <f t="shared" si="34"/>
        <v>143790.3456</v>
      </c>
      <c r="T129" s="384">
        <f t="shared" si="38"/>
        <v>1042480.0056</v>
      </c>
      <c r="U129" s="385" t="s">
        <v>161</v>
      </c>
      <c r="V129" s="386" t="s">
        <v>161</v>
      </c>
      <c r="W129" s="383">
        <f t="shared" si="39"/>
        <v>1042480.0056</v>
      </c>
      <c r="X129" s="963" t="s">
        <v>156</v>
      </c>
      <c r="Y129" s="387">
        <v>45107</v>
      </c>
      <c r="Z129" s="3" t="s">
        <v>496</v>
      </c>
      <c r="AA129" s="387">
        <v>45107</v>
      </c>
      <c r="AB129" s="387">
        <v>45291</v>
      </c>
      <c r="AC129" s="4" t="s">
        <v>4717</v>
      </c>
      <c r="AD129" s="412" t="s">
        <v>6133</v>
      </c>
      <c r="AE129" s="527" t="s">
        <v>6134</v>
      </c>
      <c r="AF129" s="521">
        <v>45148</v>
      </c>
      <c r="AG129" s="528">
        <v>0</v>
      </c>
      <c r="AH129" s="414" t="str">
        <f t="shared" ca="1" si="41"/>
        <v>MUERTO</v>
      </c>
      <c r="AI129" s="3"/>
      <c r="AJ129" s="3"/>
      <c r="AK129" s="3" t="s">
        <v>496</v>
      </c>
      <c r="AL129" s="3"/>
      <c r="AM129" s="3" t="s">
        <v>696</v>
      </c>
      <c r="AN129" s="3"/>
      <c r="AO129" s="3"/>
      <c r="AP129" s="458"/>
      <c r="AQ129" s="388"/>
      <c r="AR129" s="4"/>
      <c r="AS129" s="459"/>
      <c r="AT129" s="555" t="s">
        <v>6135</v>
      </c>
      <c r="AU129" s="4"/>
      <c r="AV129" s="4" t="e">
        <f>VLOOKUP(I129,[2]RFC!$1:$1048576,2,0)</f>
        <v>#N/A</v>
      </c>
      <c r="AW129" s="6">
        <v>45104</v>
      </c>
      <c r="AX129" s="463">
        <v>45105</v>
      </c>
      <c r="AY129" s="6">
        <v>45110</v>
      </c>
      <c r="AZ129" s="6">
        <f t="shared" ref="AZ129:AZ157" si="42">AY129</f>
        <v>45110</v>
      </c>
      <c r="BA129" s="415" t="str">
        <f t="shared" si="40"/>
        <v>Contrato formalizado con garantías 19/07
Modificatorio formalizado con endosos 14/09</v>
      </c>
      <c r="BB129" s="416" t="s">
        <v>6136</v>
      </c>
      <c r="BC129" s="255" t="s">
        <v>6137</v>
      </c>
      <c r="BD129" s="519"/>
      <c r="BE129" s="519"/>
      <c r="BF129" s="519"/>
      <c r="BG129" s="519"/>
      <c r="BH129" s="519"/>
    </row>
    <row r="130" spans="1:60" ht="90" x14ac:dyDescent="0.25">
      <c r="A130" s="417" t="s">
        <v>6138</v>
      </c>
      <c r="B130" s="252">
        <v>122</v>
      </c>
      <c r="C130" s="4" t="s">
        <v>149</v>
      </c>
      <c r="D130" s="3" t="s">
        <v>163</v>
      </c>
      <c r="E130" s="18" t="s">
        <v>6139</v>
      </c>
      <c r="F130" s="3" t="s">
        <v>5365</v>
      </c>
      <c r="G130" s="685" t="s">
        <v>546</v>
      </c>
      <c r="H130" s="3" t="s">
        <v>4185</v>
      </c>
      <c r="I130" s="275" t="s">
        <v>5895</v>
      </c>
      <c r="J130" s="17"/>
      <c r="K130" s="17"/>
      <c r="L130" s="17"/>
      <c r="M130" s="375" t="str">
        <f t="shared" si="35"/>
        <v xml:space="preserve">Silent4bussiness, S.A. de C.V.  </v>
      </c>
      <c r="N130" s="959" t="s">
        <v>656</v>
      </c>
      <c r="O130" s="959" t="s">
        <v>209</v>
      </c>
      <c r="P130" s="959" t="s">
        <v>210</v>
      </c>
      <c r="Q130" s="959" t="s">
        <v>6140</v>
      </c>
      <c r="R130" s="962">
        <v>13043381.4</v>
      </c>
      <c r="S130" s="383">
        <f t="shared" ref="S130:S157" si="43">R130*0.16</f>
        <v>2086941.0240000002</v>
      </c>
      <c r="T130" s="384">
        <f t="shared" si="38"/>
        <v>15130322.424000001</v>
      </c>
      <c r="U130" s="385" t="s">
        <v>161</v>
      </c>
      <c r="V130" s="386" t="s">
        <v>161</v>
      </c>
      <c r="W130" s="383">
        <f t="shared" si="39"/>
        <v>15130322.424000001</v>
      </c>
      <c r="X130" s="963" t="s">
        <v>156</v>
      </c>
      <c r="Y130" s="387">
        <v>45110</v>
      </c>
      <c r="Z130" s="3" t="s">
        <v>696</v>
      </c>
      <c r="AA130" s="387">
        <v>45108</v>
      </c>
      <c r="AB130" s="387">
        <v>45291</v>
      </c>
      <c r="AC130" s="4" t="s">
        <v>4717</v>
      </c>
      <c r="AD130" s="417" t="s">
        <v>5161</v>
      </c>
      <c r="AE130" s="417" t="s">
        <v>5162</v>
      </c>
      <c r="AF130" s="524">
        <v>45266</v>
      </c>
      <c r="AG130" s="525">
        <v>0</v>
      </c>
      <c r="AH130" s="414" t="str">
        <f t="shared" ca="1" si="41"/>
        <v>MUERTO</v>
      </c>
      <c r="AI130" s="3"/>
      <c r="AJ130" s="3"/>
      <c r="AK130" s="3" t="s">
        <v>696</v>
      </c>
      <c r="AL130" s="3"/>
      <c r="AM130" s="3" t="s">
        <v>696</v>
      </c>
      <c r="AN130" s="3"/>
      <c r="AO130" s="3"/>
      <c r="AP130" s="458"/>
      <c r="AQ130" s="388"/>
      <c r="AR130" s="4"/>
      <c r="AS130" s="459"/>
      <c r="AT130" s="281" t="s">
        <v>6141</v>
      </c>
      <c r="AU130" s="4"/>
      <c r="AV130" s="4" t="e">
        <f>VLOOKUP(I130,[2]RFC!$1:$1048576,2,0)</f>
        <v>#N/A</v>
      </c>
      <c r="AW130" s="6" t="s">
        <v>6142</v>
      </c>
      <c r="AX130" s="463">
        <v>45107</v>
      </c>
      <c r="AY130" s="6">
        <v>45111</v>
      </c>
      <c r="AZ130" s="6">
        <f t="shared" si="42"/>
        <v>45111</v>
      </c>
      <c r="BA130" s="415" t="str">
        <f t="shared" si="40"/>
        <v>Contrato formalizado con garantías 02/08                            02/01/2024</v>
      </c>
      <c r="BB130" s="416" t="s">
        <v>6143</v>
      </c>
      <c r="BC130" s="255" t="s">
        <v>6144</v>
      </c>
      <c r="BD130" s="519"/>
      <c r="BE130" s="519"/>
      <c r="BF130" s="519"/>
      <c r="BG130" s="519"/>
      <c r="BH130" s="519"/>
    </row>
    <row r="131" spans="1:60" ht="75" x14ac:dyDescent="0.25">
      <c r="A131" s="286" t="s">
        <v>6145</v>
      </c>
      <c r="B131" s="1037">
        <v>123</v>
      </c>
      <c r="C131" s="4" t="s">
        <v>149</v>
      </c>
      <c r="D131" s="3" t="s">
        <v>151</v>
      </c>
      <c r="E131" s="18" t="s">
        <v>6146</v>
      </c>
      <c r="F131" s="3" t="str">
        <f t="shared" si="33"/>
        <v>Invitación</v>
      </c>
      <c r="G131" s="3"/>
      <c r="H131" s="3" t="s">
        <v>3793</v>
      </c>
      <c r="I131" s="275" t="s">
        <v>859</v>
      </c>
      <c r="J131" s="17"/>
      <c r="K131" s="17"/>
      <c r="L131" s="17"/>
      <c r="M131" s="375" t="str">
        <f t="shared" si="35"/>
        <v xml:space="preserve">Promexar, S.A. de C.V.  </v>
      </c>
      <c r="N131" s="959" t="s">
        <v>6147</v>
      </c>
      <c r="O131" s="959" t="s">
        <v>5152</v>
      </c>
      <c r="P131" s="959" t="s">
        <v>5152</v>
      </c>
      <c r="Q131" s="959" t="s">
        <v>6148</v>
      </c>
      <c r="R131" s="962">
        <v>1270000</v>
      </c>
      <c r="S131" s="383">
        <f t="shared" si="43"/>
        <v>203200</v>
      </c>
      <c r="T131" s="384">
        <f t="shared" si="38"/>
        <v>1473200</v>
      </c>
      <c r="U131" s="385" t="s">
        <v>161</v>
      </c>
      <c r="V131" s="386" t="s">
        <v>161</v>
      </c>
      <c r="W131" s="383">
        <f t="shared" si="39"/>
        <v>1473200</v>
      </c>
      <c r="X131" s="963" t="s">
        <v>156</v>
      </c>
      <c r="Y131" s="387">
        <v>45131</v>
      </c>
      <c r="Z131" s="3" t="s">
        <v>696</v>
      </c>
      <c r="AA131" s="387">
        <v>45131</v>
      </c>
      <c r="AB131" s="387">
        <v>45275</v>
      </c>
      <c r="AC131" s="4" t="s">
        <v>4717</v>
      </c>
      <c r="AD131" s="412"/>
      <c r="AE131" s="4"/>
      <c r="AF131" s="388"/>
      <c r="AG131" s="383"/>
      <c r="AH131" s="414" t="str">
        <f t="shared" ca="1" si="41"/>
        <v>MUERTO</v>
      </c>
      <c r="AI131" s="3"/>
      <c r="AJ131" s="3"/>
      <c r="AK131" s="3" t="s">
        <v>696</v>
      </c>
      <c r="AL131" s="3"/>
      <c r="AM131" s="3" t="s">
        <v>696</v>
      </c>
      <c r="AN131" s="3"/>
      <c r="AO131" s="3"/>
      <c r="AP131" s="458"/>
      <c r="AQ131" s="388"/>
      <c r="AR131" s="4"/>
      <c r="AS131" s="459"/>
      <c r="AT131" s="281" t="s">
        <v>6149</v>
      </c>
      <c r="AU131" s="4"/>
      <c r="AV131" s="4" t="str">
        <f>VLOOKUP(I131,[2]RFC!$1:$1048576,2,0)</f>
        <v>PRO0804072R0</v>
      </c>
      <c r="AW131" s="6">
        <v>45116</v>
      </c>
      <c r="AX131" s="463">
        <v>45127</v>
      </c>
      <c r="AY131" s="6">
        <v>45131</v>
      </c>
      <c r="AZ131" s="6">
        <f t="shared" si="42"/>
        <v>45131</v>
      </c>
      <c r="BA131" s="415" t="str">
        <f t="shared" si="40"/>
        <v>Contrato formalizado con garantías 15/08</v>
      </c>
      <c r="BB131" s="416">
        <v>45134</v>
      </c>
      <c r="BC131" s="255">
        <v>45132</v>
      </c>
      <c r="BD131" s="519"/>
      <c r="BE131" s="519"/>
      <c r="BF131" s="519"/>
      <c r="BG131" s="519"/>
      <c r="BH131" s="519"/>
    </row>
    <row r="132" spans="1:60" ht="90" x14ac:dyDescent="0.25">
      <c r="A132" s="286" t="s">
        <v>6150</v>
      </c>
      <c r="B132" s="1037">
        <v>124</v>
      </c>
      <c r="C132" s="4" t="s">
        <v>149</v>
      </c>
      <c r="D132" s="3" t="s">
        <v>163</v>
      </c>
      <c r="E132" s="18" t="s">
        <v>5613</v>
      </c>
      <c r="F132" s="3" t="s">
        <v>5365</v>
      </c>
      <c r="G132" s="685" t="s">
        <v>546</v>
      </c>
      <c r="H132" s="3" t="s">
        <v>4185</v>
      </c>
      <c r="I132" s="275" t="s">
        <v>6151</v>
      </c>
      <c r="J132" s="17"/>
      <c r="K132" s="17"/>
      <c r="L132" s="17"/>
      <c r="M132" s="375" t="str">
        <f t="shared" si="35"/>
        <v xml:space="preserve">Tecnolurik, S.A. de C.V.  </v>
      </c>
      <c r="N132" s="959" t="s">
        <v>656</v>
      </c>
      <c r="O132" s="959" t="s">
        <v>656</v>
      </c>
      <c r="P132" s="959" t="s">
        <v>6152</v>
      </c>
      <c r="Q132" s="959" t="s">
        <v>6153</v>
      </c>
      <c r="R132" s="962">
        <v>5045689.66</v>
      </c>
      <c r="S132" s="383">
        <f t="shared" si="43"/>
        <v>807310.3456</v>
      </c>
      <c r="T132" s="384">
        <f t="shared" si="38"/>
        <v>5853000.0055999998</v>
      </c>
      <c r="U132" s="385" t="s">
        <v>161</v>
      </c>
      <c r="V132" s="386" t="s">
        <v>161</v>
      </c>
      <c r="W132" s="383">
        <f t="shared" si="39"/>
        <v>5853000.0055999998</v>
      </c>
      <c r="X132" s="963" t="s">
        <v>156</v>
      </c>
      <c r="Y132" s="387">
        <v>45139</v>
      </c>
      <c r="Z132" s="3" t="s">
        <v>815</v>
      </c>
      <c r="AA132" s="387">
        <v>45139</v>
      </c>
      <c r="AB132" s="387">
        <v>45260</v>
      </c>
      <c r="AC132" s="4" t="s">
        <v>3787</v>
      </c>
      <c r="AD132" s="412"/>
      <c r="AE132" s="4"/>
      <c r="AF132" s="388"/>
      <c r="AG132" s="383"/>
      <c r="AH132" s="414" t="str">
        <f t="shared" ca="1" si="41"/>
        <v>MUERTO</v>
      </c>
      <c r="AI132" s="3"/>
      <c r="AJ132" s="3"/>
      <c r="AK132" s="3" t="s">
        <v>815</v>
      </c>
      <c r="AL132" s="3"/>
      <c r="AM132" s="3" t="s">
        <v>815</v>
      </c>
      <c r="AN132" s="3"/>
      <c r="AO132" s="3"/>
      <c r="AP132" s="458"/>
      <c r="AQ132" s="388"/>
      <c r="AR132" s="4"/>
      <c r="AS132" s="459"/>
      <c r="AT132" s="281" t="s">
        <v>6154</v>
      </c>
      <c r="AU132" s="4"/>
      <c r="AV132" s="4" t="e">
        <f>VLOOKUP(I132,[2]RFC!$1:$1048576,2,0)</f>
        <v>#N/A</v>
      </c>
      <c r="AW132" s="6">
        <v>45135</v>
      </c>
      <c r="AX132" s="463">
        <v>45138</v>
      </c>
      <c r="AY132" s="6">
        <v>45140</v>
      </c>
      <c r="AZ132" s="6">
        <f t="shared" si="42"/>
        <v>45140</v>
      </c>
      <c r="BA132" s="415" t="str">
        <f t="shared" si="40"/>
        <v>Contrato formalizado con garantías 11/09</v>
      </c>
      <c r="BB132" s="416">
        <v>45146</v>
      </c>
      <c r="BC132" s="255">
        <v>45142</v>
      </c>
      <c r="BD132" s="519"/>
      <c r="BE132" s="519"/>
      <c r="BF132" s="519"/>
      <c r="BG132" s="519"/>
      <c r="BH132" s="519"/>
    </row>
    <row r="133" spans="1:60" ht="165" x14ac:dyDescent="0.25">
      <c r="A133" s="286" t="s">
        <v>6155</v>
      </c>
      <c r="B133" s="1037">
        <v>125</v>
      </c>
      <c r="C133" s="4" t="s">
        <v>149</v>
      </c>
      <c r="D133" s="3" t="s">
        <v>163</v>
      </c>
      <c r="E133" s="18" t="s">
        <v>5613</v>
      </c>
      <c r="F133" s="3" t="s">
        <v>5365</v>
      </c>
      <c r="G133" s="685" t="s">
        <v>546</v>
      </c>
      <c r="H133" s="3" t="s">
        <v>4185</v>
      </c>
      <c r="I133" s="275" t="s">
        <v>711</v>
      </c>
      <c r="J133" s="17"/>
      <c r="K133" s="17"/>
      <c r="L133" s="17"/>
      <c r="M133" s="375" t="str">
        <f t="shared" si="35"/>
        <v xml:space="preserve">Carlos Corral y Asociados, S.C.  </v>
      </c>
      <c r="N133" s="375" t="s">
        <v>270</v>
      </c>
      <c r="O133" s="375" t="s">
        <v>270</v>
      </c>
      <c r="P133" s="959" t="s">
        <v>1077</v>
      </c>
      <c r="Q133" s="959" t="s">
        <v>6156</v>
      </c>
      <c r="R133" s="962">
        <v>1239189</v>
      </c>
      <c r="S133" s="383">
        <f t="shared" si="43"/>
        <v>198270.24</v>
      </c>
      <c r="T133" s="384">
        <f t="shared" si="38"/>
        <v>1437459.24</v>
      </c>
      <c r="U133" s="385" t="s">
        <v>161</v>
      </c>
      <c r="V133" s="386" t="s">
        <v>161</v>
      </c>
      <c r="W133" s="383">
        <f t="shared" si="39"/>
        <v>1437459.24</v>
      </c>
      <c r="X133" s="963" t="s">
        <v>156</v>
      </c>
      <c r="Y133" s="387">
        <v>45141</v>
      </c>
      <c r="Z133" s="3" t="s">
        <v>815</v>
      </c>
      <c r="AA133" s="387">
        <v>45141</v>
      </c>
      <c r="AB133" s="387">
        <v>45229</v>
      </c>
      <c r="AC133" s="4" t="s">
        <v>3811</v>
      </c>
      <c r="AD133" s="412"/>
      <c r="AE133" s="4"/>
      <c r="AF133" s="388"/>
      <c r="AG133" s="383"/>
      <c r="AH133" s="414" t="str">
        <f t="shared" ca="1" si="41"/>
        <v>MUERTO</v>
      </c>
      <c r="AI133" s="3"/>
      <c r="AJ133" s="3"/>
      <c r="AK133" s="3" t="s">
        <v>815</v>
      </c>
      <c r="AL133" s="3"/>
      <c r="AM133" s="3" t="s">
        <v>815</v>
      </c>
      <c r="AN133" s="3"/>
      <c r="AO133" s="3"/>
      <c r="AP133" s="458"/>
      <c r="AQ133" s="388"/>
      <c r="AR133" s="4"/>
      <c r="AS133" s="459"/>
      <c r="AT133" s="281" t="s">
        <v>6157</v>
      </c>
      <c r="AU133" s="4"/>
      <c r="AV133" s="4" t="str">
        <f>VLOOKUP(I133,[2]RFC!$1:$1048576,2,0)</f>
        <v>CCA890918423</v>
      </c>
      <c r="AW133" s="6">
        <v>45135</v>
      </c>
      <c r="AX133" s="463">
        <v>45138</v>
      </c>
      <c r="AY133" s="6">
        <v>45140</v>
      </c>
      <c r="AZ133" s="6">
        <f t="shared" si="42"/>
        <v>45140</v>
      </c>
      <c r="BA133" s="415" t="str">
        <f t="shared" si="40"/>
        <v>Contrato formalizado con garantías 01/09</v>
      </c>
      <c r="BB133" s="416">
        <v>45147</v>
      </c>
      <c r="BC133" s="255">
        <v>45141</v>
      </c>
      <c r="BD133" s="519"/>
      <c r="BE133" s="519"/>
      <c r="BF133" s="519"/>
      <c r="BG133" s="519"/>
      <c r="BH133" s="519"/>
    </row>
    <row r="134" spans="1:60" ht="120" x14ac:dyDescent="0.25">
      <c r="A134" s="286" t="s">
        <v>6158</v>
      </c>
      <c r="B134" s="252">
        <v>126</v>
      </c>
      <c r="C134" s="4" t="s">
        <v>149</v>
      </c>
      <c r="D134" s="3" t="s">
        <v>163</v>
      </c>
      <c r="E134" s="18" t="s">
        <v>5613</v>
      </c>
      <c r="F134" s="3" t="s">
        <v>5365</v>
      </c>
      <c r="G134" s="684" t="s">
        <v>163</v>
      </c>
      <c r="H134" s="3" t="s">
        <v>4054</v>
      </c>
      <c r="I134" s="275" t="s">
        <v>569</v>
      </c>
      <c r="J134" s="17"/>
      <c r="K134" s="17"/>
      <c r="L134" s="17"/>
      <c r="M134" s="375" t="str">
        <f t="shared" si="35"/>
        <v xml:space="preserve">Audio Video &amp; Control, S.A. de C.V.  </v>
      </c>
      <c r="N134" s="959" t="s">
        <v>656</v>
      </c>
      <c r="O134" s="959" t="s">
        <v>656</v>
      </c>
      <c r="P134" s="959" t="s">
        <v>5368</v>
      </c>
      <c r="Q134" s="959" t="s">
        <v>6159</v>
      </c>
      <c r="R134" s="962">
        <v>1031250</v>
      </c>
      <c r="S134" s="383">
        <f t="shared" si="43"/>
        <v>165000</v>
      </c>
      <c r="T134" s="384">
        <f t="shared" si="38"/>
        <v>1196250</v>
      </c>
      <c r="U134" s="385" t="s">
        <v>161</v>
      </c>
      <c r="V134" s="386" t="s">
        <v>161</v>
      </c>
      <c r="W134" s="383">
        <f t="shared" si="39"/>
        <v>1196250</v>
      </c>
      <c r="X134" s="963" t="s">
        <v>156</v>
      </c>
      <c r="Y134" s="387">
        <v>45142</v>
      </c>
      <c r="Z134" s="3" t="s">
        <v>815</v>
      </c>
      <c r="AA134" s="387">
        <v>45142</v>
      </c>
      <c r="AB134" s="387">
        <v>45202</v>
      </c>
      <c r="AC134" s="4" t="s">
        <v>3811</v>
      </c>
      <c r="AD134" s="412"/>
      <c r="AE134" s="4"/>
      <c r="AF134" s="388"/>
      <c r="AG134" s="383"/>
      <c r="AH134" s="414" t="str">
        <f t="shared" ca="1" si="41"/>
        <v>MUERTO</v>
      </c>
      <c r="AI134" s="3"/>
      <c r="AJ134" s="3"/>
      <c r="AK134" s="3" t="s">
        <v>815</v>
      </c>
      <c r="AL134" s="3"/>
      <c r="AM134" s="3" t="s">
        <v>815</v>
      </c>
      <c r="AN134" s="3"/>
      <c r="AO134" s="3"/>
      <c r="AP134" s="458"/>
      <c r="AQ134" s="388"/>
      <c r="AR134" s="4"/>
      <c r="AS134" s="459"/>
      <c r="AT134" s="281" t="s">
        <v>6160</v>
      </c>
      <c r="AU134" s="4"/>
      <c r="AV134" s="4" t="str">
        <f>VLOOKUP(I134,[2]RFC!$1:$1048576,2,0)</f>
        <v>AV&amp;060117UX0</v>
      </c>
      <c r="AW134" s="6">
        <v>45135</v>
      </c>
      <c r="AX134" s="463">
        <v>45140</v>
      </c>
      <c r="AY134" s="6">
        <v>45141</v>
      </c>
      <c r="AZ134" s="6">
        <f t="shared" si="42"/>
        <v>45141</v>
      </c>
      <c r="BA134" s="415" t="str">
        <f t="shared" si="40"/>
        <v>Contrato formalizado con garantías 04/09</v>
      </c>
      <c r="BB134" s="416">
        <v>45146</v>
      </c>
      <c r="BC134" s="255">
        <v>45142</v>
      </c>
      <c r="BD134" s="519"/>
      <c r="BE134" s="519"/>
      <c r="BF134" s="519"/>
      <c r="BG134" s="519"/>
      <c r="BH134" s="519"/>
    </row>
    <row r="135" spans="1:60" ht="75" x14ac:dyDescent="0.25">
      <c r="A135" s="286" t="s">
        <v>6161</v>
      </c>
      <c r="B135" s="1037">
        <v>127</v>
      </c>
      <c r="C135" s="4" t="s">
        <v>149</v>
      </c>
      <c r="D135" s="3" t="s">
        <v>163</v>
      </c>
      <c r="E135" s="18" t="s">
        <v>5613</v>
      </c>
      <c r="F135" s="3" t="s">
        <v>5365</v>
      </c>
      <c r="G135" s="685" t="s">
        <v>546</v>
      </c>
      <c r="H135" s="3" t="s">
        <v>4030</v>
      </c>
      <c r="I135" s="275"/>
      <c r="J135" s="17" t="s">
        <v>6162</v>
      </c>
      <c r="K135" s="17" t="s">
        <v>500</v>
      </c>
      <c r="L135" s="17" t="s">
        <v>6163</v>
      </c>
      <c r="M135" s="375" t="str">
        <f t="shared" si="35"/>
        <v>Luis Manuel Ortíz Gómez</v>
      </c>
      <c r="N135" s="959" t="s">
        <v>860</v>
      </c>
      <c r="O135" s="959" t="s">
        <v>1946</v>
      </c>
      <c r="P135" s="959" t="s">
        <v>1946</v>
      </c>
      <c r="Q135" s="959" t="s">
        <v>6164</v>
      </c>
      <c r="R135" s="962">
        <v>392000</v>
      </c>
      <c r="S135" s="383">
        <f t="shared" si="43"/>
        <v>62720</v>
      </c>
      <c r="T135" s="384">
        <f t="shared" si="38"/>
        <v>454720</v>
      </c>
      <c r="U135" s="385" t="s">
        <v>161</v>
      </c>
      <c r="V135" s="386" t="s">
        <v>161</v>
      </c>
      <c r="W135" s="383">
        <f t="shared" si="39"/>
        <v>454720</v>
      </c>
      <c r="X135" s="963" t="s">
        <v>156</v>
      </c>
      <c r="Y135" s="387">
        <v>45145</v>
      </c>
      <c r="Z135" s="3" t="s">
        <v>815</v>
      </c>
      <c r="AA135" s="387">
        <v>45145</v>
      </c>
      <c r="AB135" s="387">
        <v>45280</v>
      </c>
      <c r="AC135" s="4" t="s">
        <v>3113</v>
      </c>
      <c r="AD135" s="412"/>
      <c r="AE135" s="4"/>
      <c r="AF135" s="388"/>
      <c r="AG135" s="383"/>
      <c r="AH135" s="414" t="str">
        <f t="shared" ca="1" si="41"/>
        <v>MUERTO</v>
      </c>
      <c r="AI135" s="3"/>
      <c r="AJ135" s="3"/>
      <c r="AK135" s="3" t="s">
        <v>815</v>
      </c>
      <c r="AL135" s="3"/>
      <c r="AM135" s="3" t="s">
        <v>815</v>
      </c>
      <c r="AN135" s="3"/>
      <c r="AO135" s="3"/>
      <c r="AP135" s="458"/>
      <c r="AQ135" s="388"/>
      <c r="AR135" s="4"/>
      <c r="AS135" s="459"/>
      <c r="AT135" s="281" t="s">
        <v>6165</v>
      </c>
      <c r="AU135" s="4"/>
      <c r="AV135" s="4" t="e">
        <f>VLOOKUP(I135,[2]RFC!$1:$1048576,2,0)</f>
        <v>#N/A</v>
      </c>
      <c r="AW135" s="6">
        <v>45135</v>
      </c>
      <c r="AX135" s="463">
        <v>45138</v>
      </c>
      <c r="AY135" s="6">
        <v>45142</v>
      </c>
      <c r="AZ135" s="6">
        <f t="shared" si="42"/>
        <v>45142</v>
      </c>
      <c r="BA135" s="415" t="str">
        <f t="shared" si="40"/>
        <v>Contrato formalizado con garantía 24/08</v>
      </c>
      <c r="BB135" s="416">
        <v>45146</v>
      </c>
      <c r="BC135" s="255">
        <v>45145</v>
      </c>
      <c r="BD135" s="519"/>
      <c r="BE135" s="519"/>
      <c r="BF135" s="519"/>
      <c r="BG135" s="519"/>
      <c r="BH135" s="519"/>
    </row>
    <row r="136" spans="1:60" ht="75" x14ac:dyDescent="0.25">
      <c r="A136" s="286" t="s">
        <v>6166</v>
      </c>
      <c r="B136" s="1037">
        <v>128</v>
      </c>
      <c r="C136" s="4" t="s">
        <v>149</v>
      </c>
      <c r="D136" s="3" t="s">
        <v>163</v>
      </c>
      <c r="E136" s="18" t="s">
        <v>5613</v>
      </c>
      <c r="F136" s="3" t="s">
        <v>5365</v>
      </c>
      <c r="G136" s="685" t="s">
        <v>546</v>
      </c>
      <c r="H136" s="3" t="s">
        <v>4030</v>
      </c>
      <c r="I136" s="275" t="s">
        <v>6167</v>
      </c>
      <c r="J136" s="17"/>
      <c r="K136" s="17"/>
      <c r="L136" s="17"/>
      <c r="M136" s="375" t="str">
        <f t="shared" si="35"/>
        <v xml:space="preserve">Meteoro, Studios, S.C.  </v>
      </c>
      <c r="N136" s="959" t="s">
        <v>860</v>
      </c>
      <c r="O136" s="959" t="s">
        <v>1946</v>
      </c>
      <c r="P136" s="959" t="s">
        <v>1946</v>
      </c>
      <c r="Q136" s="959" t="s">
        <v>6168</v>
      </c>
      <c r="R136" s="962">
        <v>1625000</v>
      </c>
      <c r="S136" s="383">
        <f t="shared" si="43"/>
        <v>260000</v>
      </c>
      <c r="T136" s="384">
        <f t="shared" si="38"/>
        <v>1885000</v>
      </c>
      <c r="U136" s="385" t="s">
        <v>161</v>
      </c>
      <c r="V136" s="386" t="s">
        <v>161</v>
      </c>
      <c r="W136" s="383">
        <f t="shared" si="39"/>
        <v>1885000</v>
      </c>
      <c r="X136" s="963" t="s">
        <v>156</v>
      </c>
      <c r="Y136" s="387">
        <v>45145</v>
      </c>
      <c r="Z136" s="3" t="s">
        <v>815</v>
      </c>
      <c r="AA136" s="387">
        <v>45145</v>
      </c>
      <c r="AB136" s="387">
        <v>45230</v>
      </c>
      <c r="AC136" s="4" t="s">
        <v>3113</v>
      </c>
      <c r="AD136" s="412"/>
      <c r="AE136" s="4"/>
      <c r="AF136" s="388"/>
      <c r="AG136" s="383"/>
      <c r="AH136" s="414" t="str">
        <f t="shared" ca="1" si="41"/>
        <v>MUERTO</v>
      </c>
      <c r="AI136" s="3"/>
      <c r="AJ136" s="3"/>
      <c r="AK136" s="3" t="s">
        <v>815</v>
      </c>
      <c r="AL136" s="3"/>
      <c r="AM136" s="3" t="s">
        <v>815</v>
      </c>
      <c r="AN136" s="3"/>
      <c r="AO136" s="3"/>
      <c r="AP136" s="458"/>
      <c r="AQ136" s="388"/>
      <c r="AR136" s="4"/>
      <c r="AS136" s="459"/>
      <c r="AT136" s="281" t="s">
        <v>6165</v>
      </c>
      <c r="AU136" s="4"/>
      <c r="AV136" s="4" t="e">
        <f>VLOOKUP(I136,[2]RFC!$1:$1048576,2,0)</f>
        <v>#N/A</v>
      </c>
      <c r="AW136" s="6">
        <v>45135</v>
      </c>
      <c r="AX136" s="463">
        <v>45138</v>
      </c>
      <c r="AY136" s="6">
        <v>45142</v>
      </c>
      <c r="AZ136" s="6">
        <f t="shared" si="42"/>
        <v>45142</v>
      </c>
      <c r="BA136" s="415" t="str">
        <f t="shared" si="40"/>
        <v>Contrato formalizado con garantía 24/08</v>
      </c>
      <c r="BB136" s="416">
        <v>45146</v>
      </c>
      <c r="BC136" s="255">
        <v>45145</v>
      </c>
      <c r="BD136" s="519"/>
      <c r="BE136" s="519"/>
      <c r="BF136" s="519"/>
      <c r="BG136" s="519"/>
      <c r="BH136" s="519"/>
    </row>
    <row r="137" spans="1:60" ht="75" x14ac:dyDescent="0.25">
      <c r="A137" s="286" t="s">
        <v>6169</v>
      </c>
      <c r="B137" s="1037">
        <v>129</v>
      </c>
      <c r="C137" s="4" t="s">
        <v>149</v>
      </c>
      <c r="D137" s="3" t="s">
        <v>163</v>
      </c>
      <c r="E137" s="18" t="s">
        <v>5613</v>
      </c>
      <c r="F137" s="3" t="s">
        <v>5365</v>
      </c>
      <c r="G137" s="685" t="s">
        <v>546</v>
      </c>
      <c r="H137" s="3" t="s">
        <v>4030</v>
      </c>
      <c r="I137" s="275" t="s">
        <v>6170</v>
      </c>
      <c r="J137" s="17"/>
      <c r="K137" s="17"/>
      <c r="L137" s="17"/>
      <c r="M137" s="375" t="str">
        <f t="shared" ref="M137:M157" si="44">I137&amp;J137&amp;" "&amp;K137&amp;" "&amp;L137</f>
        <v xml:space="preserve">Editoras Los Miércoles, S.A. de C.V.  </v>
      </c>
      <c r="N137" s="959" t="s">
        <v>860</v>
      </c>
      <c r="O137" s="959" t="s">
        <v>1946</v>
      </c>
      <c r="P137" s="959" t="s">
        <v>1946</v>
      </c>
      <c r="Q137" s="959" t="s">
        <v>6171</v>
      </c>
      <c r="R137" s="962">
        <v>1800000</v>
      </c>
      <c r="S137" s="383">
        <f t="shared" si="43"/>
        <v>288000</v>
      </c>
      <c r="T137" s="384">
        <f t="shared" si="38"/>
        <v>2088000</v>
      </c>
      <c r="U137" s="385" t="s">
        <v>161</v>
      </c>
      <c r="V137" s="386" t="s">
        <v>161</v>
      </c>
      <c r="W137" s="383">
        <f t="shared" si="39"/>
        <v>2088000</v>
      </c>
      <c r="X137" s="963" t="s">
        <v>156</v>
      </c>
      <c r="Y137" s="387">
        <v>45145</v>
      </c>
      <c r="Z137" s="3" t="s">
        <v>815</v>
      </c>
      <c r="AA137" s="387">
        <v>45145</v>
      </c>
      <c r="AB137" s="387">
        <v>45245</v>
      </c>
      <c r="AC137" s="4" t="s">
        <v>3113</v>
      </c>
      <c r="AD137" s="412"/>
      <c r="AE137" s="4"/>
      <c r="AF137" s="388"/>
      <c r="AG137" s="383"/>
      <c r="AH137" s="414" t="str">
        <f t="shared" ca="1" si="41"/>
        <v>MUERTO</v>
      </c>
      <c r="AI137" s="3"/>
      <c r="AJ137" s="3"/>
      <c r="AK137" s="3" t="s">
        <v>815</v>
      </c>
      <c r="AL137" s="3"/>
      <c r="AM137" s="3" t="s">
        <v>815</v>
      </c>
      <c r="AN137" s="3"/>
      <c r="AO137" s="3"/>
      <c r="AP137" s="458"/>
      <c r="AQ137" s="388"/>
      <c r="AR137" s="4"/>
      <c r="AS137" s="459"/>
      <c r="AT137" s="281" t="s">
        <v>6172</v>
      </c>
      <c r="AU137" s="4"/>
      <c r="AV137" s="4" t="e">
        <f>VLOOKUP(I137,[2]RFC!$1:$1048576,2,0)</f>
        <v>#N/A</v>
      </c>
      <c r="AW137" s="6">
        <v>45135</v>
      </c>
      <c r="AX137" s="463">
        <v>45140</v>
      </c>
      <c r="AY137" s="6">
        <v>45142</v>
      </c>
      <c r="AZ137" s="6">
        <f t="shared" si="42"/>
        <v>45142</v>
      </c>
      <c r="BA137" s="415" t="str">
        <f t="shared" si="40"/>
        <v>Contrato formalizado con garantía 18/08</v>
      </c>
      <c r="BB137" s="416">
        <v>45146</v>
      </c>
      <c r="BC137" s="255">
        <v>45145</v>
      </c>
      <c r="BD137" s="519"/>
      <c r="BE137" s="519"/>
      <c r="BF137" s="519"/>
      <c r="BG137" s="519"/>
      <c r="BH137" s="519"/>
    </row>
    <row r="138" spans="1:60" ht="90" x14ac:dyDescent="0.25">
      <c r="A138" s="537" t="s">
        <v>6173</v>
      </c>
      <c r="B138" s="252">
        <v>130</v>
      </c>
      <c r="C138" s="4" t="s">
        <v>149</v>
      </c>
      <c r="D138" s="3" t="s">
        <v>163</v>
      </c>
      <c r="E138" s="18" t="s">
        <v>5613</v>
      </c>
      <c r="F138" s="3" t="s">
        <v>5365</v>
      </c>
      <c r="G138" s="685" t="s">
        <v>546</v>
      </c>
      <c r="H138" s="3" t="s">
        <v>3764</v>
      </c>
      <c r="I138" s="275" t="s">
        <v>636</v>
      </c>
      <c r="J138" s="17"/>
      <c r="K138" s="17"/>
      <c r="L138" s="17"/>
      <c r="M138" s="375" t="str">
        <f t="shared" si="44"/>
        <v xml:space="preserve">Full Service de México, S.A. de C.V.  </v>
      </c>
      <c r="N138" s="959" t="s">
        <v>656</v>
      </c>
      <c r="O138" s="959" t="s">
        <v>656</v>
      </c>
      <c r="P138" s="959" t="s">
        <v>6174</v>
      </c>
      <c r="Q138" s="959" t="s">
        <v>6175</v>
      </c>
      <c r="R138" s="962">
        <v>5206154.3</v>
      </c>
      <c r="S138" s="383">
        <f t="shared" si="43"/>
        <v>832984.68799999997</v>
      </c>
      <c r="T138" s="384">
        <f t="shared" si="38"/>
        <v>6039138.9879999999</v>
      </c>
      <c r="U138" s="385">
        <v>2811521.86</v>
      </c>
      <c r="V138" s="386">
        <f>(U138*0.16)+(U138)</f>
        <v>3261365.3575999998</v>
      </c>
      <c r="W138" s="383">
        <f t="shared" si="39"/>
        <v>6039138.9879999999</v>
      </c>
      <c r="X138" s="963" t="s">
        <v>156</v>
      </c>
      <c r="Y138" s="387">
        <v>45145</v>
      </c>
      <c r="Z138" s="3" t="s">
        <v>815</v>
      </c>
      <c r="AA138" s="387">
        <v>45145</v>
      </c>
      <c r="AB138" s="387">
        <v>45291</v>
      </c>
      <c r="AC138" s="4" t="s">
        <v>3787</v>
      </c>
      <c r="AD138" s="412"/>
      <c r="AE138" s="4"/>
      <c r="AF138" s="388"/>
      <c r="AG138" s="383"/>
      <c r="AH138" s="414" t="str">
        <f t="shared" ca="1" si="41"/>
        <v>MUERTO</v>
      </c>
      <c r="AI138" s="3"/>
      <c r="AJ138" s="3"/>
      <c r="AK138" s="3" t="s">
        <v>815</v>
      </c>
      <c r="AL138" s="3"/>
      <c r="AM138" s="3" t="s">
        <v>815</v>
      </c>
      <c r="AN138" s="3"/>
      <c r="AO138" s="3"/>
      <c r="AP138" s="458"/>
      <c r="AQ138" s="388"/>
      <c r="AR138" s="4"/>
      <c r="AS138" s="459"/>
      <c r="AT138" s="281" t="s">
        <v>6176</v>
      </c>
      <c r="AU138" s="4"/>
      <c r="AV138" s="4" t="e">
        <f>VLOOKUP(I138,[2]RFC!$1:$1048576,2,0)</f>
        <v>#N/A</v>
      </c>
      <c r="AW138" s="6">
        <v>45135</v>
      </c>
      <c r="AX138" s="463">
        <v>45142</v>
      </c>
      <c r="AY138" s="6">
        <v>45146</v>
      </c>
      <c r="AZ138" s="6">
        <f t="shared" si="42"/>
        <v>45146</v>
      </c>
      <c r="BA138" s="415" t="str">
        <f t="shared" si="40"/>
        <v>Contrato formalizado con garantías 04/09       17/01/2024</v>
      </c>
      <c r="BB138" s="416">
        <v>45149</v>
      </c>
      <c r="BC138" s="255">
        <v>45147</v>
      </c>
      <c r="BD138" s="519"/>
      <c r="BE138" s="519"/>
      <c r="BF138" s="519"/>
      <c r="BG138" s="519"/>
      <c r="BH138" s="519"/>
    </row>
    <row r="139" spans="1:60" ht="75" x14ac:dyDescent="0.25">
      <c r="A139" s="537" t="s">
        <v>6177</v>
      </c>
      <c r="B139" s="1037">
        <v>131</v>
      </c>
      <c r="C139" s="4" t="s">
        <v>149</v>
      </c>
      <c r="D139" s="3" t="s">
        <v>151</v>
      </c>
      <c r="E139" s="18" t="s">
        <v>6178</v>
      </c>
      <c r="F139" s="3" t="str">
        <f t="shared" ref="F139:F157" si="45">D139</f>
        <v>Invitación</v>
      </c>
      <c r="G139" s="3"/>
      <c r="H139" s="3" t="s">
        <v>3793</v>
      </c>
      <c r="I139" s="275" t="s">
        <v>859</v>
      </c>
      <c r="J139" s="17"/>
      <c r="K139" s="17"/>
      <c r="L139" s="17"/>
      <c r="M139" s="375" t="str">
        <f t="shared" si="44"/>
        <v xml:space="preserve">Promexar, S.A. de C.V.  </v>
      </c>
      <c r="N139" s="959" t="s">
        <v>860</v>
      </c>
      <c r="O139" s="959" t="s">
        <v>5152</v>
      </c>
      <c r="P139" s="959" t="s">
        <v>5152</v>
      </c>
      <c r="Q139" s="959" t="s">
        <v>6179</v>
      </c>
      <c r="R139" s="962">
        <v>1280000</v>
      </c>
      <c r="S139" s="383">
        <f t="shared" si="43"/>
        <v>204800</v>
      </c>
      <c r="T139" s="384">
        <f t="shared" si="38"/>
        <v>1484800</v>
      </c>
      <c r="U139" s="385" t="s">
        <v>161</v>
      </c>
      <c r="V139" s="386" t="s">
        <v>161</v>
      </c>
      <c r="W139" s="383">
        <f t="shared" si="39"/>
        <v>1484800</v>
      </c>
      <c r="X139" s="963" t="s">
        <v>156</v>
      </c>
      <c r="Y139" s="387">
        <v>45152</v>
      </c>
      <c r="Z139" s="3" t="s">
        <v>815</v>
      </c>
      <c r="AA139" s="387">
        <v>45152</v>
      </c>
      <c r="AB139" s="387">
        <v>45291</v>
      </c>
      <c r="AC139" s="4" t="s">
        <v>3787</v>
      </c>
      <c r="AD139" s="412"/>
      <c r="AE139" s="4"/>
      <c r="AF139" s="388"/>
      <c r="AG139" s="383"/>
      <c r="AH139" s="414" t="str">
        <f t="shared" ca="1" si="41"/>
        <v>MUERTO</v>
      </c>
      <c r="AI139" s="3"/>
      <c r="AJ139" s="3"/>
      <c r="AK139" s="3" t="s">
        <v>815</v>
      </c>
      <c r="AL139" s="3"/>
      <c r="AM139" s="3" t="s">
        <v>815</v>
      </c>
      <c r="AN139" s="3"/>
      <c r="AO139" s="3"/>
      <c r="AP139" s="458"/>
      <c r="AQ139" s="388"/>
      <c r="AR139" s="4"/>
      <c r="AS139" s="459"/>
      <c r="AT139" s="281" t="s">
        <v>6180</v>
      </c>
      <c r="AU139" s="4"/>
      <c r="AV139" s="4"/>
      <c r="AW139" s="6">
        <v>45146</v>
      </c>
      <c r="AX139" s="463">
        <v>45147</v>
      </c>
      <c r="AY139" s="6">
        <v>45152</v>
      </c>
      <c r="AZ139" s="6">
        <f t="shared" si="42"/>
        <v>45152</v>
      </c>
      <c r="BA139" s="415" t="str">
        <f t="shared" si="40"/>
        <v>Contrato formalizado 31/08 con garantías</v>
      </c>
      <c r="BB139" s="416">
        <v>45166</v>
      </c>
      <c r="BC139" s="255">
        <v>45161</v>
      </c>
      <c r="BD139" s="519"/>
      <c r="BE139" s="519"/>
      <c r="BF139" s="519"/>
      <c r="BG139" s="519"/>
      <c r="BH139" s="519"/>
    </row>
    <row r="140" spans="1:60" ht="135" x14ac:dyDescent="0.25">
      <c r="A140" s="371" t="s">
        <v>6181</v>
      </c>
      <c r="B140" s="1037">
        <v>132</v>
      </c>
      <c r="C140" s="4" t="s">
        <v>149</v>
      </c>
      <c r="D140" s="3" t="s">
        <v>163</v>
      </c>
      <c r="E140" s="18" t="s">
        <v>5613</v>
      </c>
      <c r="F140" s="3" t="s">
        <v>5365</v>
      </c>
      <c r="G140" s="684" t="s">
        <v>163</v>
      </c>
      <c r="H140" s="3" t="s">
        <v>4123</v>
      </c>
      <c r="I140" s="275" t="s">
        <v>1782</v>
      </c>
      <c r="J140" s="17"/>
      <c r="K140" s="17"/>
      <c r="L140" s="17"/>
      <c r="M140" s="375" t="str">
        <f>I140&amp;J140&amp;" "&amp;K140&amp;" "&amp;L140</f>
        <v xml:space="preserve">Consultores y Soporte AMD, S.A. de C.V.  </v>
      </c>
      <c r="N140" s="959" t="s">
        <v>656</v>
      </c>
      <c r="O140" s="959" t="s">
        <v>667</v>
      </c>
      <c r="P140" s="959" t="s">
        <v>5368</v>
      </c>
      <c r="Q140" s="959" t="s">
        <v>6182</v>
      </c>
      <c r="R140" s="962">
        <v>8286732.8965517245</v>
      </c>
      <c r="S140" s="383">
        <f t="shared" si="43"/>
        <v>1325877.2634482759</v>
      </c>
      <c r="T140" s="384">
        <f t="shared" si="38"/>
        <v>9612610.1600000001</v>
      </c>
      <c r="U140" s="385" t="s">
        <v>161</v>
      </c>
      <c r="V140" s="386" t="s">
        <v>161</v>
      </c>
      <c r="W140" s="383">
        <f t="shared" si="39"/>
        <v>9612610.1600000001</v>
      </c>
      <c r="X140" s="963" t="s">
        <v>183</v>
      </c>
      <c r="Y140" s="387">
        <v>45160</v>
      </c>
      <c r="Z140" s="3" t="s">
        <v>815</v>
      </c>
      <c r="AA140" s="387">
        <v>45160</v>
      </c>
      <c r="AB140" s="387">
        <v>45900</v>
      </c>
      <c r="AC140" s="4" t="s">
        <v>6183</v>
      </c>
      <c r="AD140" s="530" t="s">
        <v>6184</v>
      </c>
      <c r="AE140" s="527" t="s">
        <v>6185</v>
      </c>
      <c r="AF140" s="521">
        <v>45223</v>
      </c>
      <c r="AG140" s="528">
        <v>0</v>
      </c>
      <c r="AH140" s="414" t="str">
        <f t="shared" ca="1" si="41"/>
        <v>VIGENTE</v>
      </c>
      <c r="AI140" s="3"/>
      <c r="AJ140" s="3"/>
      <c r="AK140" s="3" t="s">
        <v>815</v>
      </c>
      <c r="AL140" s="3" t="s">
        <v>5398</v>
      </c>
      <c r="AM140" s="3" t="s">
        <v>815</v>
      </c>
      <c r="AN140" s="3"/>
      <c r="AO140" s="3"/>
      <c r="AP140" s="458"/>
      <c r="AQ140" s="388"/>
      <c r="AR140" s="4"/>
      <c r="AS140" s="459"/>
      <c r="AT140" s="281" t="s">
        <v>6186</v>
      </c>
      <c r="AU140" s="4"/>
      <c r="AV140" s="4" t="str">
        <f>VLOOKUP(I140,[2]RFC!$1:$1048576,2,0)</f>
        <v>CSA960827626</v>
      </c>
      <c r="AW140" s="6" t="s">
        <v>6187</v>
      </c>
      <c r="AX140" s="463" t="s">
        <v>6188</v>
      </c>
      <c r="AY140" s="6" t="s">
        <v>6189</v>
      </c>
      <c r="AZ140" s="6" t="str">
        <f t="shared" si="42"/>
        <v>22/08/2023
25/10/2023</v>
      </c>
      <c r="BA140" s="415" t="str">
        <f t="shared" si="40"/>
        <v>Contrato formalizado con garantías 11/09
Modificatorio formalizado 07/11</v>
      </c>
      <c r="BB140" s="416" t="s">
        <v>6190</v>
      </c>
      <c r="BC140" s="255" t="s">
        <v>6191</v>
      </c>
      <c r="BD140" s="556">
        <f>8286732.9*1.16</f>
        <v>9612610.1639999989</v>
      </c>
      <c r="BE140" s="556">
        <f>23004960*1.16</f>
        <v>26685753.599999998</v>
      </c>
      <c r="BF140" s="556">
        <f>15336640*1.16</f>
        <v>17790502.399999999</v>
      </c>
      <c r="BG140" s="519"/>
      <c r="BH140" s="519"/>
    </row>
    <row r="141" spans="1:60" ht="75" x14ac:dyDescent="0.25">
      <c r="A141" s="537" t="s">
        <v>6192</v>
      </c>
      <c r="B141" s="1037">
        <v>133</v>
      </c>
      <c r="C141" s="4" t="s">
        <v>149</v>
      </c>
      <c r="D141" s="3" t="s">
        <v>151</v>
      </c>
      <c r="E141" s="18" t="s">
        <v>6193</v>
      </c>
      <c r="F141" s="3" t="str">
        <f t="shared" si="45"/>
        <v>Invitación</v>
      </c>
      <c r="G141" s="3"/>
      <c r="H141" s="3" t="s">
        <v>3793</v>
      </c>
      <c r="I141" s="275" t="s">
        <v>859</v>
      </c>
      <c r="J141" s="17"/>
      <c r="K141" s="17"/>
      <c r="L141" s="17"/>
      <c r="M141" s="375" t="str">
        <f t="shared" si="44"/>
        <v xml:space="preserve">Promexar, S.A. de C.V.  </v>
      </c>
      <c r="N141" s="959" t="s">
        <v>860</v>
      </c>
      <c r="O141" s="959" t="s">
        <v>5152</v>
      </c>
      <c r="P141" s="959" t="s">
        <v>5152</v>
      </c>
      <c r="Q141" s="959" t="s">
        <v>6194</v>
      </c>
      <c r="R141" s="962">
        <v>1455000</v>
      </c>
      <c r="S141" s="383">
        <f t="shared" si="43"/>
        <v>232800</v>
      </c>
      <c r="T141" s="384">
        <f t="shared" si="38"/>
        <v>1687800</v>
      </c>
      <c r="U141" s="385" t="s">
        <v>161</v>
      </c>
      <c r="V141" s="386" t="s">
        <v>161</v>
      </c>
      <c r="W141" s="383">
        <f t="shared" si="39"/>
        <v>1687800</v>
      </c>
      <c r="X141" s="963" t="s">
        <v>156</v>
      </c>
      <c r="Y141" s="387">
        <v>45169</v>
      </c>
      <c r="Z141" s="3" t="s">
        <v>815</v>
      </c>
      <c r="AA141" s="387">
        <f t="shared" ref="AA141:AA154" si="46">Y141</f>
        <v>45169</v>
      </c>
      <c r="AB141" s="387">
        <v>45275</v>
      </c>
      <c r="AC141" s="4" t="s">
        <v>3787</v>
      </c>
      <c r="AD141" s="412"/>
      <c r="AE141" s="4"/>
      <c r="AF141" s="388"/>
      <c r="AG141" s="383"/>
      <c r="AH141" s="414" t="str">
        <f t="shared" ca="1" si="41"/>
        <v>MUERTO</v>
      </c>
      <c r="AI141" s="3"/>
      <c r="AJ141" s="3"/>
      <c r="AK141" s="3" t="s">
        <v>815</v>
      </c>
      <c r="AL141" s="3"/>
      <c r="AM141" s="3" t="s">
        <v>815</v>
      </c>
      <c r="AN141" s="3"/>
      <c r="AO141" s="3"/>
      <c r="AP141" s="458"/>
      <c r="AQ141" s="388"/>
      <c r="AR141" s="4"/>
      <c r="AS141" s="459"/>
      <c r="AT141" s="281" t="s">
        <v>6195</v>
      </c>
      <c r="AU141" s="4"/>
      <c r="AV141" s="4" t="str">
        <f>VLOOKUP(I141,[2]RFC!$1:$1048576,2,0)</f>
        <v>PRO0804072R0</v>
      </c>
      <c r="AW141" s="6">
        <v>45167</v>
      </c>
      <c r="AX141" s="463">
        <v>45167</v>
      </c>
      <c r="AY141" s="6">
        <v>45170</v>
      </c>
      <c r="AZ141" s="6">
        <f t="shared" si="42"/>
        <v>45170</v>
      </c>
      <c r="BA141" s="415" t="str">
        <f t="shared" si="40"/>
        <v>Contrato formalizado con garantías 14/09</v>
      </c>
      <c r="BB141" s="416">
        <v>45175</v>
      </c>
      <c r="BC141" s="255">
        <v>45174</v>
      </c>
      <c r="BD141" s="519"/>
      <c r="BE141" s="519"/>
      <c r="BF141" s="519"/>
      <c r="BG141" s="519"/>
      <c r="BH141" s="519"/>
    </row>
    <row r="142" spans="1:60" ht="90" x14ac:dyDescent="0.25">
      <c r="A142" s="539" t="s">
        <v>6196</v>
      </c>
      <c r="B142" s="252">
        <v>134</v>
      </c>
      <c r="C142" s="4" t="s">
        <v>149</v>
      </c>
      <c r="D142" s="3" t="s">
        <v>163</v>
      </c>
      <c r="E142" s="18" t="s">
        <v>6197</v>
      </c>
      <c r="F142" s="3" t="str">
        <f t="shared" si="45"/>
        <v>Adjudicación Directa</v>
      </c>
      <c r="G142" s="685" t="s">
        <v>546</v>
      </c>
      <c r="H142" s="3" t="s">
        <v>3986</v>
      </c>
      <c r="I142" s="275" t="s">
        <v>6198</v>
      </c>
      <c r="J142" s="17"/>
      <c r="K142" s="17"/>
      <c r="L142" s="17"/>
      <c r="M142" s="375" t="str">
        <f t="shared" si="44"/>
        <v xml:space="preserve">Chilicloud, S.A. de C.V.  </v>
      </c>
      <c r="N142" s="959" t="s">
        <v>860</v>
      </c>
      <c r="O142" s="959" t="s">
        <v>5152</v>
      </c>
      <c r="P142" s="959" t="s">
        <v>5152</v>
      </c>
      <c r="Q142" s="959" t="s">
        <v>6199</v>
      </c>
      <c r="R142" s="962">
        <v>6354630</v>
      </c>
      <c r="S142" s="383">
        <f t="shared" si="43"/>
        <v>1016740.8</v>
      </c>
      <c r="T142" s="384">
        <f t="shared" si="38"/>
        <v>7371370.7999999998</v>
      </c>
      <c r="U142" s="385" t="s">
        <v>161</v>
      </c>
      <c r="V142" s="386" t="s">
        <v>161</v>
      </c>
      <c r="W142" s="383">
        <f t="shared" si="39"/>
        <v>8921275.8000000007</v>
      </c>
      <c r="X142" s="963" t="s">
        <v>156</v>
      </c>
      <c r="Y142" s="387">
        <v>45170</v>
      </c>
      <c r="Z142" s="3" t="s">
        <v>863</v>
      </c>
      <c r="AA142" s="387">
        <f t="shared" si="46"/>
        <v>45170</v>
      </c>
      <c r="AB142" s="534">
        <v>45322</v>
      </c>
      <c r="AC142" s="4" t="s">
        <v>3787</v>
      </c>
      <c r="AD142" s="412" t="s">
        <v>6200</v>
      </c>
      <c r="AE142" s="4" t="s">
        <v>6201</v>
      </c>
      <c r="AF142" s="388">
        <v>45261</v>
      </c>
      <c r="AG142" s="383">
        <v>1549905</v>
      </c>
      <c r="AH142" s="414" t="str">
        <f t="shared" ca="1" si="41"/>
        <v>MUERTO</v>
      </c>
      <c r="AI142" s="3"/>
      <c r="AJ142" s="3"/>
      <c r="AK142" s="3" t="s">
        <v>863</v>
      </c>
      <c r="AL142" s="3"/>
      <c r="AM142" s="3" t="s">
        <v>863</v>
      </c>
      <c r="AN142" s="3"/>
      <c r="AO142" s="3"/>
      <c r="AP142" s="458"/>
      <c r="AQ142" s="388"/>
      <c r="AR142" s="4"/>
      <c r="AS142" s="459"/>
      <c r="AT142" s="281" t="s">
        <v>6202</v>
      </c>
      <c r="AU142" s="4"/>
      <c r="AV142" s="4" t="s">
        <v>6203</v>
      </c>
      <c r="AW142" s="6" t="s">
        <v>6204</v>
      </c>
      <c r="AX142" s="463" t="s">
        <v>6205</v>
      </c>
      <c r="AY142" s="6">
        <v>45169</v>
      </c>
      <c r="AZ142" s="6">
        <f t="shared" si="42"/>
        <v>45169</v>
      </c>
      <c r="BA142" s="415" t="str">
        <f t="shared" si="40"/>
        <v>Contrato formalizado con garantías 22/09      22/12/2023</v>
      </c>
      <c r="BB142" s="416" t="s">
        <v>6206</v>
      </c>
      <c r="BC142" s="255" t="s">
        <v>6207</v>
      </c>
      <c r="BD142" s="519"/>
      <c r="BE142" s="519"/>
      <c r="BF142" s="519"/>
      <c r="BG142" s="519"/>
      <c r="BH142" s="519"/>
    </row>
    <row r="143" spans="1:60" ht="90" x14ac:dyDescent="0.25">
      <c r="A143" s="539" t="s">
        <v>6208</v>
      </c>
      <c r="B143" s="1037">
        <v>135</v>
      </c>
      <c r="C143" s="4" t="s">
        <v>149</v>
      </c>
      <c r="D143" s="3" t="s">
        <v>163</v>
      </c>
      <c r="E143" s="18" t="s">
        <v>6209</v>
      </c>
      <c r="F143" s="3" t="s">
        <v>5365</v>
      </c>
      <c r="G143" s="685" t="s">
        <v>546</v>
      </c>
      <c r="H143" s="3" t="s">
        <v>312</v>
      </c>
      <c r="I143" s="275" t="s">
        <v>2622</v>
      </c>
      <c r="J143" s="17"/>
      <c r="K143" s="17"/>
      <c r="L143" s="17"/>
      <c r="M143" s="375" t="str">
        <f t="shared" si="44"/>
        <v xml:space="preserve">Programma Comunicación, S.A. de C.V.  </v>
      </c>
      <c r="N143" s="959" t="s">
        <v>860</v>
      </c>
      <c r="O143" s="959" t="s">
        <v>5152</v>
      </c>
      <c r="P143" s="959" t="s">
        <v>5152</v>
      </c>
      <c r="Q143" s="959" t="s">
        <v>3962</v>
      </c>
      <c r="R143" s="962">
        <v>2280000</v>
      </c>
      <c r="S143" s="383">
        <f t="shared" si="43"/>
        <v>364800</v>
      </c>
      <c r="T143" s="384">
        <f t="shared" si="38"/>
        <v>2644800</v>
      </c>
      <c r="U143" s="385" t="s">
        <v>161</v>
      </c>
      <c r="V143" s="386" t="s">
        <v>161</v>
      </c>
      <c r="W143" s="383">
        <f t="shared" si="39"/>
        <v>3306000</v>
      </c>
      <c r="X143" s="963" t="s">
        <v>156</v>
      </c>
      <c r="Y143" s="387">
        <v>45174</v>
      </c>
      <c r="Z143" s="3" t="s">
        <v>863</v>
      </c>
      <c r="AA143" s="387">
        <f t="shared" si="46"/>
        <v>45174</v>
      </c>
      <c r="AB143" s="387">
        <v>45275</v>
      </c>
      <c r="AC143" s="4" t="s">
        <v>3113</v>
      </c>
      <c r="AD143" s="412" t="s">
        <v>6210</v>
      </c>
      <c r="AE143" s="4" t="s">
        <v>6211</v>
      </c>
      <c r="AF143" s="388">
        <v>45264</v>
      </c>
      <c r="AG143" s="383">
        <v>661200</v>
      </c>
      <c r="AH143" s="414" t="str">
        <f t="shared" ca="1" si="41"/>
        <v>MUERTO</v>
      </c>
      <c r="AI143" s="3"/>
      <c r="AJ143" s="3"/>
      <c r="AK143" s="3" t="s">
        <v>863</v>
      </c>
      <c r="AL143" s="3"/>
      <c r="AM143" s="3" t="s">
        <v>863</v>
      </c>
      <c r="AN143" s="3"/>
      <c r="AO143" s="3"/>
      <c r="AP143" s="458"/>
      <c r="AQ143" s="388"/>
      <c r="AR143" s="4"/>
      <c r="AS143" s="459"/>
      <c r="AT143" s="281" t="s">
        <v>6212</v>
      </c>
      <c r="AU143" s="4"/>
      <c r="AV143" s="4" t="e">
        <f>VLOOKUP(I143,[2]RFC!$1:$1048576,2,0)</f>
        <v>#N/A</v>
      </c>
      <c r="AW143" s="6">
        <v>45163</v>
      </c>
      <c r="AX143" s="463">
        <v>45168</v>
      </c>
      <c r="AY143" s="6">
        <v>45173</v>
      </c>
      <c r="AZ143" s="6">
        <f t="shared" si="42"/>
        <v>45173</v>
      </c>
      <c r="BA143" s="415" t="str">
        <f t="shared" si="40"/>
        <v>Contrato formalizado con garantías 14/09     26/12/2023</v>
      </c>
      <c r="BB143" s="416" t="s">
        <v>6213</v>
      </c>
      <c r="BC143" s="255" t="s">
        <v>6214</v>
      </c>
      <c r="BD143" s="519"/>
      <c r="BE143" s="519"/>
      <c r="BF143" s="519"/>
      <c r="BG143" s="519"/>
      <c r="BH143" s="519"/>
    </row>
    <row r="144" spans="1:60" ht="75" x14ac:dyDescent="0.25">
      <c r="A144" s="537" t="s">
        <v>6215</v>
      </c>
      <c r="B144" s="1037">
        <v>136</v>
      </c>
      <c r="C144" s="4" t="s">
        <v>149</v>
      </c>
      <c r="D144" s="3" t="s">
        <v>163</v>
      </c>
      <c r="E144" s="18" t="s">
        <v>6209</v>
      </c>
      <c r="F144" s="3" t="s">
        <v>5365</v>
      </c>
      <c r="G144" s="685" t="s">
        <v>546</v>
      </c>
      <c r="H144" s="3" t="s">
        <v>312</v>
      </c>
      <c r="I144" s="275"/>
      <c r="J144" s="17" t="s">
        <v>5103</v>
      </c>
      <c r="K144" s="17" t="s">
        <v>5942</v>
      </c>
      <c r="L144" s="17" t="s">
        <v>393</v>
      </c>
      <c r="M144" s="375" t="str">
        <f t="shared" si="44"/>
        <v>Griselda Romero Martínez</v>
      </c>
      <c r="N144" s="959" t="s">
        <v>860</v>
      </c>
      <c r="O144" s="959" t="s">
        <v>5933</v>
      </c>
      <c r="P144" s="959" t="s">
        <v>5933</v>
      </c>
      <c r="Q144" s="959" t="s">
        <v>6216</v>
      </c>
      <c r="R144" s="962">
        <v>540000</v>
      </c>
      <c r="S144" s="383">
        <f t="shared" si="43"/>
        <v>86400</v>
      </c>
      <c r="T144" s="384">
        <f t="shared" si="38"/>
        <v>626400</v>
      </c>
      <c r="U144" s="385" t="s">
        <v>161</v>
      </c>
      <c r="V144" s="386" t="s">
        <v>161</v>
      </c>
      <c r="W144" s="383">
        <f t="shared" si="39"/>
        <v>626400</v>
      </c>
      <c r="X144" s="963" t="s">
        <v>156</v>
      </c>
      <c r="Y144" s="387">
        <v>45174</v>
      </c>
      <c r="Z144" s="3" t="s">
        <v>863</v>
      </c>
      <c r="AA144" s="387">
        <f t="shared" si="46"/>
        <v>45174</v>
      </c>
      <c r="AB144" s="387">
        <v>45275</v>
      </c>
      <c r="AC144" s="4" t="s">
        <v>3113</v>
      </c>
      <c r="AD144" s="412"/>
      <c r="AE144" s="4"/>
      <c r="AF144" s="388"/>
      <c r="AG144" s="383"/>
      <c r="AH144" s="414" t="str">
        <f t="shared" ca="1" si="41"/>
        <v>MUERTO</v>
      </c>
      <c r="AI144" s="3"/>
      <c r="AJ144" s="3"/>
      <c r="AK144" s="3" t="s">
        <v>863</v>
      </c>
      <c r="AL144" s="3"/>
      <c r="AM144" s="3" t="s">
        <v>863</v>
      </c>
      <c r="AN144" s="3"/>
      <c r="AO144" s="3"/>
      <c r="AP144" s="458"/>
      <c r="AQ144" s="388"/>
      <c r="AR144" s="4"/>
      <c r="AS144" s="459"/>
      <c r="AT144" s="281" t="s">
        <v>6195</v>
      </c>
      <c r="AU144" s="4"/>
      <c r="AV144" s="4" t="e">
        <f>VLOOKUP(I144,[2]RFC!$1:$1048576,2,0)</f>
        <v>#N/A</v>
      </c>
      <c r="AW144" s="6">
        <v>45163</v>
      </c>
      <c r="AX144" s="463">
        <v>45169</v>
      </c>
      <c r="AY144" s="6">
        <v>45173</v>
      </c>
      <c r="AZ144" s="6">
        <f t="shared" si="42"/>
        <v>45173</v>
      </c>
      <c r="BA144" s="415" t="str">
        <f t="shared" si="40"/>
        <v>Contrato formalizado con garantías 14/09</v>
      </c>
      <c r="BB144" s="416">
        <v>45176</v>
      </c>
      <c r="BC144" s="255">
        <v>45174</v>
      </c>
      <c r="BD144" s="519"/>
      <c r="BE144" s="519"/>
      <c r="BF144" s="519"/>
      <c r="BG144" s="519"/>
      <c r="BH144" s="519"/>
    </row>
    <row r="145" spans="1:66" ht="75" x14ac:dyDescent="0.25">
      <c r="A145" s="537" t="s">
        <v>6217</v>
      </c>
      <c r="B145" s="1037">
        <v>137</v>
      </c>
      <c r="C145" s="4" t="s">
        <v>149</v>
      </c>
      <c r="D145" s="3" t="s">
        <v>163</v>
      </c>
      <c r="E145" s="18" t="s">
        <v>6209</v>
      </c>
      <c r="F145" s="3" t="s">
        <v>5365</v>
      </c>
      <c r="G145" s="685" t="s">
        <v>546</v>
      </c>
      <c r="H145" s="3" t="s">
        <v>312</v>
      </c>
      <c r="I145" s="275" t="s">
        <v>6218</v>
      </c>
      <c r="J145" s="17"/>
      <c r="K145" s="17"/>
      <c r="L145" s="17"/>
      <c r="M145" s="375" t="str">
        <f t="shared" si="44"/>
        <v xml:space="preserve">LS Comunicación, S.de R.L. de C.V.  </v>
      </c>
      <c r="N145" s="959" t="s">
        <v>860</v>
      </c>
      <c r="O145" s="959" t="s">
        <v>5933</v>
      </c>
      <c r="P145" s="959" t="s">
        <v>5933</v>
      </c>
      <c r="Q145" s="959" t="s">
        <v>6219</v>
      </c>
      <c r="R145" s="962">
        <v>1264200</v>
      </c>
      <c r="S145" s="383">
        <f t="shared" si="43"/>
        <v>202272</v>
      </c>
      <c r="T145" s="384">
        <f t="shared" si="38"/>
        <v>1466472</v>
      </c>
      <c r="U145" s="385" t="s">
        <v>161</v>
      </c>
      <c r="V145" s="386" t="s">
        <v>161</v>
      </c>
      <c r="W145" s="383">
        <f t="shared" ref="W145:W157" si="47">T145+AG145</f>
        <v>1466472</v>
      </c>
      <c r="X145" s="963" t="s">
        <v>156</v>
      </c>
      <c r="Y145" s="387">
        <v>45174</v>
      </c>
      <c r="Z145" s="3" t="s">
        <v>863</v>
      </c>
      <c r="AA145" s="387">
        <f t="shared" si="46"/>
        <v>45174</v>
      </c>
      <c r="AB145" s="387">
        <v>45275</v>
      </c>
      <c r="AC145" s="4" t="s">
        <v>3113</v>
      </c>
      <c r="AD145" s="412"/>
      <c r="AE145" s="4"/>
      <c r="AF145" s="388"/>
      <c r="AG145" s="383"/>
      <c r="AH145" s="414" t="str">
        <f t="shared" ca="1" si="41"/>
        <v>MUERTO</v>
      </c>
      <c r="AI145" s="3"/>
      <c r="AJ145" s="3"/>
      <c r="AK145" s="3" t="s">
        <v>863</v>
      </c>
      <c r="AL145" s="3"/>
      <c r="AM145" s="3" t="s">
        <v>863</v>
      </c>
      <c r="AN145" s="3"/>
      <c r="AO145" s="3"/>
      <c r="AP145" s="458"/>
      <c r="AQ145" s="388"/>
      <c r="AR145" s="4"/>
      <c r="AS145" s="459"/>
      <c r="AT145" s="281" t="s">
        <v>6220</v>
      </c>
      <c r="AU145" s="4"/>
      <c r="AV145" s="4" t="e">
        <f>VLOOKUP(I145,[2]RFC!$1:$1048576,2,0)</f>
        <v>#N/A</v>
      </c>
      <c r="AW145" s="6">
        <v>45163</v>
      </c>
      <c r="AX145" s="463">
        <v>45169</v>
      </c>
      <c r="AY145" s="6">
        <v>45173</v>
      </c>
      <c r="AZ145" s="6">
        <f t="shared" si="42"/>
        <v>45173</v>
      </c>
      <c r="BA145" s="415" t="str">
        <f t="shared" si="40"/>
        <v>Contrato formalizado con garantías 27/09</v>
      </c>
      <c r="BB145" s="416">
        <v>45182</v>
      </c>
      <c r="BC145" s="255">
        <v>45175</v>
      </c>
      <c r="BD145" s="519"/>
      <c r="BE145" s="519"/>
      <c r="BF145" s="519"/>
      <c r="BG145" s="519"/>
      <c r="BH145" s="519"/>
    </row>
    <row r="146" spans="1:66" ht="195" x14ac:dyDescent="0.25">
      <c r="A146" s="539" t="s">
        <v>6221</v>
      </c>
      <c r="B146" s="252">
        <v>138</v>
      </c>
      <c r="C146" s="4" t="s">
        <v>149</v>
      </c>
      <c r="D146" s="3" t="s">
        <v>163</v>
      </c>
      <c r="E146" s="18" t="s">
        <v>6222</v>
      </c>
      <c r="F146" s="3" t="str">
        <f t="shared" si="45"/>
        <v>Adjudicación Directa</v>
      </c>
      <c r="G146" s="685" t="s">
        <v>546</v>
      </c>
      <c r="H146" s="3" t="s">
        <v>3986</v>
      </c>
      <c r="I146" s="275" t="s">
        <v>5841</v>
      </c>
      <c r="J146" s="17"/>
      <c r="K146" s="17"/>
      <c r="L146" s="17"/>
      <c r="M146" s="375" t="str">
        <f t="shared" si="44"/>
        <v xml:space="preserve">Guzdan Services, S.A. de C.V.  </v>
      </c>
      <c r="N146" s="959" t="s">
        <v>656</v>
      </c>
      <c r="O146" s="959" t="s">
        <v>209</v>
      </c>
      <c r="P146" s="959" t="s">
        <v>5627</v>
      </c>
      <c r="Q146" s="959" t="s">
        <v>6223</v>
      </c>
      <c r="R146" s="962">
        <v>1860344.83</v>
      </c>
      <c r="S146" s="383">
        <f t="shared" si="43"/>
        <v>297655.1728</v>
      </c>
      <c r="T146" s="384">
        <f t="shared" ref="T146:T157" si="48">R146+S146</f>
        <v>2158000.0027999999</v>
      </c>
      <c r="U146" s="385" t="s">
        <v>161</v>
      </c>
      <c r="V146" s="386" t="s">
        <v>161</v>
      </c>
      <c r="W146" s="383">
        <f t="shared" si="47"/>
        <v>2158000.0027999999</v>
      </c>
      <c r="X146" s="963" t="s">
        <v>156</v>
      </c>
      <c r="Y146" s="387">
        <v>45174</v>
      </c>
      <c r="Z146" s="3" t="s">
        <v>863</v>
      </c>
      <c r="AA146" s="387">
        <f t="shared" si="46"/>
        <v>45174</v>
      </c>
      <c r="AB146" s="387">
        <v>45291</v>
      </c>
      <c r="AC146" s="4" t="s">
        <v>3787</v>
      </c>
      <c r="AD146" s="530" t="s">
        <v>6224</v>
      </c>
      <c r="AE146" s="527" t="s">
        <v>6225</v>
      </c>
      <c r="AF146" s="521">
        <v>45223</v>
      </c>
      <c r="AG146" s="528">
        <v>0</v>
      </c>
      <c r="AH146" s="414" t="str">
        <f t="shared" ca="1" si="41"/>
        <v>MUERTO</v>
      </c>
      <c r="AI146" s="3"/>
      <c r="AJ146" s="3"/>
      <c r="AK146" s="3" t="s">
        <v>863</v>
      </c>
      <c r="AL146" s="3" t="s">
        <v>5398</v>
      </c>
      <c r="AM146" s="3" t="s">
        <v>863</v>
      </c>
      <c r="AN146" s="3"/>
      <c r="AO146" s="3"/>
      <c r="AP146" s="458"/>
      <c r="AQ146" s="388"/>
      <c r="AR146" s="4"/>
      <c r="AS146" s="459"/>
      <c r="AT146" s="281" t="s">
        <v>6226</v>
      </c>
      <c r="AU146" s="4"/>
      <c r="AV146" s="4" t="s">
        <v>6227</v>
      </c>
      <c r="AW146" s="6" t="s">
        <v>6228</v>
      </c>
      <c r="AX146" s="463" t="s">
        <v>6229</v>
      </c>
      <c r="AY146" s="6" t="s">
        <v>6230</v>
      </c>
      <c r="AZ146" s="6" t="str">
        <f t="shared" si="42"/>
        <v>05/09/2023
25/10/2023</v>
      </c>
      <c r="BA146" s="415" t="str">
        <f t="shared" si="40"/>
        <v xml:space="preserve">Contrato formalizado con garantías 17/10       Oficio de formalizacion  29/11                    </v>
      </c>
      <c r="BB146" s="416" t="s">
        <v>6231</v>
      </c>
      <c r="BC146" s="255" t="s">
        <v>6232</v>
      </c>
      <c r="BD146" s="519"/>
      <c r="BE146" s="519"/>
      <c r="BF146" s="519"/>
      <c r="BG146" s="519"/>
      <c r="BH146" s="519"/>
    </row>
    <row r="147" spans="1:66" ht="75" x14ac:dyDescent="0.25">
      <c r="A147" s="537" t="s">
        <v>6233</v>
      </c>
      <c r="B147" s="1037">
        <v>139</v>
      </c>
      <c r="C147" s="4" t="s">
        <v>149</v>
      </c>
      <c r="D147" s="3" t="s">
        <v>163</v>
      </c>
      <c r="E147" s="18" t="s">
        <v>6209</v>
      </c>
      <c r="F147" s="3" t="s">
        <v>5365</v>
      </c>
      <c r="G147" s="685" t="s">
        <v>546</v>
      </c>
      <c r="H147" s="3" t="s">
        <v>312</v>
      </c>
      <c r="I147" s="275"/>
      <c r="J147" s="17" t="s">
        <v>6234</v>
      </c>
      <c r="K147" s="17" t="s">
        <v>393</v>
      </c>
      <c r="L147" s="17" t="s">
        <v>4288</v>
      </c>
      <c r="M147" s="375" t="str">
        <f t="shared" si="44"/>
        <v>Salvador Quiauhtlazollin Martínez Olguín</v>
      </c>
      <c r="N147" s="959" t="s">
        <v>860</v>
      </c>
      <c r="O147" s="959" t="s">
        <v>5933</v>
      </c>
      <c r="P147" s="959" t="s">
        <v>5933</v>
      </c>
      <c r="Q147" s="959" t="s">
        <v>6235</v>
      </c>
      <c r="R147" s="962">
        <v>480000</v>
      </c>
      <c r="S147" s="383">
        <f t="shared" si="43"/>
        <v>76800</v>
      </c>
      <c r="T147" s="384">
        <f t="shared" si="48"/>
        <v>556800</v>
      </c>
      <c r="U147" s="385" t="s">
        <v>161</v>
      </c>
      <c r="V147" s="386" t="s">
        <v>161</v>
      </c>
      <c r="W147" s="383">
        <f t="shared" si="47"/>
        <v>556800</v>
      </c>
      <c r="X147" s="963" t="s">
        <v>156</v>
      </c>
      <c r="Y147" s="387">
        <v>45174</v>
      </c>
      <c r="Z147" s="3" t="s">
        <v>863</v>
      </c>
      <c r="AA147" s="387">
        <f t="shared" si="46"/>
        <v>45174</v>
      </c>
      <c r="AB147" s="387">
        <v>45275</v>
      </c>
      <c r="AC147" s="4" t="s">
        <v>3113</v>
      </c>
      <c r="AD147" s="412"/>
      <c r="AE147" s="4"/>
      <c r="AF147" s="388"/>
      <c r="AG147" s="383"/>
      <c r="AH147" s="414" t="str">
        <f t="shared" ca="1" si="41"/>
        <v>MUERTO</v>
      </c>
      <c r="AI147" s="3"/>
      <c r="AJ147" s="3"/>
      <c r="AK147" s="3" t="s">
        <v>863</v>
      </c>
      <c r="AL147" s="3"/>
      <c r="AM147" s="3" t="s">
        <v>863</v>
      </c>
      <c r="AN147" s="3"/>
      <c r="AO147" s="3"/>
      <c r="AP147" s="458"/>
      <c r="AQ147" s="388"/>
      <c r="AR147" s="4"/>
      <c r="AS147" s="459"/>
      <c r="AT147" s="281" t="s">
        <v>6236</v>
      </c>
      <c r="AU147" s="4"/>
      <c r="AV147" s="4" t="e">
        <f>VLOOKUP(I147,[2]RFC!$1:$1048576,2,0)</f>
        <v>#N/A</v>
      </c>
      <c r="AW147" s="6">
        <v>45163</v>
      </c>
      <c r="AX147" s="463">
        <v>45169</v>
      </c>
      <c r="AY147" s="6">
        <v>45181</v>
      </c>
      <c r="AZ147" s="6">
        <f t="shared" si="42"/>
        <v>45181</v>
      </c>
      <c r="BA147" s="415" t="str">
        <f t="shared" si="40"/>
        <v>Contrato formalizado con garantias 28/09</v>
      </c>
      <c r="BB147" s="416">
        <v>45183</v>
      </c>
      <c r="BC147" s="255">
        <v>45182</v>
      </c>
      <c r="BD147" s="519"/>
      <c r="BE147" s="519"/>
      <c r="BF147" s="519"/>
      <c r="BG147" s="519"/>
      <c r="BH147" s="519"/>
    </row>
    <row r="148" spans="1:66" ht="120" x14ac:dyDescent="0.25">
      <c r="A148" s="371" t="s">
        <v>6237</v>
      </c>
      <c r="B148" s="1037">
        <v>140</v>
      </c>
      <c r="C148" s="4" t="s">
        <v>149</v>
      </c>
      <c r="D148" s="3" t="s">
        <v>163</v>
      </c>
      <c r="E148" s="18" t="s">
        <v>6238</v>
      </c>
      <c r="F148" s="3" t="str">
        <f t="shared" si="45"/>
        <v>Adjudicación Directa</v>
      </c>
      <c r="G148" s="685" t="s">
        <v>546</v>
      </c>
      <c r="H148" s="3" t="s">
        <v>3986</v>
      </c>
      <c r="I148" s="275" t="s">
        <v>6239</v>
      </c>
      <c r="J148" s="17"/>
      <c r="K148" s="17"/>
      <c r="L148" s="17"/>
      <c r="M148" s="375" t="str">
        <f t="shared" si="44"/>
        <v xml:space="preserve">INNDOT, S.A.P.I. DE C.V.  </v>
      </c>
      <c r="N148" s="959" t="s">
        <v>656</v>
      </c>
      <c r="O148" s="959" t="s">
        <v>667</v>
      </c>
      <c r="P148" s="959" t="s">
        <v>5368</v>
      </c>
      <c r="Q148" s="959" t="s">
        <v>6240</v>
      </c>
      <c r="R148" s="962">
        <v>6417011.3399999999</v>
      </c>
      <c r="S148" s="383">
        <f t="shared" si="43"/>
        <v>1026721.8144</v>
      </c>
      <c r="T148" s="384">
        <f t="shared" si="48"/>
        <v>7443733.1544000003</v>
      </c>
      <c r="U148" s="385" t="s">
        <v>161</v>
      </c>
      <c r="V148" s="385" t="s">
        <v>161</v>
      </c>
      <c r="W148" s="383">
        <f t="shared" si="47"/>
        <v>7443733.1544000003</v>
      </c>
      <c r="X148" s="963" t="s">
        <v>183</v>
      </c>
      <c r="Y148" s="387">
        <v>45201</v>
      </c>
      <c r="Z148" s="3" t="s">
        <v>881</v>
      </c>
      <c r="AA148" s="387">
        <f t="shared" si="46"/>
        <v>45201</v>
      </c>
      <c r="AB148" s="387">
        <v>45930</v>
      </c>
      <c r="AC148" s="4" t="s">
        <v>3811</v>
      </c>
      <c r="AD148" s="412"/>
      <c r="AE148" s="4"/>
      <c r="AF148" s="388"/>
      <c r="AG148" s="383"/>
      <c r="AH148" s="414" t="str">
        <f t="shared" ca="1" si="41"/>
        <v>VIGENTE</v>
      </c>
      <c r="AI148" s="3"/>
      <c r="AJ148" s="3"/>
      <c r="AK148" s="3" t="s">
        <v>881</v>
      </c>
      <c r="AL148" s="3"/>
      <c r="AM148" s="3" t="s">
        <v>881</v>
      </c>
      <c r="AN148" s="3"/>
      <c r="AO148" s="3"/>
      <c r="AP148" s="458"/>
      <c r="AQ148" s="388"/>
      <c r="AR148" s="4"/>
      <c r="AS148" s="459"/>
      <c r="AT148" s="281" t="s">
        <v>6241</v>
      </c>
      <c r="AU148" s="4"/>
      <c r="AV148" s="4" t="e">
        <f>VLOOKUP(I148,[2]RFC!$1:$1048576,2,0)</f>
        <v>#N/A</v>
      </c>
      <c r="AW148" s="6">
        <v>45197</v>
      </c>
      <c r="AX148" s="463">
        <v>45201</v>
      </c>
      <c r="AY148" s="6">
        <v>45201</v>
      </c>
      <c r="AZ148" s="6">
        <f t="shared" si="42"/>
        <v>45201</v>
      </c>
      <c r="BA148" s="415" t="str">
        <f t="shared" si="40"/>
        <v>Contrato formalizado 24/10</v>
      </c>
      <c r="BB148" s="416">
        <v>45205</v>
      </c>
      <c r="BC148" s="255">
        <v>45202</v>
      </c>
      <c r="BD148" s="557">
        <f>6417011.34*1.16</f>
        <v>7443733.1543999994</v>
      </c>
      <c r="BE148" s="557">
        <f>4191570.05*1.16</f>
        <v>4862221.2579999994</v>
      </c>
      <c r="BF148" s="519"/>
      <c r="BG148" s="519"/>
      <c r="BH148" s="519"/>
      <c r="BI148" s="84">
        <f>BD148+BE148</f>
        <v>12305954.4124</v>
      </c>
    </row>
    <row r="149" spans="1:66" ht="90" x14ac:dyDescent="0.25">
      <c r="A149" s="537" t="s">
        <v>6242</v>
      </c>
      <c r="B149" s="1037">
        <v>141</v>
      </c>
      <c r="C149" s="4" t="s">
        <v>149</v>
      </c>
      <c r="D149" s="3" t="s">
        <v>151</v>
      </c>
      <c r="E149" s="18" t="s">
        <v>6243</v>
      </c>
      <c r="F149" s="3" t="str">
        <f t="shared" si="45"/>
        <v>Invitación</v>
      </c>
      <c r="G149" s="3"/>
      <c r="H149" s="3" t="s">
        <v>3793</v>
      </c>
      <c r="I149" s="275" t="s">
        <v>4537</v>
      </c>
      <c r="J149" s="17"/>
      <c r="K149" s="17"/>
      <c r="L149" s="17"/>
      <c r="M149" s="375" t="str">
        <f t="shared" si="44"/>
        <v xml:space="preserve">Escalator, Elevator &amp; Electromechanics Enterprise, S.A. de C.V.  </v>
      </c>
      <c r="N149" s="959" t="s">
        <v>198</v>
      </c>
      <c r="O149" s="959" t="s">
        <v>198</v>
      </c>
      <c r="P149" s="959" t="s">
        <v>6244</v>
      </c>
      <c r="Q149" s="959" t="s">
        <v>6245</v>
      </c>
      <c r="R149" s="962">
        <v>949870.8</v>
      </c>
      <c r="S149" s="383">
        <f t="shared" si="43"/>
        <v>151979.32800000001</v>
      </c>
      <c r="T149" s="384">
        <f t="shared" si="48"/>
        <v>1101850.128</v>
      </c>
      <c r="U149" s="385" t="s">
        <v>161</v>
      </c>
      <c r="V149" s="386" t="s">
        <v>161</v>
      </c>
      <c r="W149" s="383">
        <f t="shared" si="47"/>
        <v>1101850.128</v>
      </c>
      <c r="X149" s="963" t="s">
        <v>156</v>
      </c>
      <c r="Y149" s="387">
        <v>45201</v>
      </c>
      <c r="Z149" s="3" t="s">
        <v>881</v>
      </c>
      <c r="AA149" s="387">
        <f t="shared" si="46"/>
        <v>45201</v>
      </c>
      <c r="AB149" s="387">
        <v>45222</v>
      </c>
      <c r="AC149" s="4" t="s">
        <v>3787</v>
      </c>
      <c r="AD149" s="412"/>
      <c r="AE149" s="4"/>
      <c r="AF149" s="388"/>
      <c r="AG149" s="383"/>
      <c r="AH149" s="414" t="str">
        <f t="shared" ca="1" si="41"/>
        <v>MUERTO</v>
      </c>
      <c r="AI149" s="3"/>
      <c r="AJ149" s="3"/>
      <c r="AK149" s="3" t="s">
        <v>881</v>
      </c>
      <c r="AL149" s="3"/>
      <c r="AM149" s="3" t="s">
        <v>881</v>
      </c>
      <c r="AN149" s="3"/>
      <c r="AO149" s="3"/>
      <c r="AP149" s="458"/>
      <c r="AQ149" s="388"/>
      <c r="AR149" s="4"/>
      <c r="AS149" s="459"/>
      <c r="AT149" s="281" t="s">
        <v>6246</v>
      </c>
      <c r="AU149" s="4"/>
      <c r="AV149" s="4" t="str">
        <f>VLOOKUP(I149,[2]RFC!$1:$1048576,2,0)</f>
        <v>EEA1006077G5</v>
      </c>
      <c r="AW149" s="6">
        <v>45196</v>
      </c>
      <c r="AX149" s="463">
        <v>45197</v>
      </c>
      <c r="AY149" s="6">
        <v>45201</v>
      </c>
      <c r="AZ149" s="6">
        <f t="shared" si="42"/>
        <v>45201</v>
      </c>
      <c r="BA149" s="415" t="str">
        <f t="shared" si="40"/>
        <v>Contrato formalizado con garantias 25/10</v>
      </c>
      <c r="BB149" s="416">
        <v>45205</v>
      </c>
      <c r="BC149" s="255">
        <v>45202</v>
      </c>
      <c r="BD149" s="519"/>
      <c r="BE149" s="519"/>
      <c r="BF149" s="519"/>
      <c r="BG149" s="519"/>
      <c r="BH149" s="519"/>
    </row>
    <row r="150" spans="1:66" ht="75" x14ac:dyDescent="0.25">
      <c r="A150" s="537" t="s">
        <v>6247</v>
      </c>
      <c r="B150" s="252">
        <v>142</v>
      </c>
      <c r="C150" s="4" t="s">
        <v>149</v>
      </c>
      <c r="D150" s="3" t="s">
        <v>163</v>
      </c>
      <c r="E150" s="18" t="s">
        <v>6248</v>
      </c>
      <c r="F150" s="3" t="str">
        <f t="shared" si="45"/>
        <v>Adjudicación Directa</v>
      </c>
      <c r="G150" s="684" t="s">
        <v>163</v>
      </c>
      <c r="H150" s="3" t="s">
        <v>2064</v>
      </c>
      <c r="I150" s="275" t="s">
        <v>5816</v>
      </c>
      <c r="J150" s="17"/>
      <c r="K150" s="17"/>
      <c r="L150" s="17"/>
      <c r="M150" s="375" t="str">
        <f t="shared" si="44"/>
        <v xml:space="preserve">Aquí se está mejor, S.A. de C.V  </v>
      </c>
      <c r="N150" s="959" t="s">
        <v>190</v>
      </c>
      <c r="O150" s="959" t="s">
        <v>190</v>
      </c>
      <c r="P150" s="959" t="s">
        <v>191</v>
      </c>
      <c r="Q150" s="959" t="s">
        <v>6249</v>
      </c>
      <c r="R150" s="962">
        <v>3000000</v>
      </c>
      <c r="S150" s="383">
        <f t="shared" si="43"/>
        <v>480000</v>
      </c>
      <c r="T150" s="384">
        <f t="shared" si="48"/>
        <v>3480000</v>
      </c>
      <c r="U150" s="385">
        <v>1020000</v>
      </c>
      <c r="V150" s="386">
        <f>(U150*0.16)+(U150)</f>
        <v>1183200</v>
      </c>
      <c r="W150" s="383">
        <f t="shared" si="47"/>
        <v>3480000</v>
      </c>
      <c r="X150" s="963" t="s">
        <v>156</v>
      </c>
      <c r="Y150" s="387">
        <v>45231</v>
      </c>
      <c r="Z150" s="3" t="s">
        <v>892</v>
      </c>
      <c r="AA150" s="387">
        <f t="shared" si="46"/>
        <v>45231</v>
      </c>
      <c r="AB150" s="387">
        <v>45291</v>
      </c>
      <c r="AC150" s="4" t="s">
        <v>6250</v>
      </c>
      <c r="AD150" s="412"/>
      <c r="AE150" s="4"/>
      <c r="AF150" s="388"/>
      <c r="AG150" s="383">
        <v>0</v>
      </c>
      <c r="AH150" s="414" t="str">
        <f t="shared" ca="1" si="41"/>
        <v>MUERTO</v>
      </c>
      <c r="AI150" s="3"/>
      <c r="AJ150" s="3"/>
      <c r="AK150" s="3"/>
      <c r="AL150" s="3"/>
      <c r="AM150" s="3"/>
      <c r="AN150" s="3"/>
      <c r="AO150" s="3"/>
      <c r="AP150" s="458"/>
      <c r="AQ150" s="388"/>
      <c r="AR150" s="4"/>
      <c r="AS150" s="459"/>
      <c r="AT150" s="281" t="s">
        <v>5661</v>
      </c>
      <c r="AU150" s="4"/>
      <c r="AV150" s="4" t="e">
        <f>VLOOKUP(I150,[2]RFC!$1:$1048576,2,0)</f>
        <v>#N/A</v>
      </c>
      <c r="AW150" s="6">
        <v>45224</v>
      </c>
      <c r="AX150" s="6">
        <v>45224</v>
      </c>
      <c r="AY150" s="6">
        <v>45230</v>
      </c>
      <c r="AZ150" s="6">
        <f t="shared" si="42"/>
        <v>45230</v>
      </c>
      <c r="BA150" s="415" t="str">
        <f t="shared" si="40"/>
        <v>Contrato formalizado con garantías 22/11</v>
      </c>
      <c r="BB150" s="416">
        <v>45238</v>
      </c>
      <c r="BC150" s="255">
        <v>45236</v>
      </c>
      <c r="BD150" s="519"/>
      <c r="BE150" s="519"/>
      <c r="BF150" s="519"/>
      <c r="BG150" s="519"/>
      <c r="BH150" s="519"/>
    </row>
    <row r="151" spans="1:66" ht="75" x14ac:dyDescent="0.25">
      <c r="A151" s="539" t="s">
        <v>6251</v>
      </c>
      <c r="B151" s="1037">
        <v>143</v>
      </c>
      <c r="C151" s="4" t="s">
        <v>149</v>
      </c>
      <c r="D151" s="3" t="s">
        <v>173</v>
      </c>
      <c r="E151" s="18" t="s">
        <v>6252</v>
      </c>
      <c r="F151" s="3" t="str">
        <f t="shared" si="45"/>
        <v>Licitación Pública</v>
      </c>
      <c r="G151" s="3"/>
      <c r="H151" s="3" t="s">
        <v>3785</v>
      </c>
      <c r="I151" s="275" t="s">
        <v>1008</v>
      </c>
      <c r="J151" s="17"/>
      <c r="K151" s="17"/>
      <c r="L151" s="17"/>
      <c r="M151" s="375" t="str">
        <f t="shared" si="44"/>
        <v xml:space="preserve">Dhimex Ciudad de México, S.A. de C.V.  </v>
      </c>
      <c r="N151" s="959" t="s">
        <v>5099</v>
      </c>
      <c r="O151" s="959" t="s">
        <v>5099</v>
      </c>
      <c r="P151" s="959" t="s">
        <v>6253</v>
      </c>
      <c r="Q151" s="959" t="s">
        <v>6254</v>
      </c>
      <c r="R151" s="962">
        <v>50256913</v>
      </c>
      <c r="S151" s="383">
        <f t="shared" si="43"/>
        <v>8041106.0800000001</v>
      </c>
      <c r="T151" s="384">
        <f t="shared" si="48"/>
        <v>58298019.079999998</v>
      </c>
      <c r="U151" s="385" t="s">
        <v>161</v>
      </c>
      <c r="V151" s="386" t="s">
        <v>161</v>
      </c>
      <c r="W151" s="383">
        <f t="shared" si="47"/>
        <v>58813098.519999996</v>
      </c>
      <c r="X151" s="963" t="s">
        <v>156</v>
      </c>
      <c r="Y151" s="387">
        <v>45239</v>
      </c>
      <c r="Z151" s="3" t="s">
        <v>892</v>
      </c>
      <c r="AA151" s="387">
        <f t="shared" si="46"/>
        <v>45239</v>
      </c>
      <c r="AB151" s="387">
        <v>45304</v>
      </c>
      <c r="AC151" s="4" t="s">
        <v>6255</v>
      </c>
      <c r="AD151" s="412" t="s">
        <v>6256</v>
      </c>
      <c r="AE151" s="412" t="s">
        <v>6256</v>
      </c>
      <c r="AF151" s="388">
        <v>45287</v>
      </c>
      <c r="AG151" s="383">
        <v>515079.44</v>
      </c>
      <c r="AH151" s="414" t="str">
        <f t="shared" ca="1" si="41"/>
        <v>MUERTO</v>
      </c>
      <c r="AI151" s="3"/>
      <c r="AJ151" s="3"/>
      <c r="AK151" s="3"/>
      <c r="AL151" s="3"/>
      <c r="AM151" s="3"/>
      <c r="AN151" s="3"/>
      <c r="AO151" s="3"/>
      <c r="AP151" s="458"/>
      <c r="AQ151" s="388"/>
      <c r="AR151" s="4"/>
      <c r="AS151" s="459"/>
      <c r="AT151" s="281" t="s">
        <v>6257</v>
      </c>
      <c r="AU151" s="4"/>
      <c r="AV151" s="4" t="str">
        <f>VLOOKUP(I151,[2]RFC!$1:$1048576,2,0)</f>
        <v>DCM060704I30</v>
      </c>
      <c r="AW151" s="6" t="s">
        <v>6258</v>
      </c>
      <c r="AX151" s="463" t="s">
        <v>6259</v>
      </c>
      <c r="AY151" s="6">
        <v>45239</v>
      </c>
      <c r="AZ151" s="6">
        <f t="shared" si="42"/>
        <v>45239</v>
      </c>
      <c r="BA151" s="415" t="str">
        <f t="shared" si="40"/>
        <v>Contrato formalizado 17/11                  22/01/2024</v>
      </c>
      <c r="BB151" s="416" t="s">
        <v>6260</v>
      </c>
      <c r="BC151" s="255" t="s">
        <v>6261</v>
      </c>
      <c r="BD151" s="519"/>
      <c r="BE151" s="519"/>
      <c r="BF151" s="519"/>
      <c r="BG151" s="519"/>
      <c r="BH151" s="519"/>
    </row>
    <row r="152" spans="1:66" ht="105" x14ac:dyDescent="0.25">
      <c r="A152" s="537" t="s">
        <v>6262</v>
      </c>
      <c r="B152" s="1037">
        <v>144</v>
      </c>
      <c r="C152" s="4" t="s">
        <v>149</v>
      </c>
      <c r="D152" s="3" t="s">
        <v>151</v>
      </c>
      <c r="E152" s="18" t="s">
        <v>6263</v>
      </c>
      <c r="F152" s="3" t="str">
        <f t="shared" si="45"/>
        <v>Invitación</v>
      </c>
      <c r="G152" s="3"/>
      <c r="H152" s="3" t="s">
        <v>3793</v>
      </c>
      <c r="I152" s="275" t="s">
        <v>4537</v>
      </c>
      <c r="J152" s="17"/>
      <c r="K152" s="17"/>
      <c r="L152" s="17"/>
      <c r="M152" s="375" t="str">
        <f t="shared" si="44"/>
        <v xml:space="preserve">Escalator, Elevator &amp; Electromechanics Enterprise, S.A. de C.V.  </v>
      </c>
      <c r="N152" s="959" t="s">
        <v>198</v>
      </c>
      <c r="O152" s="959" t="s">
        <v>198</v>
      </c>
      <c r="P152" s="959" t="s">
        <v>6244</v>
      </c>
      <c r="Q152" s="959" t="s">
        <v>6264</v>
      </c>
      <c r="R152" s="962">
        <v>898540</v>
      </c>
      <c r="S152" s="383">
        <f t="shared" si="43"/>
        <v>143766.39999999999</v>
      </c>
      <c r="T152" s="384">
        <f t="shared" si="48"/>
        <v>1042306.4</v>
      </c>
      <c r="U152" s="385" t="s">
        <v>161</v>
      </c>
      <c r="V152" s="386" t="s">
        <v>161</v>
      </c>
      <c r="W152" s="383">
        <f t="shared" si="47"/>
        <v>1042306.4</v>
      </c>
      <c r="X152" s="963" t="s">
        <v>156</v>
      </c>
      <c r="Y152" s="387">
        <v>45245</v>
      </c>
      <c r="Z152" s="3" t="s">
        <v>892</v>
      </c>
      <c r="AA152" s="387">
        <f t="shared" si="46"/>
        <v>45245</v>
      </c>
      <c r="AB152" s="387">
        <v>45280</v>
      </c>
      <c r="AC152" s="4" t="s">
        <v>3948</v>
      </c>
      <c r="AD152" s="412"/>
      <c r="AE152" s="4"/>
      <c r="AF152" s="388"/>
      <c r="AG152" s="383">
        <v>0</v>
      </c>
      <c r="AH152" s="414" t="str">
        <f t="shared" ca="1" si="41"/>
        <v>MUERTO</v>
      </c>
      <c r="AI152" s="3"/>
      <c r="AJ152" s="3"/>
      <c r="AK152" s="3"/>
      <c r="AL152" s="3"/>
      <c r="AM152" s="3"/>
      <c r="AN152" s="3"/>
      <c r="AO152" s="3"/>
      <c r="AP152" s="458"/>
      <c r="AQ152" s="388"/>
      <c r="AR152" s="4"/>
      <c r="AS152" s="459"/>
      <c r="AT152" s="281" t="s">
        <v>6265</v>
      </c>
      <c r="AU152" s="4"/>
      <c r="AV152" s="4" t="str">
        <f>VLOOKUP(I152,[2]RFC!$1:$1048576,2,0)</f>
        <v>EEA1006077G5</v>
      </c>
      <c r="AW152" s="6">
        <v>45240</v>
      </c>
      <c r="AX152" s="463">
        <v>45243</v>
      </c>
      <c r="AY152" s="6">
        <v>45245</v>
      </c>
      <c r="AZ152" s="6">
        <f t="shared" si="42"/>
        <v>45245</v>
      </c>
      <c r="BA152" s="415" t="str">
        <f t="shared" si="40"/>
        <v>04/12/2023                           02/01/2024</v>
      </c>
      <c r="BB152" s="416">
        <v>45247</v>
      </c>
      <c r="BC152" s="255">
        <v>45246</v>
      </c>
      <c r="BD152" s="519"/>
      <c r="BE152" s="519"/>
      <c r="BF152" s="519"/>
      <c r="BG152" s="519"/>
      <c r="BH152" s="519"/>
    </row>
    <row r="153" spans="1:66" ht="75" x14ac:dyDescent="0.25">
      <c r="A153" s="537" t="s">
        <v>6266</v>
      </c>
      <c r="B153" s="1037">
        <v>145</v>
      </c>
      <c r="C153" s="4" t="s">
        <v>149</v>
      </c>
      <c r="D153" s="3" t="s">
        <v>151</v>
      </c>
      <c r="E153" s="18" t="s">
        <v>6267</v>
      </c>
      <c r="F153" s="3" t="str">
        <f t="shared" si="45"/>
        <v>Invitación</v>
      </c>
      <c r="G153" s="3"/>
      <c r="H153" s="3" t="s">
        <v>4004</v>
      </c>
      <c r="I153" s="275" t="s">
        <v>6268</v>
      </c>
      <c r="J153" s="17"/>
      <c r="K153" s="17"/>
      <c r="L153" s="17"/>
      <c r="M153" s="375" t="str">
        <f t="shared" si="44"/>
        <v xml:space="preserve">Simplemente Servicios, S.A. de C.V.  </v>
      </c>
      <c r="N153" s="959" t="s">
        <v>860</v>
      </c>
      <c r="O153" s="959" t="s">
        <v>5152</v>
      </c>
      <c r="P153" s="959" t="s">
        <v>5152</v>
      </c>
      <c r="Q153" s="959" t="s">
        <v>6269</v>
      </c>
      <c r="R153" s="962">
        <v>1424018.84</v>
      </c>
      <c r="S153" s="383">
        <f t="shared" si="43"/>
        <v>227843.01440000001</v>
      </c>
      <c r="T153" s="384">
        <f t="shared" si="48"/>
        <v>1651861.8544000001</v>
      </c>
      <c r="U153" s="385" t="s">
        <v>161</v>
      </c>
      <c r="V153" s="386" t="s">
        <v>161</v>
      </c>
      <c r="W153" s="383">
        <f t="shared" si="47"/>
        <v>1651861.8544000001</v>
      </c>
      <c r="X153" s="963" t="s">
        <v>156</v>
      </c>
      <c r="Y153" s="387">
        <v>45253</v>
      </c>
      <c r="Z153" s="3" t="s">
        <v>892</v>
      </c>
      <c r="AA153" s="387">
        <f t="shared" si="46"/>
        <v>45253</v>
      </c>
      <c r="AB153" s="387">
        <v>45291</v>
      </c>
      <c r="AC153" s="4" t="s">
        <v>3787</v>
      </c>
      <c r="AD153" s="412"/>
      <c r="AE153" s="4"/>
      <c r="AF153" s="388"/>
      <c r="AG153" s="383">
        <v>0</v>
      </c>
      <c r="AH153" s="414" t="str">
        <f t="shared" ca="1" si="41"/>
        <v>MUERTO</v>
      </c>
      <c r="AI153" s="3"/>
      <c r="AJ153" s="3"/>
      <c r="AK153" s="3"/>
      <c r="AL153" s="3"/>
      <c r="AM153" s="3"/>
      <c r="AN153" s="3"/>
      <c r="AO153" s="3"/>
      <c r="AP153" s="458"/>
      <c r="AQ153" s="388"/>
      <c r="AR153" s="4"/>
      <c r="AS153" s="459"/>
      <c r="AT153" s="281"/>
      <c r="AU153" s="4"/>
      <c r="AV153" s="4" t="s">
        <v>6270</v>
      </c>
      <c r="AW153" s="6">
        <v>45246</v>
      </c>
      <c r="AX153" s="6">
        <v>45247</v>
      </c>
      <c r="AY153" s="6"/>
      <c r="AZ153" s="6">
        <f t="shared" si="42"/>
        <v>0</v>
      </c>
      <c r="BA153" s="415">
        <v>45286</v>
      </c>
      <c r="BB153" s="416">
        <v>45261</v>
      </c>
      <c r="BC153" s="255">
        <v>45257</v>
      </c>
      <c r="BD153" s="519"/>
      <c r="BE153" s="519"/>
      <c r="BF153" s="519"/>
      <c r="BG153" s="519"/>
      <c r="BH153" s="519"/>
    </row>
    <row r="154" spans="1:66" s="1" customFormat="1" ht="45" x14ac:dyDescent="0.25">
      <c r="A154" s="537" t="s">
        <v>6271</v>
      </c>
      <c r="B154" s="252">
        <v>146</v>
      </c>
      <c r="C154" s="3" t="s">
        <v>149</v>
      </c>
      <c r="D154" s="3" t="s">
        <v>163</v>
      </c>
      <c r="E154" s="18" t="s">
        <v>5667</v>
      </c>
      <c r="F154" s="3" t="s">
        <v>5365</v>
      </c>
      <c r="G154" s="685" t="s">
        <v>546</v>
      </c>
      <c r="H154" s="3" t="s">
        <v>4185</v>
      </c>
      <c r="I154" s="275" t="s">
        <v>6272</v>
      </c>
      <c r="J154" s="17"/>
      <c r="K154" s="17"/>
      <c r="L154" s="17"/>
      <c r="M154" s="375" t="str">
        <f t="shared" si="44"/>
        <v xml:space="preserve">Advanced Technologies DAC, S.A de C.V.  </v>
      </c>
      <c r="N154" s="959" t="s">
        <v>6273</v>
      </c>
      <c r="O154" s="959" t="s">
        <v>209</v>
      </c>
      <c r="P154" s="959" t="s">
        <v>6274</v>
      </c>
      <c r="Q154" s="959" t="s">
        <v>6275</v>
      </c>
      <c r="R154" s="962">
        <v>4741375</v>
      </c>
      <c r="S154" s="383">
        <f t="shared" si="43"/>
        <v>758620</v>
      </c>
      <c r="T154" s="384">
        <f t="shared" si="48"/>
        <v>5499995</v>
      </c>
      <c r="U154" s="385" t="s">
        <v>161</v>
      </c>
      <c r="V154" s="386" t="s">
        <v>161</v>
      </c>
      <c r="W154" s="383">
        <f t="shared" si="47"/>
        <v>5499995</v>
      </c>
      <c r="X154" s="963" t="s">
        <v>156</v>
      </c>
      <c r="Y154" s="387">
        <v>45261</v>
      </c>
      <c r="Z154" s="3" t="s">
        <v>924</v>
      </c>
      <c r="AA154" s="387">
        <f t="shared" si="46"/>
        <v>45261</v>
      </c>
      <c r="AB154" s="387">
        <v>45289</v>
      </c>
      <c r="AC154" s="4" t="s">
        <v>3787</v>
      </c>
      <c r="AD154" s="412"/>
      <c r="AE154" s="4"/>
      <c r="AF154" s="388"/>
      <c r="AG154" s="383">
        <v>0</v>
      </c>
      <c r="AH154" s="414" t="str">
        <f t="shared" ca="1" si="41"/>
        <v>MUERTO</v>
      </c>
      <c r="AI154" s="3"/>
      <c r="AJ154" s="3"/>
      <c r="AK154" s="3"/>
      <c r="AL154" s="3"/>
      <c r="AM154" s="3"/>
      <c r="AN154" s="3"/>
      <c r="AO154" s="3"/>
      <c r="AP154" s="458"/>
      <c r="AQ154" s="388"/>
      <c r="AR154" s="4"/>
      <c r="AS154" s="459"/>
      <c r="AT154" s="281">
        <v>45293</v>
      </c>
      <c r="AU154" s="4"/>
      <c r="AV154" s="4" t="e">
        <f>VLOOKUP(I154,[2]RFC!$1:$1048576,2,0)</f>
        <v>#N/A</v>
      </c>
      <c r="AW154" s="6">
        <v>45257</v>
      </c>
      <c r="AX154" s="463">
        <v>45260</v>
      </c>
      <c r="AY154" s="6">
        <v>45266</v>
      </c>
      <c r="AZ154" s="6">
        <f t="shared" si="42"/>
        <v>45266</v>
      </c>
      <c r="BA154" s="415">
        <v>45293</v>
      </c>
      <c r="BB154" s="416">
        <v>45266</v>
      </c>
      <c r="BC154" s="255">
        <v>45261</v>
      </c>
      <c r="BD154" s="519"/>
      <c r="BE154" s="519"/>
      <c r="BF154" s="519"/>
      <c r="BG154" s="519"/>
      <c r="BH154" s="519"/>
      <c r="BI154"/>
      <c r="BJ154"/>
      <c r="BK154"/>
      <c r="BL154"/>
      <c r="BM154"/>
      <c r="BN154"/>
    </row>
    <row r="155" spans="1:66" ht="45" x14ac:dyDescent="0.25">
      <c r="A155" s="537" t="s">
        <v>6276</v>
      </c>
      <c r="B155" s="1037">
        <v>147</v>
      </c>
      <c r="C155" s="3" t="s">
        <v>149</v>
      </c>
      <c r="D155" s="3" t="s">
        <v>163</v>
      </c>
      <c r="E155" s="960" t="s">
        <v>6277</v>
      </c>
      <c r="F155" s="3" t="s">
        <v>5365</v>
      </c>
      <c r="G155" s="684" t="s">
        <v>163</v>
      </c>
      <c r="H155" s="3" t="s">
        <v>6278</v>
      </c>
      <c r="I155" s="960" t="s">
        <v>6279</v>
      </c>
      <c r="J155" s="558"/>
      <c r="K155" s="558"/>
      <c r="L155" s="558"/>
      <c r="M155" s="559" t="str">
        <f t="shared" si="44"/>
        <v xml:space="preserve">Cuatro Networks S. DE R.L. DE C.V.  </v>
      </c>
      <c r="N155" s="959" t="s">
        <v>656</v>
      </c>
      <c r="O155" s="959" t="s">
        <v>6280</v>
      </c>
      <c r="P155" s="959" t="s">
        <v>6281</v>
      </c>
      <c r="Q155" s="560" t="s">
        <v>6282</v>
      </c>
      <c r="R155" s="963">
        <v>3618705.04</v>
      </c>
      <c r="S155" s="457">
        <f t="shared" si="43"/>
        <v>578992.8064</v>
      </c>
      <c r="T155" s="561">
        <f t="shared" si="48"/>
        <v>4197697.8464000002</v>
      </c>
      <c r="U155" s="460" t="s">
        <v>161</v>
      </c>
      <c r="V155" s="562" t="s">
        <v>161</v>
      </c>
      <c r="W155" s="457">
        <f t="shared" si="47"/>
        <v>4197697.8464000002</v>
      </c>
      <c r="X155" s="963" t="s">
        <v>156</v>
      </c>
      <c r="Y155" s="387">
        <v>45272</v>
      </c>
      <c r="Z155" s="3" t="s">
        <v>924</v>
      </c>
      <c r="AA155" s="387">
        <v>45272</v>
      </c>
      <c r="AB155" s="387">
        <v>45289</v>
      </c>
      <c r="AC155" s="3" t="s">
        <v>3113</v>
      </c>
      <c r="AD155" s="463"/>
      <c r="AE155" s="3"/>
      <c r="AF155" s="387"/>
      <c r="AG155" s="457">
        <v>0</v>
      </c>
      <c r="AH155" s="414" t="str">
        <f t="shared" ca="1" si="41"/>
        <v>MUERTO</v>
      </c>
      <c r="AI155" s="3"/>
      <c r="AJ155" s="3"/>
      <c r="AK155" s="3"/>
      <c r="AL155" s="3"/>
      <c r="AM155" s="3"/>
      <c r="AN155" s="3"/>
      <c r="AO155" s="3"/>
      <c r="AP155" s="563"/>
      <c r="AQ155" s="387"/>
      <c r="AR155" s="3"/>
      <c r="AS155" s="457"/>
      <c r="AT155" s="281"/>
      <c r="AU155" s="3"/>
      <c r="AV155" s="3" t="e">
        <f>VLOOKUP(I155,[2]RFC!$1:$1048576,2,0)</f>
        <v>#N/A</v>
      </c>
      <c r="AW155" s="6">
        <v>45268</v>
      </c>
      <c r="AX155" s="463">
        <v>45268</v>
      </c>
      <c r="AY155" s="6"/>
      <c r="AZ155" s="6">
        <f t="shared" si="42"/>
        <v>0</v>
      </c>
      <c r="BA155" s="415">
        <v>45286</v>
      </c>
      <c r="BB155" s="416">
        <v>45279</v>
      </c>
      <c r="BC155" s="255">
        <v>45273</v>
      </c>
      <c r="BD155" s="564"/>
      <c r="BE155" s="564"/>
      <c r="BF155" s="564"/>
      <c r="BG155" s="564"/>
      <c r="BH155" s="564"/>
      <c r="BI155" s="1"/>
      <c r="BJ155" s="1"/>
      <c r="BK155" s="1"/>
      <c r="BL155" s="1"/>
      <c r="BM155" s="1"/>
      <c r="BN155" s="1"/>
    </row>
    <row r="156" spans="1:66" ht="75" x14ac:dyDescent="0.25">
      <c r="A156" s="537" t="s">
        <v>6283</v>
      </c>
      <c r="B156" s="1037">
        <v>148</v>
      </c>
      <c r="C156" s="4" t="s">
        <v>149</v>
      </c>
      <c r="D156" s="3" t="s">
        <v>151</v>
      </c>
      <c r="E156" s="18" t="s">
        <v>6284</v>
      </c>
      <c r="F156" s="3" t="str">
        <f t="shared" si="45"/>
        <v>Invitación</v>
      </c>
      <c r="G156" s="3"/>
      <c r="H156" s="3" t="s">
        <v>6285</v>
      </c>
      <c r="I156" s="275" t="s">
        <v>1761</v>
      </c>
      <c r="J156" s="17"/>
      <c r="K156" s="17"/>
      <c r="L156" s="17"/>
      <c r="M156" s="375" t="str">
        <f t="shared" si="44"/>
        <v xml:space="preserve">Interamericana CMH, S.A. de C.V.  </v>
      </c>
      <c r="N156" s="959" t="s">
        <v>198</v>
      </c>
      <c r="O156" s="959" t="s">
        <v>198</v>
      </c>
      <c r="P156" s="959" t="s">
        <v>6286</v>
      </c>
      <c r="Q156" s="959" t="s">
        <v>6287</v>
      </c>
      <c r="R156" s="962">
        <v>926715.18</v>
      </c>
      <c r="S156" s="383">
        <f t="shared" si="43"/>
        <v>148274.42880000002</v>
      </c>
      <c r="T156" s="384">
        <f t="shared" si="48"/>
        <v>1074989.6088</v>
      </c>
      <c r="U156" s="385" t="s">
        <v>161</v>
      </c>
      <c r="V156" s="386" t="s">
        <v>161</v>
      </c>
      <c r="W156" s="383">
        <f t="shared" si="47"/>
        <v>1074989.6088</v>
      </c>
      <c r="X156" s="963" t="s">
        <v>156</v>
      </c>
      <c r="Y156" s="387">
        <v>45272</v>
      </c>
      <c r="Z156" s="3" t="s">
        <v>924</v>
      </c>
      <c r="AA156" s="387">
        <v>45271</v>
      </c>
      <c r="AB156" s="387">
        <v>45291</v>
      </c>
      <c r="AC156" s="4" t="s">
        <v>6288</v>
      </c>
      <c r="AD156" s="412"/>
      <c r="AE156" s="4"/>
      <c r="AF156" s="388"/>
      <c r="AG156" s="383">
        <v>0</v>
      </c>
      <c r="AH156" s="414" t="str">
        <f t="shared" ca="1" si="41"/>
        <v>MUERTO</v>
      </c>
      <c r="AI156" s="3"/>
      <c r="AJ156" s="3"/>
      <c r="AK156" s="3"/>
      <c r="AL156" s="3"/>
      <c r="AM156" s="3"/>
      <c r="AN156" s="3"/>
      <c r="AO156" s="3"/>
      <c r="AP156" s="458"/>
      <c r="AQ156" s="388"/>
      <c r="AR156" s="4"/>
      <c r="AS156" s="459"/>
      <c r="AT156" s="281">
        <v>45317</v>
      </c>
      <c r="AU156" s="4"/>
      <c r="AV156" s="4" t="e">
        <f>VLOOKUP(I156,[2]RFC!$1:$1048576,2,0)</f>
        <v>#N/A</v>
      </c>
      <c r="AW156" s="6">
        <v>45266</v>
      </c>
      <c r="AX156" s="463">
        <v>45268</v>
      </c>
      <c r="AY156" s="6"/>
      <c r="AZ156" s="6">
        <f t="shared" si="42"/>
        <v>0</v>
      </c>
      <c r="BA156" s="415">
        <f>AT156</f>
        <v>45317</v>
      </c>
      <c r="BB156" s="416">
        <v>45288</v>
      </c>
      <c r="BC156" s="255">
        <v>45285</v>
      </c>
      <c r="BD156" s="519"/>
      <c r="BE156" s="519"/>
      <c r="BF156" s="519"/>
      <c r="BG156" s="519"/>
      <c r="BH156" s="519"/>
    </row>
    <row r="157" spans="1:66" ht="60" x14ac:dyDescent="0.25">
      <c r="A157" s="537" t="s">
        <v>6289</v>
      </c>
      <c r="B157" s="1037">
        <v>149</v>
      </c>
      <c r="C157" s="4" t="s">
        <v>149</v>
      </c>
      <c r="D157" s="3" t="s">
        <v>173</v>
      </c>
      <c r="E157" s="18" t="s">
        <v>6290</v>
      </c>
      <c r="F157" s="3" t="str">
        <f t="shared" si="45"/>
        <v>Licitación Pública</v>
      </c>
      <c r="G157" s="3"/>
      <c r="H157" s="3" t="s">
        <v>3785</v>
      </c>
      <c r="I157" s="275" t="s">
        <v>562</v>
      </c>
      <c r="J157" s="17"/>
      <c r="K157" s="17"/>
      <c r="L157" s="17"/>
      <c r="M157" s="375" t="str">
        <f t="shared" si="44"/>
        <v xml:space="preserve">Tecnologías Digitales Alternas de México, S. de R.L. de C.V.  </v>
      </c>
      <c r="N157" s="959" t="s">
        <v>6291</v>
      </c>
      <c r="O157" s="959" t="s">
        <v>6292</v>
      </c>
      <c r="P157" s="959" t="s">
        <v>6293</v>
      </c>
      <c r="Q157" s="959" t="s">
        <v>6294</v>
      </c>
      <c r="R157" s="962">
        <v>10240620</v>
      </c>
      <c r="S157" s="383">
        <f t="shared" si="43"/>
        <v>1638499.2</v>
      </c>
      <c r="T157" s="384">
        <f t="shared" si="48"/>
        <v>11879119.199999999</v>
      </c>
      <c r="U157" s="385" t="s">
        <v>161</v>
      </c>
      <c r="V157" s="386" t="s">
        <v>161</v>
      </c>
      <c r="W157" s="383">
        <f t="shared" si="47"/>
        <v>11879119.199999999</v>
      </c>
      <c r="X157" s="963" t="s">
        <v>156</v>
      </c>
      <c r="Y157" s="387">
        <v>45279</v>
      </c>
      <c r="Z157" s="3" t="s">
        <v>924</v>
      </c>
      <c r="AA157" s="387">
        <v>45279</v>
      </c>
      <c r="AB157" s="387">
        <v>45289</v>
      </c>
      <c r="AC157" s="4" t="s">
        <v>6295</v>
      </c>
      <c r="AD157" s="412"/>
      <c r="AE157" s="4"/>
      <c r="AF157" s="388"/>
      <c r="AG157" s="383">
        <v>0</v>
      </c>
      <c r="AH157" s="414" t="str">
        <f t="shared" ca="1" si="41"/>
        <v>MUERTO</v>
      </c>
      <c r="AI157" s="3"/>
      <c r="AJ157" s="3"/>
      <c r="AK157" s="3"/>
      <c r="AL157" s="3"/>
      <c r="AM157" s="3"/>
      <c r="AN157" s="3"/>
      <c r="AO157" s="3"/>
      <c r="AP157" s="458"/>
      <c r="AQ157" s="388"/>
      <c r="AR157" s="4"/>
      <c r="AS157" s="459"/>
      <c r="AT157" s="281"/>
      <c r="AU157" s="4"/>
      <c r="AV157" s="4" t="str">
        <f>VLOOKUP(I157,[2]RFC!$1:$1048576,2,0)</f>
        <v>TDA100816147</v>
      </c>
      <c r="AW157" s="6">
        <v>45274</v>
      </c>
      <c r="AX157" s="463">
        <v>45278</v>
      </c>
      <c r="AY157" s="6"/>
      <c r="AZ157" s="6">
        <f t="shared" si="42"/>
        <v>0</v>
      </c>
      <c r="BA157" s="415">
        <v>45310</v>
      </c>
      <c r="BB157" s="416"/>
      <c r="BC157" s="255" t="s">
        <v>6296</v>
      </c>
      <c r="BD157" s="519"/>
      <c r="BE157" s="519"/>
      <c r="BF157" s="519"/>
      <c r="BG157" s="519"/>
      <c r="BH157" s="519"/>
    </row>
    <row r="158" spans="1:66" x14ac:dyDescent="0.25">
      <c r="A158" s="14"/>
      <c r="B158" s="483"/>
      <c r="C158" s="14"/>
      <c r="D158" s="202"/>
      <c r="E158" s="282"/>
      <c r="F158" s="202"/>
      <c r="G158" s="202"/>
      <c r="H158" s="202"/>
      <c r="I158" s="484"/>
      <c r="J158" s="485"/>
      <c r="K158" s="485"/>
      <c r="L158" s="485"/>
      <c r="M158" s="486"/>
      <c r="N158" s="487"/>
      <c r="O158" s="487"/>
      <c r="P158" s="487"/>
      <c r="Q158" s="979"/>
      <c r="R158" s="565">
        <f>SUM(R8:R157)</f>
        <v>747914852.51193774</v>
      </c>
      <c r="S158" s="565">
        <f>SUM(S20:S157)</f>
        <v>108542650.87551005</v>
      </c>
      <c r="T158" s="565">
        <f>SUM(T20:T157)</f>
        <v>839980895.89744818</v>
      </c>
      <c r="U158" s="565">
        <f>SUM(U20:U157)</f>
        <v>148157401.33800003</v>
      </c>
      <c r="V158" s="565" t="e">
        <f>SUM(V20:V157)</f>
        <v>#VALUE!</v>
      </c>
      <c r="W158" s="565">
        <f>SUM(W8:W157)</f>
        <v>893942414.62380767</v>
      </c>
      <c r="X158" s="990"/>
      <c r="Y158" s="491"/>
      <c r="Z158" s="202"/>
      <c r="AA158" s="491"/>
      <c r="AB158" s="491"/>
      <c r="AC158" s="14"/>
      <c r="AD158" s="492"/>
      <c r="AE158" s="14"/>
      <c r="AF158" s="493"/>
      <c r="AG158" s="206"/>
      <c r="AH158" s="202"/>
      <c r="AI158" s="202"/>
      <c r="AJ158" s="202"/>
      <c r="AK158" s="202"/>
      <c r="AL158" s="202"/>
      <c r="AM158" s="202"/>
      <c r="AN158" s="202"/>
      <c r="AO158" s="202"/>
      <c r="AP158" s="494"/>
      <c r="AQ158" s="493"/>
      <c r="AR158" s="14"/>
      <c r="AS158" s="495"/>
      <c r="AT158" s="491"/>
      <c r="AU158" s="14"/>
      <c r="AV158" s="14"/>
      <c r="AW158" s="165"/>
      <c r="AX158" s="496"/>
      <c r="AY158" s="165"/>
      <c r="AZ158" s="165"/>
      <c r="BA158" s="165"/>
      <c r="BB158" s="165"/>
      <c r="BC158" s="165"/>
      <c r="BD158" s="84"/>
      <c r="BE158" s="84"/>
      <c r="BF158" s="84"/>
      <c r="BG158" s="84"/>
      <c r="BH158" s="84"/>
    </row>
    <row r="159" spans="1:66" x14ac:dyDescent="0.25">
      <c r="A159" s="20" t="s">
        <v>1080</v>
      </c>
      <c r="B159" s="1036"/>
      <c r="C159" s="20" t="s">
        <v>1080</v>
      </c>
      <c r="D159" s="20" t="s">
        <v>1080</v>
      </c>
      <c r="E159" s="20" t="s">
        <v>1080</v>
      </c>
      <c r="F159" s="20" t="s">
        <v>1080</v>
      </c>
      <c r="G159" s="20"/>
      <c r="H159" s="20" t="s">
        <v>1080</v>
      </c>
      <c r="I159" s="20" t="s">
        <v>1080</v>
      </c>
      <c r="J159" s="20" t="s">
        <v>1080</v>
      </c>
      <c r="K159" s="20" t="s">
        <v>1080</v>
      </c>
      <c r="L159" s="20" t="s">
        <v>1080</v>
      </c>
      <c r="M159" s="20" t="s">
        <v>1080</v>
      </c>
      <c r="N159" s="20" t="s">
        <v>1080</v>
      </c>
      <c r="O159" s="20" t="s">
        <v>1080</v>
      </c>
      <c r="P159" s="20" t="s">
        <v>1080</v>
      </c>
      <c r="Q159" s="20" t="s">
        <v>1080</v>
      </c>
      <c r="R159" s="20" t="s">
        <v>1080</v>
      </c>
      <c r="S159" s="20" t="s">
        <v>1080</v>
      </c>
      <c r="T159" s="20" t="s">
        <v>1080</v>
      </c>
      <c r="U159" s="20" t="s">
        <v>1080</v>
      </c>
      <c r="V159" s="20" t="s">
        <v>1080</v>
      </c>
      <c r="W159" s="20" t="s">
        <v>1080</v>
      </c>
      <c r="X159" s="20" t="s">
        <v>1080</v>
      </c>
      <c r="Y159" s="20" t="s">
        <v>1080</v>
      </c>
      <c r="Z159" s="20" t="s">
        <v>1080</v>
      </c>
      <c r="AA159" s="20" t="s">
        <v>1080</v>
      </c>
      <c r="AB159" s="20" t="s">
        <v>1080</v>
      </c>
      <c r="AC159" s="20"/>
      <c r="AD159" s="127" t="s">
        <v>1080</v>
      </c>
      <c r="AE159" s="127" t="s">
        <v>1080</v>
      </c>
      <c r="AF159" s="127" t="s">
        <v>1080</v>
      </c>
      <c r="AG159" s="127" t="s">
        <v>1080</v>
      </c>
      <c r="AH159" s="20" t="s">
        <v>1080</v>
      </c>
      <c r="AI159" s="20" t="s">
        <v>1080</v>
      </c>
      <c r="AJ159" s="20" t="s">
        <v>1080</v>
      </c>
      <c r="AK159" s="20" t="s">
        <v>1080</v>
      </c>
      <c r="AL159" s="20" t="s">
        <v>1080</v>
      </c>
      <c r="AM159" s="20" t="s">
        <v>1080</v>
      </c>
      <c r="AN159" s="20"/>
      <c r="AO159" s="20"/>
      <c r="AP159" s="20" t="s">
        <v>1080</v>
      </c>
      <c r="AQ159" s="20" t="s">
        <v>1080</v>
      </c>
      <c r="AR159" s="20" t="s">
        <v>1080</v>
      </c>
      <c r="AS159" s="20" t="s">
        <v>1080</v>
      </c>
      <c r="AT159" s="20" t="s">
        <v>1080</v>
      </c>
      <c r="AU159" s="20" t="s">
        <v>1080</v>
      </c>
      <c r="AV159" s="20" t="s">
        <v>1080</v>
      </c>
      <c r="AW159" s="20" t="s">
        <v>1080</v>
      </c>
      <c r="AX159" s="20" t="s">
        <v>1080</v>
      </c>
      <c r="AY159" s="20" t="s">
        <v>1080</v>
      </c>
      <c r="AZ159" s="20" t="s">
        <v>1080</v>
      </c>
      <c r="BA159" s="20" t="s">
        <v>1080</v>
      </c>
      <c r="BB159" s="72"/>
      <c r="BC159" s="162"/>
      <c r="BD159" s="20" t="s">
        <v>1080</v>
      </c>
      <c r="BE159" s="20" t="s">
        <v>1080</v>
      </c>
      <c r="BF159" s="20" t="s">
        <v>1080</v>
      </c>
      <c r="BG159" s="20" t="s">
        <v>1080</v>
      </c>
      <c r="BH159" s="20" t="s">
        <v>1080</v>
      </c>
      <c r="BI159" s="166"/>
      <c r="BJ159" s="20" t="s">
        <v>1080</v>
      </c>
      <c r="BK159" s="20" t="s">
        <v>1080</v>
      </c>
      <c r="BM159" s="84"/>
      <c r="BN159" s="84"/>
    </row>
    <row r="160" spans="1:66" x14ac:dyDescent="0.25">
      <c r="A160" s="14"/>
      <c r="B160" s="483"/>
      <c r="C160" s="14"/>
      <c r="D160" s="202"/>
      <c r="E160" s="282"/>
      <c r="F160" s="202"/>
      <c r="G160" s="202"/>
      <c r="H160" s="202"/>
      <c r="I160" s="484"/>
      <c r="J160" s="485"/>
      <c r="K160" s="485"/>
      <c r="L160" s="485"/>
      <c r="M160" s="486" t="str">
        <f>I160&amp;J160&amp;" "&amp;K160&amp;" "&amp;L160</f>
        <v xml:space="preserve">  </v>
      </c>
      <c r="N160" s="979"/>
      <c r="O160" s="979"/>
      <c r="P160" s="979"/>
      <c r="Q160" s="979"/>
      <c r="R160" s="988"/>
      <c r="S160" s="206"/>
      <c r="T160" s="488"/>
      <c r="U160" s="489"/>
      <c r="V160" s="490"/>
      <c r="W160" s="206"/>
      <c r="X160" s="990"/>
      <c r="Y160" s="491"/>
      <c r="Z160" s="202"/>
      <c r="AA160" s="491"/>
      <c r="AB160" s="491"/>
      <c r="AC160" s="14"/>
      <c r="AD160" s="492"/>
      <c r="AE160" s="14"/>
      <c r="AF160" s="493"/>
      <c r="AG160" s="206"/>
      <c r="AH160" s="202"/>
      <c r="AI160" s="202"/>
      <c r="AJ160" s="202"/>
      <c r="AK160" s="202"/>
      <c r="AL160" s="202"/>
      <c r="AM160" s="202"/>
      <c r="AN160" s="202"/>
      <c r="AO160" s="202"/>
      <c r="AP160" s="494"/>
      <c r="AQ160" s="493"/>
      <c r="AR160" s="14"/>
      <c r="AS160" s="495"/>
      <c r="AT160" s="491"/>
      <c r="AU160" s="14"/>
      <c r="AV160" s="14"/>
      <c r="AW160" s="165"/>
      <c r="AX160" s="496"/>
      <c r="AY160" s="165"/>
      <c r="AZ160" s="165"/>
      <c r="BA160" s="165"/>
      <c r="BB160" s="165"/>
      <c r="BC160" s="165"/>
      <c r="BD160" s="84"/>
      <c r="BE160" s="84"/>
      <c r="BF160" s="84"/>
      <c r="BG160" s="84"/>
      <c r="BH160" s="84"/>
    </row>
    <row r="161" spans="1:60" x14ac:dyDescent="0.25">
      <c r="A161" s="14"/>
      <c r="B161" s="483"/>
      <c r="C161" s="14"/>
      <c r="D161" s="202"/>
      <c r="E161" s="282"/>
      <c r="F161" s="202"/>
      <c r="G161" s="202"/>
      <c r="H161" s="202"/>
      <c r="I161" s="484"/>
      <c r="J161" s="485"/>
      <c r="K161" s="485"/>
      <c r="L161" s="485"/>
      <c r="M161" s="486" t="str">
        <f>I161&amp;J161&amp;" "&amp;K161&amp;" "&amp;L161</f>
        <v xml:space="preserve">  </v>
      </c>
      <c r="N161" s="979"/>
      <c r="O161" s="979"/>
      <c r="P161" s="979"/>
      <c r="Q161" s="979"/>
      <c r="R161" s="988"/>
      <c r="S161" s="206"/>
      <c r="T161" s="488"/>
      <c r="U161" s="489"/>
      <c r="V161" s="490"/>
      <c r="W161" s="206"/>
      <c r="X161" s="990"/>
      <c r="Y161" s="491"/>
      <c r="Z161" s="202"/>
      <c r="AA161" s="491"/>
      <c r="AB161" s="491"/>
      <c r="AC161" s="14"/>
      <c r="AD161" s="492"/>
      <c r="AE161" s="14"/>
      <c r="AF161" s="493"/>
      <c r="AG161" s="206"/>
      <c r="AH161" s="202"/>
      <c r="AI161" s="202"/>
      <c r="AJ161" s="202"/>
      <c r="AK161" s="202"/>
      <c r="AL161" s="202"/>
      <c r="AM161" s="202"/>
      <c r="AN161" s="202"/>
      <c r="AO161" s="202"/>
      <c r="AP161" s="494"/>
      <c r="AQ161" s="493"/>
      <c r="AR161" s="14"/>
      <c r="AS161" s="495"/>
      <c r="AT161" s="491"/>
      <c r="AU161" s="14"/>
      <c r="AV161" s="14"/>
      <c r="AW161" s="165"/>
      <c r="AX161" s="496"/>
      <c r="AY161" s="165"/>
      <c r="AZ161" s="165"/>
      <c r="BA161" s="165"/>
      <c r="BB161" s="165"/>
      <c r="BC161" s="165"/>
      <c r="BD161" s="84"/>
      <c r="BE161" s="84"/>
      <c r="BF161" s="84"/>
      <c r="BG161" s="84"/>
      <c r="BH161" s="84"/>
    </row>
    <row r="162" spans="1:60" x14ac:dyDescent="0.25">
      <c r="A162" s="14"/>
      <c r="B162" s="483"/>
      <c r="C162" s="14"/>
      <c r="D162" s="202"/>
      <c r="E162" s="282"/>
      <c r="F162" s="202"/>
      <c r="G162" s="202"/>
      <c r="H162" s="202"/>
      <c r="I162" s="484"/>
      <c r="J162" s="485"/>
      <c r="K162" s="485"/>
      <c r="L162" s="485"/>
      <c r="M162" s="486" t="str">
        <f>I162&amp;J162&amp;" "&amp;K162&amp;" "&amp;L162</f>
        <v xml:space="preserve">  </v>
      </c>
      <c r="N162" s="979"/>
      <c r="O162" s="979"/>
      <c r="P162" s="979"/>
      <c r="Q162" s="979"/>
      <c r="R162" s="988"/>
      <c r="S162" s="206"/>
      <c r="T162" s="488"/>
      <c r="U162" s="489"/>
      <c r="V162" s="490"/>
      <c r="W162" s="206"/>
      <c r="X162" s="990"/>
      <c r="Y162" s="491"/>
      <c r="Z162" s="202"/>
      <c r="AA162" s="491"/>
      <c r="AB162" s="491"/>
      <c r="AC162" s="14"/>
      <c r="AD162" s="492"/>
      <c r="AE162" s="14"/>
      <c r="AF162" s="493"/>
      <c r="AG162" s="206"/>
      <c r="AH162" s="202"/>
      <c r="AI162" s="202"/>
      <c r="AJ162" s="202"/>
      <c r="AK162" s="202"/>
      <c r="AL162" s="202"/>
      <c r="AM162" s="202"/>
      <c r="AN162" s="202"/>
      <c r="AO162" s="202"/>
      <c r="AP162" s="494"/>
      <c r="AQ162" s="493"/>
      <c r="AR162" s="14"/>
      <c r="AS162" s="495"/>
      <c r="AT162" s="491"/>
      <c r="AU162" s="14"/>
      <c r="AV162" s="14"/>
      <c r="AW162" s="165"/>
      <c r="AX162" s="496"/>
      <c r="AY162" s="165"/>
      <c r="AZ162" s="165"/>
      <c r="BA162" s="165"/>
      <c r="BB162" s="165"/>
      <c r="BC162" s="165"/>
      <c r="BD162" s="84"/>
      <c r="BE162" s="84"/>
      <c r="BF162" s="84"/>
      <c r="BG162" s="84"/>
      <c r="BH162" s="84"/>
    </row>
    <row r="163" spans="1:60" x14ac:dyDescent="0.25">
      <c r="A163" s="14"/>
      <c r="B163" s="483"/>
      <c r="C163" s="14"/>
      <c r="D163" s="202"/>
      <c r="E163" s="282"/>
      <c r="F163" s="202"/>
      <c r="G163" s="202"/>
      <c r="H163" s="202"/>
      <c r="I163" s="484"/>
      <c r="J163" s="485"/>
      <c r="K163" s="485"/>
      <c r="L163" s="485"/>
      <c r="M163" s="486" t="str">
        <f>I163&amp;J163&amp;" "&amp;K163&amp;" "&amp;L163</f>
        <v xml:space="preserve">  </v>
      </c>
      <c r="N163" s="979"/>
      <c r="O163" s="979"/>
      <c r="P163" s="979"/>
      <c r="Q163" s="979"/>
      <c r="R163" s="988"/>
      <c r="S163" s="206"/>
      <c r="T163" s="488"/>
      <c r="U163" s="489"/>
      <c r="V163" s="490"/>
      <c r="W163" s="206"/>
      <c r="X163" s="990"/>
      <c r="Y163" s="491"/>
      <c r="Z163" s="202"/>
      <c r="AA163" s="491"/>
      <c r="AB163" s="491"/>
      <c r="AC163" s="14"/>
      <c r="AD163" s="492"/>
      <c r="AE163" s="14"/>
      <c r="AF163" s="493"/>
      <c r="AG163" s="206"/>
      <c r="AH163" s="202"/>
      <c r="AI163" s="202"/>
      <c r="AJ163" s="202"/>
      <c r="AK163" s="202"/>
      <c r="AL163" s="202"/>
      <c r="AM163" s="202"/>
      <c r="AN163" s="202"/>
      <c r="AO163" s="202"/>
      <c r="AP163" s="494"/>
      <c r="AQ163" s="493"/>
      <c r="AR163" s="14"/>
      <c r="AS163" s="495"/>
      <c r="AT163" s="491"/>
      <c r="AU163" s="14"/>
      <c r="AV163" s="14"/>
      <c r="AW163" s="165"/>
      <c r="AX163" s="496"/>
      <c r="AY163" s="165"/>
      <c r="AZ163" s="165"/>
      <c r="BA163" s="165"/>
      <c r="BB163" s="165"/>
      <c r="BC163" s="165"/>
      <c r="BD163" s="84"/>
      <c r="BE163" s="84"/>
      <c r="BF163" s="84"/>
      <c r="BG163" s="84"/>
      <c r="BH163" s="84"/>
    </row>
    <row r="164" spans="1:60" x14ac:dyDescent="0.25">
      <c r="A164" s="14"/>
      <c r="B164" s="483"/>
      <c r="E164" s="566" t="s">
        <v>86</v>
      </c>
      <c r="F164" s="566" t="s">
        <v>1081</v>
      </c>
      <c r="G164" s="566" t="s">
        <v>1082</v>
      </c>
      <c r="H164" s="485"/>
      <c r="I164" s="485"/>
      <c r="J164" s="486" t="e">
        <f>#REF!&amp;#REF!&amp;" "&amp;H164&amp;" "&amp;I164</f>
        <v>#REF!</v>
      </c>
      <c r="K164" s="979"/>
      <c r="L164" s="979"/>
      <c r="M164" s="979"/>
      <c r="N164" s="979"/>
      <c r="O164" s="988"/>
      <c r="P164" s="206"/>
      <c r="Q164" s="488"/>
      <c r="R164" s="489"/>
      <c r="S164" s="490"/>
      <c r="T164" s="206"/>
      <c r="U164" s="990"/>
      <c r="V164" s="491"/>
      <c r="W164" s="202"/>
      <c r="X164" s="491"/>
      <c r="Y164" s="491"/>
      <c r="Z164" s="14"/>
      <c r="AA164" s="492"/>
      <c r="AB164" s="14"/>
      <c r="AC164" s="493"/>
      <c r="AD164" s="206"/>
      <c r="AE164" s="202"/>
      <c r="AF164" s="202"/>
      <c r="AG164" s="202"/>
      <c r="AH164" s="202"/>
      <c r="AI164" s="202"/>
      <c r="AJ164" s="202"/>
      <c r="AK164" s="202"/>
      <c r="AL164" s="202"/>
      <c r="AM164" s="494"/>
      <c r="AN164" s="493"/>
      <c r="AO164" s="14"/>
      <c r="AP164" s="495"/>
      <c r="AQ164" s="491"/>
      <c r="AR164" s="14"/>
      <c r="AS164" s="14"/>
      <c r="AT164" s="165"/>
      <c r="AU164" s="496"/>
      <c r="AV164" s="165"/>
      <c r="AW164" s="165"/>
      <c r="AX164" s="165"/>
      <c r="AY164" s="165"/>
      <c r="AZ164" s="165"/>
      <c r="BA164" s="84"/>
      <c r="BB164" s="84"/>
      <c r="BC164" s="84"/>
      <c r="BD164" s="84"/>
      <c r="BE164" s="84"/>
    </row>
    <row r="165" spans="1:60" x14ac:dyDescent="0.25">
      <c r="A165" s="14"/>
      <c r="B165" s="483"/>
      <c r="E165" s="567" t="s">
        <v>163</v>
      </c>
      <c r="F165" s="469">
        <f>+SUMIF($D$8:$D$157,E165,$W$8:$W$157)</f>
        <v>589616010.62015998</v>
      </c>
      <c r="G165" s="470">
        <f>COUNTIF(D8:D157,E165)</f>
        <v>79</v>
      </c>
      <c r="H165" s="485"/>
      <c r="I165" s="485"/>
      <c r="J165" s="486" t="e">
        <f>#REF!&amp;#REF!&amp;" "&amp;H165&amp;" "&amp;I165</f>
        <v>#REF!</v>
      </c>
      <c r="K165" s="979"/>
      <c r="L165" s="979"/>
      <c r="M165" s="979"/>
      <c r="N165" s="979"/>
      <c r="O165" s="988"/>
      <c r="P165" s="206"/>
      <c r="Q165" s="488"/>
      <c r="R165" s="489"/>
      <c r="S165" s="490"/>
      <c r="T165" s="206"/>
      <c r="U165" s="990"/>
      <c r="V165" s="491"/>
      <c r="W165" s="202"/>
      <c r="X165" s="491"/>
      <c r="Y165" s="491"/>
      <c r="Z165" s="14"/>
      <c r="AA165" s="492"/>
      <c r="AB165" s="14"/>
      <c r="AC165" s="493"/>
      <c r="AD165" s="206"/>
      <c r="AE165" s="202"/>
      <c r="AF165" s="202"/>
      <c r="AG165" s="202"/>
      <c r="AH165" s="202"/>
      <c r="AI165" s="202"/>
      <c r="AJ165" s="202"/>
      <c r="AK165" s="202"/>
      <c r="AL165" s="202"/>
      <c r="AM165" s="494"/>
      <c r="AN165" s="493"/>
      <c r="AO165" s="14"/>
      <c r="AP165" s="495"/>
      <c r="AQ165" s="491"/>
      <c r="AR165" s="14"/>
      <c r="AS165" s="14"/>
      <c r="AT165" s="165"/>
      <c r="AU165" s="496"/>
      <c r="AV165" s="165"/>
      <c r="AW165" s="165"/>
      <c r="AX165" s="165"/>
      <c r="AY165" s="165"/>
      <c r="AZ165" s="165"/>
      <c r="BA165" s="84"/>
      <c r="BB165" s="84"/>
      <c r="BC165" s="84"/>
      <c r="BD165" s="84"/>
      <c r="BE165" s="84"/>
    </row>
    <row r="166" spans="1:60" x14ac:dyDescent="0.25">
      <c r="A166" s="14"/>
      <c r="B166" s="483"/>
      <c r="E166" s="4" t="s">
        <v>173</v>
      </c>
      <c r="F166" s="469">
        <f>+SUMIF($D$8:$D$157,E166,$W$8:$W$157)</f>
        <v>250146773.79287958</v>
      </c>
      <c r="G166" s="470">
        <v>31</v>
      </c>
      <c r="H166" s="485"/>
      <c r="I166" s="485"/>
      <c r="J166" s="486" t="e">
        <f>#REF!&amp;#REF!&amp;" "&amp;H166&amp;" "&amp;I166</f>
        <v>#REF!</v>
      </c>
      <c r="K166" s="979"/>
      <c r="L166" s="979"/>
      <c r="M166" s="979"/>
      <c r="N166" s="979"/>
      <c r="O166" s="988"/>
      <c r="P166" s="206"/>
      <c r="Q166" s="488"/>
      <c r="R166" s="489"/>
      <c r="S166" s="490"/>
      <c r="T166" s="206"/>
      <c r="U166" s="990"/>
      <c r="V166" s="491"/>
      <c r="W166" s="202"/>
      <c r="X166" s="491"/>
      <c r="Y166" s="491"/>
      <c r="Z166" s="14"/>
      <c r="AA166" s="492"/>
      <c r="AB166" s="14"/>
      <c r="AC166" s="493"/>
      <c r="AD166" s="206"/>
      <c r="AE166" s="202"/>
      <c r="AF166" s="202"/>
      <c r="AG166" s="202"/>
      <c r="AH166" s="202"/>
      <c r="AI166" s="202"/>
      <c r="AJ166" s="202"/>
      <c r="AK166" s="202"/>
      <c r="AL166" s="202"/>
      <c r="AM166" s="494"/>
      <c r="AN166" s="493"/>
      <c r="AO166" s="14"/>
      <c r="AP166" s="495"/>
      <c r="AQ166" s="491"/>
      <c r="AR166" s="14"/>
      <c r="AS166" s="14"/>
      <c r="AT166" s="165"/>
      <c r="AU166" s="496"/>
      <c r="AV166" s="165"/>
      <c r="AW166" s="165"/>
      <c r="AX166" s="165"/>
      <c r="AY166" s="165"/>
      <c r="AZ166" s="165"/>
      <c r="BA166" s="84"/>
      <c r="BB166" s="84"/>
      <c r="BC166" s="84"/>
      <c r="BD166" s="84"/>
      <c r="BE166" s="84"/>
    </row>
    <row r="167" spans="1:60" x14ac:dyDescent="0.25">
      <c r="A167" s="14"/>
      <c r="B167" s="483"/>
      <c r="E167" s="4" t="s">
        <v>151</v>
      </c>
      <c r="F167" s="469">
        <f>+SUMIF($D$8:$D$157,E167,$W$8:$W$157)</f>
        <v>54179630.210768007</v>
      </c>
      <c r="G167" s="470">
        <v>27</v>
      </c>
      <c r="H167" s="485"/>
      <c r="I167" s="485"/>
      <c r="J167" s="486" t="e">
        <f>#REF!&amp;#REF!&amp;" "&amp;H167&amp;" "&amp;I167</f>
        <v>#REF!</v>
      </c>
      <c r="K167" s="979"/>
      <c r="L167" s="979"/>
      <c r="M167" s="979"/>
      <c r="N167" s="979"/>
      <c r="O167" s="988"/>
      <c r="P167" s="206"/>
      <c r="Q167" s="488"/>
      <c r="R167" s="489"/>
      <c r="S167" s="490"/>
      <c r="T167" s="206"/>
      <c r="U167" s="990"/>
      <c r="V167" s="491"/>
      <c r="W167" s="202"/>
      <c r="X167" s="491"/>
      <c r="Y167" s="491"/>
      <c r="Z167" s="14"/>
      <c r="AA167" s="492"/>
      <c r="AB167" s="14"/>
      <c r="AC167" s="493"/>
      <c r="AD167" s="206"/>
      <c r="AE167" s="202"/>
      <c r="AF167" s="202"/>
      <c r="AG167" s="202"/>
      <c r="AH167" s="202"/>
      <c r="AI167" s="202"/>
      <c r="AJ167" s="202"/>
      <c r="AK167" s="202"/>
      <c r="AL167" s="202"/>
      <c r="AM167" s="494"/>
      <c r="AN167" s="493"/>
      <c r="AO167" s="14"/>
      <c r="AP167" s="495"/>
      <c r="AQ167" s="491"/>
      <c r="AR167" s="14"/>
      <c r="AS167" s="14"/>
      <c r="AT167" s="165"/>
      <c r="AU167" s="496"/>
      <c r="AV167" s="165"/>
      <c r="AW167" s="165"/>
      <c r="AX167" s="165"/>
      <c r="AY167" s="165"/>
      <c r="AZ167" s="165"/>
      <c r="BA167" s="84"/>
      <c r="BB167" s="84"/>
      <c r="BC167" s="84"/>
      <c r="BD167" s="84"/>
      <c r="BE167" s="84"/>
    </row>
    <row r="168" spans="1:60" x14ac:dyDescent="0.25">
      <c r="A168" s="14"/>
      <c r="B168" s="483"/>
      <c r="E168" s="4" t="s">
        <v>1083</v>
      </c>
      <c r="F168" s="568">
        <f>SUM(F165:F167)</f>
        <v>893942414.62380755</v>
      </c>
      <c r="G168" s="470"/>
      <c r="H168" s="485"/>
      <c r="I168" s="485"/>
      <c r="J168" s="486" t="e">
        <f>#REF!&amp;#REF!&amp;" "&amp;H168&amp;" "&amp;I168</f>
        <v>#REF!</v>
      </c>
      <c r="K168" s="979"/>
      <c r="L168" s="979"/>
      <c r="M168" s="979"/>
      <c r="N168" s="979"/>
      <c r="O168" s="988"/>
      <c r="P168" s="206"/>
      <c r="Q168" s="488"/>
      <c r="R168" s="489"/>
      <c r="S168" s="490"/>
      <c r="T168" s="206"/>
      <c r="U168" s="990"/>
      <c r="V168" s="491"/>
      <c r="W168" s="202"/>
      <c r="X168" s="491"/>
      <c r="Y168" s="491"/>
      <c r="Z168" s="14"/>
      <c r="AA168" s="492"/>
      <c r="AB168" s="14"/>
      <c r="AC168" s="493"/>
      <c r="AD168" s="206"/>
      <c r="AE168" s="202"/>
      <c r="AF168" s="202"/>
      <c r="AG168" s="202"/>
      <c r="AH168" s="202"/>
      <c r="AI168" s="202"/>
      <c r="AJ168" s="202"/>
      <c r="AK168" s="202"/>
      <c r="AL168" s="202"/>
      <c r="AM168" s="494"/>
      <c r="AN168" s="493"/>
      <c r="AO168" s="14"/>
      <c r="AP168" s="495"/>
      <c r="AQ168" s="491"/>
      <c r="AR168" s="14"/>
      <c r="AS168" s="14"/>
      <c r="AT168" s="165"/>
      <c r="AU168" s="496"/>
      <c r="AV168" s="165"/>
      <c r="AW168" s="165"/>
      <c r="AX168" s="165"/>
      <c r="AY168" s="165"/>
      <c r="AZ168" s="165"/>
      <c r="BA168" s="84"/>
      <c r="BB168" s="84"/>
      <c r="BC168" s="84"/>
      <c r="BD168" s="84"/>
      <c r="BE168" s="84"/>
    </row>
    <row r="169" spans="1:60" x14ac:dyDescent="0.25">
      <c r="A169" s="14"/>
      <c r="B169" s="483"/>
      <c r="E169" s="979" t="s">
        <v>1084</v>
      </c>
      <c r="F169" s="990">
        <f>+W158</f>
        <v>893942414.62380767</v>
      </c>
      <c r="G169" s="202"/>
      <c r="H169" s="485"/>
      <c r="I169" s="485"/>
      <c r="J169" s="486" t="e">
        <f>#REF!&amp;#REF!&amp;" "&amp;H169&amp;" "&amp;I169</f>
        <v>#REF!</v>
      </c>
      <c r="K169" s="979"/>
      <c r="L169" s="979"/>
      <c r="M169" s="979"/>
      <c r="N169" s="979"/>
      <c r="O169" s="988"/>
      <c r="P169" s="206"/>
      <c r="Q169" s="488"/>
      <c r="R169" s="489"/>
      <c r="S169" s="490"/>
      <c r="T169" s="206"/>
      <c r="U169" s="990"/>
      <c r="V169" s="491"/>
      <c r="W169" s="202"/>
      <c r="X169" s="491"/>
      <c r="Y169" s="491"/>
      <c r="Z169" s="14"/>
      <c r="AA169" s="492"/>
      <c r="AB169" s="14"/>
      <c r="AC169" s="493"/>
      <c r="AD169" s="206"/>
      <c r="AE169" s="202"/>
      <c r="AF169" s="202"/>
      <c r="AG169" s="202"/>
      <c r="AH169" s="202"/>
      <c r="AI169" s="202"/>
      <c r="AJ169" s="202"/>
      <c r="AK169" s="202"/>
      <c r="AL169" s="202"/>
      <c r="AM169" s="494"/>
      <c r="AN169" s="493"/>
      <c r="AO169" s="14"/>
      <c r="AP169" s="495"/>
      <c r="AQ169" s="491"/>
      <c r="AR169" s="14"/>
      <c r="AS169" s="14"/>
      <c r="AT169" s="165"/>
      <c r="AU169" s="496"/>
      <c r="AV169" s="165"/>
      <c r="AW169" s="165"/>
      <c r="AX169" s="165"/>
      <c r="AY169" s="165"/>
      <c r="AZ169" s="165"/>
      <c r="BA169" s="84"/>
      <c r="BB169" s="84"/>
      <c r="BC169" s="84"/>
      <c r="BD169" s="84"/>
      <c r="BE169" s="84"/>
    </row>
    <row r="170" spans="1:60" x14ac:dyDescent="0.25">
      <c r="A170" s="14"/>
      <c r="B170" s="483"/>
      <c r="C170" s="14"/>
      <c r="D170" s="569"/>
      <c r="E170" s="282"/>
      <c r="F170" s="202"/>
      <c r="G170" s="202"/>
      <c r="H170" s="484"/>
      <c r="I170" s="485"/>
      <c r="J170" s="485"/>
      <c r="K170" s="485"/>
      <c r="L170" s="486" t="str">
        <f t="shared" ref="L170:L175" si="49">H170&amp;I170&amp;" "&amp;J170&amp;" "&amp;K170</f>
        <v xml:space="preserve">  </v>
      </c>
      <c r="M170" s="979"/>
      <c r="N170" s="979"/>
      <c r="O170" s="979"/>
      <c r="P170" s="979"/>
      <c r="Q170" s="988"/>
      <c r="R170" s="206"/>
      <c r="S170" s="488"/>
      <c r="T170" s="489"/>
      <c r="U170" s="490"/>
      <c r="V170" s="206"/>
      <c r="W170" s="990"/>
      <c r="X170" s="491"/>
      <c r="Y170" s="202"/>
      <c r="Z170" s="491"/>
      <c r="AA170" s="491"/>
      <c r="AB170" s="14"/>
      <c r="AC170" s="492"/>
      <c r="AD170" s="14"/>
      <c r="AE170" s="493"/>
      <c r="AF170" s="206"/>
      <c r="AG170" s="202"/>
      <c r="AH170" s="202"/>
      <c r="AI170" s="202"/>
      <c r="AJ170" s="202"/>
      <c r="AK170" s="202"/>
      <c r="AL170" s="202"/>
      <c r="AM170" s="202"/>
      <c r="AN170" s="202"/>
      <c r="AO170" s="494"/>
      <c r="AP170" s="493"/>
      <c r="AQ170" s="14"/>
      <c r="AR170" s="495"/>
      <c r="AS170" s="491"/>
      <c r="AT170" s="14"/>
      <c r="AU170" s="14"/>
      <c r="AV170" s="165"/>
      <c r="AW170" s="496"/>
      <c r="AX170" s="165"/>
      <c r="AY170" s="165"/>
      <c r="AZ170" s="165"/>
      <c r="BA170" s="165"/>
      <c r="BB170" s="165"/>
      <c r="BC170" s="84"/>
      <c r="BD170" s="84"/>
      <c r="BE170" s="84"/>
      <c r="BF170" s="84"/>
      <c r="BG170" s="84"/>
    </row>
    <row r="171" spans="1:60" x14ac:dyDescent="0.25">
      <c r="A171" s="14"/>
      <c r="B171" s="483"/>
      <c r="C171" s="14"/>
      <c r="D171" s="202"/>
      <c r="E171" s="282"/>
      <c r="F171" s="202"/>
      <c r="G171" s="202"/>
      <c r="H171" s="484"/>
      <c r="I171" s="485"/>
      <c r="J171" s="485"/>
      <c r="K171" s="485"/>
      <c r="L171" s="486" t="str">
        <f t="shared" si="49"/>
        <v xml:space="preserve">  </v>
      </c>
      <c r="M171" s="979"/>
      <c r="N171" s="979"/>
      <c r="O171" s="979"/>
      <c r="P171" s="979"/>
      <c r="Q171" s="988"/>
      <c r="R171" s="206"/>
      <c r="S171" s="488"/>
      <c r="T171" s="489"/>
      <c r="U171" s="490"/>
      <c r="V171" s="206"/>
      <c r="W171" s="990"/>
      <c r="X171" s="491"/>
      <c r="Y171" s="202"/>
      <c r="Z171" s="491"/>
      <c r="AA171" s="491"/>
      <c r="AB171" s="14"/>
      <c r="AC171" s="492"/>
      <c r="AD171" s="14"/>
      <c r="AE171" s="493"/>
      <c r="AF171" s="206"/>
      <c r="AG171" s="202"/>
      <c r="AH171" s="202"/>
      <c r="AI171" s="202"/>
      <c r="AJ171" s="202"/>
      <c r="AK171" s="202"/>
      <c r="AL171" s="202"/>
      <c r="AM171" s="202"/>
      <c r="AN171" s="202"/>
      <c r="AO171" s="494"/>
      <c r="AP171" s="493"/>
      <c r="AQ171" s="14"/>
      <c r="AR171" s="495"/>
      <c r="AS171" s="491"/>
      <c r="AT171" s="14"/>
      <c r="AU171" s="14"/>
      <c r="AV171" s="165"/>
      <c r="AW171" s="496"/>
      <c r="AX171" s="165"/>
      <c r="AY171" s="165"/>
      <c r="AZ171" s="165"/>
      <c r="BA171" s="165"/>
      <c r="BB171" s="165"/>
      <c r="BC171" s="84"/>
      <c r="BD171" s="84"/>
      <c r="BE171" s="84"/>
      <c r="BF171" s="84"/>
      <c r="BG171" s="84"/>
    </row>
    <row r="172" spans="1:60" ht="15.75" x14ac:dyDescent="0.25">
      <c r="A172" s="14"/>
      <c r="B172" s="483"/>
      <c r="C172" s="14"/>
      <c r="D172" s="202"/>
      <c r="E172" s="1092" t="s">
        <v>1085</v>
      </c>
      <c r="F172" s="1092"/>
      <c r="G172" s="194" t="s">
        <v>1082</v>
      </c>
      <c r="H172" s="484"/>
      <c r="I172" s="485"/>
      <c r="J172" s="485"/>
      <c r="K172" s="485"/>
      <c r="L172" s="486" t="str">
        <f t="shared" si="49"/>
        <v xml:space="preserve">  </v>
      </c>
      <c r="M172" s="979"/>
      <c r="N172" s="979"/>
      <c r="O172" s="979"/>
      <c r="P172" s="979"/>
      <c r="Q172" s="988"/>
      <c r="R172" s="206"/>
      <c r="S172" s="488"/>
      <c r="T172" s="489"/>
      <c r="U172" s="490"/>
      <c r="V172" s="206"/>
      <c r="W172" s="990"/>
      <c r="X172" s="491"/>
      <c r="Y172" s="202"/>
      <c r="Z172" s="491"/>
      <c r="AA172" s="491"/>
      <c r="AB172" s="14"/>
      <c r="AC172" s="492"/>
      <c r="AD172" s="14"/>
      <c r="AE172" s="493"/>
      <c r="AF172" s="206"/>
      <c r="AG172" s="202"/>
      <c r="AH172" s="202"/>
      <c r="AI172" s="202"/>
      <c r="AJ172" s="202"/>
      <c r="AK172" s="202"/>
      <c r="AL172" s="202"/>
      <c r="AM172" s="202"/>
      <c r="AN172" s="202"/>
      <c r="AO172" s="494"/>
      <c r="AP172" s="493"/>
      <c r="AQ172" s="14"/>
      <c r="AR172" s="495"/>
      <c r="AS172" s="491"/>
      <c r="AT172" s="14"/>
      <c r="AU172" s="14"/>
      <c r="AV172" s="165"/>
      <c r="AW172" s="496"/>
      <c r="AX172" s="165"/>
      <c r="AY172" s="165"/>
      <c r="AZ172" s="165"/>
      <c r="BA172" s="165"/>
      <c r="BB172" s="165"/>
      <c r="BC172" s="84"/>
      <c r="BD172" s="84"/>
      <c r="BE172" s="84"/>
      <c r="BF172" s="84"/>
      <c r="BG172" s="84"/>
    </row>
    <row r="173" spans="1:60" ht="15.75" x14ac:dyDescent="0.25">
      <c r="A173" s="14"/>
      <c r="B173" s="483"/>
      <c r="C173" s="14"/>
      <c r="D173" s="202"/>
      <c r="E173" s="684" t="s">
        <v>163</v>
      </c>
      <c r="F173" s="469">
        <f>+SUMIF($G$8:$G$157,E173,$W$8:$W$157)</f>
        <v>253494267.77875996</v>
      </c>
      <c r="G173" s="470">
        <f>COUNTIF(G8:G157,E173)</f>
        <v>28</v>
      </c>
      <c r="H173" s="484"/>
      <c r="I173" s="485"/>
      <c r="J173" s="485"/>
      <c r="K173" s="485"/>
      <c r="L173" s="486" t="str">
        <f t="shared" si="49"/>
        <v xml:space="preserve">  </v>
      </c>
      <c r="M173" s="979"/>
      <c r="N173" s="979"/>
      <c r="O173" s="979"/>
      <c r="P173" s="979"/>
      <c r="Q173" s="988"/>
      <c r="R173" s="206"/>
      <c r="S173" s="488"/>
      <c r="T173" s="489"/>
      <c r="U173" s="490"/>
      <c r="V173" s="206"/>
      <c r="W173" s="990"/>
      <c r="X173" s="491"/>
      <c r="Y173" s="202"/>
      <c r="Z173" s="491"/>
      <c r="AA173" s="491"/>
      <c r="AB173" s="14"/>
      <c r="AC173" s="492"/>
      <c r="AD173" s="14"/>
      <c r="AE173" s="493"/>
      <c r="AF173" s="206"/>
      <c r="AG173" s="202"/>
      <c r="AH173" s="202"/>
      <c r="AI173" s="202"/>
      <c r="AJ173" s="202"/>
      <c r="AK173" s="202"/>
      <c r="AL173" s="202"/>
      <c r="AM173" s="202"/>
      <c r="AN173" s="202"/>
      <c r="AO173" s="494"/>
      <c r="AP173" s="493"/>
      <c r="AQ173" s="14"/>
      <c r="AR173" s="495"/>
      <c r="AS173" s="491"/>
      <c r="AT173" s="14"/>
      <c r="AU173" s="14"/>
      <c r="AV173" s="165"/>
      <c r="AW173" s="496"/>
      <c r="AX173" s="165"/>
      <c r="AY173" s="165"/>
      <c r="AZ173" s="165"/>
      <c r="BA173" s="165"/>
      <c r="BB173" s="165"/>
      <c r="BC173" s="84"/>
      <c r="BD173" s="84"/>
      <c r="BE173" s="84"/>
      <c r="BF173" s="84"/>
      <c r="BG173" s="84"/>
    </row>
    <row r="174" spans="1:60" ht="15.75" x14ac:dyDescent="0.25">
      <c r="A174" s="14"/>
      <c r="B174" s="483"/>
      <c r="C174" s="14"/>
      <c r="D174" s="202"/>
      <c r="E174" s="685" t="s">
        <v>546</v>
      </c>
      <c r="F174" s="469">
        <f>+SUMIF($G$8:$G$157,E174,$W$8:$W$157)</f>
        <v>336121742.84140003</v>
      </c>
      <c r="G174" s="470">
        <f>COUNTIF(G9:G158,E174)</f>
        <v>51</v>
      </c>
      <c r="H174" s="484"/>
      <c r="I174" s="485"/>
      <c r="J174" s="485"/>
      <c r="K174" s="485"/>
      <c r="L174" s="486" t="str">
        <f t="shared" si="49"/>
        <v xml:space="preserve">  </v>
      </c>
      <c r="M174" s="979"/>
      <c r="N174" s="979"/>
      <c r="O174" s="979"/>
      <c r="P174" s="979"/>
      <c r="Q174" s="988"/>
      <c r="R174" s="206"/>
      <c r="S174" s="488"/>
      <c r="T174" s="489"/>
      <c r="U174" s="490"/>
      <c r="V174" s="206"/>
      <c r="W174" s="990"/>
      <c r="X174" s="491"/>
      <c r="Y174" s="202"/>
      <c r="Z174" s="491"/>
      <c r="AA174" s="491"/>
      <c r="AB174" s="14"/>
      <c r="AC174" s="492"/>
      <c r="AD174" s="14"/>
      <c r="AE174" s="493"/>
      <c r="AF174" s="206"/>
      <c r="AG174" s="202"/>
      <c r="AH174" s="202"/>
      <c r="AI174" s="202"/>
      <c r="AJ174" s="202"/>
      <c r="AK174" s="202"/>
      <c r="AL174" s="202"/>
      <c r="AM174" s="202"/>
      <c r="AN174" s="202"/>
      <c r="AO174" s="494"/>
      <c r="AP174" s="493"/>
      <c r="AQ174" s="14"/>
      <c r="AR174" s="495"/>
      <c r="AS174" s="491"/>
      <c r="AT174" s="14"/>
      <c r="AU174" s="14"/>
      <c r="AV174" s="165"/>
      <c r="AW174" s="496"/>
      <c r="AX174" s="165"/>
      <c r="AY174" s="165"/>
      <c r="AZ174" s="165"/>
      <c r="BA174" s="165"/>
      <c r="BB174" s="165"/>
      <c r="BC174" s="84"/>
      <c r="BD174" s="84"/>
      <c r="BE174" s="84"/>
      <c r="BF174" s="84"/>
      <c r="BG174" s="84"/>
    </row>
    <row r="175" spans="1:60" ht="31.5" x14ac:dyDescent="0.25">
      <c r="A175" s="14"/>
      <c r="B175" s="483"/>
      <c r="C175" s="14"/>
      <c r="D175" s="202"/>
      <c r="E175" s="686" t="s">
        <v>1086</v>
      </c>
      <c r="F175" s="687">
        <f>+F173+F174</f>
        <v>589616010.62015998</v>
      </c>
      <c r="G175" s="676">
        <f>SUM(G173:G174)</f>
        <v>79</v>
      </c>
      <c r="H175" s="484"/>
      <c r="I175" s="485"/>
      <c r="J175" s="485"/>
      <c r="K175" s="485"/>
      <c r="L175" s="486" t="str">
        <f t="shared" si="49"/>
        <v xml:space="preserve">  </v>
      </c>
      <c r="M175" s="979"/>
      <c r="N175" s="979"/>
      <c r="O175" s="979"/>
      <c r="P175" s="979"/>
      <c r="Q175" s="988"/>
      <c r="R175" s="206"/>
      <c r="S175" s="488"/>
      <c r="T175" s="489"/>
      <c r="U175" s="490"/>
      <c r="V175" s="206"/>
      <c r="W175" s="990"/>
      <c r="X175" s="491"/>
      <c r="Y175" s="202"/>
      <c r="Z175" s="491"/>
      <c r="AA175" s="491"/>
      <c r="AB175" s="14"/>
      <c r="AC175" s="492"/>
      <c r="AD175" s="14"/>
      <c r="AE175" s="493"/>
      <c r="AF175" s="206"/>
      <c r="AG175" s="202"/>
      <c r="AH175" s="202"/>
      <c r="AI175" s="202"/>
      <c r="AJ175" s="202"/>
      <c r="AK175" s="202"/>
      <c r="AL175" s="202"/>
      <c r="AM175" s="202"/>
      <c r="AN175" s="202"/>
      <c r="AO175" s="494"/>
      <c r="AP175" s="493"/>
      <c r="AQ175" s="14"/>
      <c r="AR175" s="495"/>
      <c r="AS175" s="491"/>
      <c r="AT175" s="14"/>
      <c r="AU175" s="14"/>
      <c r="AV175" s="165"/>
      <c r="AW175" s="496"/>
      <c r="AX175" s="165"/>
      <c r="AY175" s="165"/>
      <c r="AZ175" s="165"/>
      <c r="BA175" s="165"/>
      <c r="BB175" s="165"/>
      <c r="BC175" s="84"/>
      <c r="BD175" s="84"/>
      <c r="BE175" s="84"/>
      <c r="BF175" s="84"/>
      <c r="BG175" s="84"/>
    </row>
    <row r="176" spans="1:60" x14ac:dyDescent="0.25">
      <c r="A176" s="14"/>
      <c r="B176" s="483"/>
      <c r="C176" s="14"/>
      <c r="D176" s="202"/>
      <c r="E176" s="282"/>
      <c r="F176" s="694">
        <f>+F175-F165</f>
        <v>0</v>
      </c>
      <c r="G176" s="202"/>
      <c r="H176" s="202"/>
      <c r="I176" s="484"/>
      <c r="J176" s="485"/>
      <c r="K176" s="485"/>
      <c r="L176" s="485"/>
      <c r="M176" s="486" t="str">
        <f t="shared" ref="M176:M190" si="50">I176&amp;J176&amp;" "&amp;K176&amp;" "&amp;L176</f>
        <v xml:space="preserve">  </v>
      </c>
      <c r="N176" s="979"/>
      <c r="O176" s="979"/>
      <c r="P176" s="979"/>
      <c r="Q176" s="979"/>
      <c r="R176" s="988"/>
      <c r="S176" s="206"/>
      <c r="T176" s="488"/>
      <c r="U176" s="489"/>
      <c r="V176" s="490"/>
      <c r="W176" s="206"/>
      <c r="X176" s="990"/>
      <c r="Y176" s="491"/>
      <c r="Z176" s="202"/>
      <c r="AA176" s="491"/>
      <c r="AB176" s="491"/>
      <c r="AC176" s="14"/>
      <c r="AD176" s="492"/>
      <c r="AE176" s="14"/>
      <c r="AF176" s="493"/>
      <c r="AG176" s="206"/>
      <c r="AH176" s="202"/>
      <c r="AI176" s="202"/>
      <c r="AJ176" s="202"/>
      <c r="AK176" s="202"/>
      <c r="AL176" s="202"/>
      <c r="AM176" s="202"/>
      <c r="AN176" s="202"/>
      <c r="AO176" s="202"/>
      <c r="AP176" s="494"/>
      <c r="AQ176" s="493"/>
      <c r="AR176" s="14"/>
      <c r="AS176" s="495"/>
      <c r="AT176" s="491"/>
      <c r="AU176" s="14"/>
      <c r="AV176" s="14"/>
      <c r="AW176" s="165"/>
      <c r="AX176" s="496"/>
      <c r="AY176" s="165"/>
      <c r="AZ176" s="165"/>
      <c r="BA176" s="165"/>
      <c r="BB176" s="165"/>
      <c r="BC176" s="165"/>
      <c r="BD176" s="84"/>
      <c r="BE176" s="84"/>
      <c r="BF176" s="84"/>
      <c r="BG176" s="84"/>
      <c r="BH176" s="84"/>
    </row>
    <row r="177" spans="1:60" x14ac:dyDescent="0.25">
      <c r="A177" s="14"/>
      <c r="B177" s="483"/>
      <c r="C177" s="14"/>
      <c r="D177" s="202"/>
      <c r="E177" s="282"/>
      <c r="F177" s="202"/>
      <c r="G177" s="202"/>
      <c r="H177" s="202"/>
      <c r="I177" s="484"/>
      <c r="J177" s="485"/>
      <c r="K177" s="485"/>
      <c r="L177" s="485"/>
      <c r="M177" s="486" t="str">
        <f t="shared" si="50"/>
        <v xml:space="preserve">  </v>
      </c>
      <c r="N177" s="979"/>
      <c r="O177" s="979"/>
      <c r="P177" s="979"/>
      <c r="Q177" s="979"/>
      <c r="R177" s="988"/>
      <c r="S177" s="206"/>
      <c r="T177" s="488"/>
      <c r="U177" s="489"/>
      <c r="V177" s="490"/>
      <c r="W177" s="206"/>
      <c r="X177" s="990"/>
      <c r="Y177" s="491"/>
      <c r="Z177" s="202"/>
      <c r="AA177" s="491"/>
      <c r="AB177" s="491"/>
      <c r="AC177" s="14"/>
      <c r="AD177" s="492"/>
      <c r="AE177" s="14"/>
      <c r="AF177" s="493"/>
      <c r="AG177" s="206"/>
      <c r="AH177" s="202"/>
      <c r="AI177" s="202"/>
      <c r="AJ177" s="202"/>
      <c r="AK177" s="202"/>
      <c r="AL177" s="202"/>
      <c r="AM177" s="202"/>
      <c r="AN177" s="202"/>
      <c r="AO177" s="202"/>
      <c r="AP177" s="494"/>
      <c r="AQ177" s="493"/>
      <c r="AR177" s="14"/>
      <c r="AS177" s="495"/>
      <c r="AT177" s="491"/>
      <c r="AU177" s="14"/>
      <c r="AV177" s="14"/>
      <c r="AW177" s="165"/>
      <c r="AX177" s="496"/>
      <c r="AY177" s="165"/>
      <c r="AZ177" s="165"/>
      <c r="BA177" s="165"/>
      <c r="BB177" s="165"/>
      <c r="BC177" s="165"/>
      <c r="BD177" s="84"/>
      <c r="BE177" s="84"/>
      <c r="BF177" s="84"/>
      <c r="BG177" s="84"/>
      <c r="BH177" s="84"/>
    </row>
    <row r="178" spans="1:60" x14ac:dyDescent="0.25">
      <c r="A178" s="14"/>
      <c r="B178" s="483"/>
      <c r="C178" s="14"/>
      <c r="D178" s="202"/>
      <c r="E178" s="282"/>
      <c r="F178" s="202"/>
      <c r="G178" s="202"/>
      <c r="H178" s="202"/>
      <c r="I178" s="484"/>
      <c r="J178" s="485"/>
      <c r="K178" s="485"/>
      <c r="L178" s="485"/>
      <c r="M178" s="486" t="str">
        <f t="shared" si="50"/>
        <v xml:space="preserve">  </v>
      </c>
      <c r="N178" s="979"/>
      <c r="O178" s="979"/>
      <c r="P178" s="979"/>
      <c r="Q178" s="979"/>
      <c r="R178" s="988"/>
      <c r="S178" s="206"/>
      <c r="T178" s="488"/>
      <c r="U178" s="489"/>
      <c r="V178" s="490"/>
      <c r="W178" s="206"/>
      <c r="X178" s="990"/>
      <c r="Y178" s="491"/>
      <c r="Z178" s="202"/>
      <c r="AA178" s="491"/>
      <c r="AB178" s="491"/>
      <c r="AC178" s="14"/>
      <c r="AD178" s="492"/>
      <c r="AE178" s="14"/>
      <c r="AF178" s="493"/>
      <c r="AG178" s="206"/>
      <c r="AH178" s="202"/>
      <c r="AI178" s="202"/>
      <c r="AJ178" s="202"/>
      <c r="AK178" s="202"/>
      <c r="AL178" s="202"/>
      <c r="AM178" s="202"/>
      <c r="AN178" s="202"/>
      <c r="AO178" s="202"/>
      <c r="AP178" s="494"/>
      <c r="AQ178" s="493"/>
      <c r="AR178" s="14"/>
      <c r="AS178" s="495"/>
      <c r="AT178" s="491"/>
      <c r="AU178" s="14"/>
      <c r="AV178" s="14"/>
      <c r="AW178" s="165"/>
      <c r="AX178" s="496"/>
      <c r="AY178" s="165"/>
      <c r="AZ178" s="165"/>
      <c r="BA178" s="165"/>
      <c r="BB178" s="165"/>
      <c r="BC178" s="165"/>
      <c r="BD178" s="84"/>
      <c r="BE178" s="84"/>
      <c r="BF178" s="84"/>
      <c r="BG178" s="84"/>
      <c r="BH178" s="84"/>
    </row>
    <row r="179" spans="1:60" x14ac:dyDescent="0.25">
      <c r="A179" s="14"/>
      <c r="B179" s="483"/>
      <c r="C179" s="14"/>
      <c r="D179" s="202"/>
      <c r="E179" s="282"/>
      <c r="F179" s="202"/>
      <c r="G179" s="202"/>
      <c r="H179" s="202"/>
      <c r="I179" s="484"/>
      <c r="J179" s="485"/>
      <c r="K179" s="485"/>
      <c r="L179" s="485"/>
      <c r="M179" s="486" t="str">
        <f t="shared" si="50"/>
        <v xml:space="preserve">  </v>
      </c>
      <c r="N179" s="979"/>
      <c r="O179" s="979"/>
      <c r="P179" s="979"/>
      <c r="Q179" s="979"/>
      <c r="R179" s="988"/>
      <c r="S179" s="206"/>
      <c r="T179" s="488"/>
      <c r="U179" s="489"/>
      <c r="V179" s="490"/>
      <c r="W179" s="206"/>
      <c r="X179" s="990"/>
      <c r="Y179" s="491"/>
      <c r="Z179" s="202"/>
      <c r="AA179" s="491"/>
      <c r="AB179" s="491"/>
      <c r="AC179" s="14"/>
      <c r="AD179" s="492"/>
      <c r="AE179" s="14"/>
      <c r="AF179" s="493"/>
      <c r="AG179" s="206"/>
      <c r="AH179" s="202"/>
      <c r="AI179" s="202"/>
      <c r="AJ179" s="202"/>
      <c r="AK179" s="202"/>
      <c r="AL179" s="202"/>
      <c r="AM179" s="202"/>
      <c r="AN179" s="202"/>
      <c r="AO179" s="202"/>
      <c r="AP179" s="494"/>
      <c r="AQ179" s="493"/>
      <c r="AR179" s="14"/>
      <c r="AS179" s="495"/>
      <c r="AT179" s="491"/>
      <c r="AU179" s="14"/>
      <c r="AV179" s="14"/>
      <c r="AW179" s="165"/>
      <c r="AX179" s="496"/>
      <c r="AY179" s="165"/>
      <c r="AZ179" s="165"/>
      <c r="BA179" s="165"/>
      <c r="BB179" s="165"/>
      <c r="BC179" s="165"/>
      <c r="BD179" s="84"/>
      <c r="BE179" s="84"/>
      <c r="BF179" s="84"/>
      <c r="BG179" s="84"/>
      <c r="BH179" s="84"/>
    </row>
    <row r="180" spans="1:60" x14ac:dyDescent="0.25">
      <c r="A180" s="14"/>
      <c r="B180" s="483"/>
      <c r="C180" s="14"/>
      <c r="D180" s="202"/>
      <c r="E180" s="282"/>
      <c r="F180" s="202"/>
      <c r="G180" s="202"/>
      <c r="H180" s="202"/>
      <c r="I180" s="484"/>
      <c r="J180" s="485"/>
      <c r="K180" s="485"/>
      <c r="L180" s="485"/>
      <c r="M180" s="486" t="str">
        <f t="shared" si="50"/>
        <v xml:space="preserve">  </v>
      </c>
      <c r="N180" s="979"/>
      <c r="O180" s="979"/>
      <c r="P180" s="979"/>
      <c r="Q180" s="979"/>
      <c r="R180" s="988"/>
      <c r="S180" s="206"/>
      <c r="T180" s="488"/>
      <c r="U180" s="489"/>
      <c r="V180" s="490"/>
      <c r="W180" s="206"/>
      <c r="X180" s="990"/>
      <c r="Y180" s="491"/>
      <c r="Z180" s="202"/>
      <c r="AA180" s="491"/>
      <c r="AB180" s="491"/>
      <c r="AC180" s="14"/>
      <c r="AD180" s="492"/>
      <c r="AE180" s="14"/>
      <c r="AF180" s="493"/>
      <c r="AG180" s="206"/>
      <c r="AH180" s="202"/>
      <c r="AI180" s="202"/>
      <c r="AJ180" s="202"/>
      <c r="AK180" s="202"/>
      <c r="AL180" s="202"/>
      <c r="AM180" s="202"/>
      <c r="AN180" s="202"/>
      <c r="AO180" s="202"/>
      <c r="AP180" s="494"/>
      <c r="AQ180" s="493"/>
      <c r="AR180" s="14"/>
      <c r="AS180" s="495"/>
      <c r="AT180" s="491"/>
      <c r="AU180" s="14"/>
      <c r="AV180" s="14"/>
      <c r="AW180" s="165"/>
      <c r="AX180" s="496"/>
      <c r="AY180" s="165"/>
      <c r="AZ180" s="165"/>
      <c r="BA180" s="165"/>
      <c r="BB180" s="165"/>
      <c r="BC180" s="165"/>
      <c r="BD180" s="84"/>
      <c r="BE180" s="84"/>
      <c r="BF180" s="84"/>
      <c r="BG180" s="84"/>
      <c r="BH180" s="84"/>
    </row>
    <row r="181" spans="1:60" x14ac:dyDescent="0.25">
      <c r="A181" s="14"/>
      <c r="B181" s="483"/>
      <c r="C181" s="14"/>
      <c r="D181" s="202"/>
      <c r="E181" s="282"/>
      <c r="F181" s="202"/>
      <c r="G181" s="202"/>
      <c r="H181" s="202"/>
      <c r="I181" s="484"/>
      <c r="J181" s="485"/>
      <c r="K181" s="485"/>
      <c r="L181" s="485"/>
      <c r="M181" s="486" t="str">
        <f t="shared" si="50"/>
        <v xml:space="preserve">  </v>
      </c>
      <c r="N181" s="979"/>
      <c r="O181" s="979"/>
      <c r="P181" s="979"/>
      <c r="Q181" s="979"/>
      <c r="R181" s="988"/>
      <c r="S181" s="206"/>
      <c r="T181" s="488"/>
      <c r="U181" s="489"/>
      <c r="V181" s="490"/>
      <c r="W181" s="206"/>
      <c r="X181" s="990"/>
      <c r="Y181" s="491"/>
      <c r="Z181" s="202"/>
      <c r="AA181" s="491"/>
      <c r="AB181" s="491"/>
      <c r="AC181" s="14"/>
      <c r="AD181" s="492"/>
      <c r="AE181" s="14"/>
      <c r="AF181" s="493"/>
      <c r="AG181" s="206"/>
      <c r="AH181" s="202"/>
      <c r="AI181" s="202"/>
      <c r="AJ181" s="202"/>
      <c r="AK181" s="202"/>
      <c r="AL181" s="202"/>
      <c r="AM181" s="202"/>
      <c r="AN181" s="202"/>
      <c r="AO181" s="202"/>
      <c r="AP181" s="494"/>
      <c r="AQ181" s="493"/>
      <c r="AR181" s="14"/>
      <c r="AS181" s="495"/>
      <c r="AT181" s="491"/>
      <c r="AU181" s="14"/>
      <c r="AV181" s="14"/>
      <c r="AW181" s="165"/>
      <c r="AX181" s="496"/>
      <c r="AY181" s="165"/>
      <c r="AZ181" s="165"/>
      <c r="BA181" s="165"/>
      <c r="BB181" s="165"/>
      <c r="BC181" s="165"/>
      <c r="BD181" s="84"/>
      <c r="BE181" s="84"/>
      <c r="BF181" s="84"/>
      <c r="BG181" s="84"/>
      <c r="BH181" s="84"/>
    </row>
    <row r="182" spans="1:60" x14ac:dyDescent="0.25">
      <c r="A182" s="14"/>
      <c r="B182" s="483"/>
      <c r="C182" s="14"/>
      <c r="D182" s="202"/>
      <c r="E182" s="282"/>
      <c r="F182" s="202"/>
      <c r="G182" s="202"/>
      <c r="H182" s="202"/>
      <c r="I182" s="484"/>
      <c r="J182" s="485"/>
      <c r="K182" s="485"/>
      <c r="L182" s="485"/>
      <c r="M182" s="486" t="str">
        <f t="shared" si="50"/>
        <v xml:space="preserve">  </v>
      </c>
      <c r="N182" s="979"/>
      <c r="O182" s="979"/>
      <c r="P182" s="979"/>
      <c r="Q182" s="979"/>
      <c r="R182" s="988"/>
      <c r="S182" s="206"/>
      <c r="T182" s="488"/>
      <c r="U182" s="489"/>
      <c r="V182" s="490"/>
      <c r="W182" s="206"/>
      <c r="X182" s="990"/>
      <c r="Y182" s="491"/>
      <c r="Z182" s="202"/>
      <c r="AA182" s="491"/>
      <c r="AB182" s="491"/>
      <c r="AC182" s="14"/>
      <c r="AD182" s="492"/>
      <c r="AE182" s="14"/>
      <c r="AF182" s="493"/>
      <c r="AG182" s="206"/>
      <c r="AH182" s="202"/>
      <c r="AI182" s="202"/>
      <c r="AJ182" s="202"/>
      <c r="AK182" s="202"/>
      <c r="AL182" s="202"/>
      <c r="AM182" s="202"/>
      <c r="AN182" s="202"/>
      <c r="AO182" s="202"/>
      <c r="AP182" s="494"/>
      <c r="AQ182" s="493"/>
      <c r="AR182" s="14"/>
      <c r="AS182" s="495"/>
      <c r="AT182" s="491"/>
      <c r="AU182" s="14"/>
      <c r="AV182" s="14"/>
      <c r="AW182" s="165"/>
      <c r="AX182" s="496"/>
      <c r="AY182" s="165"/>
      <c r="AZ182" s="165"/>
      <c r="BA182" s="165"/>
      <c r="BB182" s="165"/>
      <c r="BC182" s="165"/>
      <c r="BD182" s="84"/>
      <c r="BE182" s="84"/>
      <c r="BF182" s="84"/>
      <c r="BG182" s="84"/>
      <c r="BH182" s="84"/>
    </row>
    <row r="183" spans="1:60" x14ac:dyDescent="0.25">
      <c r="A183" s="14"/>
      <c r="B183" s="483"/>
      <c r="C183" s="14"/>
      <c r="D183" s="202"/>
      <c r="E183" s="282"/>
      <c r="F183" s="202"/>
      <c r="G183" s="202"/>
      <c r="H183" s="202"/>
      <c r="I183" s="484"/>
      <c r="J183" s="485"/>
      <c r="K183" s="485"/>
      <c r="L183" s="485"/>
      <c r="M183" s="486" t="str">
        <f t="shared" si="50"/>
        <v xml:space="preserve">  </v>
      </c>
      <c r="N183" s="979"/>
      <c r="O183" s="979"/>
      <c r="P183" s="979"/>
      <c r="Q183" s="979"/>
      <c r="R183" s="988"/>
      <c r="S183" s="206"/>
      <c r="T183" s="488"/>
      <c r="U183" s="489"/>
      <c r="V183" s="490"/>
      <c r="W183" s="206"/>
      <c r="X183" s="990"/>
      <c r="Y183" s="491"/>
      <c r="Z183" s="202"/>
      <c r="AA183" s="491"/>
      <c r="AB183" s="491"/>
      <c r="AC183" s="14"/>
      <c r="AD183" s="492"/>
      <c r="AE183" s="14"/>
      <c r="AF183" s="493"/>
      <c r="AG183" s="206"/>
      <c r="AH183" s="202"/>
      <c r="AI183" s="202"/>
      <c r="AJ183" s="202"/>
      <c r="AK183" s="202"/>
      <c r="AL183" s="202"/>
      <c r="AM183" s="202"/>
      <c r="AN183" s="202"/>
      <c r="AO183" s="202"/>
      <c r="AP183" s="494"/>
      <c r="AQ183" s="493"/>
      <c r="AR183" s="14"/>
      <c r="AS183" s="495"/>
      <c r="AT183" s="491"/>
      <c r="AU183" s="14"/>
      <c r="AV183" s="14"/>
      <c r="AW183" s="165"/>
      <c r="AX183" s="496"/>
      <c r="AY183" s="165"/>
      <c r="AZ183" s="165"/>
      <c r="BA183" s="165"/>
      <c r="BB183" s="165"/>
      <c r="BC183" s="165"/>
      <c r="BD183" s="84"/>
      <c r="BE183" s="84"/>
      <c r="BF183" s="84"/>
      <c r="BG183" s="84"/>
      <c r="BH183" s="84"/>
    </row>
    <row r="184" spans="1:60" x14ac:dyDescent="0.25">
      <c r="A184" s="14"/>
      <c r="B184" s="483"/>
      <c r="C184" s="14"/>
      <c r="D184" s="202"/>
      <c r="E184" s="282"/>
      <c r="F184" s="202"/>
      <c r="G184" s="202"/>
      <c r="H184" s="202"/>
      <c r="I184" s="484"/>
      <c r="J184" s="485"/>
      <c r="K184" s="485"/>
      <c r="L184" s="485"/>
      <c r="M184" s="486" t="str">
        <f t="shared" si="50"/>
        <v xml:space="preserve">  </v>
      </c>
      <c r="N184" s="979"/>
      <c r="O184" s="979"/>
      <c r="P184" s="979"/>
      <c r="Q184" s="979"/>
      <c r="R184" s="988"/>
      <c r="S184" s="206"/>
      <c r="T184" s="488"/>
      <c r="U184" s="489"/>
      <c r="V184" s="490"/>
      <c r="W184" s="206"/>
      <c r="X184" s="990"/>
      <c r="Y184" s="491"/>
      <c r="Z184" s="202"/>
      <c r="AA184" s="491"/>
      <c r="AB184" s="491"/>
      <c r="AC184" s="14"/>
      <c r="AD184" s="492"/>
      <c r="AE184" s="14"/>
      <c r="AF184" s="493"/>
      <c r="AG184" s="206"/>
      <c r="AH184" s="202"/>
      <c r="AI184" s="202"/>
      <c r="AJ184" s="202"/>
      <c r="AK184" s="202"/>
      <c r="AL184" s="202"/>
      <c r="AM184" s="202"/>
      <c r="AN184" s="202"/>
      <c r="AO184" s="202"/>
      <c r="AP184" s="494"/>
      <c r="AQ184" s="493"/>
      <c r="AR184" s="14"/>
      <c r="AS184" s="495"/>
      <c r="AT184" s="491"/>
      <c r="AU184" s="14"/>
      <c r="AV184" s="14"/>
      <c r="AW184" s="165"/>
      <c r="AX184" s="496"/>
      <c r="AY184" s="165"/>
      <c r="AZ184" s="165"/>
      <c r="BA184" s="165"/>
      <c r="BB184" s="165"/>
      <c r="BC184" s="165"/>
      <c r="BD184" s="84"/>
      <c r="BE184" s="84"/>
      <c r="BF184" s="84"/>
      <c r="BG184" s="84"/>
      <c r="BH184" s="84"/>
    </row>
    <row r="185" spans="1:60" x14ac:dyDescent="0.25">
      <c r="A185" s="14"/>
      <c r="B185" s="483"/>
      <c r="C185" s="14"/>
      <c r="D185" s="202"/>
      <c r="E185" s="282"/>
      <c r="F185" s="202"/>
      <c r="G185" s="202"/>
      <c r="H185" s="202"/>
      <c r="I185" s="484"/>
      <c r="J185" s="485"/>
      <c r="K185" s="485"/>
      <c r="L185" s="485"/>
      <c r="M185" s="486" t="str">
        <f t="shared" si="50"/>
        <v xml:space="preserve">  </v>
      </c>
      <c r="N185" s="979"/>
      <c r="O185" s="979"/>
      <c r="P185" s="979"/>
      <c r="Q185" s="979"/>
      <c r="R185" s="988"/>
      <c r="S185" s="206"/>
      <c r="T185" s="488"/>
      <c r="U185" s="489"/>
      <c r="V185" s="490"/>
      <c r="W185" s="206"/>
      <c r="X185" s="990"/>
      <c r="Y185" s="491"/>
      <c r="Z185" s="202"/>
      <c r="AA185" s="491"/>
      <c r="AB185" s="491"/>
      <c r="AC185" s="14"/>
      <c r="AD185" s="492"/>
      <c r="AE185" s="14"/>
      <c r="AF185" s="493"/>
      <c r="AG185" s="206"/>
      <c r="AH185" s="202"/>
      <c r="AI185" s="202"/>
      <c r="AJ185" s="202"/>
      <c r="AK185" s="202"/>
      <c r="AL185" s="202"/>
      <c r="AM185" s="202"/>
      <c r="AN185" s="202"/>
      <c r="AO185" s="202"/>
      <c r="AP185" s="494"/>
      <c r="AQ185" s="493"/>
      <c r="AR185" s="14"/>
      <c r="AS185" s="495"/>
      <c r="AT185" s="491"/>
      <c r="AU185" s="14"/>
      <c r="AV185" s="14"/>
      <c r="AW185" s="165"/>
      <c r="AX185" s="496"/>
      <c r="AY185" s="165"/>
      <c r="AZ185" s="165"/>
      <c r="BA185" s="165"/>
      <c r="BB185" s="165"/>
      <c r="BC185" s="165"/>
      <c r="BD185" s="84"/>
      <c r="BE185" s="84"/>
      <c r="BF185" s="84"/>
      <c r="BG185" s="84"/>
      <c r="BH185" s="84"/>
    </row>
    <row r="186" spans="1:60" x14ac:dyDescent="0.25">
      <c r="A186" s="14"/>
      <c r="B186" s="483"/>
      <c r="C186" s="14"/>
      <c r="D186" s="202"/>
      <c r="E186" s="282"/>
      <c r="F186" s="202"/>
      <c r="G186" s="202"/>
      <c r="H186" s="202"/>
      <c r="I186" s="484"/>
      <c r="J186" s="485"/>
      <c r="K186" s="485"/>
      <c r="L186" s="485"/>
      <c r="M186" s="486" t="str">
        <f t="shared" si="50"/>
        <v xml:space="preserve">  </v>
      </c>
      <c r="N186" s="979"/>
      <c r="O186" s="979"/>
      <c r="P186" s="979"/>
      <c r="Q186" s="979"/>
      <c r="R186" s="988"/>
      <c r="S186" s="206"/>
      <c r="T186" s="488"/>
      <c r="U186" s="489"/>
      <c r="V186" s="490"/>
      <c r="W186" s="206"/>
      <c r="X186" s="990"/>
      <c r="Y186" s="491"/>
      <c r="Z186" s="202"/>
      <c r="AA186" s="491"/>
      <c r="AB186" s="491"/>
      <c r="AC186" s="14"/>
      <c r="AD186" s="492"/>
      <c r="AE186" s="14"/>
      <c r="AF186" s="493"/>
      <c r="AG186" s="206"/>
      <c r="AH186" s="202"/>
      <c r="AI186" s="202"/>
      <c r="AJ186" s="202"/>
      <c r="AK186" s="202"/>
      <c r="AL186" s="202"/>
      <c r="AM186" s="202"/>
      <c r="AN186" s="202"/>
      <c r="AO186" s="202"/>
      <c r="AP186" s="494"/>
      <c r="AQ186" s="493"/>
      <c r="AR186" s="14"/>
      <c r="AS186" s="495"/>
      <c r="AT186" s="491"/>
      <c r="AU186" s="14"/>
      <c r="AV186" s="14"/>
      <c r="AW186" s="165"/>
      <c r="AX186" s="496"/>
      <c r="AY186" s="165"/>
      <c r="AZ186" s="165"/>
      <c r="BA186" s="165"/>
      <c r="BB186" s="165"/>
      <c r="BC186" s="165"/>
      <c r="BD186" s="84"/>
      <c r="BE186" s="84"/>
      <c r="BF186" s="84"/>
      <c r="BG186" s="84"/>
      <c r="BH186" s="84"/>
    </row>
    <row r="187" spans="1:60" x14ac:dyDescent="0.25">
      <c r="A187" s="14"/>
      <c r="B187" s="483"/>
      <c r="C187" s="14"/>
      <c r="D187" s="202"/>
      <c r="E187" s="282"/>
      <c r="F187" s="202"/>
      <c r="G187" s="202"/>
      <c r="H187" s="202"/>
      <c r="I187" s="484"/>
      <c r="J187" s="485"/>
      <c r="K187" s="485"/>
      <c r="L187" s="485"/>
      <c r="M187" s="486" t="str">
        <f t="shared" si="50"/>
        <v xml:space="preserve">  </v>
      </c>
      <c r="N187" s="979"/>
      <c r="O187" s="979"/>
      <c r="P187" s="979"/>
      <c r="Q187" s="979"/>
      <c r="R187" s="988"/>
      <c r="S187" s="206"/>
      <c r="T187" s="488"/>
      <c r="U187" s="489"/>
      <c r="V187" s="490"/>
      <c r="W187" s="206"/>
      <c r="X187" s="990"/>
      <c r="Y187" s="491"/>
      <c r="Z187" s="202"/>
      <c r="AA187" s="491"/>
      <c r="AB187" s="491"/>
      <c r="AC187" s="14"/>
      <c r="AD187" s="492"/>
      <c r="AE187" s="14"/>
      <c r="AF187" s="493"/>
      <c r="AG187" s="206"/>
      <c r="AH187" s="202"/>
      <c r="AI187" s="202"/>
      <c r="AJ187" s="202"/>
      <c r="AK187" s="202"/>
      <c r="AL187" s="202"/>
      <c r="AM187" s="202"/>
      <c r="AN187" s="202"/>
      <c r="AO187" s="202"/>
      <c r="AP187" s="494"/>
      <c r="AQ187" s="493"/>
      <c r="AR187" s="14"/>
      <c r="AS187" s="495"/>
      <c r="AT187" s="491"/>
      <c r="AU187" s="14"/>
      <c r="AV187" s="14"/>
      <c r="AW187" s="165"/>
      <c r="AX187" s="496"/>
      <c r="AY187" s="165"/>
      <c r="AZ187" s="165"/>
      <c r="BA187" s="165"/>
      <c r="BB187" s="165"/>
      <c r="BC187" s="165"/>
      <c r="BD187" s="84"/>
      <c r="BE187" s="84"/>
      <c r="BF187" s="84"/>
      <c r="BG187" s="84"/>
      <c r="BH187" s="84"/>
    </row>
    <row r="188" spans="1:60" x14ac:dyDescent="0.25">
      <c r="A188" s="14"/>
      <c r="B188" s="483"/>
      <c r="C188" s="14"/>
      <c r="D188" s="202"/>
      <c r="E188" s="282"/>
      <c r="F188" s="202"/>
      <c r="G188" s="202"/>
      <c r="H188" s="202"/>
      <c r="I188" s="484"/>
      <c r="J188" s="485"/>
      <c r="K188" s="485"/>
      <c r="L188" s="485"/>
      <c r="M188" s="486" t="str">
        <f t="shared" si="50"/>
        <v xml:space="preserve">  </v>
      </c>
      <c r="N188" s="979"/>
      <c r="O188" s="979"/>
      <c r="P188" s="979"/>
      <c r="Q188" s="979"/>
      <c r="R188" s="988"/>
      <c r="S188" s="206"/>
      <c r="T188" s="488"/>
      <c r="U188" s="489"/>
      <c r="V188" s="490"/>
      <c r="W188" s="206"/>
      <c r="X188" s="990"/>
      <c r="Y188" s="491"/>
      <c r="Z188" s="202"/>
      <c r="AA188" s="491"/>
      <c r="AB188" s="491"/>
      <c r="AC188" s="14"/>
      <c r="AD188" s="492"/>
      <c r="AE188" s="14"/>
      <c r="AF188" s="493"/>
      <c r="AG188" s="206"/>
      <c r="AH188" s="202"/>
      <c r="AI188" s="202"/>
      <c r="AJ188" s="202"/>
      <c r="AK188" s="202"/>
      <c r="AL188" s="202"/>
      <c r="AM188" s="202"/>
      <c r="AN188" s="202"/>
      <c r="AO188" s="202"/>
      <c r="AP188" s="494"/>
      <c r="AQ188" s="493"/>
      <c r="AR188" s="14"/>
      <c r="AS188" s="495"/>
      <c r="AT188" s="491"/>
      <c r="AU188" s="14"/>
      <c r="AV188" s="14"/>
      <c r="AW188" s="165"/>
      <c r="AX188" s="496"/>
      <c r="AY188" s="165"/>
      <c r="AZ188" s="165"/>
      <c r="BA188" s="165"/>
      <c r="BB188" s="165"/>
      <c r="BC188" s="165"/>
      <c r="BD188" s="84"/>
      <c r="BE188" s="84"/>
      <c r="BF188" s="84"/>
      <c r="BG188" s="84"/>
      <c r="BH188" s="84"/>
    </row>
    <row r="189" spans="1:60" x14ac:dyDescent="0.25">
      <c r="A189" s="14"/>
      <c r="B189" s="483"/>
      <c r="C189" s="14"/>
      <c r="D189" s="202"/>
      <c r="E189" s="282"/>
      <c r="F189" s="202"/>
      <c r="G189" s="202"/>
      <c r="H189" s="202"/>
      <c r="I189" s="484"/>
      <c r="J189" s="485"/>
      <c r="K189" s="485"/>
      <c r="L189" s="485"/>
      <c r="M189" s="486" t="str">
        <f t="shared" si="50"/>
        <v xml:space="preserve">  </v>
      </c>
      <c r="N189" s="979"/>
      <c r="O189" s="979"/>
      <c r="P189" s="979"/>
      <c r="Q189" s="979"/>
      <c r="R189" s="988"/>
      <c r="S189" s="206"/>
      <c r="T189" s="488"/>
      <c r="U189" s="489"/>
      <c r="V189" s="490"/>
      <c r="W189" s="206"/>
      <c r="X189" s="990"/>
      <c r="Y189" s="491"/>
      <c r="Z189" s="202"/>
      <c r="AA189" s="491"/>
      <c r="AB189" s="491"/>
      <c r="AC189" s="14"/>
      <c r="AD189" s="492"/>
      <c r="AE189" s="14"/>
      <c r="AF189" s="493"/>
      <c r="AG189" s="206"/>
      <c r="AH189" s="202"/>
      <c r="AI189" s="202"/>
      <c r="AJ189" s="202"/>
      <c r="AK189" s="202"/>
      <c r="AL189" s="202"/>
      <c r="AM189" s="202"/>
      <c r="AN189" s="202"/>
      <c r="AO189" s="202"/>
      <c r="AP189" s="494"/>
      <c r="AQ189" s="493"/>
      <c r="AR189" s="14"/>
      <c r="AS189" s="495"/>
      <c r="AT189" s="491"/>
      <c r="AU189" s="14"/>
      <c r="AV189" s="14"/>
      <c r="AW189" s="165"/>
      <c r="AX189" s="496"/>
      <c r="AY189" s="165"/>
      <c r="AZ189" s="165"/>
      <c r="BA189" s="165"/>
      <c r="BB189" s="165"/>
      <c r="BC189" s="165"/>
      <c r="BD189" s="84"/>
      <c r="BE189" s="84"/>
      <c r="BF189" s="84"/>
      <c r="BG189" s="84"/>
      <c r="BH189" s="84"/>
    </row>
    <row r="190" spans="1:60" x14ac:dyDescent="0.25">
      <c r="A190" s="14"/>
      <c r="B190" s="483"/>
      <c r="C190" s="14"/>
      <c r="D190" s="202"/>
      <c r="E190" s="282"/>
      <c r="F190" s="202"/>
      <c r="G190" s="202"/>
      <c r="H190" s="202"/>
      <c r="I190" s="484"/>
      <c r="J190" s="485"/>
      <c r="K190" s="485"/>
      <c r="L190" s="485"/>
      <c r="M190" s="486" t="str">
        <f t="shared" si="50"/>
        <v xml:space="preserve">  </v>
      </c>
      <c r="N190" s="979"/>
      <c r="O190" s="979"/>
      <c r="P190" s="979"/>
      <c r="Q190" s="979"/>
      <c r="R190" s="988"/>
      <c r="S190" s="206"/>
      <c r="T190" s="488"/>
      <c r="U190" s="489"/>
      <c r="V190" s="490"/>
      <c r="W190" s="206"/>
      <c r="X190" s="990"/>
      <c r="Y190" s="491"/>
      <c r="Z190" s="202"/>
      <c r="AA190" s="491"/>
      <c r="AB190" s="491"/>
      <c r="AC190" s="14"/>
      <c r="AD190" s="492"/>
      <c r="AE190" s="14"/>
      <c r="AF190" s="493"/>
      <c r="AG190" s="206"/>
      <c r="AH190" s="202"/>
      <c r="AI190" s="202"/>
      <c r="AJ190" s="202"/>
      <c r="AK190" s="202"/>
      <c r="AL190" s="202"/>
      <c r="AM190" s="202"/>
      <c r="AN190" s="202"/>
      <c r="AO190" s="202"/>
      <c r="AP190" s="494"/>
      <c r="AQ190" s="493"/>
      <c r="AR190" s="14"/>
      <c r="AS190" s="495"/>
      <c r="AT190" s="491"/>
      <c r="AU190" s="14"/>
      <c r="AV190" s="14"/>
      <c r="AW190" s="165"/>
      <c r="AX190" s="496"/>
      <c r="AY190" s="165"/>
      <c r="AZ190" s="165"/>
      <c r="BA190" s="165"/>
      <c r="BB190" s="165"/>
      <c r="BC190" s="165"/>
      <c r="BD190" s="84"/>
      <c r="BE190" s="84"/>
      <c r="BF190" s="84"/>
      <c r="BG190" s="84"/>
      <c r="BH190" s="84"/>
    </row>
    <row r="191" spans="1:60" x14ac:dyDescent="0.25">
      <c r="A191" s="14"/>
      <c r="B191" s="483"/>
      <c r="C191" s="14"/>
      <c r="D191" s="202"/>
      <c r="E191" s="282"/>
      <c r="F191" s="202"/>
      <c r="G191" s="202"/>
      <c r="H191" s="202"/>
      <c r="I191" s="484"/>
      <c r="J191" s="485"/>
      <c r="K191" s="485"/>
      <c r="L191" s="485"/>
      <c r="M191" s="486" t="str">
        <f t="shared" ref="M191:M222" si="51">I191&amp;J191&amp;" "&amp;K191&amp;" "&amp;L191</f>
        <v xml:space="preserve">  </v>
      </c>
      <c r="N191" s="979"/>
      <c r="O191" s="979"/>
      <c r="P191" s="979"/>
      <c r="Q191" s="979"/>
      <c r="R191" s="988"/>
      <c r="S191" s="206"/>
      <c r="T191" s="488"/>
      <c r="U191" s="489"/>
      <c r="V191" s="490"/>
      <c r="W191" s="206"/>
      <c r="X191" s="990"/>
      <c r="Y191" s="491"/>
      <c r="Z191" s="202"/>
      <c r="AA191" s="491"/>
      <c r="AB191" s="491"/>
      <c r="AC191" s="14"/>
      <c r="AD191" s="492"/>
      <c r="AE191" s="14"/>
      <c r="AF191" s="493"/>
      <c r="AG191" s="206"/>
      <c r="AH191" s="202"/>
      <c r="AI191" s="202"/>
      <c r="AJ191" s="202"/>
      <c r="AK191" s="202"/>
      <c r="AL191" s="202"/>
      <c r="AM191" s="202"/>
      <c r="AN191" s="202"/>
      <c r="AO191" s="202"/>
      <c r="AP191" s="494"/>
      <c r="AQ191" s="493"/>
      <c r="AR191" s="14"/>
      <c r="AS191" s="495"/>
      <c r="AT191" s="491"/>
      <c r="AU191" s="14"/>
      <c r="AV191" s="14"/>
      <c r="AW191" s="165"/>
      <c r="AX191" s="496"/>
      <c r="AY191" s="165"/>
      <c r="AZ191" s="165"/>
      <c r="BA191" s="165"/>
      <c r="BB191" s="165"/>
      <c r="BC191" s="165"/>
      <c r="BD191" s="84"/>
      <c r="BE191" s="84"/>
      <c r="BF191" s="84"/>
      <c r="BG191" s="84"/>
      <c r="BH191" s="84"/>
    </row>
    <row r="192" spans="1:60" x14ac:dyDescent="0.25">
      <c r="A192" s="14"/>
      <c r="B192" s="483"/>
      <c r="C192" s="14"/>
      <c r="D192" s="202"/>
      <c r="E192" s="282"/>
      <c r="F192" s="202"/>
      <c r="G192" s="202"/>
      <c r="H192" s="202"/>
      <c r="I192" s="484"/>
      <c r="J192" s="485"/>
      <c r="K192" s="485"/>
      <c r="L192" s="485"/>
      <c r="M192" s="486" t="str">
        <f t="shared" si="51"/>
        <v xml:space="preserve">  </v>
      </c>
      <c r="N192" s="979"/>
      <c r="O192" s="979"/>
      <c r="P192" s="979"/>
      <c r="Q192" s="979"/>
      <c r="R192" s="988"/>
      <c r="S192" s="206"/>
      <c r="T192" s="488"/>
      <c r="U192" s="489"/>
      <c r="V192" s="490"/>
      <c r="W192" s="206"/>
      <c r="X192" s="990"/>
      <c r="Y192" s="491"/>
      <c r="Z192" s="202"/>
      <c r="AA192" s="491"/>
      <c r="AB192" s="491"/>
      <c r="AC192" s="14"/>
      <c r="AD192" s="492"/>
      <c r="AE192" s="14"/>
      <c r="AF192" s="493"/>
      <c r="AG192" s="206"/>
      <c r="AH192" s="202"/>
      <c r="AI192" s="202"/>
      <c r="AJ192" s="202"/>
      <c r="AK192" s="202"/>
      <c r="AL192" s="202"/>
      <c r="AM192" s="202"/>
      <c r="AN192" s="202"/>
      <c r="AO192" s="202"/>
      <c r="AP192" s="494"/>
      <c r="AQ192" s="493"/>
      <c r="AR192" s="14"/>
      <c r="AS192" s="495"/>
      <c r="AT192" s="491"/>
      <c r="AU192" s="14"/>
      <c r="AV192" s="14"/>
      <c r="AW192" s="165"/>
      <c r="AX192" s="496"/>
      <c r="AY192" s="165"/>
      <c r="AZ192" s="165"/>
      <c r="BA192" s="165"/>
      <c r="BB192" s="165"/>
      <c r="BC192" s="165"/>
      <c r="BD192" s="84"/>
      <c r="BE192" s="84"/>
      <c r="BF192" s="84"/>
      <c r="BG192" s="84"/>
      <c r="BH192" s="84"/>
    </row>
    <row r="193" spans="1:60" x14ac:dyDescent="0.25">
      <c r="A193" s="14"/>
      <c r="B193" s="483"/>
      <c r="C193" s="14"/>
      <c r="D193" s="202"/>
      <c r="E193" s="282"/>
      <c r="F193" s="202"/>
      <c r="G193" s="202"/>
      <c r="H193" s="202"/>
      <c r="I193" s="484"/>
      <c r="J193" s="485"/>
      <c r="K193" s="485"/>
      <c r="L193" s="485"/>
      <c r="M193" s="486" t="str">
        <f t="shared" si="51"/>
        <v xml:space="preserve">  </v>
      </c>
      <c r="N193" s="979"/>
      <c r="O193" s="979"/>
      <c r="P193" s="979"/>
      <c r="Q193" s="979"/>
      <c r="R193" s="988"/>
      <c r="S193" s="206"/>
      <c r="T193" s="488"/>
      <c r="U193" s="489"/>
      <c r="V193" s="490"/>
      <c r="W193" s="206"/>
      <c r="X193" s="990"/>
      <c r="Y193" s="491"/>
      <c r="Z193" s="202"/>
      <c r="AA193" s="491"/>
      <c r="AB193" s="491"/>
      <c r="AC193" s="14"/>
      <c r="AD193" s="492"/>
      <c r="AE193" s="14"/>
      <c r="AF193" s="493"/>
      <c r="AG193" s="206"/>
      <c r="AH193" s="202"/>
      <c r="AI193" s="202"/>
      <c r="AJ193" s="202"/>
      <c r="AK193" s="202"/>
      <c r="AL193" s="202"/>
      <c r="AM193" s="202"/>
      <c r="AN193" s="202"/>
      <c r="AO193" s="202"/>
      <c r="AP193" s="494"/>
      <c r="AQ193" s="493"/>
      <c r="AR193" s="14"/>
      <c r="AS193" s="495"/>
      <c r="AT193" s="491"/>
      <c r="AU193" s="14"/>
      <c r="AV193" s="14"/>
      <c r="AW193" s="165"/>
      <c r="AX193" s="496"/>
      <c r="AY193" s="165"/>
      <c r="AZ193" s="165"/>
      <c r="BA193" s="165"/>
      <c r="BB193" s="165"/>
      <c r="BC193" s="165"/>
      <c r="BD193" s="84"/>
      <c r="BE193" s="84"/>
      <c r="BF193" s="84"/>
      <c r="BG193" s="84"/>
      <c r="BH193" s="84"/>
    </row>
    <row r="194" spans="1:60" x14ac:dyDescent="0.25">
      <c r="A194" s="14"/>
      <c r="B194" s="483"/>
      <c r="C194" s="14"/>
      <c r="D194" s="202"/>
      <c r="E194" s="282"/>
      <c r="F194" s="202"/>
      <c r="G194" s="202"/>
      <c r="H194" s="202"/>
      <c r="I194" s="484"/>
      <c r="J194" s="485"/>
      <c r="K194" s="485"/>
      <c r="L194" s="485"/>
      <c r="M194" s="486" t="str">
        <f t="shared" si="51"/>
        <v xml:space="preserve">  </v>
      </c>
      <c r="N194" s="979"/>
      <c r="O194" s="979"/>
      <c r="P194" s="979"/>
      <c r="Q194" s="979"/>
      <c r="R194" s="988"/>
      <c r="S194" s="206"/>
      <c r="T194" s="488"/>
      <c r="U194" s="489"/>
      <c r="V194" s="490"/>
      <c r="W194" s="206"/>
      <c r="X194" s="990"/>
      <c r="Y194" s="491"/>
      <c r="Z194" s="202"/>
      <c r="AA194" s="491"/>
      <c r="AB194" s="491"/>
      <c r="AC194" s="14"/>
      <c r="AD194" s="492"/>
      <c r="AE194" s="14"/>
      <c r="AF194" s="493"/>
      <c r="AG194" s="206"/>
      <c r="AH194" s="202"/>
      <c r="AI194" s="202"/>
      <c r="AJ194" s="202"/>
      <c r="AK194" s="202"/>
      <c r="AL194" s="202"/>
      <c r="AM194" s="202"/>
      <c r="AN194" s="202"/>
      <c r="AO194" s="202"/>
      <c r="AP194" s="494"/>
      <c r="AQ194" s="493"/>
      <c r="AR194" s="14"/>
      <c r="AS194" s="495"/>
      <c r="AT194" s="491"/>
      <c r="AU194" s="14"/>
      <c r="AV194" s="14"/>
      <c r="AW194" s="165"/>
      <c r="AX194" s="496"/>
      <c r="AY194" s="165"/>
      <c r="AZ194" s="165"/>
      <c r="BA194" s="165"/>
      <c r="BB194" s="165"/>
      <c r="BC194" s="165"/>
      <c r="BD194" s="84"/>
      <c r="BE194" s="84"/>
      <c r="BF194" s="84"/>
      <c r="BG194" s="84"/>
      <c r="BH194" s="84"/>
    </row>
    <row r="195" spans="1:60" x14ac:dyDescent="0.25">
      <c r="A195" s="14"/>
      <c r="B195" s="483"/>
      <c r="C195" s="14"/>
      <c r="D195" s="202"/>
      <c r="E195" s="282"/>
      <c r="F195" s="202"/>
      <c r="G195" s="202"/>
      <c r="H195" s="202"/>
      <c r="I195" s="484"/>
      <c r="J195" s="485"/>
      <c r="K195" s="485"/>
      <c r="L195" s="485"/>
      <c r="M195" s="486" t="str">
        <f t="shared" si="51"/>
        <v xml:space="preserve">  </v>
      </c>
      <c r="N195" s="979"/>
      <c r="O195" s="979"/>
      <c r="P195" s="979"/>
      <c r="Q195" s="979"/>
      <c r="R195" s="988"/>
      <c r="S195" s="206"/>
      <c r="T195" s="488"/>
      <c r="U195" s="489"/>
      <c r="V195" s="490"/>
      <c r="W195" s="206"/>
      <c r="X195" s="990"/>
      <c r="Y195" s="491"/>
      <c r="Z195" s="202"/>
      <c r="AA195" s="491"/>
      <c r="AB195" s="491"/>
      <c r="AC195" s="14"/>
      <c r="AD195" s="492"/>
      <c r="AE195" s="14"/>
      <c r="AF195" s="493"/>
      <c r="AG195" s="206"/>
      <c r="AH195" s="202"/>
      <c r="AI195" s="202"/>
      <c r="AJ195" s="202"/>
      <c r="AK195" s="202"/>
      <c r="AL195" s="202"/>
      <c r="AM195" s="202"/>
      <c r="AN195" s="202"/>
      <c r="AO195" s="202"/>
      <c r="AP195" s="494"/>
      <c r="AQ195" s="493"/>
      <c r="AR195" s="14"/>
      <c r="AS195" s="495"/>
      <c r="AT195" s="491"/>
      <c r="AU195" s="14"/>
      <c r="AV195" s="14"/>
      <c r="AW195" s="165"/>
      <c r="AX195" s="496"/>
      <c r="AY195" s="165"/>
      <c r="AZ195" s="165"/>
      <c r="BA195" s="165"/>
      <c r="BB195" s="165"/>
      <c r="BC195" s="165"/>
      <c r="BD195" s="84"/>
      <c r="BE195" s="84"/>
      <c r="BF195" s="84"/>
      <c r="BG195" s="84"/>
      <c r="BH195" s="84"/>
    </row>
    <row r="196" spans="1:60" x14ac:dyDescent="0.25">
      <c r="A196" s="14"/>
      <c r="B196" s="483"/>
      <c r="C196" s="14"/>
      <c r="D196" s="202"/>
      <c r="E196" s="282"/>
      <c r="F196" s="202"/>
      <c r="G196" s="202"/>
      <c r="H196" s="202"/>
      <c r="I196" s="484"/>
      <c r="J196" s="485"/>
      <c r="K196" s="485"/>
      <c r="L196" s="485"/>
      <c r="M196" s="486" t="str">
        <f t="shared" si="51"/>
        <v xml:space="preserve">  </v>
      </c>
      <c r="N196" s="979"/>
      <c r="O196" s="979"/>
      <c r="P196" s="979"/>
      <c r="Q196" s="979"/>
      <c r="R196" s="988"/>
      <c r="S196" s="206"/>
      <c r="T196" s="488"/>
      <c r="U196" s="489"/>
      <c r="V196" s="490"/>
      <c r="W196" s="206"/>
      <c r="X196" s="990"/>
      <c r="Y196" s="491"/>
      <c r="Z196" s="202"/>
      <c r="AA196" s="491"/>
      <c r="AB196" s="491"/>
      <c r="AC196" s="14"/>
      <c r="AD196" s="492"/>
      <c r="AE196" s="14"/>
      <c r="AF196" s="493"/>
      <c r="AG196" s="206"/>
      <c r="AH196" s="202"/>
      <c r="AI196" s="202"/>
      <c r="AJ196" s="202"/>
      <c r="AK196" s="202"/>
      <c r="AL196" s="202"/>
      <c r="AM196" s="202"/>
      <c r="AN196" s="202"/>
      <c r="AO196" s="202"/>
      <c r="AP196" s="494"/>
      <c r="AQ196" s="493"/>
      <c r="AR196" s="14"/>
      <c r="AS196" s="495"/>
      <c r="AT196" s="491"/>
      <c r="AU196" s="14"/>
      <c r="AV196" s="14"/>
      <c r="AW196" s="165"/>
      <c r="AX196" s="496"/>
      <c r="AY196" s="165"/>
      <c r="AZ196" s="165"/>
      <c r="BA196" s="165"/>
      <c r="BB196" s="165"/>
      <c r="BC196" s="165"/>
      <c r="BD196" s="84"/>
      <c r="BE196" s="84"/>
      <c r="BF196" s="84"/>
      <c r="BG196" s="84"/>
      <c r="BH196" s="84"/>
    </row>
    <row r="197" spans="1:60" x14ac:dyDescent="0.25">
      <c r="A197" s="14"/>
      <c r="B197" s="483"/>
      <c r="C197" s="14"/>
      <c r="D197" s="202"/>
      <c r="E197" s="282"/>
      <c r="F197" s="202"/>
      <c r="G197" s="202"/>
      <c r="H197" s="202"/>
      <c r="I197" s="484"/>
      <c r="J197" s="485"/>
      <c r="K197" s="485"/>
      <c r="L197" s="485"/>
      <c r="M197" s="486" t="str">
        <f t="shared" si="51"/>
        <v xml:space="preserve">  </v>
      </c>
      <c r="N197" s="979"/>
      <c r="O197" s="979"/>
      <c r="P197" s="979"/>
      <c r="Q197" s="979"/>
      <c r="R197" s="988"/>
      <c r="S197" s="206"/>
      <c r="T197" s="488"/>
      <c r="U197" s="489"/>
      <c r="V197" s="490"/>
      <c r="W197" s="206"/>
      <c r="X197" s="990"/>
      <c r="Y197" s="491"/>
      <c r="Z197" s="202"/>
      <c r="AA197" s="491"/>
      <c r="AB197" s="491"/>
      <c r="AC197" s="14"/>
      <c r="AD197" s="492"/>
      <c r="AE197" s="14"/>
      <c r="AF197" s="493"/>
      <c r="AG197" s="206"/>
      <c r="AH197" s="202"/>
      <c r="AI197" s="202"/>
      <c r="AJ197" s="202"/>
      <c r="AK197" s="202"/>
      <c r="AL197" s="202"/>
      <c r="AM197" s="202"/>
      <c r="AN197" s="202"/>
      <c r="AO197" s="202"/>
      <c r="AP197" s="494"/>
      <c r="AQ197" s="493"/>
      <c r="AR197" s="14"/>
      <c r="AS197" s="495"/>
      <c r="AT197" s="491"/>
      <c r="AU197" s="14"/>
      <c r="AV197" s="14"/>
      <c r="AW197" s="165"/>
      <c r="AX197" s="496"/>
      <c r="AY197" s="165"/>
      <c r="AZ197" s="165"/>
      <c r="BA197" s="165"/>
      <c r="BB197" s="165"/>
      <c r="BC197" s="165"/>
      <c r="BD197" s="84"/>
      <c r="BE197" s="84"/>
      <c r="BF197" s="84"/>
      <c r="BG197" s="84"/>
      <c r="BH197" s="84"/>
    </row>
    <row r="198" spans="1:60" x14ac:dyDescent="0.25">
      <c r="A198" s="14"/>
      <c r="B198" s="483"/>
      <c r="C198" s="14"/>
      <c r="D198" s="202"/>
      <c r="E198" s="282"/>
      <c r="F198" s="202"/>
      <c r="G198" s="202"/>
      <c r="H198" s="202"/>
      <c r="I198" s="484"/>
      <c r="J198" s="485"/>
      <c r="K198" s="485"/>
      <c r="L198" s="485"/>
      <c r="M198" s="486" t="str">
        <f t="shared" si="51"/>
        <v xml:space="preserve">  </v>
      </c>
      <c r="N198" s="979"/>
      <c r="O198" s="979"/>
      <c r="P198" s="979"/>
      <c r="Q198" s="979"/>
      <c r="R198" s="988"/>
      <c r="S198" s="206"/>
      <c r="T198" s="488"/>
      <c r="U198" s="489"/>
      <c r="V198" s="490"/>
      <c r="W198" s="206"/>
      <c r="X198" s="990"/>
      <c r="Y198" s="491"/>
      <c r="Z198" s="202"/>
      <c r="AA198" s="491"/>
      <c r="AB198" s="491"/>
      <c r="AC198" s="14"/>
      <c r="AD198" s="492"/>
      <c r="AE198" s="14"/>
      <c r="AF198" s="493"/>
      <c r="AG198" s="206"/>
      <c r="AH198" s="202"/>
      <c r="AI198" s="202"/>
      <c r="AJ198" s="202"/>
      <c r="AK198" s="202"/>
      <c r="AL198" s="202"/>
      <c r="AM198" s="202"/>
      <c r="AN198" s="202"/>
      <c r="AO198" s="202"/>
      <c r="AP198" s="494"/>
      <c r="AQ198" s="493"/>
      <c r="AR198" s="14"/>
      <c r="AS198" s="495"/>
      <c r="AT198" s="491"/>
      <c r="AU198" s="14"/>
      <c r="AV198" s="14"/>
      <c r="AW198" s="165"/>
      <c r="AX198" s="496"/>
      <c r="AY198" s="165"/>
      <c r="AZ198" s="165"/>
      <c r="BA198" s="165"/>
      <c r="BB198" s="165"/>
      <c r="BC198" s="165"/>
      <c r="BD198" s="84"/>
      <c r="BE198" s="84"/>
      <c r="BF198" s="84"/>
      <c r="BG198" s="84"/>
      <c r="BH198" s="84"/>
    </row>
    <row r="199" spans="1:60" x14ac:dyDescent="0.25">
      <c r="A199" s="14"/>
      <c r="B199" s="483"/>
      <c r="C199" s="14"/>
      <c r="D199" s="202"/>
      <c r="E199" s="282"/>
      <c r="F199" s="202"/>
      <c r="G199" s="202"/>
      <c r="H199" s="202"/>
      <c r="I199" s="484"/>
      <c r="J199" s="485"/>
      <c r="K199" s="485"/>
      <c r="L199" s="485"/>
      <c r="M199" s="486" t="str">
        <f t="shared" si="51"/>
        <v xml:space="preserve">  </v>
      </c>
      <c r="N199" s="979"/>
      <c r="O199" s="979"/>
      <c r="P199" s="979"/>
      <c r="Q199" s="979"/>
      <c r="R199" s="988"/>
      <c r="S199" s="206"/>
      <c r="T199" s="488"/>
      <c r="U199" s="489"/>
      <c r="V199" s="490"/>
      <c r="W199" s="206"/>
      <c r="X199" s="990"/>
      <c r="Y199" s="491"/>
      <c r="Z199" s="202"/>
      <c r="AA199" s="491"/>
      <c r="AB199" s="491"/>
      <c r="AC199" s="14"/>
      <c r="AD199" s="492"/>
      <c r="AE199" s="14"/>
      <c r="AF199" s="493"/>
      <c r="AG199" s="206"/>
      <c r="AH199" s="202"/>
      <c r="AI199" s="202"/>
      <c r="AJ199" s="202"/>
      <c r="AK199" s="202"/>
      <c r="AL199" s="202"/>
      <c r="AM199" s="202"/>
      <c r="AN199" s="202"/>
      <c r="AO199" s="202"/>
      <c r="AP199" s="494"/>
      <c r="AQ199" s="493"/>
      <c r="AR199" s="14"/>
      <c r="AS199" s="495"/>
      <c r="AT199" s="491"/>
      <c r="AU199" s="14"/>
      <c r="AV199" s="14"/>
      <c r="AW199" s="165"/>
      <c r="AX199" s="496"/>
      <c r="AY199" s="165"/>
      <c r="AZ199" s="165"/>
      <c r="BA199" s="165"/>
      <c r="BB199" s="165"/>
      <c r="BC199" s="165"/>
      <c r="BD199" s="84"/>
      <c r="BE199" s="84"/>
      <c r="BF199" s="84"/>
      <c r="BG199" s="84"/>
      <c r="BH199" s="84"/>
    </row>
    <row r="200" spans="1:60" x14ac:dyDescent="0.25">
      <c r="A200" s="14"/>
      <c r="B200" s="483"/>
      <c r="C200" s="14"/>
      <c r="D200" s="202"/>
      <c r="E200" s="282"/>
      <c r="F200" s="202"/>
      <c r="G200" s="202"/>
      <c r="H200" s="202"/>
      <c r="I200" s="484"/>
      <c r="J200" s="485"/>
      <c r="K200" s="485"/>
      <c r="L200" s="485"/>
      <c r="M200" s="486" t="str">
        <f t="shared" si="51"/>
        <v xml:space="preserve">  </v>
      </c>
      <c r="N200" s="979"/>
      <c r="O200" s="979"/>
      <c r="P200" s="979"/>
      <c r="Q200" s="979"/>
      <c r="R200" s="988"/>
      <c r="S200" s="206"/>
      <c r="T200" s="488"/>
      <c r="U200" s="489"/>
      <c r="V200" s="490"/>
      <c r="W200" s="206"/>
      <c r="X200" s="990"/>
      <c r="Y200" s="491"/>
      <c r="Z200" s="202"/>
      <c r="AA200" s="491"/>
      <c r="AB200" s="491"/>
      <c r="AC200" s="14"/>
      <c r="AD200" s="492"/>
      <c r="AE200" s="14"/>
      <c r="AF200" s="493"/>
      <c r="AG200" s="206"/>
      <c r="AH200" s="202"/>
      <c r="AI200" s="202"/>
      <c r="AJ200" s="202"/>
      <c r="AK200" s="202"/>
      <c r="AL200" s="202"/>
      <c r="AM200" s="202"/>
      <c r="AN200" s="202"/>
      <c r="AO200" s="202"/>
      <c r="AP200" s="494"/>
      <c r="AQ200" s="493"/>
      <c r="AR200" s="14"/>
      <c r="AS200" s="495"/>
      <c r="AT200" s="491"/>
      <c r="AU200" s="14"/>
      <c r="AV200" s="14"/>
      <c r="AW200" s="165"/>
      <c r="AX200" s="496"/>
      <c r="AY200" s="165"/>
      <c r="AZ200" s="165"/>
      <c r="BA200" s="165"/>
      <c r="BB200" s="165"/>
      <c r="BC200" s="165"/>
      <c r="BD200" s="84"/>
      <c r="BE200" s="84"/>
      <c r="BF200" s="84"/>
      <c r="BG200" s="84"/>
      <c r="BH200" s="84"/>
    </row>
    <row r="201" spans="1:60" x14ac:dyDescent="0.25">
      <c r="A201" s="14"/>
      <c r="B201" s="483"/>
      <c r="C201" s="14"/>
      <c r="D201" s="202"/>
      <c r="E201" s="282"/>
      <c r="F201" s="202"/>
      <c r="G201" s="202"/>
      <c r="H201" s="202"/>
      <c r="I201" s="484"/>
      <c r="J201" s="485"/>
      <c r="K201" s="485"/>
      <c r="L201" s="485"/>
      <c r="M201" s="486" t="str">
        <f t="shared" si="51"/>
        <v xml:space="preserve">  </v>
      </c>
      <c r="N201" s="979"/>
      <c r="O201" s="979"/>
      <c r="P201" s="979"/>
      <c r="Q201" s="979"/>
      <c r="R201" s="988"/>
      <c r="S201" s="206"/>
      <c r="T201" s="488"/>
      <c r="U201" s="489"/>
      <c r="V201" s="490"/>
      <c r="W201" s="206"/>
      <c r="X201" s="990"/>
      <c r="Y201" s="491"/>
      <c r="Z201" s="202"/>
      <c r="AA201" s="491"/>
      <c r="AB201" s="491"/>
      <c r="AC201" s="14"/>
      <c r="AD201" s="492"/>
      <c r="AE201" s="14"/>
      <c r="AF201" s="493"/>
      <c r="AG201" s="206"/>
      <c r="AH201" s="202"/>
      <c r="AI201" s="202"/>
      <c r="AJ201" s="202"/>
      <c r="AK201" s="202"/>
      <c r="AL201" s="202"/>
      <c r="AM201" s="202"/>
      <c r="AN201" s="202"/>
      <c r="AO201" s="202"/>
      <c r="AP201" s="494"/>
      <c r="AQ201" s="493"/>
      <c r="AR201" s="14"/>
      <c r="AS201" s="495"/>
      <c r="AT201" s="491"/>
      <c r="AU201" s="14"/>
      <c r="AV201" s="14"/>
      <c r="AW201" s="165"/>
      <c r="AX201" s="496"/>
      <c r="AY201" s="165"/>
      <c r="AZ201" s="165"/>
      <c r="BA201" s="165"/>
      <c r="BB201" s="165"/>
      <c r="BC201" s="165"/>
      <c r="BD201" s="84"/>
      <c r="BE201" s="84"/>
      <c r="BF201" s="84"/>
      <c r="BG201" s="84"/>
      <c r="BH201" s="84"/>
    </row>
    <row r="202" spans="1:60" x14ac:dyDescent="0.25">
      <c r="A202" s="14"/>
      <c r="B202" s="483"/>
      <c r="C202" s="14"/>
      <c r="D202" s="202"/>
      <c r="E202" s="282"/>
      <c r="F202" s="202"/>
      <c r="G202" s="202"/>
      <c r="H202" s="202"/>
      <c r="I202" s="484"/>
      <c r="J202" s="485"/>
      <c r="K202" s="485"/>
      <c r="L202" s="485"/>
      <c r="M202" s="486" t="str">
        <f t="shared" si="51"/>
        <v xml:space="preserve">  </v>
      </c>
      <c r="N202" s="979"/>
      <c r="O202" s="979"/>
      <c r="P202" s="979"/>
      <c r="Q202" s="979"/>
      <c r="R202" s="988"/>
      <c r="S202" s="206"/>
      <c r="T202" s="488"/>
      <c r="U202" s="489"/>
      <c r="V202" s="490"/>
      <c r="W202" s="206"/>
      <c r="X202" s="990"/>
      <c r="Y202" s="491"/>
      <c r="Z202" s="202"/>
      <c r="AA202" s="491"/>
      <c r="AB202" s="491"/>
      <c r="AC202" s="14"/>
      <c r="AD202" s="492"/>
      <c r="AE202" s="14"/>
      <c r="AF202" s="493"/>
      <c r="AG202" s="206"/>
      <c r="AH202" s="202"/>
      <c r="AI202" s="202"/>
      <c r="AJ202" s="202"/>
      <c r="AK202" s="202"/>
      <c r="AL202" s="202"/>
      <c r="AM202" s="202"/>
      <c r="AN202" s="202"/>
      <c r="AO202" s="202"/>
      <c r="AP202" s="494"/>
      <c r="AQ202" s="493"/>
      <c r="AR202" s="14"/>
      <c r="AS202" s="495"/>
      <c r="AT202" s="491"/>
      <c r="AU202" s="14"/>
      <c r="AV202" s="14"/>
      <c r="AW202" s="165"/>
      <c r="AX202" s="496"/>
      <c r="AY202" s="165"/>
      <c r="AZ202" s="165"/>
      <c r="BA202" s="165"/>
      <c r="BB202" s="165"/>
      <c r="BC202" s="165"/>
      <c r="BD202" s="84"/>
      <c r="BE202" s="84"/>
      <c r="BF202" s="84"/>
      <c r="BG202" s="84"/>
      <c r="BH202" s="84"/>
    </row>
    <row r="203" spans="1:60" x14ac:dyDescent="0.25">
      <c r="A203" s="14"/>
      <c r="B203" s="483"/>
      <c r="C203" s="14"/>
      <c r="D203" s="202"/>
      <c r="E203" s="282"/>
      <c r="F203" s="202"/>
      <c r="G203" s="202"/>
      <c r="H203" s="202"/>
      <c r="I203" s="484"/>
      <c r="J203" s="485"/>
      <c r="K203" s="485"/>
      <c r="L203" s="485"/>
      <c r="M203" s="486" t="str">
        <f t="shared" si="51"/>
        <v xml:space="preserve">  </v>
      </c>
      <c r="N203" s="979"/>
      <c r="O203" s="979"/>
      <c r="P203" s="979"/>
      <c r="Q203" s="979"/>
      <c r="R203" s="988"/>
      <c r="S203" s="206"/>
      <c r="T203" s="488"/>
      <c r="U203" s="489"/>
      <c r="V203" s="490"/>
      <c r="W203" s="206"/>
      <c r="X203" s="990"/>
      <c r="Y203" s="491"/>
      <c r="Z203" s="202"/>
      <c r="AA203" s="491"/>
      <c r="AB203" s="491"/>
      <c r="AC203" s="14"/>
      <c r="AD203" s="492"/>
      <c r="AE203" s="14"/>
      <c r="AF203" s="493"/>
      <c r="AG203" s="206"/>
      <c r="AH203" s="202"/>
      <c r="AI203" s="202"/>
      <c r="AJ203" s="202"/>
      <c r="AK203" s="202"/>
      <c r="AL203" s="202"/>
      <c r="AM203" s="202"/>
      <c r="AN203" s="202"/>
      <c r="AO203" s="202"/>
      <c r="AP203" s="494"/>
      <c r="AQ203" s="493"/>
      <c r="AR203" s="14"/>
      <c r="AS203" s="495"/>
      <c r="AT203" s="491"/>
      <c r="AU203" s="14"/>
      <c r="AV203" s="14"/>
      <c r="AW203" s="165"/>
      <c r="AX203" s="496"/>
      <c r="AY203" s="165"/>
      <c r="AZ203" s="165"/>
      <c r="BA203" s="165"/>
      <c r="BB203" s="165"/>
      <c r="BC203" s="165"/>
      <c r="BD203" s="84"/>
      <c r="BE203" s="84"/>
      <c r="BF203" s="84"/>
      <c r="BG203" s="84"/>
      <c r="BH203" s="84"/>
    </row>
    <row r="204" spans="1:60" x14ac:dyDescent="0.25">
      <c r="A204" s="14"/>
      <c r="B204" s="483"/>
      <c r="C204" s="14"/>
      <c r="D204" s="202"/>
      <c r="E204" s="282"/>
      <c r="F204" s="202"/>
      <c r="G204" s="202"/>
      <c r="H204" s="202"/>
      <c r="I204" s="484"/>
      <c r="J204" s="485"/>
      <c r="K204" s="485"/>
      <c r="L204" s="485"/>
      <c r="M204" s="486" t="str">
        <f t="shared" si="51"/>
        <v xml:space="preserve">  </v>
      </c>
      <c r="N204" s="979"/>
      <c r="O204" s="979"/>
      <c r="P204" s="979"/>
      <c r="Q204" s="979"/>
      <c r="R204" s="988"/>
      <c r="S204" s="206"/>
      <c r="T204" s="488"/>
      <c r="U204" s="489"/>
      <c r="V204" s="490"/>
      <c r="W204" s="206"/>
      <c r="X204" s="990"/>
      <c r="Y204" s="491"/>
      <c r="Z204" s="202"/>
      <c r="AA204" s="491"/>
      <c r="AB204" s="491"/>
      <c r="AC204" s="14"/>
      <c r="AD204" s="492"/>
      <c r="AE204" s="14"/>
      <c r="AF204" s="493"/>
      <c r="AG204" s="206"/>
      <c r="AH204" s="202"/>
      <c r="AI204" s="202"/>
      <c r="AJ204" s="202"/>
      <c r="AK204" s="202"/>
      <c r="AL204" s="202"/>
      <c r="AM204" s="202"/>
      <c r="AN204" s="202"/>
      <c r="AO204" s="202"/>
      <c r="AP204" s="494"/>
      <c r="AQ204" s="493"/>
      <c r="AR204" s="14"/>
      <c r="AS204" s="495"/>
      <c r="AT204" s="491"/>
      <c r="AU204" s="14"/>
      <c r="AV204" s="14"/>
      <c r="AW204" s="165"/>
      <c r="AX204" s="496"/>
      <c r="AY204" s="165"/>
      <c r="AZ204" s="165"/>
      <c r="BA204" s="165"/>
      <c r="BB204" s="165"/>
      <c r="BC204" s="165"/>
      <c r="BD204" s="84"/>
      <c r="BE204" s="84"/>
      <c r="BF204" s="84"/>
      <c r="BG204" s="84"/>
      <c r="BH204" s="84"/>
    </row>
    <row r="205" spans="1:60" x14ac:dyDescent="0.25">
      <c r="A205" s="14"/>
      <c r="B205" s="483"/>
      <c r="C205" s="14"/>
      <c r="D205" s="202"/>
      <c r="E205" s="282"/>
      <c r="F205" s="202"/>
      <c r="G205" s="202"/>
      <c r="H205" s="202"/>
      <c r="I205" s="484"/>
      <c r="J205" s="485"/>
      <c r="K205" s="485"/>
      <c r="L205" s="485"/>
      <c r="M205" s="486" t="str">
        <f t="shared" si="51"/>
        <v xml:space="preserve">  </v>
      </c>
      <c r="N205" s="979"/>
      <c r="O205" s="979"/>
      <c r="P205" s="979"/>
      <c r="Q205" s="979"/>
      <c r="R205" s="988"/>
      <c r="S205" s="206"/>
      <c r="T205" s="488"/>
      <c r="U205" s="489"/>
      <c r="V205" s="490"/>
      <c r="W205" s="206"/>
      <c r="X205" s="990"/>
      <c r="Y205" s="491"/>
      <c r="Z205" s="202"/>
      <c r="AA205" s="491"/>
      <c r="AB205" s="491"/>
      <c r="AC205" s="14"/>
      <c r="AD205" s="492"/>
      <c r="AE205" s="14"/>
      <c r="AF205" s="493"/>
      <c r="AG205" s="206"/>
      <c r="AH205" s="202"/>
      <c r="AI205" s="202"/>
      <c r="AJ205" s="202"/>
      <c r="AK205" s="202"/>
      <c r="AL205" s="202"/>
      <c r="AM205" s="202"/>
      <c r="AN205" s="202"/>
      <c r="AO205" s="202"/>
      <c r="AP205" s="494"/>
      <c r="AQ205" s="493"/>
      <c r="AR205" s="14"/>
      <c r="AS205" s="495"/>
      <c r="AT205" s="491"/>
      <c r="AU205" s="14"/>
      <c r="AV205" s="14"/>
      <c r="AW205" s="165"/>
      <c r="AX205" s="496"/>
      <c r="AY205" s="165"/>
      <c r="AZ205" s="165"/>
      <c r="BA205" s="165"/>
      <c r="BB205" s="165"/>
      <c r="BC205" s="165"/>
      <c r="BD205" s="84"/>
      <c r="BE205" s="84"/>
      <c r="BF205" s="84"/>
      <c r="BG205" s="84"/>
      <c r="BH205" s="84"/>
    </row>
    <row r="206" spans="1:60" x14ac:dyDescent="0.25">
      <c r="A206" s="14"/>
      <c r="B206" s="483"/>
      <c r="C206" s="14"/>
      <c r="D206" s="202"/>
      <c r="E206" s="282"/>
      <c r="F206" s="202"/>
      <c r="G206" s="202"/>
      <c r="H206" s="202"/>
      <c r="I206" s="484"/>
      <c r="J206" s="485"/>
      <c r="K206" s="485"/>
      <c r="L206" s="485"/>
      <c r="M206" s="486" t="str">
        <f t="shared" si="51"/>
        <v xml:space="preserve">  </v>
      </c>
      <c r="N206" s="979"/>
      <c r="O206" s="979"/>
      <c r="P206" s="979"/>
      <c r="Q206" s="979"/>
      <c r="R206" s="988"/>
      <c r="S206" s="206"/>
      <c r="T206" s="488"/>
      <c r="U206" s="489"/>
      <c r="V206" s="490"/>
      <c r="W206" s="206"/>
      <c r="X206" s="990"/>
      <c r="Y206" s="491"/>
      <c r="Z206" s="202"/>
      <c r="AA206" s="491"/>
      <c r="AB206" s="491"/>
      <c r="AC206" s="14"/>
      <c r="AD206" s="492"/>
      <c r="AE206" s="14"/>
      <c r="AF206" s="493"/>
      <c r="AG206" s="206"/>
      <c r="AH206" s="202"/>
      <c r="AI206" s="202"/>
      <c r="AJ206" s="202"/>
      <c r="AK206" s="202"/>
      <c r="AL206" s="202"/>
      <c r="AM206" s="202"/>
      <c r="AN206" s="202"/>
      <c r="AO206" s="202"/>
      <c r="AP206" s="494"/>
      <c r="AQ206" s="493"/>
      <c r="AR206" s="14"/>
      <c r="AS206" s="495"/>
      <c r="AT206" s="491"/>
      <c r="AU206" s="14"/>
      <c r="AV206" s="14"/>
      <c r="AW206" s="165"/>
      <c r="AX206" s="496"/>
      <c r="AY206" s="165"/>
      <c r="AZ206" s="165"/>
      <c r="BA206" s="165"/>
      <c r="BB206" s="165"/>
      <c r="BC206" s="165"/>
      <c r="BD206" s="84"/>
      <c r="BE206" s="84"/>
      <c r="BF206" s="84"/>
      <c r="BG206" s="84"/>
      <c r="BH206" s="84"/>
    </row>
    <row r="207" spans="1:60" x14ac:dyDescent="0.25">
      <c r="A207" s="14"/>
      <c r="B207" s="483"/>
      <c r="C207" s="14"/>
      <c r="D207" s="202"/>
      <c r="E207" s="282"/>
      <c r="F207" s="202"/>
      <c r="G207" s="202"/>
      <c r="H207" s="202"/>
      <c r="I207" s="484"/>
      <c r="J207" s="485"/>
      <c r="K207" s="485"/>
      <c r="L207" s="485"/>
      <c r="M207" s="486" t="str">
        <f t="shared" si="51"/>
        <v xml:space="preserve">  </v>
      </c>
      <c r="N207" s="979"/>
      <c r="O207" s="979"/>
      <c r="P207" s="979"/>
      <c r="Q207" s="979"/>
      <c r="R207" s="988"/>
      <c r="S207" s="206"/>
      <c r="T207" s="488"/>
      <c r="U207" s="489"/>
      <c r="V207" s="490"/>
      <c r="W207" s="206"/>
      <c r="X207" s="990"/>
      <c r="Y207" s="491"/>
      <c r="Z207" s="202"/>
      <c r="AA207" s="491"/>
      <c r="AB207" s="491"/>
      <c r="AC207" s="14"/>
      <c r="AD207" s="492"/>
      <c r="AE207" s="14"/>
      <c r="AF207" s="493"/>
      <c r="AG207" s="206"/>
      <c r="AH207" s="202"/>
      <c r="AI207" s="202"/>
      <c r="AJ207" s="202"/>
      <c r="AK207" s="202"/>
      <c r="AL207" s="202"/>
      <c r="AM207" s="202"/>
      <c r="AN207" s="202"/>
      <c r="AO207" s="202"/>
      <c r="AP207" s="494"/>
      <c r="AQ207" s="493"/>
      <c r="AR207" s="14"/>
      <c r="AS207" s="495"/>
      <c r="AT207" s="491"/>
      <c r="AU207" s="14"/>
      <c r="AV207" s="14"/>
      <c r="AW207" s="165"/>
      <c r="AX207" s="496"/>
      <c r="AY207" s="165"/>
      <c r="AZ207" s="165"/>
      <c r="BA207" s="165"/>
      <c r="BB207" s="165"/>
      <c r="BC207" s="165"/>
      <c r="BD207" s="84"/>
      <c r="BE207" s="84"/>
      <c r="BF207" s="84"/>
      <c r="BG207" s="84"/>
      <c r="BH207" s="84"/>
    </row>
    <row r="208" spans="1:60" x14ac:dyDescent="0.25">
      <c r="A208" s="14"/>
      <c r="B208" s="483"/>
      <c r="C208" s="14"/>
      <c r="D208" s="202"/>
      <c r="E208" s="282"/>
      <c r="F208" s="202"/>
      <c r="G208" s="202"/>
      <c r="H208" s="202"/>
      <c r="I208" s="484"/>
      <c r="J208" s="485"/>
      <c r="K208" s="485"/>
      <c r="L208" s="485"/>
      <c r="M208" s="486" t="str">
        <f t="shared" si="51"/>
        <v xml:space="preserve">  </v>
      </c>
      <c r="N208" s="979"/>
      <c r="O208" s="979"/>
      <c r="P208" s="979"/>
      <c r="Q208" s="979"/>
      <c r="R208" s="988"/>
      <c r="S208" s="206"/>
      <c r="T208" s="488"/>
      <c r="U208" s="489"/>
      <c r="V208" s="490"/>
      <c r="W208" s="206"/>
      <c r="X208" s="990"/>
      <c r="Y208" s="491"/>
      <c r="Z208" s="202"/>
      <c r="AA208" s="491"/>
      <c r="AB208" s="491"/>
      <c r="AC208" s="14"/>
      <c r="AD208" s="492"/>
      <c r="AE208" s="14"/>
      <c r="AF208" s="493"/>
      <c r="AG208" s="206"/>
      <c r="AH208" s="202"/>
      <c r="AI208" s="202"/>
      <c r="AJ208" s="202"/>
      <c r="AK208" s="202"/>
      <c r="AL208" s="202"/>
      <c r="AM208" s="202"/>
      <c r="AN208" s="202"/>
      <c r="AO208" s="202"/>
      <c r="AP208" s="494"/>
      <c r="AQ208" s="493"/>
      <c r="AR208" s="14"/>
      <c r="AS208" s="495"/>
      <c r="AT208" s="491"/>
      <c r="AU208" s="14"/>
      <c r="AV208" s="14"/>
      <c r="AW208" s="165"/>
      <c r="AX208" s="496"/>
      <c r="AY208" s="165"/>
      <c r="AZ208" s="165"/>
      <c r="BA208" s="165"/>
      <c r="BB208" s="165"/>
      <c r="BC208" s="165"/>
      <c r="BD208" s="84"/>
      <c r="BE208" s="84"/>
      <c r="BF208" s="84"/>
      <c r="BG208" s="84"/>
      <c r="BH208" s="84"/>
    </row>
    <row r="209" spans="1:60" x14ac:dyDescent="0.25">
      <c r="A209" s="14"/>
      <c r="B209" s="483"/>
      <c r="C209" s="14"/>
      <c r="D209" s="202"/>
      <c r="E209" s="282"/>
      <c r="F209" s="202"/>
      <c r="G209" s="202"/>
      <c r="H209" s="202"/>
      <c r="I209" s="484"/>
      <c r="J209" s="485"/>
      <c r="K209" s="485"/>
      <c r="L209" s="485"/>
      <c r="M209" s="486" t="str">
        <f t="shared" si="51"/>
        <v xml:space="preserve">  </v>
      </c>
      <c r="N209" s="979"/>
      <c r="O209" s="979"/>
      <c r="P209" s="979"/>
      <c r="Q209" s="979"/>
      <c r="R209" s="988"/>
      <c r="S209" s="206"/>
      <c r="T209" s="488"/>
      <c r="U209" s="489"/>
      <c r="V209" s="490"/>
      <c r="W209" s="206"/>
      <c r="X209" s="990"/>
      <c r="Y209" s="491"/>
      <c r="Z209" s="202"/>
      <c r="AA209" s="491"/>
      <c r="AB209" s="491"/>
      <c r="AC209" s="14"/>
      <c r="AD209" s="492"/>
      <c r="AE209" s="14"/>
      <c r="AF209" s="493"/>
      <c r="AG209" s="206"/>
      <c r="AH209" s="202"/>
      <c r="AI209" s="202"/>
      <c r="AJ209" s="202"/>
      <c r="AK209" s="202"/>
      <c r="AL209" s="202"/>
      <c r="AM209" s="202"/>
      <c r="AN209" s="202"/>
      <c r="AO209" s="202"/>
      <c r="AP209" s="494"/>
      <c r="AQ209" s="493"/>
      <c r="AR209" s="14"/>
      <c r="AS209" s="495"/>
      <c r="AT209" s="491"/>
      <c r="AU209" s="14"/>
      <c r="AV209" s="14"/>
      <c r="AW209" s="165"/>
      <c r="AX209" s="496"/>
      <c r="AY209" s="165"/>
      <c r="AZ209" s="165"/>
      <c r="BA209" s="165"/>
      <c r="BB209" s="165"/>
      <c r="BC209" s="165"/>
      <c r="BD209" s="84"/>
      <c r="BE209" s="84"/>
      <c r="BF209" s="84"/>
      <c r="BG209" s="84"/>
      <c r="BH209" s="84"/>
    </row>
    <row r="210" spans="1:60" x14ac:dyDescent="0.25">
      <c r="A210" s="14"/>
      <c r="B210" s="483"/>
      <c r="C210" s="14"/>
      <c r="D210" s="202"/>
      <c r="E210" s="282"/>
      <c r="F210" s="202"/>
      <c r="G210" s="202"/>
      <c r="H210" s="202"/>
      <c r="I210" s="484"/>
      <c r="J210" s="485"/>
      <c r="K210" s="485"/>
      <c r="L210" s="485"/>
      <c r="M210" s="486" t="str">
        <f t="shared" si="51"/>
        <v xml:space="preserve">  </v>
      </c>
      <c r="N210" s="979"/>
      <c r="O210" s="979"/>
      <c r="P210" s="979"/>
      <c r="Q210" s="979"/>
      <c r="R210" s="988"/>
      <c r="S210" s="206"/>
      <c r="T210" s="488"/>
      <c r="U210" s="489"/>
      <c r="V210" s="490"/>
      <c r="W210" s="206"/>
      <c r="X210" s="990"/>
      <c r="Y210" s="491"/>
      <c r="Z210" s="202"/>
      <c r="AA210" s="491"/>
      <c r="AB210" s="491"/>
      <c r="AC210" s="14"/>
      <c r="AD210" s="492"/>
      <c r="AE210" s="14"/>
      <c r="AF210" s="493"/>
      <c r="AG210" s="206"/>
      <c r="AH210" s="202"/>
      <c r="AI210" s="202"/>
      <c r="AJ210" s="202"/>
      <c r="AK210" s="202"/>
      <c r="AL210" s="202"/>
      <c r="AM210" s="202"/>
      <c r="AN210" s="202"/>
      <c r="AO210" s="202"/>
      <c r="AP210" s="494"/>
      <c r="AQ210" s="493"/>
      <c r="AR210" s="14"/>
      <c r="AS210" s="495"/>
      <c r="AT210" s="491"/>
      <c r="AU210" s="14"/>
      <c r="AV210" s="14"/>
      <c r="AW210" s="165"/>
      <c r="AX210" s="496"/>
      <c r="AY210" s="165"/>
      <c r="AZ210" s="165"/>
      <c r="BA210" s="165"/>
      <c r="BB210" s="165"/>
      <c r="BC210" s="165"/>
      <c r="BD210" s="84"/>
      <c r="BE210" s="84"/>
      <c r="BF210" s="84"/>
      <c r="BG210" s="84"/>
      <c r="BH210" s="84"/>
    </row>
    <row r="211" spans="1:60" x14ac:dyDescent="0.25">
      <c r="A211" s="14"/>
      <c r="B211" s="483"/>
      <c r="C211" s="14"/>
      <c r="D211" s="202"/>
      <c r="E211" s="282"/>
      <c r="F211" s="202"/>
      <c r="G211" s="202"/>
      <c r="H211" s="202"/>
      <c r="I211" s="484"/>
      <c r="J211" s="485"/>
      <c r="K211" s="485"/>
      <c r="L211" s="485"/>
      <c r="M211" s="486" t="str">
        <f t="shared" si="51"/>
        <v xml:space="preserve">  </v>
      </c>
      <c r="N211" s="979"/>
      <c r="O211" s="979"/>
      <c r="P211" s="979"/>
      <c r="Q211" s="979"/>
      <c r="R211" s="988"/>
      <c r="S211" s="206"/>
      <c r="T211" s="488"/>
      <c r="U211" s="489"/>
      <c r="V211" s="490"/>
      <c r="W211" s="206"/>
      <c r="X211" s="990"/>
      <c r="Y211" s="491"/>
      <c r="Z211" s="202"/>
      <c r="AA211" s="491"/>
      <c r="AB211" s="491"/>
      <c r="AC211" s="14"/>
      <c r="AD211" s="492"/>
      <c r="AE211" s="14"/>
      <c r="AF211" s="493"/>
      <c r="AG211" s="206"/>
      <c r="AH211" s="202"/>
      <c r="AI211" s="202"/>
      <c r="AJ211" s="202"/>
      <c r="AK211" s="202"/>
      <c r="AL211" s="202"/>
      <c r="AM211" s="202"/>
      <c r="AN211" s="202"/>
      <c r="AO211" s="202"/>
      <c r="AP211" s="494"/>
      <c r="AQ211" s="493"/>
      <c r="AR211" s="14"/>
      <c r="AS211" s="495"/>
      <c r="AT211" s="491"/>
      <c r="AU211" s="14"/>
      <c r="AV211" s="14"/>
      <c r="AW211" s="165"/>
      <c r="AX211" s="496"/>
      <c r="AY211" s="165"/>
      <c r="AZ211" s="165"/>
      <c r="BA211" s="165"/>
      <c r="BB211" s="165"/>
      <c r="BC211" s="165"/>
      <c r="BD211" s="84"/>
      <c r="BE211" s="84"/>
      <c r="BF211" s="84"/>
      <c r="BG211" s="84"/>
      <c r="BH211" s="84"/>
    </row>
    <row r="212" spans="1:60" x14ac:dyDescent="0.25">
      <c r="A212" s="14"/>
      <c r="B212" s="483"/>
      <c r="C212" s="14"/>
      <c r="D212" s="202"/>
      <c r="E212" s="282"/>
      <c r="F212" s="202"/>
      <c r="G212" s="202"/>
      <c r="H212" s="202"/>
      <c r="I212" s="484"/>
      <c r="J212" s="485"/>
      <c r="K212" s="485"/>
      <c r="L212" s="485"/>
      <c r="M212" s="486" t="str">
        <f t="shared" si="51"/>
        <v xml:space="preserve">  </v>
      </c>
      <c r="N212" s="979"/>
      <c r="O212" s="979"/>
      <c r="P212" s="979"/>
      <c r="Q212" s="979"/>
      <c r="R212" s="988"/>
      <c r="S212" s="206"/>
      <c r="T212" s="488"/>
      <c r="U212" s="489"/>
      <c r="V212" s="490"/>
      <c r="W212" s="206"/>
      <c r="X212" s="990"/>
      <c r="Y212" s="491"/>
      <c r="Z212" s="202"/>
      <c r="AA212" s="491"/>
      <c r="AB212" s="491"/>
      <c r="AC212" s="14"/>
      <c r="AD212" s="492"/>
      <c r="AE212" s="14"/>
      <c r="AF212" s="493"/>
      <c r="AG212" s="206"/>
      <c r="AH212" s="202"/>
      <c r="AI212" s="202"/>
      <c r="AJ212" s="202"/>
      <c r="AK212" s="202"/>
      <c r="AL212" s="202"/>
      <c r="AM212" s="202"/>
      <c r="AN212" s="202"/>
      <c r="AO212" s="202"/>
      <c r="AP212" s="494"/>
      <c r="AQ212" s="493"/>
      <c r="AR212" s="14"/>
      <c r="AS212" s="495"/>
      <c r="AT212" s="491"/>
      <c r="AU212" s="14"/>
      <c r="AV212" s="14"/>
      <c r="AW212" s="165"/>
      <c r="AX212" s="496"/>
      <c r="AY212" s="165"/>
      <c r="AZ212" s="165"/>
      <c r="BA212" s="165"/>
      <c r="BB212" s="165"/>
      <c r="BC212" s="165"/>
      <c r="BD212" s="84"/>
      <c r="BE212" s="84"/>
      <c r="BF212" s="84"/>
      <c r="BG212" s="84"/>
      <c r="BH212" s="84"/>
    </row>
    <row r="213" spans="1:60" x14ac:dyDescent="0.25">
      <c r="A213" s="14"/>
      <c r="B213" s="483"/>
      <c r="C213" s="14"/>
      <c r="D213" s="202"/>
      <c r="E213" s="282"/>
      <c r="F213" s="202"/>
      <c r="G213" s="202"/>
      <c r="H213" s="202"/>
      <c r="I213" s="484"/>
      <c r="J213" s="485"/>
      <c r="K213" s="485"/>
      <c r="L213" s="485"/>
      <c r="M213" s="486" t="str">
        <f t="shared" si="51"/>
        <v xml:space="preserve">  </v>
      </c>
      <c r="N213" s="979"/>
      <c r="O213" s="979"/>
      <c r="P213" s="979"/>
      <c r="Q213" s="979"/>
      <c r="R213" s="988"/>
      <c r="S213" s="206"/>
      <c r="T213" s="488"/>
      <c r="U213" s="489"/>
      <c r="V213" s="490"/>
      <c r="W213" s="206"/>
      <c r="X213" s="990"/>
      <c r="Y213" s="491"/>
      <c r="Z213" s="202"/>
      <c r="AA213" s="491"/>
      <c r="AB213" s="491"/>
      <c r="AC213" s="14"/>
      <c r="AD213" s="492"/>
      <c r="AE213" s="14"/>
      <c r="AF213" s="493"/>
      <c r="AG213" s="206"/>
      <c r="AH213" s="202"/>
      <c r="AI213" s="202"/>
      <c r="AJ213" s="202"/>
      <c r="AK213" s="202"/>
      <c r="AL213" s="202"/>
      <c r="AM213" s="202"/>
      <c r="AN213" s="202"/>
      <c r="AO213" s="202"/>
      <c r="AP213" s="494"/>
      <c r="AQ213" s="493"/>
      <c r="AR213" s="14"/>
      <c r="AS213" s="495"/>
      <c r="AT213" s="491"/>
      <c r="AU213" s="14"/>
      <c r="AV213" s="14"/>
      <c r="AW213" s="165"/>
      <c r="AX213" s="496"/>
      <c r="AY213" s="165"/>
      <c r="AZ213" s="165"/>
      <c r="BA213" s="165"/>
      <c r="BB213" s="165"/>
      <c r="BC213" s="165"/>
      <c r="BD213" s="84"/>
      <c r="BE213" s="84"/>
      <c r="BF213" s="84"/>
      <c r="BG213" s="84"/>
      <c r="BH213" s="84"/>
    </row>
    <row r="214" spans="1:60" x14ac:dyDescent="0.25">
      <c r="A214" s="14"/>
      <c r="B214" s="483"/>
      <c r="C214" s="14"/>
      <c r="D214" s="202"/>
      <c r="E214" s="282"/>
      <c r="F214" s="202"/>
      <c r="G214" s="202"/>
      <c r="H214" s="202"/>
      <c r="I214" s="484"/>
      <c r="J214" s="485"/>
      <c r="K214" s="485"/>
      <c r="L214" s="485"/>
      <c r="M214" s="486" t="str">
        <f t="shared" si="51"/>
        <v xml:space="preserve">  </v>
      </c>
      <c r="N214" s="979"/>
      <c r="O214" s="979"/>
      <c r="P214" s="979"/>
      <c r="Q214" s="979"/>
      <c r="R214" s="988"/>
      <c r="S214" s="206"/>
      <c r="T214" s="488"/>
      <c r="U214" s="489"/>
      <c r="V214" s="490"/>
      <c r="W214" s="206"/>
      <c r="X214" s="990"/>
      <c r="Y214" s="491"/>
      <c r="Z214" s="202"/>
      <c r="AA214" s="491"/>
      <c r="AB214" s="491"/>
      <c r="AC214" s="14"/>
      <c r="AD214" s="492"/>
      <c r="AE214" s="14"/>
      <c r="AF214" s="493"/>
      <c r="AG214" s="206"/>
      <c r="AH214" s="202"/>
      <c r="AI214" s="202"/>
      <c r="AJ214" s="202"/>
      <c r="AK214" s="202"/>
      <c r="AL214" s="202"/>
      <c r="AM214" s="202"/>
      <c r="AN214" s="202"/>
      <c r="AO214" s="202"/>
      <c r="AP214" s="494"/>
      <c r="AQ214" s="493"/>
      <c r="AR214" s="14"/>
      <c r="AS214" s="495"/>
      <c r="AT214" s="491"/>
      <c r="AU214" s="14"/>
      <c r="AV214" s="14"/>
      <c r="AW214" s="165"/>
      <c r="AX214" s="496"/>
      <c r="AY214" s="165"/>
      <c r="AZ214" s="165"/>
      <c r="BA214" s="165"/>
      <c r="BB214" s="165"/>
      <c r="BC214" s="165"/>
      <c r="BD214" s="84"/>
      <c r="BE214" s="84"/>
      <c r="BF214" s="84"/>
      <c r="BG214" s="84"/>
      <c r="BH214" s="84"/>
    </row>
    <row r="215" spans="1:60" x14ac:dyDescent="0.25">
      <c r="A215" s="14"/>
      <c r="B215" s="483"/>
      <c r="C215" s="14"/>
      <c r="D215" s="202"/>
      <c r="E215" s="282"/>
      <c r="F215" s="202"/>
      <c r="G215" s="202"/>
      <c r="H215" s="202"/>
      <c r="I215" s="484"/>
      <c r="J215" s="485"/>
      <c r="K215" s="485"/>
      <c r="L215" s="485"/>
      <c r="M215" s="486" t="str">
        <f t="shared" si="51"/>
        <v xml:space="preserve">  </v>
      </c>
      <c r="N215" s="979"/>
      <c r="O215" s="979"/>
      <c r="P215" s="979"/>
      <c r="Q215" s="979"/>
      <c r="R215" s="988"/>
      <c r="S215" s="206"/>
      <c r="T215" s="488"/>
      <c r="U215" s="489"/>
      <c r="V215" s="490"/>
      <c r="W215" s="206"/>
      <c r="X215" s="990"/>
      <c r="Y215" s="491"/>
      <c r="Z215" s="202"/>
      <c r="AA215" s="491"/>
      <c r="AB215" s="491"/>
      <c r="AC215" s="14"/>
      <c r="AD215" s="492"/>
      <c r="AE215" s="14"/>
      <c r="AF215" s="493"/>
      <c r="AG215" s="206"/>
      <c r="AH215" s="202"/>
      <c r="AI215" s="202"/>
      <c r="AJ215" s="202"/>
      <c r="AK215" s="202"/>
      <c r="AL215" s="202"/>
      <c r="AM215" s="202"/>
      <c r="AN215" s="202"/>
      <c r="AO215" s="202"/>
      <c r="AP215" s="494"/>
      <c r="AQ215" s="493"/>
      <c r="AR215" s="14"/>
      <c r="AS215" s="495"/>
      <c r="AT215" s="491"/>
      <c r="AU215" s="14"/>
      <c r="AV215" s="14"/>
      <c r="AW215" s="165"/>
      <c r="AX215" s="496"/>
      <c r="AY215" s="165"/>
      <c r="AZ215" s="165"/>
      <c r="BA215" s="165"/>
      <c r="BB215" s="165"/>
      <c r="BC215" s="165"/>
      <c r="BD215" s="84"/>
      <c r="BE215" s="84"/>
      <c r="BF215" s="84"/>
      <c r="BG215" s="84"/>
      <c r="BH215" s="84"/>
    </row>
    <row r="216" spans="1:60" x14ac:dyDescent="0.25">
      <c r="A216" s="14"/>
      <c r="B216" s="483"/>
      <c r="C216" s="14"/>
      <c r="D216" s="202"/>
      <c r="E216" s="282"/>
      <c r="F216" s="202"/>
      <c r="G216" s="202"/>
      <c r="H216" s="202"/>
      <c r="I216" s="484"/>
      <c r="J216" s="485"/>
      <c r="K216" s="485"/>
      <c r="L216" s="485"/>
      <c r="M216" s="486" t="str">
        <f t="shared" si="51"/>
        <v xml:space="preserve">  </v>
      </c>
      <c r="N216" s="979"/>
      <c r="O216" s="979"/>
      <c r="P216" s="979"/>
      <c r="Q216" s="979"/>
      <c r="R216" s="988"/>
      <c r="S216" s="206"/>
      <c r="T216" s="488"/>
      <c r="U216" s="489"/>
      <c r="V216" s="490"/>
      <c r="W216" s="206"/>
      <c r="X216" s="990"/>
      <c r="Y216" s="491"/>
      <c r="Z216" s="202"/>
      <c r="AA216" s="491"/>
      <c r="AB216" s="491"/>
      <c r="AC216" s="14"/>
      <c r="AD216" s="492"/>
      <c r="AE216" s="14"/>
      <c r="AF216" s="493"/>
      <c r="AG216" s="206"/>
      <c r="AH216" s="202"/>
      <c r="AI216" s="202"/>
      <c r="AJ216" s="202"/>
      <c r="AK216" s="202"/>
      <c r="AL216" s="202"/>
      <c r="AM216" s="202"/>
      <c r="AN216" s="202"/>
      <c r="AO216" s="202"/>
      <c r="AP216" s="494"/>
      <c r="AQ216" s="493"/>
      <c r="AR216" s="14"/>
      <c r="AS216" s="495"/>
      <c r="AT216" s="491"/>
      <c r="AU216" s="14"/>
      <c r="AV216" s="14"/>
      <c r="AW216" s="165"/>
      <c r="AX216" s="496"/>
      <c r="AY216" s="165"/>
      <c r="AZ216" s="165"/>
      <c r="BA216" s="165"/>
      <c r="BB216" s="165"/>
      <c r="BC216" s="165"/>
      <c r="BD216" s="84"/>
      <c r="BE216" s="84"/>
      <c r="BF216" s="84"/>
      <c r="BG216" s="84"/>
      <c r="BH216" s="84"/>
    </row>
    <row r="217" spans="1:60" x14ac:dyDescent="0.25">
      <c r="A217" s="14"/>
      <c r="B217" s="483"/>
      <c r="C217" s="14"/>
      <c r="D217" s="202"/>
      <c r="E217" s="282"/>
      <c r="F217" s="202"/>
      <c r="G217" s="202"/>
      <c r="H217" s="202"/>
      <c r="I217" s="484"/>
      <c r="J217" s="485"/>
      <c r="K217" s="485"/>
      <c r="L217" s="485"/>
      <c r="M217" s="486" t="str">
        <f t="shared" si="51"/>
        <v xml:space="preserve">  </v>
      </c>
      <c r="N217" s="979"/>
      <c r="O217" s="979"/>
      <c r="P217" s="979"/>
      <c r="Q217" s="979"/>
      <c r="R217" s="988"/>
      <c r="S217" s="206"/>
      <c r="T217" s="488"/>
      <c r="U217" s="489"/>
      <c r="V217" s="490"/>
      <c r="W217" s="206"/>
      <c r="X217" s="990"/>
      <c r="Y217" s="491"/>
      <c r="Z217" s="202"/>
      <c r="AA217" s="491"/>
      <c r="AB217" s="491"/>
      <c r="AC217" s="14"/>
      <c r="AD217" s="492"/>
      <c r="AE217" s="14"/>
      <c r="AF217" s="493"/>
      <c r="AG217" s="206"/>
      <c r="AH217" s="202"/>
      <c r="AI217" s="202"/>
      <c r="AJ217" s="202"/>
      <c r="AK217" s="202"/>
      <c r="AL217" s="202"/>
      <c r="AM217" s="202"/>
      <c r="AN217" s="202"/>
      <c r="AO217" s="202"/>
      <c r="AP217" s="494"/>
      <c r="AQ217" s="493"/>
      <c r="AR217" s="14"/>
      <c r="AS217" s="495"/>
      <c r="AT217" s="491"/>
      <c r="AU217" s="14"/>
      <c r="AV217" s="14"/>
      <c r="AW217" s="165"/>
      <c r="AX217" s="496"/>
      <c r="AY217" s="165"/>
      <c r="AZ217" s="165"/>
      <c r="BA217" s="165"/>
      <c r="BB217" s="165"/>
      <c r="BC217" s="165"/>
      <c r="BD217" s="84"/>
      <c r="BE217" s="84"/>
      <c r="BF217" s="84"/>
      <c r="BG217" s="84"/>
      <c r="BH217" s="84"/>
    </row>
    <row r="218" spans="1:60" x14ac:dyDescent="0.25">
      <c r="A218" s="14"/>
      <c r="B218" s="483"/>
      <c r="C218" s="14"/>
      <c r="D218" s="202"/>
      <c r="E218" s="282"/>
      <c r="F218" s="202"/>
      <c r="G218" s="202"/>
      <c r="H218" s="202"/>
      <c r="I218" s="484"/>
      <c r="J218" s="485"/>
      <c r="K218" s="485"/>
      <c r="L218" s="485"/>
      <c r="M218" s="486" t="str">
        <f t="shared" si="51"/>
        <v xml:space="preserve">  </v>
      </c>
      <c r="N218" s="979"/>
      <c r="O218" s="979"/>
      <c r="P218" s="979"/>
      <c r="Q218" s="979"/>
      <c r="R218" s="988"/>
      <c r="S218" s="206"/>
      <c r="T218" s="488"/>
      <c r="U218" s="489"/>
      <c r="V218" s="490"/>
      <c r="W218" s="206"/>
      <c r="X218" s="990"/>
      <c r="Y218" s="491"/>
      <c r="Z218" s="202"/>
      <c r="AA218" s="491"/>
      <c r="AB218" s="491"/>
      <c r="AC218" s="14"/>
      <c r="AD218" s="492"/>
      <c r="AE218" s="14"/>
      <c r="AF218" s="493"/>
      <c r="AG218" s="206"/>
      <c r="AH218" s="202"/>
      <c r="AI218" s="202"/>
      <c r="AJ218" s="202"/>
      <c r="AK218" s="202"/>
      <c r="AL218" s="202"/>
      <c r="AM218" s="202"/>
      <c r="AN218" s="202"/>
      <c r="AO218" s="202"/>
      <c r="AP218" s="494"/>
      <c r="AQ218" s="493"/>
      <c r="AR218" s="14"/>
      <c r="AS218" s="495"/>
      <c r="AT218" s="491"/>
      <c r="AU218" s="14"/>
      <c r="AV218" s="14"/>
      <c r="AW218" s="165"/>
      <c r="AX218" s="496"/>
      <c r="AY218" s="165"/>
      <c r="AZ218" s="165"/>
      <c r="BA218" s="165"/>
      <c r="BB218" s="165"/>
      <c r="BC218" s="165"/>
      <c r="BD218" s="84"/>
      <c r="BE218" s="84"/>
      <c r="BF218" s="84"/>
      <c r="BG218" s="84"/>
      <c r="BH218" s="84"/>
    </row>
    <row r="219" spans="1:60" x14ac:dyDescent="0.25">
      <c r="A219" s="14"/>
      <c r="B219" s="483"/>
      <c r="C219" s="14"/>
      <c r="D219" s="202"/>
      <c r="E219" s="282"/>
      <c r="F219" s="202"/>
      <c r="G219" s="202"/>
      <c r="H219" s="202"/>
      <c r="I219" s="484"/>
      <c r="J219" s="485"/>
      <c r="K219" s="485"/>
      <c r="L219" s="485"/>
      <c r="M219" s="486" t="str">
        <f t="shared" si="51"/>
        <v xml:space="preserve">  </v>
      </c>
      <c r="N219" s="979"/>
      <c r="O219" s="979"/>
      <c r="P219" s="979"/>
      <c r="Q219" s="979"/>
      <c r="R219" s="988"/>
      <c r="S219" s="206"/>
      <c r="T219" s="488"/>
      <c r="U219" s="489"/>
      <c r="V219" s="490"/>
      <c r="W219" s="206"/>
      <c r="X219" s="990"/>
      <c r="Y219" s="491"/>
      <c r="Z219" s="202"/>
      <c r="AA219" s="491"/>
      <c r="AB219" s="491"/>
      <c r="AC219" s="14"/>
      <c r="AD219" s="492"/>
      <c r="AE219" s="14"/>
      <c r="AF219" s="493"/>
      <c r="AG219" s="206"/>
      <c r="AH219" s="202"/>
      <c r="AI219" s="202"/>
      <c r="AJ219" s="202"/>
      <c r="AK219" s="202"/>
      <c r="AL219" s="202"/>
      <c r="AM219" s="202"/>
      <c r="AN219" s="202"/>
      <c r="AO219" s="202"/>
      <c r="AP219" s="494"/>
      <c r="AQ219" s="493"/>
      <c r="AR219" s="14"/>
      <c r="AS219" s="495"/>
      <c r="AT219" s="491"/>
      <c r="AU219" s="14"/>
      <c r="AV219" s="14"/>
      <c r="AW219" s="165"/>
      <c r="AX219" s="496"/>
      <c r="AY219" s="165"/>
      <c r="AZ219" s="165"/>
      <c r="BA219" s="165"/>
      <c r="BB219" s="165"/>
      <c r="BC219" s="165"/>
      <c r="BD219" s="84"/>
      <c r="BE219" s="84"/>
      <c r="BF219" s="84"/>
      <c r="BG219" s="84"/>
      <c r="BH219" s="84"/>
    </row>
    <row r="220" spans="1:60" x14ac:dyDescent="0.25">
      <c r="A220" s="14"/>
      <c r="B220" s="483"/>
      <c r="C220" s="14"/>
      <c r="D220" s="202"/>
      <c r="E220" s="282"/>
      <c r="F220" s="202"/>
      <c r="G220" s="202"/>
      <c r="H220" s="202"/>
      <c r="I220" s="484"/>
      <c r="J220" s="485"/>
      <c r="K220" s="485"/>
      <c r="L220" s="485"/>
      <c r="M220" s="486" t="str">
        <f t="shared" si="51"/>
        <v xml:space="preserve">  </v>
      </c>
      <c r="N220" s="979"/>
      <c r="O220" s="979"/>
      <c r="P220" s="979"/>
      <c r="Q220" s="979"/>
      <c r="R220" s="988"/>
      <c r="S220" s="206"/>
      <c r="T220" s="488"/>
      <c r="U220" s="489"/>
      <c r="V220" s="490"/>
      <c r="W220" s="206"/>
      <c r="X220" s="990"/>
      <c r="Y220" s="491"/>
      <c r="Z220" s="202"/>
      <c r="AA220" s="491"/>
      <c r="AB220" s="491"/>
      <c r="AC220" s="14"/>
      <c r="AD220" s="492"/>
      <c r="AE220" s="14"/>
      <c r="AF220" s="493"/>
      <c r="AG220" s="206"/>
      <c r="AH220" s="202"/>
      <c r="AI220" s="202"/>
      <c r="AJ220" s="202"/>
      <c r="AK220" s="202"/>
      <c r="AL220" s="202"/>
      <c r="AM220" s="202"/>
      <c r="AN220" s="202"/>
      <c r="AO220" s="202"/>
      <c r="AP220" s="494"/>
      <c r="AQ220" s="493"/>
      <c r="AR220" s="14"/>
      <c r="AS220" s="495"/>
      <c r="AT220" s="491"/>
      <c r="AU220" s="14"/>
      <c r="AV220" s="14"/>
      <c r="AW220" s="165"/>
      <c r="AX220" s="496"/>
      <c r="AY220" s="165"/>
      <c r="AZ220" s="165"/>
      <c r="BA220" s="165"/>
      <c r="BB220" s="165"/>
      <c r="BC220" s="165"/>
      <c r="BD220" s="84"/>
      <c r="BE220" s="84"/>
      <c r="BF220" s="84"/>
      <c r="BG220" s="84"/>
      <c r="BH220" s="84"/>
    </row>
    <row r="221" spans="1:60" x14ac:dyDescent="0.25">
      <c r="A221" s="14"/>
      <c r="B221" s="483"/>
      <c r="C221" s="14"/>
      <c r="D221" s="202"/>
      <c r="E221" s="282"/>
      <c r="F221" s="202"/>
      <c r="G221" s="202"/>
      <c r="H221" s="202"/>
      <c r="I221" s="484"/>
      <c r="J221" s="485"/>
      <c r="K221" s="485"/>
      <c r="L221" s="485"/>
      <c r="M221" s="486" t="str">
        <f t="shared" si="51"/>
        <v xml:space="preserve">  </v>
      </c>
      <c r="N221" s="979"/>
      <c r="O221" s="979"/>
      <c r="P221" s="979"/>
      <c r="Q221" s="979"/>
      <c r="R221" s="988"/>
      <c r="S221" s="206"/>
      <c r="T221" s="488"/>
      <c r="U221" s="489"/>
      <c r="V221" s="490"/>
      <c r="W221" s="206"/>
      <c r="X221" s="990"/>
      <c r="Y221" s="491"/>
      <c r="Z221" s="202"/>
      <c r="AA221" s="491"/>
      <c r="AB221" s="491"/>
      <c r="AC221" s="14"/>
      <c r="AD221" s="492"/>
      <c r="AE221" s="14"/>
      <c r="AF221" s="493"/>
      <c r="AG221" s="206"/>
      <c r="AH221" s="202"/>
      <c r="AI221" s="202"/>
      <c r="AJ221" s="202"/>
      <c r="AK221" s="202"/>
      <c r="AL221" s="202"/>
      <c r="AM221" s="202"/>
      <c r="AN221" s="202"/>
      <c r="AO221" s="202"/>
      <c r="AP221" s="494"/>
      <c r="AQ221" s="493"/>
      <c r="AR221" s="14"/>
      <c r="AS221" s="495"/>
      <c r="AT221" s="491"/>
      <c r="AU221" s="14"/>
      <c r="AV221" s="14"/>
      <c r="AW221" s="165"/>
      <c r="AX221" s="496"/>
      <c r="AY221" s="165"/>
      <c r="AZ221" s="165"/>
      <c r="BA221" s="165"/>
      <c r="BB221" s="165"/>
      <c r="BC221" s="165"/>
      <c r="BD221" s="84"/>
      <c r="BE221" s="84"/>
      <c r="BF221" s="84"/>
      <c r="BG221" s="84"/>
      <c r="BH221" s="84"/>
    </row>
    <row r="222" spans="1:60" x14ac:dyDescent="0.25">
      <c r="A222" s="14"/>
      <c r="B222" s="483"/>
      <c r="C222" s="14"/>
      <c r="D222" s="202"/>
      <c r="E222" s="282"/>
      <c r="F222" s="202"/>
      <c r="G222" s="202"/>
      <c r="H222" s="202"/>
      <c r="I222" s="484"/>
      <c r="J222" s="485"/>
      <c r="K222" s="485"/>
      <c r="L222" s="485"/>
      <c r="M222" s="486" t="str">
        <f t="shared" si="51"/>
        <v xml:space="preserve">  </v>
      </c>
      <c r="N222" s="979"/>
      <c r="O222" s="979"/>
      <c r="P222" s="979"/>
      <c r="Q222" s="979"/>
      <c r="R222" s="988"/>
      <c r="S222" s="206"/>
      <c r="T222" s="488"/>
      <c r="U222" s="489"/>
      <c r="V222" s="490"/>
      <c r="W222" s="206"/>
      <c r="X222" s="990"/>
      <c r="Y222" s="491"/>
      <c r="Z222" s="202"/>
      <c r="AA222" s="491"/>
      <c r="AB222" s="491"/>
      <c r="AC222" s="14"/>
      <c r="AD222" s="492"/>
      <c r="AE222" s="14"/>
      <c r="AF222" s="493"/>
      <c r="AG222" s="206"/>
      <c r="AH222" s="202"/>
      <c r="AI222" s="202"/>
      <c r="AJ222" s="202"/>
      <c r="AK222" s="202"/>
      <c r="AL222" s="202"/>
      <c r="AM222" s="202"/>
      <c r="AN222" s="202"/>
      <c r="AO222" s="202"/>
      <c r="AP222" s="494"/>
      <c r="AQ222" s="493"/>
      <c r="AR222" s="14"/>
      <c r="AS222" s="495"/>
      <c r="AT222" s="491"/>
      <c r="AU222" s="14"/>
      <c r="AV222" s="14"/>
      <c r="AW222" s="165"/>
      <c r="AX222" s="496"/>
      <c r="AY222" s="165"/>
      <c r="AZ222" s="165"/>
      <c r="BA222" s="165"/>
      <c r="BB222" s="165"/>
      <c r="BC222" s="165"/>
      <c r="BD222" s="84"/>
      <c r="BE222" s="84"/>
      <c r="BF222" s="84"/>
      <c r="BG222" s="84"/>
      <c r="BH222" s="84"/>
    </row>
    <row r="223" spans="1:60" x14ac:dyDescent="0.25">
      <c r="A223" s="14"/>
      <c r="B223" s="483"/>
      <c r="C223" s="14"/>
      <c r="D223" s="202"/>
      <c r="E223" s="282"/>
      <c r="F223" s="202"/>
      <c r="G223" s="202"/>
      <c r="H223" s="202"/>
      <c r="I223" s="484"/>
      <c r="J223" s="485"/>
      <c r="K223" s="485"/>
      <c r="L223" s="485"/>
      <c r="M223" s="486" t="str">
        <f t="shared" ref="M223:M242" si="52">I223&amp;J223&amp;" "&amp;K223&amp;" "&amp;L223</f>
        <v xml:space="preserve">  </v>
      </c>
      <c r="N223" s="979"/>
      <c r="O223" s="979"/>
      <c r="P223" s="979"/>
      <c r="Q223" s="979"/>
      <c r="R223" s="988"/>
      <c r="S223" s="206"/>
      <c r="T223" s="488"/>
      <c r="U223" s="489"/>
      <c r="V223" s="490"/>
      <c r="W223" s="206"/>
      <c r="X223" s="990"/>
      <c r="Y223" s="491"/>
      <c r="Z223" s="202"/>
      <c r="AA223" s="491"/>
      <c r="AB223" s="491"/>
      <c r="AC223" s="14"/>
      <c r="AD223" s="492"/>
      <c r="AE223" s="14"/>
      <c r="AF223" s="493"/>
      <c r="AG223" s="206"/>
      <c r="AH223" s="202"/>
      <c r="AI223" s="202"/>
      <c r="AJ223" s="202"/>
      <c r="AK223" s="202"/>
      <c r="AL223" s="202"/>
      <c r="AM223" s="202"/>
      <c r="AN223" s="202"/>
      <c r="AO223" s="202"/>
      <c r="AP223" s="494"/>
      <c r="AQ223" s="493"/>
      <c r="AR223" s="14"/>
      <c r="AS223" s="495"/>
      <c r="AT223" s="491"/>
      <c r="AU223" s="14"/>
      <c r="AV223" s="14"/>
      <c r="AW223" s="165"/>
      <c r="AX223" s="496"/>
      <c r="AY223" s="165"/>
      <c r="AZ223" s="165"/>
      <c r="BA223" s="165"/>
      <c r="BB223" s="165"/>
      <c r="BC223" s="165"/>
      <c r="BD223" s="84"/>
      <c r="BE223" s="84"/>
      <c r="BF223" s="84"/>
      <c r="BG223" s="84"/>
      <c r="BH223" s="84"/>
    </row>
    <row r="224" spans="1:60" x14ac:dyDescent="0.25">
      <c r="A224" s="14"/>
      <c r="B224" s="483"/>
      <c r="C224" s="14"/>
      <c r="D224" s="202"/>
      <c r="E224" s="282"/>
      <c r="F224" s="202"/>
      <c r="G224" s="202"/>
      <c r="H224" s="202"/>
      <c r="I224" s="484"/>
      <c r="J224" s="485"/>
      <c r="K224" s="485"/>
      <c r="L224" s="485"/>
      <c r="M224" s="486" t="str">
        <f t="shared" si="52"/>
        <v xml:space="preserve">  </v>
      </c>
      <c r="N224" s="979"/>
      <c r="O224" s="979"/>
      <c r="P224" s="979"/>
      <c r="Q224" s="979"/>
      <c r="R224" s="988"/>
      <c r="S224" s="206"/>
      <c r="T224" s="488"/>
      <c r="U224" s="489"/>
      <c r="V224" s="490"/>
      <c r="W224" s="206"/>
      <c r="X224" s="990"/>
      <c r="Y224" s="491"/>
      <c r="Z224" s="202"/>
      <c r="AA224" s="491"/>
      <c r="AB224" s="491"/>
      <c r="AC224" s="14"/>
      <c r="AD224" s="492"/>
      <c r="AE224" s="14"/>
      <c r="AF224" s="493"/>
      <c r="AG224" s="206"/>
      <c r="AH224" s="202"/>
      <c r="AI224" s="202"/>
      <c r="AJ224" s="202"/>
      <c r="AK224" s="202"/>
      <c r="AL224" s="202"/>
      <c r="AM224" s="202"/>
      <c r="AN224" s="202"/>
      <c r="AO224" s="202"/>
      <c r="AP224" s="494"/>
      <c r="AQ224" s="493"/>
      <c r="AR224" s="14"/>
      <c r="AS224" s="495"/>
      <c r="AT224" s="491"/>
      <c r="AU224" s="14"/>
      <c r="AV224" s="14"/>
      <c r="AW224" s="165"/>
      <c r="AX224" s="496"/>
      <c r="AY224" s="165"/>
      <c r="AZ224" s="165"/>
      <c r="BA224" s="165"/>
      <c r="BB224" s="165"/>
      <c r="BC224" s="165"/>
      <c r="BD224" s="84"/>
      <c r="BE224" s="84"/>
      <c r="BF224" s="84"/>
      <c r="BG224" s="84"/>
      <c r="BH224" s="84"/>
    </row>
    <row r="225" spans="1:60" x14ac:dyDescent="0.25">
      <c r="A225" s="14"/>
      <c r="B225" s="483"/>
      <c r="C225" s="14"/>
      <c r="D225" s="202"/>
      <c r="E225" s="282"/>
      <c r="F225" s="202"/>
      <c r="G225" s="202"/>
      <c r="H225" s="202"/>
      <c r="I225" s="484"/>
      <c r="J225" s="485"/>
      <c r="K225" s="485"/>
      <c r="L225" s="485"/>
      <c r="M225" s="486" t="str">
        <f t="shared" si="52"/>
        <v xml:space="preserve">  </v>
      </c>
      <c r="N225" s="979"/>
      <c r="O225" s="979"/>
      <c r="P225" s="979"/>
      <c r="Q225" s="979"/>
      <c r="R225" s="988"/>
      <c r="S225" s="206"/>
      <c r="T225" s="488"/>
      <c r="U225" s="489"/>
      <c r="V225" s="490"/>
      <c r="W225" s="206"/>
      <c r="X225" s="990"/>
      <c r="Y225" s="491"/>
      <c r="Z225" s="202"/>
      <c r="AA225" s="491"/>
      <c r="AB225" s="491"/>
      <c r="AC225" s="14"/>
      <c r="AD225" s="492"/>
      <c r="AE225" s="14"/>
      <c r="AF225" s="493"/>
      <c r="AG225" s="206"/>
      <c r="AH225" s="202"/>
      <c r="AI225" s="202"/>
      <c r="AJ225" s="202"/>
      <c r="AK225" s="202"/>
      <c r="AL225" s="202"/>
      <c r="AM225" s="202"/>
      <c r="AN225" s="202"/>
      <c r="AO225" s="202"/>
      <c r="AP225" s="494"/>
      <c r="AQ225" s="493"/>
      <c r="AR225" s="14"/>
      <c r="AS225" s="495"/>
      <c r="AT225" s="491"/>
      <c r="AU225" s="14"/>
      <c r="AV225" s="14"/>
      <c r="AW225" s="165"/>
      <c r="AX225" s="496"/>
      <c r="AY225" s="165"/>
      <c r="AZ225" s="165"/>
      <c r="BA225" s="165"/>
      <c r="BB225" s="165"/>
      <c r="BC225" s="165"/>
      <c r="BD225" s="84"/>
      <c r="BE225" s="84"/>
      <c r="BF225" s="84"/>
      <c r="BG225" s="84"/>
      <c r="BH225" s="84"/>
    </row>
    <row r="226" spans="1:60" x14ac:dyDescent="0.25">
      <c r="A226" s="14"/>
      <c r="B226" s="483"/>
      <c r="C226" s="14"/>
      <c r="D226" s="202"/>
      <c r="E226" s="282"/>
      <c r="F226" s="202"/>
      <c r="G226" s="202"/>
      <c r="H226" s="202"/>
      <c r="I226" s="484"/>
      <c r="J226" s="485"/>
      <c r="K226" s="485"/>
      <c r="L226" s="485"/>
      <c r="M226" s="486" t="str">
        <f t="shared" si="52"/>
        <v xml:space="preserve">  </v>
      </c>
      <c r="N226" s="979"/>
      <c r="O226" s="979"/>
      <c r="P226" s="979"/>
      <c r="Q226" s="979"/>
      <c r="R226" s="988"/>
      <c r="S226" s="206"/>
      <c r="T226" s="488"/>
      <c r="U226" s="489"/>
      <c r="V226" s="490"/>
      <c r="W226" s="206"/>
      <c r="X226" s="990"/>
      <c r="Y226" s="491"/>
      <c r="Z226" s="202"/>
      <c r="AA226" s="491"/>
      <c r="AB226" s="491"/>
      <c r="AC226" s="14"/>
      <c r="AD226" s="492"/>
      <c r="AE226" s="14"/>
      <c r="AF226" s="493"/>
      <c r="AG226" s="206"/>
      <c r="AH226" s="202"/>
      <c r="AI226" s="202"/>
      <c r="AJ226" s="202"/>
      <c r="AK226" s="202"/>
      <c r="AL226" s="202"/>
      <c r="AM226" s="202"/>
      <c r="AN226" s="202"/>
      <c r="AO226" s="202"/>
      <c r="AP226" s="494"/>
      <c r="AQ226" s="493"/>
      <c r="AR226" s="14"/>
      <c r="AS226" s="495"/>
      <c r="AT226" s="491"/>
      <c r="AU226" s="14"/>
      <c r="AV226" s="14"/>
      <c r="AW226" s="165"/>
      <c r="AX226" s="496"/>
      <c r="AY226" s="165"/>
      <c r="AZ226" s="165"/>
      <c r="BA226" s="165"/>
      <c r="BB226" s="165"/>
      <c r="BC226" s="165"/>
      <c r="BD226" s="84"/>
      <c r="BE226" s="84"/>
      <c r="BF226" s="84"/>
      <c r="BG226" s="84"/>
      <c r="BH226" s="84"/>
    </row>
    <row r="227" spans="1:60" x14ac:dyDescent="0.25">
      <c r="A227" s="14"/>
      <c r="B227" s="483"/>
      <c r="C227" s="14"/>
      <c r="D227" s="202"/>
      <c r="E227" s="282"/>
      <c r="F227" s="202"/>
      <c r="G227" s="202"/>
      <c r="H227" s="202"/>
      <c r="I227" s="484"/>
      <c r="J227" s="485"/>
      <c r="K227" s="485"/>
      <c r="L227" s="485"/>
      <c r="M227" s="486" t="str">
        <f t="shared" si="52"/>
        <v xml:space="preserve">  </v>
      </c>
      <c r="N227" s="979"/>
      <c r="O227" s="979"/>
      <c r="P227" s="979"/>
      <c r="Q227" s="979"/>
      <c r="R227" s="988"/>
      <c r="S227" s="206"/>
      <c r="T227" s="488"/>
      <c r="U227" s="489"/>
      <c r="V227" s="490"/>
      <c r="W227" s="206"/>
      <c r="X227" s="990"/>
      <c r="Y227" s="491"/>
      <c r="Z227" s="202"/>
      <c r="AA227" s="491"/>
      <c r="AB227" s="491"/>
      <c r="AC227" s="14"/>
      <c r="AD227" s="492"/>
      <c r="AE227" s="14"/>
      <c r="AF227" s="493"/>
      <c r="AG227" s="206"/>
      <c r="AH227" s="202"/>
      <c r="AI227" s="202"/>
      <c r="AJ227" s="202"/>
      <c r="AK227" s="202"/>
      <c r="AL227" s="202"/>
      <c r="AM227" s="202"/>
      <c r="AN227" s="202"/>
      <c r="AO227" s="202"/>
      <c r="AP227" s="494"/>
      <c r="AQ227" s="493"/>
      <c r="AR227" s="14"/>
      <c r="AS227" s="495"/>
      <c r="AT227" s="491"/>
      <c r="AU227" s="14"/>
      <c r="AV227" s="14"/>
      <c r="AW227" s="165"/>
      <c r="AX227" s="496"/>
      <c r="AY227" s="165"/>
      <c r="AZ227" s="165"/>
      <c r="BA227" s="165"/>
      <c r="BB227" s="165"/>
      <c r="BC227" s="165"/>
      <c r="BD227" s="84"/>
      <c r="BE227" s="84"/>
      <c r="BF227" s="84"/>
      <c r="BG227" s="84"/>
      <c r="BH227" s="84"/>
    </row>
    <row r="228" spans="1:60" x14ac:dyDescent="0.25">
      <c r="A228" s="14"/>
      <c r="B228" s="483"/>
      <c r="C228" s="14"/>
      <c r="D228" s="202"/>
      <c r="E228" s="282"/>
      <c r="F228" s="202"/>
      <c r="G228" s="202"/>
      <c r="H228" s="202"/>
      <c r="I228" s="484"/>
      <c r="J228" s="485"/>
      <c r="K228" s="485"/>
      <c r="L228" s="485"/>
      <c r="M228" s="486" t="str">
        <f t="shared" si="52"/>
        <v xml:space="preserve">  </v>
      </c>
      <c r="N228" s="979"/>
      <c r="O228" s="979"/>
      <c r="P228" s="979"/>
      <c r="Q228" s="979"/>
      <c r="R228" s="988"/>
      <c r="S228" s="206"/>
      <c r="T228" s="488"/>
      <c r="U228" s="489"/>
      <c r="V228" s="490"/>
      <c r="W228" s="206"/>
      <c r="X228" s="990"/>
      <c r="Y228" s="491"/>
      <c r="Z228" s="202"/>
      <c r="AA228" s="491"/>
      <c r="AB228" s="491"/>
      <c r="AC228" s="14"/>
      <c r="AD228" s="492"/>
      <c r="AE228" s="14"/>
      <c r="AF228" s="493"/>
      <c r="AG228" s="206"/>
      <c r="AH228" s="202"/>
      <c r="AI228" s="202"/>
      <c r="AJ228" s="202"/>
      <c r="AK228" s="202"/>
      <c r="AL228" s="202"/>
      <c r="AM228" s="202"/>
      <c r="AN228" s="202"/>
      <c r="AO228" s="202"/>
      <c r="AP228" s="494"/>
      <c r="AQ228" s="493"/>
      <c r="AR228" s="14"/>
      <c r="AS228" s="495"/>
      <c r="AT228" s="491"/>
      <c r="AU228" s="14"/>
      <c r="AV228" s="14"/>
      <c r="AW228" s="165"/>
      <c r="AX228" s="496"/>
      <c r="AY228" s="165"/>
      <c r="AZ228" s="165"/>
      <c r="BA228" s="165"/>
      <c r="BB228" s="165"/>
      <c r="BC228" s="165"/>
      <c r="BD228" s="84"/>
      <c r="BE228" s="84"/>
      <c r="BF228" s="84"/>
      <c r="BG228" s="84"/>
      <c r="BH228" s="84"/>
    </row>
    <row r="229" spans="1:60" x14ac:dyDescent="0.25">
      <c r="A229" s="14"/>
      <c r="B229" s="483"/>
      <c r="C229" s="14"/>
      <c r="D229" s="202"/>
      <c r="E229" s="282"/>
      <c r="F229" s="202"/>
      <c r="G229" s="202"/>
      <c r="H229" s="202"/>
      <c r="I229" s="484"/>
      <c r="J229" s="485"/>
      <c r="K229" s="485"/>
      <c r="L229" s="485"/>
      <c r="M229" s="486" t="str">
        <f t="shared" si="52"/>
        <v xml:space="preserve">  </v>
      </c>
      <c r="N229" s="979"/>
      <c r="O229" s="979"/>
      <c r="P229" s="979"/>
      <c r="Q229" s="979"/>
      <c r="R229" s="988"/>
      <c r="S229" s="206"/>
      <c r="T229" s="488"/>
      <c r="U229" s="489"/>
      <c r="V229" s="490"/>
      <c r="W229" s="206"/>
      <c r="X229" s="990"/>
      <c r="Y229" s="491"/>
      <c r="Z229" s="202"/>
      <c r="AA229" s="491"/>
      <c r="AB229" s="491"/>
      <c r="AC229" s="14"/>
      <c r="AD229" s="492"/>
      <c r="AE229" s="14"/>
      <c r="AF229" s="493"/>
      <c r="AG229" s="206"/>
      <c r="AH229" s="202"/>
      <c r="AI229" s="202"/>
      <c r="AJ229" s="202"/>
      <c r="AK229" s="202"/>
      <c r="AL229" s="202"/>
      <c r="AM229" s="202"/>
      <c r="AN229" s="202"/>
      <c r="AO229" s="202"/>
      <c r="AP229" s="494"/>
      <c r="AQ229" s="493"/>
      <c r="AR229" s="14"/>
      <c r="AS229" s="495"/>
      <c r="AT229" s="491"/>
      <c r="AU229" s="14"/>
      <c r="AV229" s="14"/>
      <c r="AW229" s="165"/>
      <c r="AX229" s="496"/>
      <c r="AY229" s="165"/>
      <c r="AZ229" s="165"/>
      <c r="BA229" s="165"/>
      <c r="BB229" s="165"/>
      <c r="BC229" s="165"/>
      <c r="BD229" s="84"/>
      <c r="BE229" s="84"/>
      <c r="BF229" s="84"/>
      <c r="BG229" s="84"/>
      <c r="BH229" s="84"/>
    </row>
    <row r="230" spans="1:60" x14ac:dyDescent="0.25">
      <c r="A230" s="14"/>
      <c r="B230" s="483"/>
      <c r="C230" s="14"/>
      <c r="D230" s="202"/>
      <c r="E230" s="282"/>
      <c r="F230" s="202"/>
      <c r="G230" s="202"/>
      <c r="H230" s="202"/>
      <c r="I230" s="484"/>
      <c r="J230" s="485"/>
      <c r="K230" s="485"/>
      <c r="L230" s="485"/>
      <c r="M230" s="486" t="str">
        <f t="shared" si="52"/>
        <v xml:space="preserve">  </v>
      </c>
      <c r="N230" s="979"/>
      <c r="O230" s="979"/>
      <c r="P230" s="979"/>
      <c r="Q230" s="979"/>
      <c r="R230" s="988"/>
      <c r="S230" s="206"/>
      <c r="T230" s="488"/>
      <c r="U230" s="489"/>
      <c r="V230" s="490"/>
      <c r="W230" s="206"/>
      <c r="X230" s="990"/>
      <c r="Y230" s="491"/>
      <c r="Z230" s="202"/>
      <c r="AA230" s="491"/>
      <c r="AB230" s="491"/>
      <c r="AC230" s="14"/>
      <c r="AD230" s="492"/>
      <c r="AE230" s="14"/>
      <c r="AF230" s="493"/>
      <c r="AG230" s="206"/>
      <c r="AH230" s="202"/>
      <c r="AI230" s="202"/>
      <c r="AJ230" s="202"/>
      <c r="AK230" s="202"/>
      <c r="AL230" s="202"/>
      <c r="AM230" s="202"/>
      <c r="AN230" s="202"/>
      <c r="AO230" s="202"/>
      <c r="AP230" s="494"/>
      <c r="AQ230" s="493"/>
      <c r="AR230" s="14"/>
      <c r="AS230" s="495"/>
      <c r="AT230" s="491"/>
      <c r="AU230" s="14"/>
      <c r="AV230" s="14"/>
      <c r="AW230" s="165"/>
      <c r="AX230" s="496"/>
      <c r="AY230" s="165"/>
      <c r="AZ230" s="165"/>
      <c r="BA230" s="165"/>
      <c r="BB230" s="165"/>
      <c r="BC230" s="165"/>
      <c r="BD230" s="84"/>
      <c r="BE230" s="84"/>
      <c r="BF230" s="84"/>
      <c r="BG230" s="84"/>
      <c r="BH230" s="84"/>
    </row>
    <row r="231" spans="1:60" x14ac:dyDescent="0.25">
      <c r="A231" s="14"/>
      <c r="B231" s="483"/>
      <c r="C231" s="14"/>
      <c r="D231" s="202"/>
      <c r="E231" s="282"/>
      <c r="F231" s="202"/>
      <c r="G231" s="202"/>
      <c r="H231" s="202"/>
      <c r="I231" s="484"/>
      <c r="J231" s="485"/>
      <c r="K231" s="485"/>
      <c r="L231" s="485"/>
      <c r="M231" s="486" t="str">
        <f t="shared" si="52"/>
        <v xml:space="preserve">  </v>
      </c>
      <c r="N231" s="979"/>
      <c r="O231" s="979"/>
      <c r="P231" s="979"/>
      <c r="Q231" s="979"/>
      <c r="R231" s="988"/>
      <c r="S231" s="206"/>
      <c r="T231" s="488"/>
      <c r="U231" s="489"/>
      <c r="V231" s="490"/>
      <c r="W231" s="206"/>
      <c r="X231" s="990"/>
      <c r="Y231" s="491"/>
      <c r="Z231" s="202"/>
      <c r="AA231" s="491"/>
      <c r="AB231" s="491"/>
      <c r="AC231" s="14"/>
      <c r="AD231" s="492"/>
      <c r="AE231" s="14"/>
      <c r="AF231" s="493"/>
      <c r="AG231" s="206"/>
      <c r="AH231" s="202"/>
      <c r="AI231" s="202"/>
      <c r="AJ231" s="202"/>
      <c r="AK231" s="202"/>
      <c r="AL231" s="202"/>
      <c r="AM231" s="202"/>
      <c r="AN231" s="202"/>
      <c r="AO231" s="202"/>
      <c r="AP231" s="494"/>
      <c r="AQ231" s="493"/>
      <c r="AR231" s="14"/>
      <c r="AS231" s="495"/>
      <c r="AT231" s="491"/>
      <c r="AU231" s="14"/>
      <c r="AV231" s="14"/>
      <c r="AW231" s="165"/>
      <c r="AX231" s="496"/>
      <c r="AY231" s="165"/>
      <c r="AZ231" s="165"/>
      <c r="BA231" s="165"/>
      <c r="BB231" s="165"/>
      <c r="BC231" s="165"/>
      <c r="BD231" s="84"/>
      <c r="BE231" s="84"/>
      <c r="BF231" s="84"/>
      <c r="BG231" s="84"/>
      <c r="BH231" s="84"/>
    </row>
    <row r="232" spans="1:60" x14ac:dyDescent="0.25">
      <c r="A232" s="14"/>
      <c r="B232" s="483"/>
      <c r="C232" s="14"/>
      <c r="D232" s="202"/>
      <c r="E232" s="282"/>
      <c r="F232" s="202"/>
      <c r="G232" s="202"/>
      <c r="H232" s="202"/>
      <c r="I232" s="484"/>
      <c r="J232" s="485"/>
      <c r="K232" s="485"/>
      <c r="L232" s="485"/>
      <c r="M232" s="486" t="str">
        <f t="shared" si="52"/>
        <v xml:space="preserve">  </v>
      </c>
      <c r="N232" s="979"/>
      <c r="O232" s="979"/>
      <c r="P232" s="979"/>
      <c r="Q232" s="979"/>
      <c r="R232" s="988"/>
      <c r="S232" s="206"/>
      <c r="T232" s="488"/>
      <c r="U232" s="489"/>
      <c r="V232" s="490"/>
      <c r="W232" s="206"/>
      <c r="X232" s="990"/>
      <c r="Y232" s="491"/>
      <c r="Z232" s="202"/>
      <c r="AA232" s="491"/>
      <c r="AB232" s="491"/>
      <c r="AC232" s="14"/>
      <c r="AD232" s="492"/>
      <c r="AE232" s="14"/>
      <c r="AF232" s="493"/>
      <c r="AG232" s="206"/>
      <c r="AH232" s="202"/>
      <c r="AI232" s="202"/>
      <c r="AJ232" s="202"/>
      <c r="AK232" s="202"/>
      <c r="AL232" s="202"/>
      <c r="AM232" s="202"/>
      <c r="AN232" s="202"/>
      <c r="AO232" s="202"/>
      <c r="AP232" s="494"/>
      <c r="AQ232" s="493"/>
      <c r="AR232" s="14"/>
      <c r="AS232" s="495"/>
      <c r="AT232" s="491"/>
      <c r="AU232" s="14"/>
      <c r="AV232" s="14"/>
      <c r="AW232" s="165"/>
      <c r="AX232" s="496"/>
      <c r="AY232" s="165"/>
      <c r="AZ232" s="165"/>
      <c r="BA232" s="165"/>
      <c r="BB232" s="165"/>
      <c r="BC232" s="165"/>
      <c r="BD232" s="84"/>
      <c r="BE232" s="84"/>
      <c r="BF232" s="84"/>
      <c r="BG232" s="84"/>
      <c r="BH232" s="84"/>
    </row>
    <row r="233" spans="1:60" x14ac:dyDescent="0.25">
      <c r="A233" s="14"/>
      <c r="B233" s="483"/>
      <c r="C233" s="14"/>
      <c r="D233" s="202"/>
      <c r="E233" s="282"/>
      <c r="F233" s="202"/>
      <c r="G233" s="202"/>
      <c r="H233" s="202"/>
      <c r="I233" s="484"/>
      <c r="J233" s="485"/>
      <c r="K233" s="485"/>
      <c r="L233" s="485"/>
      <c r="M233" s="486" t="str">
        <f t="shared" si="52"/>
        <v xml:space="preserve">  </v>
      </c>
      <c r="N233" s="979"/>
      <c r="O233" s="979"/>
      <c r="P233" s="979"/>
      <c r="Q233" s="979"/>
      <c r="R233" s="988"/>
      <c r="S233" s="206"/>
      <c r="T233" s="488"/>
      <c r="U233" s="489"/>
      <c r="V233" s="490"/>
      <c r="W233" s="206"/>
      <c r="X233" s="990"/>
      <c r="Y233" s="491"/>
      <c r="Z233" s="202"/>
      <c r="AA233" s="491"/>
      <c r="AB233" s="491"/>
      <c r="AC233" s="14"/>
      <c r="AD233" s="492"/>
      <c r="AE233" s="14"/>
      <c r="AF233" s="493"/>
      <c r="AG233" s="206"/>
      <c r="AH233" s="202"/>
      <c r="AI233" s="202"/>
      <c r="AJ233" s="202"/>
      <c r="AK233" s="202"/>
      <c r="AL233" s="202"/>
      <c r="AM233" s="202"/>
      <c r="AN233" s="202"/>
      <c r="AO233" s="202"/>
      <c r="AP233" s="494"/>
      <c r="AQ233" s="493"/>
      <c r="AR233" s="14"/>
      <c r="AS233" s="495"/>
      <c r="AT233" s="491"/>
      <c r="AU233" s="14"/>
      <c r="AV233" s="14"/>
      <c r="AW233" s="165"/>
      <c r="AX233" s="496"/>
      <c r="AY233" s="165"/>
      <c r="AZ233" s="165"/>
      <c r="BA233" s="165"/>
      <c r="BB233" s="165"/>
      <c r="BC233" s="165"/>
      <c r="BD233" s="84"/>
      <c r="BE233" s="84"/>
      <c r="BF233" s="84"/>
      <c r="BG233" s="84"/>
      <c r="BH233" s="84"/>
    </row>
    <row r="234" spans="1:60" x14ac:dyDescent="0.25">
      <c r="A234" s="14"/>
      <c r="B234" s="483"/>
      <c r="C234" s="14"/>
      <c r="D234" s="202"/>
      <c r="E234" s="282"/>
      <c r="F234" s="202"/>
      <c r="G234" s="202"/>
      <c r="H234" s="202"/>
      <c r="I234" s="484"/>
      <c r="J234" s="485"/>
      <c r="K234" s="485"/>
      <c r="L234" s="485"/>
      <c r="M234" s="486" t="str">
        <f t="shared" si="52"/>
        <v xml:space="preserve">  </v>
      </c>
      <c r="N234" s="979"/>
      <c r="O234" s="979"/>
      <c r="P234" s="979"/>
      <c r="Q234" s="979"/>
      <c r="R234" s="988"/>
      <c r="S234" s="206"/>
      <c r="T234" s="488"/>
      <c r="U234" s="489"/>
      <c r="V234" s="490"/>
      <c r="W234" s="206"/>
      <c r="X234" s="990"/>
      <c r="Y234" s="491"/>
      <c r="Z234" s="202"/>
      <c r="AA234" s="491"/>
      <c r="AB234" s="491"/>
      <c r="AC234" s="14"/>
      <c r="AD234" s="492"/>
      <c r="AE234" s="14"/>
      <c r="AF234" s="493"/>
      <c r="AG234" s="206"/>
      <c r="AH234" s="202"/>
      <c r="AI234" s="202"/>
      <c r="AJ234" s="202"/>
      <c r="AK234" s="202"/>
      <c r="AL234" s="202"/>
      <c r="AM234" s="202"/>
      <c r="AN234" s="202"/>
      <c r="AO234" s="202"/>
      <c r="AP234" s="494"/>
      <c r="AQ234" s="493"/>
      <c r="AR234" s="14"/>
      <c r="AS234" s="495"/>
      <c r="AT234" s="491"/>
      <c r="AU234" s="14"/>
      <c r="AV234" s="14"/>
      <c r="AW234" s="165"/>
      <c r="AX234" s="496"/>
      <c r="AY234" s="165"/>
      <c r="AZ234" s="165"/>
      <c r="BA234" s="165"/>
      <c r="BB234" s="165"/>
      <c r="BC234" s="165"/>
      <c r="BD234" s="84"/>
      <c r="BE234" s="84"/>
      <c r="BF234" s="84"/>
      <c r="BG234" s="84"/>
      <c r="BH234" s="84"/>
    </row>
    <row r="235" spans="1:60" x14ac:dyDescent="0.25">
      <c r="A235" s="14"/>
      <c r="B235" s="483"/>
      <c r="C235" s="14"/>
      <c r="D235" s="202"/>
      <c r="E235" s="282"/>
      <c r="F235" s="202"/>
      <c r="G235" s="202"/>
      <c r="H235" s="202"/>
      <c r="I235" s="484"/>
      <c r="J235" s="485"/>
      <c r="K235" s="485"/>
      <c r="L235" s="485"/>
      <c r="M235" s="486" t="str">
        <f t="shared" si="52"/>
        <v xml:space="preserve">  </v>
      </c>
      <c r="N235" s="979"/>
      <c r="O235" s="979"/>
      <c r="P235" s="979"/>
      <c r="Q235" s="979"/>
      <c r="R235" s="988"/>
      <c r="S235" s="206"/>
      <c r="T235" s="488"/>
      <c r="U235" s="489"/>
      <c r="V235" s="490"/>
      <c r="W235" s="206"/>
      <c r="X235" s="990"/>
      <c r="Y235" s="491"/>
      <c r="Z235" s="202"/>
      <c r="AA235" s="491"/>
      <c r="AB235" s="491"/>
      <c r="AC235" s="14"/>
      <c r="AD235" s="492"/>
      <c r="AE235" s="14"/>
      <c r="AF235" s="493"/>
      <c r="AG235" s="206"/>
      <c r="AH235" s="202"/>
      <c r="AI235" s="202"/>
      <c r="AJ235" s="202"/>
      <c r="AK235" s="202"/>
      <c r="AL235" s="202"/>
      <c r="AM235" s="202"/>
      <c r="AN235" s="202"/>
      <c r="AO235" s="202"/>
      <c r="AP235" s="494"/>
      <c r="AQ235" s="493"/>
      <c r="AR235" s="14"/>
      <c r="AS235" s="495"/>
      <c r="AT235" s="491"/>
      <c r="AU235" s="14"/>
      <c r="AV235" s="14"/>
      <c r="AW235" s="165"/>
      <c r="AX235" s="496"/>
      <c r="AY235" s="165"/>
      <c r="AZ235" s="165"/>
      <c r="BA235" s="165"/>
      <c r="BB235" s="165"/>
      <c r="BC235" s="165"/>
      <c r="BD235" s="84"/>
      <c r="BE235" s="84"/>
      <c r="BF235" s="84"/>
      <c r="BG235" s="84"/>
      <c r="BH235" s="84"/>
    </row>
    <row r="236" spans="1:60" x14ac:dyDescent="0.25">
      <c r="A236" s="14"/>
      <c r="B236" s="483"/>
      <c r="C236" s="14"/>
      <c r="D236" s="202"/>
      <c r="E236" s="282"/>
      <c r="F236" s="202"/>
      <c r="G236" s="202"/>
      <c r="H236" s="202"/>
      <c r="I236" s="484"/>
      <c r="J236" s="485"/>
      <c r="K236" s="485"/>
      <c r="L236" s="485"/>
      <c r="M236" s="486" t="str">
        <f t="shared" si="52"/>
        <v xml:space="preserve">  </v>
      </c>
      <c r="N236" s="979"/>
      <c r="O236" s="979"/>
      <c r="P236" s="979"/>
      <c r="Q236" s="979"/>
      <c r="R236" s="988"/>
      <c r="S236" s="206"/>
      <c r="T236" s="488"/>
      <c r="U236" s="489"/>
      <c r="V236" s="490"/>
      <c r="W236" s="206"/>
      <c r="X236" s="990"/>
      <c r="Y236" s="491"/>
      <c r="Z236" s="202"/>
      <c r="AA236" s="491"/>
      <c r="AB236" s="491"/>
      <c r="AC236" s="14"/>
      <c r="AD236" s="492"/>
      <c r="AE236" s="14"/>
      <c r="AF236" s="493"/>
      <c r="AG236" s="206"/>
      <c r="AH236" s="202"/>
      <c r="AI236" s="202"/>
      <c r="AJ236" s="202"/>
      <c r="AK236" s="202"/>
      <c r="AL236" s="202"/>
      <c r="AM236" s="202"/>
      <c r="AN236" s="202"/>
      <c r="AO236" s="202"/>
      <c r="AP236" s="494"/>
      <c r="AQ236" s="493"/>
      <c r="AR236" s="14"/>
      <c r="AS236" s="495"/>
      <c r="AT236" s="491"/>
      <c r="AU236" s="14"/>
      <c r="AV236" s="14"/>
      <c r="AW236" s="165"/>
      <c r="AX236" s="496"/>
      <c r="AY236" s="165"/>
      <c r="AZ236" s="165"/>
      <c r="BA236" s="165"/>
      <c r="BB236" s="165"/>
      <c r="BC236" s="165"/>
      <c r="BD236" s="84"/>
      <c r="BE236" s="84"/>
      <c r="BF236" s="84"/>
      <c r="BG236" s="84"/>
      <c r="BH236" s="84"/>
    </row>
    <row r="237" spans="1:60" x14ac:dyDescent="0.25">
      <c r="A237" s="14"/>
      <c r="B237" s="483"/>
      <c r="C237" s="14"/>
      <c r="D237" s="202"/>
      <c r="E237" s="282"/>
      <c r="F237" s="202"/>
      <c r="G237" s="202"/>
      <c r="H237" s="202"/>
      <c r="I237" s="484"/>
      <c r="J237" s="485"/>
      <c r="K237" s="485"/>
      <c r="L237" s="485"/>
      <c r="M237" s="486" t="str">
        <f t="shared" si="52"/>
        <v xml:space="preserve">  </v>
      </c>
      <c r="N237" s="979"/>
      <c r="O237" s="979"/>
      <c r="P237" s="979"/>
      <c r="Q237" s="979"/>
      <c r="R237" s="988"/>
      <c r="S237" s="206"/>
      <c r="T237" s="488"/>
      <c r="U237" s="489"/>
      <c r="V237" s="490"/>
      <c r="W237" s="206"/>
      <c r="X237" s="990"/>
      <c r="Y237" s="491"/>
      <c r="Z237" s="202"/>
      <c r="AA237" s="491"/>
      <c r="AB237" s="491"/>
      <c r="AC237" s="14"/>
      <c r="AD237" s="492"/>
      <c r="AE237" s="14"/>
      <c r="AF237" s="493"/>
      <c r="AG237" s="206"/>
      <c r="AH237" s="202"/>
      <c r="AI237" s="202"/>
      <c r="AJ237" s="202"/>
      <c r="AK237" s="202"/>
      <c r="AL237" s="202"/>
      <c r="AM237" s="202"/>
      <c r="AN237" s="202"/>
      <c r="AO237" s="202"/>
      <c r="AP237" s="494"/>
      <c r="AQ237" s="493"/>
      <c r="AR237" s="14"/>
      <c r="AS237" s="495"/>
      <c r="AT237" s="491"/>
      <c r="AU237" s="14"/>
      <c r="AV237" s="14"/>
      <c r="AW237" s="165"/>
      <c r="AX237" s="496"/>
      <c r="AY237" s="165"/>
      <c r="AZ237" s="165"/>
      <c r="BA237" s="165"/>
      <c r="BB237" s="165"/>
      <c r="BC237" s="165"/>
      <c r="BD237" s="84"/>
      <c r="BE237" s="84"/>
      <c r="BF237" s="84"/>
      <c r="BG237" s="84"/>
      <c r="BH237" s="84"/>
    </row>
    <row r="238" spans="1:60" x14ac:dyDescent="0.25">
      <c r="A238" s="14"/>
      <c r="B238" s="483"/>
      <c r="C238" s="14"/>
      <c r="D238" s="202"/>
      <c r="E238" s="282"/>
      <c r="F238" s="202"/>
      <c r="G238" s="202"/>
      <c r="H238" s="202"/>
      <c r="I238" s="484"/>
      <c r="J238" s="485"/>
      <c r="K238" s="485"/>
      <c r="L238" s="485"/>
      <c r="M238" s="486" t="str">
        <f t="shared" si="52"/>
        <v xml:space="preserve">  </v>
      </c>
      <c r="N238" s="979"/>
      <c r="O238" s="979"/>
      <c r="P238" s="979"/>
      <c r="Q238" s="979"/>
      <c r="R238" s="988"/>
      <c r="S238" s="206"/>
      <c r="T238" s="488"/>
      <c r="U238" s="489"/>
      <c r="V238" s="490"/>
      <c r="W238" s="206"/>
      <c r="X238" s="990"/>
      <c r="Y238" s="491"/>
      <c r="Z238" s="202"/>
      <c r="AA238" s="491"/>
      <c r="AB238" s="491"/>
      <c r="AC238" s="14"/>
      <c r="AD238" s="492"/>
      <c r="AE238" s="14"/>
      <c r="AF238" s="493"/>
      <c r="AG238" s="206"/>
      <c r="AH238" s="202"/>
      <c r="AI238" s="202"/>
      <c r="AJ238" s="202"/>
      <c r="AK238" s="202"/>
      <c r="AL238" s="202"/>
      <c r="AM238" s="202"/>
      <c r="AN238" s="202"/>
      <c r="AO238" s="202"/>
      <c r="AP238" s="494"/>
      <c r="AQ238" s="493"/>
      <c r="AR238" s="14"/>
      <c r="AS238" s="495"/>
      <c r="AT238" s="491"/>
      <c r="AU238" s="14"/>
      <c r="AV238" s="14"/>
      <c r="AW238" s="165"/>
      <c r="AX238" s="496"/>
      <c r="AY238" s="165"/>
      <c r="AZ238" s="165"/>
      <c r="BA238" s="165"/>
      <c r="BB238" s="165"/>
      <c r="BC238" s="165"/>
      <c r="BD238" s="84"/>
      <c r="BE238" s="84"/>
      <c r="BF238" s="84"/>
      <c r="BG238" s="84"/>
      <c r="BH238" s="84"/>
    </row>
    <row r="239" spans="1:60" x14ac:dyDescent="0.25">
      <c r="A239" s="14"/>
      <c r="B239" s="483"/>
      <c r="C239" s="14"/>
      <c r="D239" s="202"/>
      <c r="E239" s="282"/>
      <c r="F239" s="202"/>
      <c r="G239" s="202"/>
      <c r="H239" s="202"/>
      <c r="I239" s="484"/>
      <c r="J239" s="485"/>
      <c r="K239" s="485"/>
      <c r="L239" s="485"/>
      <c r="M239" s="486" t="str">
        <f t="shared" si="52"/>
        <v xml:space="preserve">  </v>
      </c>
      <c r="N239" s="979"/>
      <c r="O239" s="979"/>
      <c r="P239" s="979"/>
      <c r="Q239" s="979"/>
      <c r="R239" s="988"/>
      <c r="S239" s="206"/>
      <c r="T239" s="488"/>
      <c r="U239" s="489"/>
      <c r="V239" s="490"/>
      <c r="W239" s="206"/>
      <c r="X239" s="990"/>
      <c r="Y239" s="491"/>
      <c r="Z239" s="202"/>
      <c r="AA239" s="491"/>
      <c r="AB239" s="491"/>
      <c r="AC239" s="14"/>
      <c r="AD239" s="492"/>
      <c r="AE239" s="14"/>
      <c r="AF239" s="493"/>
      <c r="AG239" s="206"/>
      <c r="AH239" s="202"/>
      <c r="AI239" s="202"/>
      <c r="AJ239" s="202"/>
      <c r="AK239" s="202"/>
      <c r="AL239" s="202"/>
      <c r="AM239" s="202"/>
      <c r="AN239" s="202"/>
      <c r="AO239" s="202"/>
      <c r="AP239" s="494"/>
      <c r="AQ239" s="493"/>
      <c r="AR239" s="14"/>
      <c r="AS239" s="495"/>
      <c r="AT239" s="491"/>
      <c r="AU239" s="14"/>
      <c r="AV239" s="14"/>
      <c r="AW239" s="165"/>
      <c r="AX239" s="496"/>
      <c r="AY239" s="165"/>
      <c r="AZ239" s="165"/>
      <c r="BA239" s="165"/>
      <c r="BB239" s="165"/>
      <c r="BC239" s="165"/>
      <c r="BD239" s="84"/>
      <c r="BE239" s="84"/>
      <c r="BF239" s="84"/>
      <c r="BG239" s="84"/>
      <c r="BH239" s="84"/>
    </row>
    <row r="240" spans="1:60" x14ac:dyDescent="0.25">
      <c r="A240" s="14"/>
      <c r="B240" s="483"/>
      <c r="C240" s="14"/>
      <c r="D240" s="202"/>
      <c r="E240" s="282"/>
      <c r="F240" s="202"/>
      <c r="G240" s="202"/>
      <c r="H240" s="202"/>
      <c r="I240" s="484"/>
      <c r="J240" s="485"/>
      <c r="K240" s="485"/>
      <c r="L240" s="485"/>
      <c r="M240" s="486" t="str">
        <f t="shared" si="52"/>
        <v xml:space="preserve">  </v>
      </c>
      <c r="N240" s="979"/>
      <c r="O240" s="979"/>
      <c r="P240" s="979"/>
      <c r="Q240" s="979"/>
      <c r="R240" s="988"/>
      <c r="S240" s="206"/>
      <c r="T240" s="488"/>
      <c r="U240" s="489"/>
      <c r="V240" s="490"/>
      <c r="W240" s="206"/>
      <c r="X240" s="990"/>
      <c r="Y240" s="491"/>
      <c r="Z240" s="202"/>
      <c r="AA240" s="491"/>
      <c r="AB240" s="491"/>
      <c r="AC240" s="14"/>
      <c r="AD240" s="492"/>
      <c r="AE240" s="14"/>
      <c r="AF240" s="493"/>
      <c r="AG240" s="206"/>
      <c r="AH240" s="202"/>
      <c r="AI240" s="202"/>
      <c r="AJ240" s="202"/>
      <c r="AK240" s="202"/>
      <c r="AL240" s="202"/>
      <c r="AM240" s="202"/>
      <c r="AN240" s="202"/>
      <c r="AO240" s="202"/>
      <c r="AP240" s="494"/>
      <c r="AQ240" s="493"/>
      <c r="AR240" s="14"/>
      <c r="AS240" s="495"/>
      <c r="AT240" s="491"/>
      <c r="AU240" s="14"/>
      <c r="AV240" s="14"/>
      <c r="AW240" s="165"/>
      <c r="AX240" s="496"/>
      <c r="AY240" s="165"/>
      <c r="AZ240" s="165"/>
      <c r="BA240" s="165"/>
      <c r="BB240" s="165"/>
      <c r="BC240" s="165"/>
      <c r="BD240" s="84"/>
      <c r="BE240" s="84"/>
      <c r="BF240" s="84"/>
      <c r="BG240" s="84"/>
      <c r="BH240" s="84"/>
    </row>
    <row r="241" spans="1:60" x14ac:dyDescent="0.25">
      <c r="A241" s="14"/>
      <c r="B241" s="483"/>
      <c r="C241" s="14"/>
      <c r="D241" s="202"/>
      <c r="E241" s="282"/>
      <c r="F241" s="202"/>
      <c r="G241" s="202"/>
      <c r="H241" s="202"/>
      <c r="I241" s="484"/>
      <c r="J241" s="485"/>
      <c r="K241" s="485"/>
      <c r="L241" s="485"/>
      <c r="M241" s="486" t="str">
        <f t="shared" si="52"/>
        <v xml:space="preserve">  </v>
      </c>
      <c r="N241" s="979"/>
      <c r="O241" s="979"/>
      <c r="P241" s="979"/>
      <c r="Q241" s="979"/>
      <c r="R241" s="988"/>
      <c r="S241" s="206"/>
      <c r="T241" s="488"/>
      <c r="U241" s="489"/>
      <c r="V241" s="490"/>
      <c r="W241" s="206"/>
      <c r="X241" s="990"/>
      <c r="Y241" s="491"/>
      <c r="Z241" s="202"/>
      <c r="AA241" s="491"/>
      <c r="AB241" s="491"/>
      <c r="AC241" s="14"/>
      <c r="AD241" s="492"/>
      <c r="AE241" s="14"/>
      <c r="AF241" s="493"/>
      <c r="AG241" s="206"/>
      <c r="AH241" s="202"/>
      <c r="AI241" s="202"/>
      <c r="AJ241" s="202"/>
      <c r="AK241" s="202"/>
      <c r="AL241" s="202"/>
      <c r="AM241" s="202"/>
      <c r="AN241" s="202"/>
      <c r="AO241" s="202"/>
      <c r="AP241" s="494"/>
      <c r="AQ241" s="493"/>
      <c r="AR241" s="14"/>
      <c r="AS241" s="495"/>
      <c r="AT241" s="491"/>
      <c r="AU241" s="14"/>
      <c r="AV241" s="14"/>
      <c r="AW241" s="165"/>
      <c r="AX241" s="496"/>
      <c r="AY241" s="165"/>
      <c r="AZ241" s="165"/>
      <c r="BA241" s="165"/>
      <c r="BB241" s="165"/>
      <c r="BC241" s="165"/>
      <c r="BD241" s="84"/>
      <c r="BE241" s="84"/>
      <c r="BF241" s="84"/>
      <c r="BG241" s="84"/>
      <c r="BH241" s="84"/>
    </row>
    <row r="242" spans="1:60" x14ac:dyDescent="0.25">
      <c r="A242" s="14"/>
      <c r="B242" s="483"/>
      <c r="C242" s="14"/>
      <c r="D242" s="202"/>
      <c r="E242" s="282"/>
      <c r="F242" s="202"/>
      <c r="G242" s="202"/>
      <c r="H242" s="202"/>
      <c r="I242" s="484"/>
      <c r="J242" s="485"/>
      <c r="K242" s="485"/>
      <c r="L242" s="485"/>
      <c r="M242" s="486" t="str">
        <f t="shared" si="52"/>
        <v xml:space="preserve">  </v>
      </c>
      <c r="N242" s="979"/>
      <c r="O242" s="979"/>
      <c r="P242" s="979"/>
      <c r="Q242" s="979"/>
      <c r="R242" s="988"/>
      <c r="S242" s="206"/>
      <c r="T242" s="488"/>
      <c r="U242" s="489"/>
      <c r="V242" s="490"/>
      <c r="W242" s="206"/>
      <c r="X242" s="990"/>
      <c r="Y242" s="491"/>
      <c r="Z242" s="202"/>
      <c r="AA242" s="491"/>
      <c r="AB242" s="491"/>
      <c r="AC242" s="14"/>
      <c r="AD242" s="492"/>
      <c r="AE242" s="14"/>
      <c r="AF242" s="493"/>
      <c r="AG242" s="206"/>
      <c r="AH242" s="202"/>
      <c r="AI242" s="202"/>
      <c r="AJ242" s="202"/>
      <c r="AK242" s="202"/>
      <c r="AL242" s="202"/>
      <c r="AM242" s="202"/>
      <c r="AN242" s="202"/>
      <c r="AO242" s="202"/>
      <c r="AP242" s="494"/>
      <c r="AQ242" s="493"/>
      <c r="AR242" s="14"/>
      <c r="AS242" s="495"/>
      <c r="AT242" s="491"/>
      <c r="AU242" s="14"/>
      <c r="AV242" s="14"/>
      <c r="AW242" s="165"/>
      <c r="AX242" s="496"/>
      <c r="AY242" s="165"/>
      <c r="AZ242" s="165"/>
      <c r="BA242" s="165"/>
      <c r="BB242" s="165"/>
      <c r="BC242" s="165"/>
      <c r="BD242" s="84"/>
      <c r="BE242" s="84"/>
      <c r="BF242" s="84"/>
      <c r="BG242" s="84"/>
      <c r="BH242" s="84"/>
    </row>
  </sheetData>
  <autoFilter ref="A1:BW242" xr:uid="{00000000-0001-0000-0600-000000000000}"/>
  <mergeCells count="1">
    <mergeCell ref="E172:F172"/>
  </mergeCells>
  <dataValidations disablePrompts="1" count="1">
    <dataValidation type="list" allowBlank="1" showInputMessage="1" showErrorMessage="1" sqref="N158:O158" xr:uid="{00000000-0002-0000-0600-000000000000}">
      <formula1>$K$677:$K$702</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4A7EF-FE54-4FB9-AC96-29876A1B6FEC}">
  <sheetPr filterMode="1">
    <pageSetUpPr fitToPage="1"/>
  </sheetPr>
  <dimension ref="A1:AX304"/>
  <sheetViews>
    <sheetView zoomScale="85" zoomScaleNormal="85" workbookViewId="0">
      <pane xSplit="1" ySplit="1" topLeftCell="G199" activePane="bottomRight" state="frozen"/>
      <selection pane="topRight" activeCell="B1" sqref="B1"/>
      <selection pane="bottomLeft" activeCell="A2" sqref="A2"/>
      <selection pane="bottomRight" activeCell="M199" sqref="M199"/>
    </sheetView>
  </sheetViews>
  <sheetFormatPr baseColWidth="10" defaultColWidth="11.42578125" defaultRowHeight="15" x14ac:dyDescent="0.25"/>
  <cols>
    <col min="1" max="1" width="28.85546875" style="307" customWidth="1"/>
    <col min="2" max="2" width="7.28515625" customWidth="1"/>
    <col min="3" max="3" width="14.42578125" style="307" customWidth="1"/>
    <col min="4" max="4" width="17" customWidth="1"/>
    <col min="5" max="5" width="30.28515625" customWidth="1"/>
    <col min="6" max="6" width="16.5703125" style="1" customWidth="1"/>
    <col min="7" max="7" width="16.5703125" customWidth="1"/>
    <col min="8" max="8" width="17.140625" customWidth="1"/>
    <col min="9" max="9" width="31.5703125" style="307" customWidth="1"/>
    <col min="10" max="12" width="11.42578125" customWidth="1"/>
    <col min="13" max="13" width="35.42578125" customWidth="1"/>
    <col min="14" max="14" width="38" style="307" customWidth="1"/>
    <col min="15" max="15" width="30.85546875" style="307" customWidth="1"/>
    <col min="16" max="16" width="35.7109375" style="307" customWidth="1"/>
    <col min="17" max="17" width="41.5703125" style="724" customWidth="1"/>
    <col min="18" max="18" width="15" style="425" customWidth="1"/>
    <col min="19" max="19" width="16.140625" style="10" customWidth="1"/>
    <col min="20" max="20" width="16.85546875" style="10" customWidth="1"/>
    <col min="21" max="21" width="18.42578125" style="425" customWidth="1"/>
    <col min="22" max="22" width="18" style="10" customWidth="1"/>
    <col min="23" max="23" width="16.28515625" style="10" customWidth="1"/>
    <col min="24" max="24" width="11.42578125" customWidth="1"/>
    <col min="25" max="25" width="11.42578125" style="257" customWidth="1"/>
    <col min="26" max="26" width="11.42578125" customWidth="1"/>
    <col min="27" max="28" width="11.42578125" style="296" customWidth="1"/>
    <col min="29" max="29" width="19.140625" style="307" customWidth="1"/>
    <col min="30" max="30" width="25.7109375" customWidth="1"/>
    <col min="31" max="31" width="23.5703125" customWidth="1"/>
    <col min="32" max="32" width="16.85546875" style="257" customWidth="1"/>
    <col min="33" max="33" width="16.85546875" style="10" customWidth="1"/>
    <col min="34" max="34" width="11.42578125" customWidth="1"/>
    <col min="35" max="35" width="13.5703125" customWidth="1"/>
    <col min="36" max="41" width="11.42578125" customWidth="1"/>
    <col min="42" max="42" width="18.140625" customWidth="1"/>
    <col min="43" max="46" width="11.42578125" style="419" customWidth="1"/>
    <col min="47" max="47" width="13.7109375" style="419" customWidth="1"/>
    <col min="48" max="49" width="11.7109375" style="419" bestFit="1" customWidth="1"/>
    <col min="50" max="50" width="23.7109375" customWidth="1"/>
  </cols>
  <sheetData>
    <row r="1" spans="1:50" s="1" customFormat="1" ht="69" x14ac:dyDescent="0.25">
      <c r="A1" s="189" t="s">
        <v>83</v>
      </c>
      <c r="B1" s="194" t="s">
        <v>6297</v>
      </c>
      <c r="C1" s="426" t="s">
        <v>1088</v>
      </c>
      <c r="D1" s="23" t="s">
        <v>86</v>
      </c>
      <c r="E1" s="24" t="s">
        <v>85</v>
      </c>
      <c r="F1" s="21" t="s">
        <v>88</v>
      </c>
      <c r="G1" s="128" t="s">
        <v>87</v>
      </c>
      <c r="H1" s="128" t="s">
        <v>1</v>
      </c>
      <c r="I1" s="420" t="s">
        <v>89</v>
      </c>
      <c r="J1" s="23" t="s">
        <v>90</v>
      </c>
      <c r="K1" s="23" t="s">
        <v>91</v>
      </c>
      <c r="L1" s="23" t="s">
        <v>92</v>
      </c>
      <c r="M1" s="21" t="s">
        <v>93</v>
      </c>
      <c r="N1" s="21" t="s">
        <v>3089</v>
      </c>
      <c r="O1" s="23" t="s">
        <v>5354</v>
      </c>
      <c r="P1" s="23" t="s">
        <v>5355</v>
      </c>
      <c r="Q1" s="21" t="s">
        <v>0</v>
      </c>
      <c r="R1" s="725" t="s">
        <v>6298</v>
      </c>
      <c r="S1" s="292" t="s">
        <v>97</v>
      </c>
      <c r="T1" s="292" t="s">
        <v>4294</v>
      </c>
      <c r="U1" s="728" t="s">
        <v>6299</v>
      </c>
      <c r="V1" s="299" t="s">
        <v>100</v>
      </c>
      <c r="W1" s="291" t="s">
        <v>101</v>
      </c>
      <c r="X1" s="60" t="s">
        <v>102</v>
      </c>
      <c r="Y1" s="294" t="s">
        <v>103</v>
      </c>
      <c r="Z1" s="23" t="s">
        <v>104</v>
      </c>
      <c r="AA1" s="295" t="s">
        <v>105</v>
      </c>
      <c r="AB1" s="295" t="s">
        <v>106</v>
      </c>
      <c r="AC1" s="23" t="s">
        <v>2232</v>
      </c>
      <c r="AD1" s="231" t="s">
        <v>3093</v>
      </c>
      <c r="AE1" s="32" t="s">
        <v>117</v>
      </c>
      <c r="AF1" s="301" t="s">
        <v>118</v>
      </c>
      <c r="AG1" s="297" t="s">
        <v>119</v>
      </c>
      <c r="AH1" s="23" t="s">
        <v>120</v>
      </c>
      <c r="AI1" s="23" t="s">
        <v>2233</v>
      </c>
      <c r="AJ1" s="23" t="s">
        <v>1093</v>
      </c>
      <c r="AK1" s="700" t="s">
        <v>121</v>
      </c>
      <c r="AL1" s="511" t="s">
        <v>213</v>
      </c>
      <c r="AM1" s="701" t="s">
        <v>123</v>
      </c>
      <c r="AN1" s="34" t="s">
        <v>124</v>
      </c>
      <c r="AO1" s="34" t="s">
        <v>125</v>
      </c>
      <c r="AP1" s="23" t="s">
        <v>131</v>
      </c>
      <c r="AQ1" s="79" t="s">
        <v>132</v>
      </c>
      <c r="AR1" s="279" t="s">
        <v>3096</v>
      </c>
      <c r="AS1" s="302" t="s">
        <v>3097</v>
      </c>
      <c r="AT1" s="302" t="s">
        <v>1094</v>
      </c>
      <c r="AU1" s="303" t="s">
        <v>142</v>
      </c>
      <c r="AV1" s="303" t="s">
        <v>4296</v>
      </c>
      <c r="AW1" s="304" t="s">
        <v>2234</v>
      </c>
    </row>
    <row r="2" spans="1:50" s="1" customFormat="1" hidden="1" x14ac:dyDescent="0.25">
      <c r="A2" s="177">
        <v>1</v>
      </c>
      <c r="B2" s="179">
        <v>2</v>
      </c>
      <c r="C2" s="427">
        <v>3</v>
      </c>
      <c r="D2" s="36">
        <v>7</v>
      </c>
      <c r="E2" s="37">
        <v>4</v>
      </c>
      <c r="F2" s="36">
        <v>5</v>
      </c>
      <c r="G2" s="36"/>
      <c r="H2" s="36">
        <v>6</v>
      </c>
      <c r="I2" s="421">
        <v>8</v>
      </c>
      <c r="J2" s="36">
        <v>9</v>
      </c>
      <c r="K2" s="36">
        <v>10</v>
      </c>
      <c r="L2" s="36">
        <v>11</v>
      </c>
      <c r="M2" s="36">
        <v>12</v>
      </c>
      <c r="N2" s="36">
        <v>13</v>
      </c>
      <c r="O2" s="36">
        <v>14</v>
      </c>
      <c r="P2" s="36"/>
      <c r="Q2" s="715">
        <v>15</v>
      </c>
      <c r="R2" s="726">
        <v>16</v>
      </c>
      <c r="S2" s="310">
        <v>17</v>
      </c>
      <c r="T2" s="310">
        <v>18</v>
      </c>
      <c r="U2" s="726">
        <v>19</v>
      </c>
      <c r="V2" s="310">
        <v>20</v>
      </c>
      <c r="W2" s="310">
        <v>21</v>
      </c>
      <c r="X2" s="36">
        <v>22</v>
      </c>
      <c r="Y2" s="36">
        <v>23</v>
      </c>
      <c r="Z2" s="36">
        <v>24</v>
      </c>
      <c r="AA2" s="36">
        <v>25</v>
      </c>
      <c r="AB2" s="36">
        <v>26</v>
      </c>
      <c r="AC2" s="421">
        <v>27</v>
      </c>
      <c r="AD2" s="36">
        <v>34</v>
      </c>
      <c r="AE2" s="36">
        <v>35</v>
      </c>
      <c r="AF2" s="36">
        <v>36</v>
      </c>
      <c r="AG2" s="310">
        <v>37</v>
      </c>
      <c r="AH2" s="36">
        <v>38</v>
      </c>
      <c r="AI2" s="36">
        <v>39</v>
      </c>
      <c r="AJ2" s="36">
        <v>40</v>
      </c>
      <c r="AK2" s="36">
        <v>41</v>
      </c>
      <c r="AL2" s="704">
        <v>42</v>
      </c>
      <c r="AM2" s="36">
        <v>43</v>
      </c>
      <c r="AN2" s="36">
        <v>44</v>
      </c>
      <c r="AO2" s="36">
        <v>45</v>
      </c>
      <c r="AP2" s="36">
        <v>52</v>
      </c>
      <c r="AQ2" s="36">
        <v>53</v>
      </c>
      <c r="AR2" s="36">
        <v>54</v>
      </c>
      <c r="AS2" s="36">
        <v>55</v>
      </c>
      <c r="AT2" s="36">
        <v>56</v>
      </c>
      <c r="AU2" s="36">
        <v>57</v>
      </c>
      <c r="AV2" s="36">
        <v>58</v>
      </c>
      <c r="AW2" s="254">
        <v>59</v>
      </c>
    </row>
    <row r="3" spans="1:50" ht="60" hidden="1" x14ac:dyDescent="0.25">
      <c r="A3" s="390" t="s">
        <v>1724</v>
      </c>
      <c r="B3" s="706"/>
      <c r="C3" s="428" t="s">
        <v>149</v>
      </c>
      <c r="D3" s="259" t="s">
        <v>163</v>
      </c>
      <c r="E3" s="287" t="s">
        <v>2010</v>
      </c>
      <c r="F3" s="287" t="s">
        <v>163</v>
      </c>
      <c r="G3" s="309" t="s">
        <v>163</v>
      </c>
      <c r="H3" s="287" t="s">
        <v>607</v>
      </c>
      <c r="I3" s="81" t="s">
        <v>1725</v>
      </c>
      <c r="J3" s="82"/>
      <c r="K3" s="82"/>
      <c r="L3" s="82"/>
      <c r="M3" s="42" t="s">
        <v>6300</v>
      </c>
      <c r="N3" s="991" t="s">
        <v>166</v>
      </c>
      <c r="O3" s="991" t="s">
        <v>166</v>
      </c>
      <c r="P3" s="991"/>
      <c r="Q3" s="1040" t="s">
        <v>1726</v>
      </c>
      <c r="R3" s="1034">
        <v>6702500</v>
      </c>
      <c r="S3" s="992">
        <f>+R3*0.16</f>
        <v>1072400</v>
      </c>
      <c r="T3" s="992">
        <f>+R3+S3</f>
        <v>7774900</v>
      </c>
      <c r="U3" s="1034">
        <v>0</v>
      </c>
      <c r="V3" s="992">
        <v>0</v>
      </c>
      <c r="W3" s="1041">
        <f t="shared" ref="W3:W10" si="0">+T3</f>
        <v>7774900</v>
      </c>
      <c r="X3" s="993" t="s">
        <v>183</v>
      </c>
      <c r="Y3" s="1004">
        <v>43622</v>
      </c>
      <c r="Z3" s="985" t="s">
        <v>496</v>
      </c>
      <c r="AA3" s="1004">
        <v>43617</v>
      </c>
      <c r="AB3" s="1004">
        <v>45443</v>
      </c>
      <c r="AC3" s="991" t="s">
        <v>1727</v>
      </c>
      <c r="AD3" s="991" t="s">
        <v>1729</v>
      </c>
      <c r="AE3" s="991" t="s">
        <v>1730</v>
      </c>
      <c r="AF3" s="1005">
        <v>45110</v>
      </c>
      <c r="AG3" s="992">
        <v>0</v>
      </c>
      <c r="AH3" s="1042" t="str">
        <f t="shared" ref="AH3:AH30" ca="1" si="1">IF(ISBLANK(AB3),"",IF(AB3&gt;=TODAY(),"VIGENTE","MUERTO"))</f>
        <v>MUERTO</v>
      </c>
      <c r="AI3" s="991"/>
      <c r="AJ3" s="991"/>
      <c r="AK3" s="63" t="s">
        <v>6301</v>
      </c>
      <c r="AL3" s="39" t="s">
        <v>6301</v>
      </c>
      <c r="AM3" s="702" t="s">
        <v>6301</v>
      </c>
      <c r="AN3" s="985"/>
      <c r="AO3" s="985"/>
      <c r="AP3" s="38" t="str">
        <f>VLOOKUP(I3,'[4] RFC'!A:B,2,0)</f>
        <v>GID170104788</v>
      </c>
      <c r="AQ3" s="994">
        <v>43614</v>
      </c>
      <c r="AR3" s="994">
        <v>43627</v>
      </c>
      <c r="AS3" s="994" t="s">
        <v>1652</v>
      </c>
      <c r="AT3" s="994">
        <v>43658</v>
      </c>
      <c r="AU3" s="183">
        <v>43658</v>
      </c>
      <c r="AV3" s="195">
        <v>43658</v>
      </c>
      <c r="AW3" s="185">
        <v>43658</v>
      </c>
    </row>
    <row r="4" spans="1:50" ht="60" hidden="1" x14ac:dyDescent="0.25">
      <c r="A4" s="390" t="s">
        <v>6302</v>
      </c>
      <c r="B4" s="8"/>
      <c r="C4" s="300" t="s">
        <v>811</v>
      </c>
      <c r="D4" s="259" t="s">
        <v>6303</v>
      </c>
      <c r="E4" s="287" t="s">
        <v>2098</v>
      </c>
      <c r="F4" s="287" t="s">
        <v>2237</v>
      </c>
      <c r="G4" s="309" t="s">
        <v>163</v>
      </c>
      <c r="H4" s="287" t="s">
        <v>607</v>
      </c>
      <c r="I4" s="42" t="s">
        <v>6304</v>
      </c>
      <c r="J4" s="82"/>
      <c r="K4" s="82"/>
      <c r="L4" s="82"/>
      <c r="M4" s="42" t="s">
        <v>6304</v>
      </c>
      <c r="N4" s="991" t="s">
        <v>198</v>
      </c>
      <c r="O4" s="991" t="s">
        <v>198</v>
      </c>
      <c r="P4" s="991"/>
      <c r="Q4" s="1040" t="s">
        <v>2012</v>
      </c>
      <c r="R4" s="1034">
        <v>6035796.793103449</v>
      </c>
      <c r="S4" s="992">
        <f>+R4*0.16</f>
        <v>965727.48689655191</v>
      </c>
      <c r="T4" s="992">
        <f>+R4+S4</f>
        <v>7001524.2800000012</v>
      </c>
      <c r="U4" s="1034">
        <v>0</v>
      </c>
      <c r="V4" s="992">
        <v>0</v>
      </c>
      <c r="W4" s="1041">
        <f t="shared" si="0"/>
        <v>7001524.2800000012</v>
      </c>
      <c r="X4" s="993" t="s">
        <v>183</v>
      </c>
      <c r="Y4" s="1004">
        <v>45201</v>
      </c>
      <c r="Z4" s="985" t="s">
        <v>881</v>
      </c>
      <c r="AA4" s="1004">
        <v>43770</v>
      </c>
      <c r="AB4" s="1004">
        <v>45412</v>
      </c>
      <c r="AC4" s="991" t="s">
        <v>1941</v>
      </c>
      <c r="AD4" s="991"/>
      <c r="AE4" s="991"/>
      <c r="AF4" s="1005"/>
      <c r="AG4" s="992"/>
      <c r="AH4" s="1042" t="str">
        <f t="shared" ca="1" si="1"/>
        <v>MUERTO</v>
      </c>
      <c r="AI4" s="991"/>
      <c r="AJ4" s="991"/>
      <c r="AK4" s="63" t="s">
        <v>6301</v>
      </c>
      <c r="AL4" s="39" t="s">
        <v>6301</v>
      </c>
      <c r="AM4" s="702" t="s">
        <v>6301</v>
      </c>
      <c r="AN4" s="985"/>
      <c r="AO4" s="985"/>
      <c r="AP4" s="38" t="str">
        <f>VLOOKUP(I4,'[4] RFC'!A:B,2,0)</f>
        <v>PIA970404KE8</v>
      </c>
      <c r="AQ4" s="985"/>
      <c r="AR4" s="985"/>
      <c r="AS4" s="985"/>
      <c r="AT4" s="985"/>
      <c r="AU4" s="183">
        <v>45237</v>
      </c>
      <c r="AV4" s="195">
        <v>45237</v>
      </c>
      <c r="AW4" s="185">
        <v>45237</v>
      </c>
    </row>
    <row r="5" spans="1:50" ht="60" hidden="1" x14ac:dyDescent="0.25">
      <c r="A5" s="424" t="s">
        <v>6305</v>
      </c>
      <c r="B5" s="8"/>
      <c r="C5" s="300" t="s">
        <v>6303</v>
      </c>
      <c r="D5" s="259" t="s">
        <v>6303</v>
      </c>
      <c r="E5" s="287" t="s">
        <v>6306</v>
      </c>
      <c r="F5" s="287" t="s">
        <v>6307</v>
      </c>
      <c r="G5" s="309" t="s">
        <v>163</v>
      </c>
      <c r="H5" s="287" t="s">
        <v>6308</v>
      </c>
      <c r="I5" s="42" t="s">
        <v>6304</v>
      </c>
      <c r="J5" s="82"/>
      <c r="K5" s="82"/>
      <c r="L5" s="82"/>
      <c r="M5" s="42" t="s">
        <v>6304</v>
      </c>
      <c r="N5" s="991" t="s">
        <v>198</v>
      </c>
      <c r="O5" s="991" t="s">
        <v>198</v>
      </c>
      <c r="P5" s="991"/>
      <c r="Q5" s="1040" t="s">
        <v>2012</v>
      </c>
      <c r="R5" s="1034">
        <v>0</v>
      </c>
      <c r="S5" s="992">
        <v>0</v>
      </c>
      <c r="T5" s="992">
        <v>0</v>
      </c>
      <c r="U5" s="1034">
        <v>0</v>
      </c>
      <c r="V5" s="992">
        <v>0</v>
      </c>
      <c r="W5" s="1041">
        <f t="shared" si="0"/>
        <v>0</v>
      </c>
      <c r="X5" s="993" t="s">
        <v>183</v>
      </c>
      <c r="Y5" s="1004">
        <v>45399</v>
      </c>
      <c r="Z5" s="985" t="s">
        <v>6309</v>
      </c>
      <c r="AA5" s="1004">
        <v>43770</v>
      </c>
      <c r="AB5" s="1004">
        <v>45488</v>
      </c>
      <c r="AC5" s="991" t="s">
        <v>1941</v>
      </c>
      <c r="AD5" s="991" t="s">
        <v>6310</v>
      </c>
      <c r="AE5" s="991"/>
      <c r="AF5" s="1005"/>
      <c r="AG5" s="992"/>
      <c r="AH5" s="1042" t="str">
        <f t="shared" ca="1" si="1"/>
        <v>MUERTO</v>
      </c>
      <c r="AI5" s="991"/>
      <c r="AJ5" s="991"/>
      <c r="AK5" s="63" t="s">
        <v>6301</v>
      </c>
      <c r="AL5" s="962" t="s">
        <v>333</v>
      </c>
      <c r="AM5" s="702" t="s">
        <v>6301</v>
      </c>
      <c r="AN5" s="985"/>
      <c r="AO5" s="985"/>
      <c r="AP5" s="38" t="str">
        <f>VLOOKUP(I5,'[4] RFC'!A:B,2,0)</f>
        <v>PIA970404KE8</v>
      </c>
      <c r="AQ5" s="1008">
        <v>45397</v>
      </c>
      <c r="AR5" s="1008">
        <v>45398</v>
      </c>
      <c r="AS5" s="1008">
        <v>45399</v>
      </c>
      <c r="AT5" s="1004">
        <f>+Y5</f>
        <v>45399</v>
      </c>
      <c r="AU5" s="183">
        <v>45429</v>
      </c>
      <c r="AV5" s="195">
        <v>45412</v>
      </c>
      <c r="AW5" s="185">
        <v>45407</v>
      </c>
    </row>
    <row r="6" spans="1:50" ht="60" hidden="1" x14ac:dyDescent="0.25">
      <c r="A6" s="424" t="s">
        <v>6311</v>
      </c>
      <c r="B6" s="8"/>
      <c r="C6" s="300" t="s">
        <v>6303</v>
      </c>
      <c r="D6" s="259" t="s">
        <v>6303</v>
      </c>
      <c r="E6" s="287" t="s">
        <v>6312</v>
      </c>
      <c r="F6" s="287" t="s">
        <v>6307</v>
      </c>
      <c r="G6" s="309" t="s">
        <v>163</v>
      </c>
      <c r="H6" s="287" t="s">
        <v>6313</v>
      </c>
      <c r="I6" s="42" t="s">
        <v>6304</v>
      </c>
      <c r="J6" s="82"/>
      <c r="K6" s="82"/>
      <c r="L6" s="82"/>
      <c r="M6" s="42" t="s">
        <v>6304</v>
      </c>
      <c r="N6" s="991" t="s">
        <v>198</v>
      </c>
      <c r="O6" s="991" t="s">
        <v>198</v>
      </c>
      <c r="P6" s="991"/>
      <c r="Q6" s="1040" t="s">
        <v>2012</v>
      </c>
      <c r="R6" s="1034">
        <v>0</v>
      </c>
      <c r="S6" s="992">
        <v>0</v>
      </c>
      <c r="T6" s="992">
        <v>0</v>
      </c>
      <c r="U6" s="1034">
        <v>0</v>
      </c>
      <c r="V6" s="992">
        <v>0</v>
      </c>
      <c r="W6" s="1041">
        <f t="shared" si="0"/>
        <v>0</v>
      </c>
      <c r="X6" s="993" t="s">
        <v>183</v>
      </c>
      <c r="Y6" s="1004">
        <v>45488</v>
      </c>
      <c r="Z6" s="985" t="s">
        <v>696</v>
      </c>
      <c r="AA6" s="1004">
        <v>43770</v>
      </c>
      <c r="AB6" s="1004">
        <v>45550</v>
      </c>
      <c r="AC6" s="991" t="s">
        <v>1941</v>
      </c>
      <c r="AD6" s="991" t="s">
        <v>6314</v>
      </c>
      <c r="AE6" s="991"/>
      <c r="AF6" s="1005"/>
      <c r="AG6" s="992"/>
      <c r="AH6" s="1042" t="str">
        <f t="shared" ca="1" si="1"/>
        <v>MUERTO</v>
      </c>
      <c r="AI6" s="991"/>
      <c r="AJ6" s="991"/>
      <c r="AK6" s="63" t="s">
        <v>6301</v>
      </c>
      <c r="AL6" s="962"/>
      <c r="AM6" s="702" t="s">
        <v>6301</v>
      </c>
      <c r="AN6" s="985"/>
      <c r="AO6" s="985"/>
      <c r="AP6" s="38" t="str">
        <f>VLOOKUP(I6,'[4] RFC'!A:B,2,0)</f>
        <v>PIA970404KE8</v>
      </c>
      <c r="AQ6" s="1008">
        <v>45484</v>
      </c>
      <c r="AR6" s="1008">
        <v>45485</v>
      </c>
      <c r="AS6" s="1008">
        <v>45489</v>
      </c>
      <c r="AT6" s="1004">
        <f>+Y6</f>
        <v>45488</v>
      </c>
      <c r="AU6" s="183">
        <v>45524</v>
      </c>
      <c r="AV6" s="195">
        <v>45496</v>
      </c>
      <c r="AW6" s="185">
        <v>45492</v>
      </c>
    </row>
    <row r="7" spans="1:50" ht="60" hidden="1" x14ac:dyDescent="0.25">
      <c r="A7" s="424" t="s">
        <v>6315</v>
      </c>
      <c r="B7" s="8"/>
      <c r="C7" s="300" t="s">
        <v>6303</v>
      </c>
      <c r="D7" s="259" t="s">
        <v>6303</v>
      </c>
      <c r="E7" s="287" t="s">
        <v>6312</v>
      </c>
      <c r="F7" s="287" t="s">
        <v>6307</v>
      </c>
      <c r="G7" s="309" t="s">
        <v>163</v>
      </c>
      <c r="H7" s="287" t="s">
        <v>6313</v>
      </c>
      <c r="I7" s="42" t="s">
        <v>6304</v>
      </c>
      <c r="J7" s="82"/>
      <c r="K7" s="82"/>
      <c r="L7" s="82"/>
      <c r="M7" s="42" t="s">
        <v>6304</v>
      </c>
      <c r="N7" s="991" t="s">
        <v>198</v>
      </c>
      <c r="O7" s="991" t="s">
        <v>198</v>
      </c>
      <c r="P7" s="991"/>
      <c r="Q7" s="1040" t="s">
        <v>2012</v>
      </c>
      <c r="R7" s="1034">
        <v>0</v>
      </c>
      <c r="S7" s="992">
        <v>0</v>
      </c>
      <c r="T7" s="992">
        <v>0</v>
      </c>
      <c r="U7" s="1034">
        <v>0</v>
      </c>
      <c r="V7" s="992">
        <v>0</v>
      </c>
      <c r="W7" s="1041">
        <f t="shared" si="0"/>
        <v>0</v>
      </c>
      <c r="X7" s="993" t="s">
        <v>183</v>
      </c>
      <c r="Y7" s="1004">
        <v>45539</v>
      </c>
      <c r="Z7" s="985" t="s">
        <v>863</v>
      </c>
      <c r="AA7" s="1004">
        <v>43770</v>
      </c>
      <c r="AB7" s="1004">
        <v>45550</v>
      </c>
      <c r="AC7" s="991" t="s">
        <v>1941</v>
      </c>
      <c r="AD7" s="991" t="s">
        <v>6316</v>
      </c>
      <c r="AE7" s="991"/>
      <c r="AF7" s="1005"/>
      <c r="AG7" s="992"/>
      <c r="AH7" s="1042" t="str">
        <f t="shared" ca="1" si="1"/>
        <v>MUERTO</v>
      </c>
      <c r="AI7" s="991"/>
      <c r="AJ7" s="991"/>
      <c r="AK7" s="63" t="s">
        <v>6301</v>
      </c>
      <c r="AL7" s="962"/>
      <c r="AM7" s="702" t="s">
        <v>6301</v>
      </c>
      <c r="AN7" s="985"/>
      <c r="AO7" s="985"/>
      <c r="AP7" s="38" t="str">
        <f>VLOOKUP(I7,'[4] RFC'!A:B,2,0)</f>
        <v>PIA970404KE8</v>
      </c>
      <c r="AQ7" s="1008">
        <v>45531</v>
      </c>
      <c r="AR7" s="1008">
        <v>45537</v>
      </c>
      <c r="AS7" s="1008">
        <v>45539</v>
      </c>
      <c r="AT7" s="1004">
        <v>45539</v>
      </c>
      <c r="AU7" s="183"/>
      <c r="AV7" s="195"/>
      <c r="AW7" s="185"/>
    </row>
    <row r="8" spans="1:50" ht="120" hidden="1" x14ac:dyDescent="0.25">
      <c r="A8" s="424" t="s">
        <v>6317</v>
      </c>
      <c r="B8" s="8"/>
      <c r="C8" s="428" t="s">
        <v>149</v>
      </c>
      <c r="D8" s="259" t="s">
        <v>6303</v>
      </c>
      <c r="E8" s="287" t="s">
        <v>2010</v>
      </c>
      <c r="F8" s="287" t="s">
        <v>163</v>
      </c>
      <c r="G8" s="685" t="s">
        <v>546</v>
      </c>
      <c r="H8" s="287" t="s">
        <v>312</v>
      </c>
      <c r="I8" s="81" t="s">
        <v>1065</v>
      </c>
      <c r="J8" s="82"/>
      <c r="K8" s="82"/>
      <c r="L8" s="82"/>
      <c r="M8" s="42" t="s">
        <v>6318</v>
      </c>
      <c r="N8" s="991" t="s">
        <v>198</v>
      </c>
      <c r="O8" s="991" t="s">
        <v>198</v>
      </c>
      <c r="P8" s="991"/>
      <c r="Q8" s="1040" t="s">
        <v>2142</v>
      </c>
      <c r="R8" s="1034">
        <v>2264638.0603448278</v>
      </c>
      <c r="S8" s="992">
        <f>+R8*0.16</f>
        <v>362342.08965517249</v>
      </c>
      <c r="T8" s="992">
        <f>+R8+S8</f>
        <v>2626980.1500000004</v>
      </c>
      <c r="U8" s="1034">
        <v>0</v>
      </c>
      <c r="V8" s="992">
        <v>0</v>
      </c>
      <c r="W8" s="1041">
        <f t="shared" si="0"/>
        <v>2626980.1500000004</v>
      </c>
      <c r="X8" s="993" t="s">
        <v>183</v>
      </c>
      <c r="Y8" s="1004">
        <v>45201</v>
      </c>
      <c r="Z8" s="985" t="s">
        <v>881</v>
      </c>
      <c r="AA8" s="1004">
        <v>43808</v>
      </c>
      <c r="AB8" s="1004">
        <v>45443</v>
      </c>
      <c r="AC8" s="991" t="s">
        <v>2025</v>
      </c>
      <c r="AD8" s="991" t="s">
        <v>6319</v>
      </c>
      <c r="AE8" s="991" t="s">
        <v>5366</v>
      </c>
      <c r="AF8" s="1005">
        <v>45201</v>
      </c>
      <c r="AG8" s="992">
        <v>0</v>
      </c>
      <c r="AH8" s="1042" t="str">
        <f t="shared" ca="1" si="1"/>
        <v>MUERTO</v>
      </c>
      <c r="AI8" s="991"/>
      <c r="AJ8" s="991"/>
      <c r="AK8" s="63" t="s">
        <v>6301</v>
      </c>
      <c r="AL8" s="39" t="s">
        <v>6301</v>
      </c>
      <c r="AM8" s="702" t="s">
        <v>6301</v>
      </c>
      <c r="AN8" s="985"/>
      <c r="AO8" s="985"/>
      <c r="AP8" s="38" t="str">
        <f>VLOOKUP(I8,'[4] RFC'!A:B,2,0)</f>
        <v>ESC8911081Q8</v>
      </c>
      <c r="AQ8" s="994">
        <v>44257</v>
      </c>
      <c r="AR8" s="994">
        <v>44259</v>
      </c>
      <c r="AS8" s="985"/>
      <c r="AT8" s="1004">
        <f>+Y8</f>
        <v>45201</v>
      </c>
      <c r="AU8" s="183">
        <v>45223</v>
      </c>
      <c r="AV8" s="195">
        <v>45223</v>
      </c>
      <c r="AW8" s="185">
        <v>45223</v>
      </c>
    </row>
    <row r="9" spans="1:50" ht="105" hidden="1" x14ac:dyDescent="0.25">
      <c r="A9" s="424" t="s">
        <v>6320</v>
      </c>
      <c r="B9" s="8"/>
      <c r="C9" s="428" t="s">
        <v>6303</v>
      </c>
      <c r="D9" s="259" t="s">
        <v>6303</v>
      </c>
      <c r="E9" s="287" t="s">
        <v>6321</v>
      </c>
      <c r="F9" s="287" t="s">
        <v>6307</v>
      </c>
      <c r="G9" s="309" t="s">
        <v>163</v>
      </c>
      <c r="H9" s="287" t="s">
        <v>6322</v>
      </c>
      <c r="I9" s="81" t="s">
        <v>1065</v>
      </c>
      <c r="J9" s="82"/>
      <c r="K9" s="82"/>
      <c r="L9" s="82"/>
      <c r="M9" s="42" t="s">
        <v>6318</v>
      </c>
      <c r="N9" s="991" t="s">
        <v>198</v>
      </c>
      <c r="O9" s="991" t="s">
        <v>198</v>
      </c>
      <c r="P9" s="991"/>
      <c r="Q9" s="1040" t="s">
        <v>2142</v>
      </c>
      <c r="R9" s="1034">
        <v>0</v>
      </c>
      <c r="S9" s="992">
        <v>0</v>
      </c>
      <c r="T9" s="992">
        <f>+R9+S9</f>
        <v>0</v>
      </c>
      <c r="U9" s="1034">
        <v>0</v>
      </c>
      <c r="V9" s="992">
        <v>0</v>
      </c>
      <c r="W9" s="1041">
        <f t="shared" si="0"/>
        <v>0</v>
      </c>
      <c r="X9" s="993" t="s">
        <v>183</v>
      </c>
      <c r="Y9" s="1004">
        <v>45399</v>
      </c>
      <c r="Z9" s="985" t="s">
        <v>6309</v>
      </c>
      <c r="AA9" s="1004">
        <v>43808</v>
      </c>
      <c r="AB9" s="1004">
        <v>45535</v>
      </c>
      <c r="AC9" s="991" t="s">
        <v>2025</v>
      </c>
      <c r="AD9" s="991" t="s">
        <v>6323</v>
      </c>
      <c r="AE9" s="991"/>
      <c r="AF9" s="1005"/>
      <c r="AG9" s="992">
        <v>0</v>
      </c>
      <c r="AH9" s="1042" t="str">
        <f t="shared" ca="1" si="1"/>
        <v>MUERTO</v>
      </c>
      <c r="AI9" s="991"/>
      <c r="AJ9" s="991"/>
      <c r="AK9" s="63" t="s">
        <v>6301</v>
      </c>
      <c r="AL9" s="962" t="s">
        <v>333</v>
      </c>
      <c r="AM9" s="702" t="s">
        <v>6301</v>
      </c>
      <c r="AN9" s="985"/>
      <c r="AO9" s="985"/>
      <c r="AP9" s="38" t="str">
        <f>VLOOKUP(I9,'[4] RFC'!A:B,2,0)</f>
        <v>ESC8911081Q8</v>
      </c>
      <c r="AQ9" s="994">
        <v>45397</v>
      </c>
      <c r="AR9" s="994">
        <v>45397</v>
      </c>
      <c r="AS9" s="1008">
        <v>45399</v>
      </c>
      <c r="AT9" s="1004">
        <f>+Y9</f>
        <v>45399</v>
      </c>
      <c r="AU9" s="183">
        <v>45426</v>
      </c>
      <c r="AV9" s="195">
        <v>45412</v>
      </c>
      <c r="AW9" s="185">
        <v>45411</v>
      </c>
    </row>
    <row r="10" spans="1:50" ht="105" hidden="1" x14ac:dyDescent="0.25">
      <c r="A10" s="424" t="s">
        <v>6324</v>
      </c>
      <c r="B10" s="8"/>
      <c r="C10" s="428" t="s">
        <v>6303</v>
      </c>
      <c r="D10" s="259" t="s">
        <v>6303</v>
      </c>
      <c r="E10" s="287" t="s">
        <v>6325</v>
      </c>
      <c r="F10" s="287" t="s">
        <v>6307</v>
      </c>
      <c r="G10" s="309" t="s">
        <v>163</v>
      </c>
      <c r="H10" s="287" t="s">
        <v>6322</v>
      </c>
      <c r="I10" s="81" t="s">
        <v>1065</v>
      </c>
      <c r="J10" s="82"/>
      <c r="K10" s="82"/>
      <c r="L10" s="82"/>
      <c r="M10" s="42" t="s">
        <v>6318</v>
      </c>
      <c r="N10" s="991" t="s">
        <v>198</v>
      </c>
      <c r="O10" s="991" t="s">
        <v>198</v>
      </c>
      <c r="P10" s="991"/>
      <c r="Q10" s="1040" t="s">
        <v>2142</v>
      </c>
      <c r="R10" s="1034">
        <v>0</v>
      </c>
      <c r="S10" s="992">
        <v>0</v>
      </c>
      <c r="T10" s="992">
        <f>+R10+S10</f>
        <v>0</v>
      </c>
      <c r="U10" s="1034">
        <v>0</v>
      </c>
      <c r="V10" s="992">
        <v>0</v>
      </c>
      <c r="W10" s="1041">
        <f t="shared" si="0"/>
        <v>0</v>
      </c>
      <c r="X10" s="993" t="s">
        <v>183</v>
      </c>
      <c r="Y10" s="1004">
        <v>45534</v>
      </c>
      <c r="Z10" s="985" t="s">
        <v>815</v>
      </c>
      <c r="AA10" s="1004">
        <v>43808</v>
      </c>
      <c r="AB10" s="1004">
        <v>45569</v>
      </c>
      <c r="AC10" s="991" t="s">
        <v>2025</v>
      </c>
      <c r="AD10" s="991" t="s">
        <v>6326</v>
      </c>
      <c r="AE10" s="991"/>
      <c r="AF10" s="1005"/>
      <c r="AG10" s="992">
        <v>0</v>
      </c>
      <c r="AH10" s="1042" t="str">
        <f t="shared" ca="1" si="1"/>
        <v>MUERTO</v>
      </c>
      <c r="AI10" s="991"/>
      <c r="AJ10" s="991"/>
      <c r="AK10" s="63" t="s">
        <v>6301</v>
      </c>
      <c r="AL10" s="962" t="s">
        <v>333</v>
      </c>
      <c r="AM10" s="702" t="s">
        <v>6301</v>
      </c>
      <c r="AN10" s="985"/>
      <c r="AO10" s="985"/>
      <c r="AP10" s="38" t="str">
        <f>VLOOKUP(I10,'[4] RFC'!A:B,2,0)</f>
        <v>ESC8911081Q8</v>
      </c>
      <c r="AQ10" s="994">
        <v>45534</v>
      </c>
      <c r="AR10" s="994">
        <v>45534</v>
      </c>
      <c r="AS10" s="1008">
        <v>45538</v>
      </c>
      <c r="AT10" s="1004">
        <f>+Y10</f>
        <v>45534</v>
      </c>
      <c r="AU10" s="183">
        <v>45588</v>
      </c>
      <c r="AV10" s="195">
        <v>45547</v>
      </c>
      <c r="AW10" s="185">
        <v>45547</v>
      </c>
    </row>
    <row r="11" spans="1:50" ht="165" hidden="1" x14ac:dyDescent="0.25">
      <c r="A11" s="708" t="s">
        <v>6327</v>
      </c>
      <c r="B11" s="1043"/>
      <c r="C11" s="4" t="s">
        <v>6303</v>
      </c>
      <c r="D11" s="259" t="s">
        <v>6303</v>
      </c>
      <c r="E11" s="18" t="s">
        <v>5707</v>
      </c>
      <c r="F11" s="3" t="s">
        <v>6307</v>
      </c>
      <c r="G11" s="3"/>
      <c r="H11" s="3" t="s">
        <v>3785</v>
      </c>
      <c r="I11" s="275" t="s">
        <v>1738</v>
      </c>
      <c r="J11" s="17"/>
      <c r="K11" s="17"/>
      <c r="L11" s="17"/>
      <c r="M11" s="375" t="str">
        <f>I11&amp;J11&amp;" "&amp;K11&amp;" "&amp;L11</f>
        <v xml:space="preserve">Equipos y Climas de México, S.A. de C.V.  </v>
      </c>
      <c r="N11" s="959" t="s">
        <v>198</v>
      </c>
      <c r="O11" s="959" t="s">
        <v>198</v>
      </c>
      <c r="P11" s="959" t="s">
        <v>5708</v>
      </c>
      <c r="Q11" s="1044" t="s">
        <v>5709</v>
      </c>
      <c r="R11" s="1045">
        <v>0</v>
      </c>
      <c r="S11" s="383">
        <v>0</v>
      </c>
      <c r="T11" s="384">
        <f>R11+S11</f>
        <v>0</v>
      </c>
      <c r="U11" s="729" t="s">
        <v>161</v>
      </c>
      <c r="V11" s="386" t="s">
        <v>161</v>
      </c>
      <c r="W11" s="1041">
        <v>0</v>
      </c>
      <c r="X11" s="963" t="s">
        <v>156</v>
      </c>
      <c r="Y11" s="387">
        <v>45306</v>
      </c>
      <c r="Z11" s="3" t="s">
        <v>157</v>
      </c>
      <c r="AA11" s="387">
        <v>45149</v>
      </c>
      <c r="AB11" s="387">
        <v>45324</v>
      </c>
      <c r="AC11" s="4" t="s">
        <v>5710</v>
      </c>
      <c r="AD11" s="412" t="s">
        <v>6328</v>
      </c>
      <c r="AE11" s="707" t="s">
        <v>6329</v>
      </c>
      <c r="AF11" s="388">
        <v>45306</v>
      </c>
      <c r="AG11" s="383">
        <v>0</v>
      </c>
      <c r="AH11" s="414" t="str">
        <f t="shared" ca="1" si="1"/>
        <v>MUERTO</v>
      </c>
      <c r="AI11" s="3"/>
      <c r="AJ11" s="3"/>
      <c r="AK11" s="465" t="s">
        <v>6301</v>
      </c>
      <c r="AL11" s="3" t="s">
        <v>6330</v>
      </c>
      <c r="AM11" s="3" t="s">
        <v>815</v>
      </c>
      <c r="AN11" s="3"/>
      <c r="AO11" s="3"/>
      <c r="AP11" s="4"/>
      <c r="AQ11" s="6">
        <v>45146</v>
      </c>
      <c r="AR11" s="463" t="s">
        <v>5714</v>
      </c>
      <c r="AS11" s="6">
        <v>45152</v>
      </c>
      <c r="AT11" s="6">
        <f>AS11</f>
        <v>45152</v>
      </c>
      <c r="AU11" s="415">
        <v>45323</v>
      </c>
      <c r="AV11" s="416" t="s">
        <v>5715</v>
      </c>
      <c r="AW11" s="255" t="s">
        <v>5716</v>
      </c>
    </row>
    <row r="12" spans="1:50" ht="105" hidden="1" x14ac:dyDescent="0.25">
      <c r="A12" s="391" t="s">
        <v>6032</v>
      </c>
      <c r="B12" s="8"/>
      <c r="C12" s="167" t="s">
        <v>149</v>
      </c>
      <c r="D12" s="259" t="s">
        <v>163</v>
      </c>
      <c r="E12" s="287" t="s">
        <v>6033</v>
      </c>
      <c r="F12" s="287" t="s">
        <v>2237</v>
      </c>
      <c r="G12" s="685" t="s">
        <v>546</v>
      </c>
      <c r="H12" s="39" t="s">
        <v>3764</v>
      </c>
      <c r="I12" s="81" t="s">
        <v>757</v>
      </c>
      <c r="J12" s="41"/>
      <c r="K12" s="41"/>
      <c r="L12" s="41"/>
      <c r="M12" s="42" t="str">
        <f>I12&amp;J12&amp;" "&amp;K12&amp;" "&amp;L12</f>
        <v xml:space="preserve">Teléfonos de México, S.A.B. de C.V.  </v>
      </c>
      <c r="N12" s="991" t="s">
        <v>656</v>
      </c>
      <c r="O12" s="991" t="s">
        <v>209</v>
      </c>
      <c r="P12" s="991" t="s">
        <v>210</v>
      </c>
      <c r="Q12" s="1040" t="s">
        <v>6034</v>
      </c>
      <c r="R12" s="1034">
        <v>16551713.789999999</v>
      </c>
      <c r="S12" s="44">
        <f>R12*0.16</f>
        <v>2648274.2064</v>
      </c>
      <c r="T12" s="45">
        <f>R12+S12</f>
        <v>19199987.996399999</v>
      </c>
      <c r="U12" s="224">
        <v>11586199.66</v>
      </c>
      <c r="V12" s="47">
        <f>(U12*0.16)+(U12)</f>
        <v>13439991.605599999</v>
      </c>
      <c r="W12" s="315">
        <f>T12+AG12</f>
        <v>19199987.996399999</v>
      </c>
      <c r="X12" s="993" t="s">
        <v>183</v>
      </c>
      <c r="Y12" s="48">
        <v>45019</v>
      </c>
      <c r="Z12" s="39" t="s">
        <v>333</v>
      </c>
      <c r="AA12" s="48">
        <v>45017</v>
      </c>
      <c r="AB12" s="48">
        <v>45657</v>
      </c>
      <c r="AC12" s="38" t="s">
        <v>4044</v>
      </c>
      <c r="AD12" s="38" t="s">
        <v>6035</v>
      </c>
      <c r="AE12" s="38" t="s">
        <v>6036</v>
      </c>
      <c r="AF12" s="50">
        <v>45266</v>
      </c>
      <c r="AG12" s="44"/>
      <c r="AH12" s="163" t="str">
        <f t="shared" ca="1" si="1"/>
        <v>MUERTO</v>
      </c>
      <c r="AI12" s="39"/>
      <c r="AJ12" s="39"/>
      <c r="AK12" s="63" t="s">
        <v>6301</v>
      </c>
      <c r="AL12" s="39" t="s">
        <v>6301</v>
      </c>
      <c r="AM12" s="702" t="s">
        <v>6301</v>
      </c>
      <c r="AN12" s="39"/>
      <c r="AO12" s="39"/>
      <c r="AP12" s="38" t="e">
        <f>VLOOKUP(I12,'[4] RFC'!A:B,2,0)</f>
        <v>#N/A</v>
      </c>
      <c r="AQ12" s="59" t="s">
        <v>6331</v>
      </c>
      <c r="AR12" s="59">
        <v>45021</v>
      </c>
      <c r="AS12" s="59">
        <v>45266</v>
      </c>
      <c r="AT12" s="59">
        <f>AS12</f>
        <v>45266</v>
      </c>
      <c r="AU12" s="183">
        <v>45655</v>
      </c>
      <c r="AV12" s="195" t="s">
        <v>6332</v>
      </c>
      <c r="AW12" s="185">
        <v>45272</v>
      </c>
    </row>
    <row r="13" spans="1:50" ht="165" hidden="1" x14ac:dyDescent="0.25">
      <c r="A13" s="390" t="s">
        <v>6076</v>
      </c>
      <c r="B13" s="8"/>
      <c r="C13" s="428" t="s">
        <v>149</v>
      </c>
      <c r="D13" s="259" t="s">
        <v>163</v>
      </c>
      <c r="E13" s="287" t="s">
        <v>6011</v>
      </c>
      <c r="F13" s="287" t="s">
        <v>2237</v>
      </c>
      <c r="G13" s="685" t="s">
        <v>546</v>
      </c>
      <c r="H13" s="287" t="s">
        <v>3764</v>
      </c>
      <c r="I13" s="300" t="s">
        <v>1655</v>
      </c>
      <c r="J13" s="287"/>
      <c r="K13" s="287"/>
      <c r="L13" s="287"/>
      <c r="M13" s="287" t="s">
        <v>6333</v>
      </c>
      <c r="N13" s="300" t="s">
        <v>301</v>
      </c>
      <c r="O13" s="300" t="s">
        <v>301</v>
      </c>
      <c r="P13" s="300" t="s">
        <v>4461</v>
      </c>
      <c r="Q13" s="716" t="s">
        <v>6068</v>
      </c>
      <c r="R13" s="727">
        <v>17398000</v>
      </c>
      <c r="S13" s="44">
        <f>R13*0.16</f>
        <v>2783680</v>
      </c>
      <c r="T13" s="290">
        <f>+R13+S13</f>
        <v>20181680</v>
      </c>
      <c r="U13" s="727">
        <v>17148000</v>
      </c>
      <c r="V13" s="290">
        <f>+U13*0.16+U13</f>
        <v>19891680</v>
      </c>
      <c r="W13" s="316">
        <f>+T13</f>
        <v>20181680</v>
      </c>
      <c r="X13" s="287" t="s">
        <v>183</v>
      </c>
      <c r="Y13" s="288">
        <v>45048</v>
      </c>
      <c r="Z13" s="287" t="s">
        <v>559</v>
      </c>
      <c r="AA13" s="288">
        <v>45047</v>
      </c>
      <c r="AB13" s="288">
        <v>45777</v>
      </c>
      <c r="AC13" s="300" t="s">
        <v>6069</v>
      </c>
      <c r="AD13" s="38" t="s">
        <v>6334</v>
      </c>
      <c r="AE13" s="287"/>
      <c r="AF13" s="288"/>
      <c r="AG13" s="290"/>
      <c r="AH13" s="1042" t="str">
        <f t="shared" ca="1" si="1"/>
        <v>VIGENTE</v>
      </c>
      <c r="AI13" s="287"/>
      <c r="AJ13" s="287"/>
      <c r="AK13" s="63" t="s">
        <v>6301</v>
      </c>
      <c r="AL13" s="39" t="s">
        <v>6301</v>
      </c>
      <c r="AM13" s="702" t="s">
        <v>6301</v>
      </c>
      <c r="AN13" s="287"/>
      <c r="AO13" s="287"/>
      <c r="AP13" s="38" t="e">
        <f>VLOOKUP(I13,'[4] RFC'!A:B,2,0)</f>
        <v>#N/A</v>
      </c>
      <c r="AQ13" s="288" t="s">
        <v>6335</v>
      </c>
      <c r="AR13" s="288" t="s">
        <v>6336</v>
      </c>
      <c r="AS13" s="288" t="s">
        <v>6337</v>
      </c>
      <c r="AT13" s="994">
        <f>+AF13</f>
        <v>0</v>
      </c>
      <c r="AU13" s="183">
        <v>45303</v>
      </c>
      <c r="AV13" s="195" t="s">
        <v>6338</v>
      </c>
      <c r="AW13" s="185" t="s">
        <v>6339</v>
      </c>
    </row>
    <row r="14" spans="1:50" ht="165" hidden="1" x14ac:dyDescent="0.25">
      <c r="A14" s="424" t="s">
        <v>6340</v>
      </c>
      <c r="B14" s="8"/>
      <c r="C14" s="428" t="s">
        <v>149</v>
      </c>
      <c r="D14" s="259" t="s">
        <v>163</v>
      </c>
      <c r="E14" s="287" t="s">
        <v>6341</v>
      </c>
      <c r="F14" s="287" t="s">
        <v>163</v>
      </c>
      <c r="G14" s="338" t="s">
        <v>163</v>
      </c>
      <c r="H14" s="287" t="s">
        <v>6342</v>
      </c>
      <c r="I14" s="300" t="s">
        <v>1655</v>
      </c>
      <c r="J14" s="287"/>
      <c r="K14" s="287"/>
      <c r="L14" s="287"/>
      <c r="M14" s="287" t="s">
        <v>6333</v>
      </c>
      <c r="N14" s="300" t="s">
        <v>301</v>
      </c>
      <c r="O14" s="300" t="s">
        <v>301</v>
      </c>
      <c r="P14" s="300" t="s">
        <v>4461</v>
      </c>
      <c r="Q14" s="716" t="s">
        <v>6068</v>
      </c>
      <c r="R14" s="727">
        <v>18992827.59</v>
      </c>
      <c r="S14" s="44">
        <f>R14*0.16</f>
        <v>3038852.4144000001</v>
      </c>
      <c r="T14" s="290">
        <f>+R14+S14</f>
        <v>22031680.0044</v>
      </c>
      <c r="U14" s="727">
        <v>17148000</v>
      </c>
      <c r="V14" s="290">
        <v>17148000</v>
      </c>
      <c r="W14" s="316">
        <f>+T14</f>
        <v>22031680.0044</v>
      </c>
      <c r="X14" s="287" t="s">
        <v>183</v>
      </c>
      <c r="Y14" s="288">
        <v>45642</v>
      </c>
      <c r="Z14" s="287" t="s">
        <v>924</v>
      </c>
      <c r="AA14" s="288">
        <v>45413</v>
      </c>
      <c r="AB14" s="288">
        <v>45777</v>
      </c>
      <c r="AC14" s="300" t="s">
        <v>6069</v>
      </c>
      <c r="AD14" s="38" t="s">
        <v>6343</v>
      </c>
      <c r="AE14" s="38" t="s">
        <v>6344</v>
      </c>
      <c r="AF14" s="288">
        <v>45642</v>
      </c>
      <c r="AG14" s="290"/>
      <c r="AH14" s="1042" t="s">
        <v>1388</v>
      </c>
      <c r="AI14" s="287"/>
      <c r="AJ14" s="287"/>
      <c r="AK14" s="63" t="s">
        <v>1937</v>
      </c>
      <c r="AL14" s="39"/>
      <c r="AM14" s="702" t="s">
        <v>1937</v>
      </c>
      <c r="AN14" s="287"/>
      <c r="AO14" s="287"/>
      <c r="AP14" s="38" t="e">
        <f>VLOOKUP(I14,'[4] RFC'!A:B,2,0)</f>
        <v>#N/A</v>
      </c>
      <c r="AQ14" s="288"/>
      <c r="AR14" s="288">
        <v>45635</v>
      </c>
      <c r="AS14" s="288">
        <v>45644</v>
      </c>
      <c r="AT14" s="994">
        <v>45642</v>
      </c>
      <c r="AU14" s="183"/>
      <c r="AV14" s="195">
        <v>45642</v>
      </c>
      <c r="AW14" s="185">
        <v>45646</v>
      </c>
      <c r="AX14" t="s">
        <v>6345</v>
      </c>
    </row>
    <row r="15" spans="1:50" ht="60" hidden="1" x14ac:dyDescent="0.25">
      <c r="A15" s="390" t="s">
        <v>6346</v>
      </c>
      <c r="B15" s="8"/>
      <c r="C15" s="428" t="s">
        <v>149</v>
      </c>
      <c r="D15" s="259" t="s">
        <v>163</v>
      </c>
      <c r="E15" s="287" t="s">
        <v>5613</v>
      </c>
      <c r="F15" s="287" t="s">
        <v>2237</v>
      </c>
      <c r="G15" s="309" t="s">
        <v>163</v>
      </c>
      <c r="H15" s="287" t="s">
        <v>4123</v>
      </c>
      <c r="I15" s="300" t="s">
        <v>1782</v>
      </c>
      <c r="J15" s="287"/>
      <c r="K15" s="287"/>
      <c r="L15" s="287"/>
      <c r="M15" s="287" t="s">
        <v>6347</v>
      </c>
      <c r="N15" s="991" t="s">
        <v>656</v>
      </c>
      <c r="O15" s="300" t="s">
        <v>667</v>
      </c>
      <c r="P15" s="300" t="s">
        <v>5368</v>
      </c>
      <c r="Q15" s="716" t="s">
        <v>6182</v>
      </c>
      <c r="R15" s="727">
        <v>23004960</v>
      </c>
      <c r="S15" s="44">
        <f>R15*0.16</f>
        <v>3680793.6</v>
      </c>
      <c r="T15" s="290">
        <f>+R15+S15</f>
        <v>26685753.600000001</v>
      </c>
      <c r="U15" s="727" t="s">
        <v>161</v>
      </c>
      <c r="V15" s="290" t="s">
        <v>161</v>
      </c>
      <c r="W15" s="316">
        <f>+T15</f>
        <v>26685753.600000001</v>
      </c>
      <c r="X15" s="287" t="s">
        <v>183</v>
      </c>
      <c r="Y15" s="288">
        <v>45160</v>
      </c>
      <c r="Z15" s="287" t="s">
        <v>815</v>
      </c>
      <c r="AA15" s="288">
        <v>45160</v>
      </c>
      <c r="AB15" s="288">
        <v>45900</v>
      </c>
      <c r="AC15" s="300" t="s">
        <v>6183</v>
      </c>
      <c r="AD15" s="287" t="s">
        <v>6184</v>
      </c>
      <c r="AE15" s="287" t="s">
        <v>6185</v>
      </c>
      <c r="AF15" s="288">
        <v>45223</v>
      </c>
      <c r="AG15" s="290">
        <v>0</v>
      </c>
      <c r="AH15" s="1042" t="str">
        <f t="shared" ca="1" si="1"/>
        <v>VIGENTE</v>
      </c>
      <c r="AI15" s="287"/>
      <c r="AJ15" s="287"/>
      <c r="AK15" s="63" t="s">
        <v>6301</v>
      </c>
      <c r="AL15" s="39" t="s">
        <v>6301</v>
      </c>
      <c r="AM15" s="702" t="s">
        <v>6301</v>
      </c>
      <c r="AN15" s="287"/>
      <c r="AO15" s="287"/>
      <c r="AP15" s="38" t="str">
        <f>VLOOKUP(I15,'[4] RFC'!A:B,2,0)</f>
        <v>CSA960827626</v>
      </c>
      <c r="AQ15" s="288" t="s">
        <v>6348</v>
      </c>
      <c r="AR15" s="288" t="s">
        <v>6349</v>
      </c>
      <c r="AS15" s="288" t="s">
        <v>6350</v>
      </c>
      <c r="AT15" s="994">
        <f>+AF15</f>
        <v>45223</v>
      </c>
      <c r="AU15" s="183">
        <v>45237</v>
      </c>
      <c r="AV15" s="195" t="s">
        <v>6336</v>
      </c>
      <c r="AW15" s="185" t="s">
        <v>6351</v>
      </c>
    </row>
    <row r="16" spans="1:50" ht="75" hidden="1" x14ac:dyDescent="0.25">
      <c r="A16" s="196" t="s">
        <v>6352</v>
      </c>
      <c r="B16" s="8"/>
      <c r="C16" s="167" t="s">
        <v>6303</v>
      </c>
      <c r="D16" s="3" t="s">
        <v>6303</v>
      </c>
      <c r="E16" s="18" t="s">
        <v>5613</v>
      </c>
      <c r="F16" s="3" t="s">
        <v>5365</v>
      </c>
      <c r="G16" s="39"/>
      <c r="H16" s="3" t="s">
        <v>4123</v>
      </c>
      <c r="I16" s="275" t="s">
        <v>1782</v>
      </c>
      <c r="J16" s="1046"/>
      <c r="K16" s="1046"/>
      <c r="L16" s="1046"/>
      <c r="M16" s="1046" t="str">
        <f>I16&amp;J16&amp;" "&amp;K16&amp;" "&amp;L16</f>
        <v xml:space="preserve">Consultores y Soporte AMD, S.A. de C.V.  </v>
      </c>
      <c r="N16" s="959" t="s">
        <v>656</v>
      </c>
      <c r="O16" s="959" t="s">
        <v>667</v>
      </c>
      <c r="P16" s="959" t="s">
        <v>5368</v>
      </c>
      <c r="Q16" s="959" t="s">
        <v>6182</v>
      </c>
      <c r="R16" s="1047">
        <v>8286732.8965517245</v>
      </c>
      <c r="S16" s="270">
        <v>1325877.2634482759</v>
      </c>
      <c r="T16" s="1048">
        <v>9612610.1600000001</v>
      </c>
      <c r="U16" s="1047" t="s">
        <v>161</v>
      </c>
      <c r="V16" s="270" t="s">
        <v>161</v>
      </c>
      <c r="W16" s="270">
        <v>9612610.1600000001</v>
      </c>
      <c r="X16" s="963" t="s">
        <v>183</v>
      </c>
      <c r="Y16" s="387">
        <v>45160</v>
      </c>
      <c r="Z16" s="3" t="s">
        <v>881</v>
      </c>
      <c r="AA16" s="387">
        <v>45160</v>
      </c>
      <c r="AB16" s="387">
        <v>45900</v>
      </c>
      <c r="AC16" s="4" t="s">
        <v>6183</v>
      </c>
      <c r="AD16" s="53" t="s">
        <v>6353</v>
      </c>
      <c r="AE16" s="38"/>
      <c r="AF16" s="256"/>
      <c r="AG16" s="270">
        <v>0</v>
      </c>
      <c r="AH16" s="163" t="str">
        <f ca="1">IF(ISBLANK(AB16),"",IF(AB16&gt;=TODAY(),"VIGENTE","MUERTO"))</f>
        <v>VIGENTE</v>
      </c>
      <c r="AI16" s="39"/>
      <c r="AJ16" s="39"/>
      <c r="AK16" s="39" t="s">
        <v>2728</v>
      </c>
      <c r="AL16" s="39"/>
      <c r="AM16" s="39" t="s">
        <v>2728</v>
      </c>
      <c r="AN16" s="39"/>
      <c r="AO16" s="39"/>
      <c r="AP16" s="38" t="str">
        <f>VLOOKUP(I16,'[4] RFC'!A:B,2,0)</f>
        <v>CSA960827626</v>
      </c>
      <c r="AQ16" s="59">
        <v>45575</v>
      </c>
      <c r="AR16" s="59">
        <v>45594</v>
      </c>
      <c r="AS16" s="59">
        <v>45611</v>
      </c>
      <c r="AT16" s="59">
        <f>+Y16</f>
        <v>45160</v>
      </c>
      <c r="AU16" s="183">
        <v>45615</v>
      </c>
      <c r="AV16" s="195">
        <v>45594</v>
      </c>
      <c r="AW16" s="185">
        <v>45602</v>
      </c>
    </row>
    <row r="17" spans="1:49" ht="60" hidden="1" x14ac:dyDescent="0.25">
      <c r="A17" s="390" t="s">
        <v>6354</v>
      </c>
      <c r="B17" s="8"/>
      <c r="C17" s="428" t="s">
        <v>149</v>
      </c>
      <c r="D17" s="259" t="s">
        <v>6303</v>
      </c>
      <c r="E17" s="287" t="s">
        <v>6238</v>
      </c>
      <c r="F17" s="287" t="s">
        <v>163</v>
      </c>
      <c r="G17" s="309" t="s">
        <v>163</v>
      </c>
      <c r="H17" s="287" t="s">
        <v>3986</v>
      </c>
      <c r="I17" s="300" t="s">
        <v>6239</v>
      </c>
      <c r="J17" s="287"/>
      <c r="K17" s="287"/>
      <c r="L17" s="287"/>
      <c r="M17" s="985" t="s">
        <v>6355</v>
      </c>
      <c r="N17" s="991" t="s">
        <v>656</v>
      </c>
      <c r="O17" s="991" t="s">
        <v>667</v>
      </c>
      <c r="P17" s="991" t="s">
        <v>5368</v>
      </c>
      <c r="Q17" s="1040" t="s">
        <v>6240</v>
      </c>
      <c r="R17" s="1049">
        <v>4191570.05</v>
      </c>
      <c r="S17" s="270">
        <f>R17*0.16</f>
        <v>670651.20799999998</v>
      </c>
      <c r="T17" s="1050">
        <f>+R17+S17</f>
        <v>4862221.2579999994</v>
      </c>
      <c r="U17" s="1049" t="s">
        <v>161</v>
      </c>
      <c r="V17" s="1050" t="s">
        <v>161</v>
      </c>
      <c r="W17" s="1051">
        <v>12305954.424000001</v>
      </c>
      <c r="X17" s="985" t="s">
        <v>183</v>
      </c>
      <c r="Y17" s="994">
        <v>45201</v>
      </c>
      <c r="Z17" s="985" t="s">
        <v>881</v>
      </c>
      <c r="AA17" s="994">
        <v>45200</v>
      </c>
      <c r="AB17" s="994">
        <v>45930</v>
      </c>
      <c r="AC17" s="991" t="s">
        <v>3811</v>
      </c>
      <c r="AD17" s="985" t="s">
        <v>6356</v>
      </c>
      <c r="AE17" s="985"/>
      <c r="AF17" s="994"/>
      <c r="AG17" s="1052"/>
      <c r="AH17" s="1042" t="str">
        <f t="shared" ca="1" si="1"/>
        <v>VIGENTE</v>
      </c>
      <c r="AI17" s="985"/>
      <c r="AJ17" s="985"/>
      <c r="AK17" s="63" t="s">
        <v>6301</v>
      </c>
      <c r="AL17" s="39" t="s">
        <v>6301</v>
      </c>
      <c r="AM17" s="702" t="s">
        <v>6301</v>
      </c>
      <c r="AN17" s="985"/>
      <c r="AO17" s="985"/>
      <c r="AP17" s="38" t="e">
        <f>VLOOKUP(I17,'[4] RFC'!A:B,2,0)</f>
        <v>#N/A</v>
      </c>
      <c r="AQ17" s="994">
        <v>45197</v>
      </c>
      <c r="AR17" s="994">
        <v>45201</v>
      </c>
      <c r="AS17" s="994">
        <v>45201</v>
      </c>
      <c r="AT17" s="994">
        <f>+AF17</f>
        <v>0</v>
      </c>
      <c r="AU17" s="183">
        <v>45223</v>
      </c>
      <c r="AV17" s="195">
        <v>45205</v>
      </c>
      <c r="AW17" s="185">
        <v>45202</v>
      </c>
    </row>
    <row r="18" spans="1:49" ht="206.25" hidden="1" customHeight="1" x14ac:dyDescent="0.25">
      <c r="A18" s="392" t="s">
        <v>4110</v>
      </c>
      <c r="B18" s="3"/>
      <c r="C18" s="167" t="s">
        <v>225</v>
      </c>
      <c r="D18" s="259" t="s">
        <v>163</v>
      </c>
      <c r="E18" s="287" t="s">
        <v>4111</v>
      </c>
      <c r="F18" s="287" t="s">
        <v>2237</v>
      </c>
      <c r="G18" s="309" t="s">
        <v>163</v>
      </c>
      <c r="H18" s="39" t="s">
        <v>163</v>
      </c>
      <c r="I18" s="81" t="s">
        <v>4113</v>
      </c>
      <c r="J18" s="41"/>
      <c r="K18" s="41"/>
      <c r="L18" s="41"/>
      <c r="M18" s="42" t="str">
        <f>I18&amp;J18&amp;" "&amp;K18&amp;" "&amp;L18</f>
        <v xml:space="preserve">Microsoft México, S. de R.L. de C.V.  </v>
      </c>
      <c r="N18" s="991" t="s">
        <v>656</v>
      </c>
      <c r="O18" s="991"/>
      <c r="P18" s="991" t="s">
        <v>667</v>
      </c>
      <c r="Q18" s="1040" t="s">
        <v>4114</v>
      </c>
      <c r="R18" s="1034">
        <v>20258620.689655174</v>
      </c>
      <c r="S18" s="992">
        <f>+R18*0.16</f>
        <v>3241379.3103448278</v>
      </c>
      <c r="T18" s="992">
        <f>+R18+S18</f>
        <v>23500000</v>
      </c>
      <c r="U18" s="1034">
        <v>0</v>
      </c>
      <c r="V18" s="992">
        <f>(U18*0.16)+(U18)</f>
        <v>0</v>
      </c>
      <c r="W18" s="1041">
        <f>T18+AG18</f>
        <v>23500000</v>
      </c>
      <c r="X18" s="993" t="s">
        <v>183</v>
      </c>
      <c r="Y18" s="48">
        <v>44524</v>
      </c>
      <c r="Z18" s="39" t="s">
        <v>892</v>
      </c>
      <c r="AA18" s="48">
        <v>44531</v>
      </c>
      <c r="AB18" s="48">
        <v>45626</v>
      </c>
      <c r="AC18" s="38" t="s">
        <v>3113</v>
      </c>
      <c r="AD18" s="38" t="s">
        <v>4115</v>
      </c>
      <c r="AE18" s="38" t="s">
        <v>4116</v>
      </c>
      <c r="AF18" s="50">
        <v>44552</v>
      </c>
      <c r="AG18" s="44">
        <v>0</v>
      </c>
      <c r="AH18" s="163" t="str">
        <f t="shared" ca="1" si="1"/>
        <v>MUERTO</v>
      </c>
      <c r="AI18" s="39"/>
      <c r="AJ18" s="39"/>
      <c r="AK18" s="63" t="s">
        <v>6301</v>
      </c>
      <c r="AL18" s="39" t="s">
        <v>6301</v>
      </c>
      <c r="AM18" s="702" t="s">
        <v>6301</v>
      </c>
      <c r="AN18" s="39"/>
      <c r="AO18" s="39"/>
      <c r="AP18" s="38" t="s">
        <v>4118</v>
      </c>
      <c r="AQ18" s="59">
        <v>44504</v>
      </c>
      <c r="AR18" s="59">
        <v>44505</v>
      </c>
      <c r="AS18" s="58" t="s">
        <v>6357</v>
      </c>
      <c r="AT18" s="59" t="str">
        <f>AS18</f>
        <v xml:space="preserve">
24/12/2021</v>
      </c>
      <c r="AU18" s="183">
        <v>44578</v>
      </c>
      <c r="AV18" s="195">
        <v>44558</v>
      </c>
      <c r="AW18" s="185" t="s">
        <v>6358</v>
      </c>
    </row>
    <row r="19" spans="1:49" ht="206.25" hidden="1" customHeight="1" x14ac:dyDescent="0.25">
      <c r="A19" s="915" t="s">
        <v>6359</v>
      </c>
      <c r="B19" s="3"/>
      <c r="C19" s="167" t="s">
        <v>225</v>
      </c>
      <c r="D19" s="259" t="s">
        <v>6303</v>
      </c>
      <c r="E19" s="287" t="s">
        <v>6360</v>
      </c>
      <c r="F19" s="287" t="s">
        <v>6303</v>
      </c>
      <c r="G19" s="309" t="s">
        <v>163</v>
      </c>
      <c r="H19" s="39" t="s">
        <v>163</v>
      </c>
      <c r="I19" s="81" t="s">
        <v>4113</v>
      </c>
      <c r="J19" s="41"/>
      <c r="K19" s="41"/>
      <c r="L19" s="41"/>
      <c r="M19" s="42" t="str">
        <f>I19&amp;J19&amp;" "&amp;K19&amp;" "&amp;L19</f>
        <v xml:space="preserve">Microsoft México, S. de R.L. de C.V.  </v>
      </c>
      <c r="N19" s="991" t="s">
        <v>656</v>
      </c>
      <c r="O19" s="991" t="s">
        <v>667</v>
      </c>
      <c r="P19" s="991" t="s">
        <v>6361</v>
      </c>
      <c r="Q19" s="1040" t="s">
        <v>4114</v>
      </c>
      <c r="R19" s="1034">
        <v>1040242.66</v>
      </c>
      <c r="S19" s="992">
        <f>+R19*0.16</f>
        <v>166438.82560000001</v>
      </c>
      <c r="T19" s="992">
        <f>+R19+S19</f>
        <v>1206681.4856</v>
      </c>
      <c r="U19" s="1034">
        <v>385878.48</v>
      </c>
      <c r="V19" s="992">
        <f>(U19*0.16)+(U19)</f>
        <v>447619.0368</v>
      </c>
      <c r="W19" s="1041">
        <f>T19+AG19</f>
        <v>2246924.1455999999</v>
      </c>
      <c r="X19" s="993" t="s">
        <v>183</v>
      </c>
      <c r="Y19" s="48">
        <v>45624</v>
      </c>
      <c r="Z19" s="39" t="s">
        <v>892</v>
      </c>
      <c r="AA19" s="48">
        <v>45627</v>
      </c>
      <c r="AB19" s="48">
        <v>45657</v>
      </c>
      <c r="AC19" s="38" t="s">
        <v>6362</v>
      </c>
      <c r="AD19" s="38" t="s">
        <v>6363</v>
      </c>
      <c r="AE19" s="38" t="s">
        <v>6364</v>
      </c>
      <c r="AF19" s="50">
        <v>45624</v>
      </c>
      <c r="AG19" s="1034">
        <v>1040242.66</v>
      </c>
      <c r="AH19" s="163" t="s">
        <v>1388</v>
      </c>
      <c r="AI19" s="39"/>
      <c r="AJ19" s="39"/>
      <c r="AK19" s="63" t="s">
        <v>1937</v>
      </c>
      <c r="AL19" s="39"/>
      <c r="AM19" s="702" t="s">
        <v>1937</v>
      </c>
      <c r="AN19" s="39"/>
      <c r="AO19" s="39"/>
      <c r="AP19" s="38" t="s">
        <v>4118</v>
      </c>
      <c r="AQ19" s="59">
        <v>45622</v>
      </c>
      <c r="AR19" s="59">
        <v>45624</v>
      </c>
      <c r="AS19" s="58">
        <v>45637</v>
      </c>
      <c r="AT19" s="59">
        <f>+AS19</f>
        <v>45637</v>
      </c>
      <c r="AU19" s="183">
        <v>45653</v>
      </c>
      <c r="AV19" s="195">
        <v>45624</v>
      </c>
      <c r="AW19" s="185">
        <v>45644</v>
      </c>
    </row>
    <row r="20" spans="1:49" ht="45" hidden="1" x14ac:dyDescent="0.25">
      <c r="A20" s="312" t="s">
        <v>5314</v>
      </c>
      <c r="B20" s="8"/>
      <c r="C20" s="428" t="s">
        <v>149</v>
      </c>
      <c r="D20" s="259" t="s">
        <v>173</v>
      </c>
      <c r="E20" s="287" t="s">
        <v>5315</v>
      </c>
      <c r="F20" s="287" t="s">
        <v>173</v>
      </c>
      <c r="G20" s="300"/>
      <c r="H20" s="287" t="s">
        <v>3785</v>
      </c>
      <c r="I20" s="42" t="s">
        <v>3802</v>
      </c>
      <c r="J20" s="82"/>
      <c r="K20" s="82"/>
      <c r="L20" s="82"/>
      <c r="M20" s="42" t="str">
        <f>I20&amp;J20&amp;" "&amp;K20&amp;" "&amp;L20</f>
        <v xml:space="preserve">Comercializadora de Medios Escritos, S.A. de C.V.  </v>
      </c>
      <c r="N20" s="991" t="s">
        <v>179</v>
      </c>
      <c r="O20" s="991" t="s">
        <v>6365</v>
      </c>
      <c r="P20" s="991"/>
      <c r="Q20" s="1040" t="s">
        <v>5316</v>
      </c>
      <c r="R20" s="1034">
        <v>7418430</v>
      </c>
      <c r="S20" s="992">
        <v>7418430</v>
      </c>
      <c r="T20" s="45">
        <f>R20+S20</f>
        <v>14836860</v>
      </c>
      <c r="U20" s="224">
        <v>2967372</v>
      </c>
      <c r="V20" s="46">
        <v>2967372</v>
      </c>
      <c r="W20" s="992">
        <f>T20+AG20</f>
        <v>14836860</v>
      </c>
      <c r="X20" s="993" t="s">
        <v>183</v>
      </c>
      <c r="Y20" s="1004">
        <v>44915</v>
      </c>
      <c r="Z20" s="985" t="s">
        <v>924</v>
      </c>
      <c r="AA20" s="994">
        <v>44927</v>
      </c>
      <c r="AB20" s="994">
        <v>45382</v>
      </c>
      <c r="AC20" s="991" t="s">
        <v>4413</v>
      </c>
      <c r="AD20" s="991" t="s">
        <v>6366</v>
      </c>
      <c r="AE20" s="994"/>
      <c r="AF20" s="994">
        <v>45279</v>
      </c>
      <c r="AG20" s="994"/>
      <c r="AH20" s="1042" t="str">
        <f t="shared" ca="1" si="1"/>
        <v>MUERTO</v>
      </c>
      <c r="AI20" s="985"/>
      <c r="AJ20" s="991"/>
      <c r="AK20" s="63" t="s">
        <v>6301</v>
      </c>
      <c r="AL20" s="39" t="s">
        <v>6301</v>
      </c>
      <c r="AM20" s="702" t="s">
        <v>6301</v>
      </c>
      <c r="AN20" s="985"/>
      <c r="AO20" s="985"/>
      <c r="AP20" s="38" t="e">
        <f>VLOOKUP(I20,'[4] RFC'!A:B,2,0)</f>
        <v>#N/A</v>
      </c>
      <c r="AQ20" s="994">
        <v>44910</v>
      </c>
      <c r="AR20" s="994" t="s">
        <v>6367</v>
      </c>
      <c r="AS20" s="994">
        <v>44915</v>
      </c>
      <c r="AT20" s="994">
        <f>AS20</f>
        <v>44915</v>
      </c>
      <c r="AU20" s="183">
        <v>45320</v>
      </c>
      <c r="AV20" s="195" t="s">
        <v>6368</v>
      </c>
      <c r="AW20" s="185" t="s">
        <v>6369</v>
      </c>
    </row>
    <row r="21" spans="1:49" s="916" customFormat="1" ht="70.5" hidden="1" customHeight="1" x14ac:dyDescent="0.25">
      <c r="A21" s="312" t="s">
        <v>6370</v>
      </c>
      <c r="B21" s="8"/>
      <c r="C21" s="167" t="s">
        <v>225</v>
      </c>
      <c r="D21" s="259" t="s">
        <v>163</v>
      </c>
      <c r="E21" s="287" t="s">
        <v>5499</v>
      </c>
      <c r="F21" s="695" t="s">
        <v>163</v>
      </c>
      <c r="G21" s="309" t="s">
        <v>163</v>
      </c>
      <c r="H21" s="8" t="s">
        <v>5500</v>
      </c>
      <c r="I21" s="300" t="s">
        <v>5501</v>
      </c>
      <c r="J21" s="287"/>
      <c r="K21" s="287"/>
      <c r="L21" s="287"/>
      <c r="M21" s="287" t="s">
        <v>6371</v>
      </c>
      <c r="N21" s="300" t="s">
        <v>198</v>
      </c>
      <c r="O21" s="300" t="s">
        <v>198</v>
      </c>
      <c r="P21" s="300" t="s">
        <v>5502</v>
      </c>
      <c r="Q21" s="716" t="s">
        <v>5503</v>
      </c>
      <c r="R21" s="727">
        <v>675000</v>
      </c>
      <c r="S21" s="290">
        <v>0</v>
      </c>
      <c r="T21" s="290">
        <v>675000</v>
      </c>
      <c r="U21" s="727">
        <v>270000</v>
      </c>
      <c r="V21" s="290">
        <v>270000</v>
      </c>
      <c r="W21" s="290">
        <v>843750</v>
      </c>
      <c r="X21" s="287" t="s">
        <v>156</v>
      </c>
      <c r="Y21" s="288">
        <v>45019</v>
      </c>
      <c r="Z21" s="287" t="s">
        <v>333</v>
      </c>
      <c r="AA21" s="288">
        <v>45017</v>
      </c>
      <c r="AB21" s="288">
        <v>45359</v>
      </c>
      <c r="AC21" s="300" t="s">
        <v>3113</v>
      </c>
      <c r="AD21" s="287" t="s">
        <v>5504</v>
      </c>
      <c r="AE21" s="287" t="s">
        <v>5505</v>
      </c>
      <c r="AF21" s="288">
        <v>45211</v>
      </c>
      <c r="AG21" s="290">
        <v>168750</v>
      </c>
      <c r="AH21" s="1042" t="str">
        <f t="shared" ca="1" si="1"/>
        <v>MUERTO</v>
      </c>
      <c r="AI21" s="287"/>
      <c r="AJ21" s="287"/>
      <c r="AK21" s="63" t="s">
        <v>6301</v>
      </c>
      <c r="AL21" s="39" t="s">
        <v>6301</v>
      </c>
      <c r="AM21" s="702" t="s">
        <v>6301</v>
      </c>
      <c r="AN21" s="287"/>
      <c r="AO21" s="287"/>
      <c r="AP21" s="38" t="e">
        <f>VLOOKUP(I21,'[4] RFC'!A:B,2,0)</f>
        <v>#N/A</v>
      </c>
      <c r="AQ21" s="288">
        <v>45208</v>
      </c>
      <c r="AR21" s="288" t="s">
        <v>6372</v>
      </c>
      <c r="AS21" s="288" t="s">
        <v>6373</v>
      </c>
      <c r="AT21" s="994">
        <f>+AF21</f>
        <v>45211</v>
      </c>
      <c r="AU21" s="183">
        <v>45223</v>
      </c>
      <c r="AV21" s="195" t="s">
        <v>6374</v>
      </c>
      <c r="AW21" s="185" t="s">
        <v>6375</v>
      </c>
    </row>
    <row r="22" spans="1:49" s="289" customFormat="1" ht="105" hidden="1" x14ac:dyDescent="0.25">
      <c r="A22" s="312" t="s">
        <v>6376</v>
      </c>
      <c r="B22" s="8"/>
      <c r="C22" s="428" t="s">
        <v>149</v>
      </c>
      <c r="D22" s="259" t="s">
        <v>163</v>
      </c>
      <c r="E22" s="287" t="s">
        <v>5233</v>
      </c>
      <c r="F22" s="287" t="s">
        <v>2237</v>
      </c>
      <c r="G22" s="685" t="s">
        <v>546</v>
      </c>
      <c r="H22" s="8" t="s">
        <v>3764</v>
      </c>
      <c r="I22" s="300" t="s">
        <v>2417</v>
      </c>
      <c r="J22" s="287"/>
      <c r="K22" s="287"/>
      <c r="L22" s="287"/>
      <c r="M22" s="287" t="s">
        <v>6377</v>
      </c>
      <c r="N22" s="300" t="s">
        <v>301</v>
      </c>
      <c r="O22" s="300" t="s">
        <v>301</v>
      </c>
      <c r="P22" s="300" t="s">
        <v>302</v>
      </c>
      <c r="Q22" s="716" t="s">
        <v>5753</v>
      </c>
      <c r="R22" s="727">
        <v>6035720.2699999996</v>
      </c>
      <c r="S22" s="290">
        <v>965715.24319999991</v>
      </c>
      <c r="T22" s="290">
        <v>7001435.5131999999</v>
      </c>
      <c r="U22" s="727">
        <v>2414288.11</v>
      </c>
      <c r="V22" s="290">
        <v>2800574.2075999998</v>
      </c>
      <c r="W22" s="290">
        <v>8751794.3931999989</v>
      </c>
      <c r="X22" s="287" t="s">
        <v>156</v>
      </c>
      <c r="Y22" s="288">
        <v>44928</v>
      </c>
      <c r="Z22" s="287" t="s">
        <v>157</v>
      </c>
      <c r="AA22" s="288">
        <v>44927</v>
      </c>
      <c r="AB22" s="288">
        <v>45382</v>
      </c>
      <c r="AC22" s="300" t="s">
        <v>4253</v>
      </c>
      <c r="AD22" s="287" t="s">
        <v>6378</v>
      </c>
      <c r="AE22" s="287" t="s">
        <v>6379</v>
      </c>
      <c r="AF22" s="288">
        <v>45287</v>
      </c>
      <c r="AG22" s="290">
        <v>1750358.88</v>
      </c>
      <c r="AH22" s="1042" t="str">
        <f t="shared" ca="1" si="1"/>
        <v>MUERTO</v>
      </c>
      <c r="AI22" s="287"/>
      <c r="AJ22" s="287"/>
      <c r="AK22" s="63" t="s">
        <v>6301</v>
      </c>
      <c r="AL22" s="39" t="s">
        <v>6301</v>
      </c>
      <c r="AM22" s="702" t="s">
        <v>6301</v>
      </c>
      <c r="AN22" s="287"/>
      <c r="AO22" s="287"/>
      <c r="AP22" s="38" t="e">
        <f>VLOOKUP(I22,'[4] RFC'!A:B,2,0)</f>
        <v>#N/A</v>
      </c>
      <c r="AQ22" s="288">
        <v>45279</v>
      </c>
      <c r="AR22" s="288" t="s">
        <v>6380</v>
      </c>
      <c r="AS22" s="288">
        <v>44890</v>
      </c>
      <c r="AT22" s="994">
        <f>+AF22</f>
        <v>45287</v>
      </c>
      <c r="AU22" s="183">
        <v>45323</v>
      </c>
      <c r="AV22" s="195">
        <v>44942</v>
      </c>
      <c r="AW22" s="185">
        <v>44929</v>
      </c>
    </row>
    <row r="23" spans="1:49" s="289" customFormat="1" ht="90" hidden="1" x14ac:dyDescent="0.25">
      <c r="A23" s="312" t="s">
        <v>6381</v>
      </c>
      <c r="B23" s="8"/>
      <c r="C23" s="428" t="s">
        <v>149</v>
      </c>
      <c r="D23" s="259" t="s">
        <v>173</v>
      </c>
      <c r="E23" s="287" t="s">
        <v>5784</v>
      </c>
      <c r="F23" s="287" t="s">
        <v>173</v>
      </c>
      <c r="G23" s="685"/>
      <c r="H23" s="8" t="s">
        <v>3785</v>
      </c>
      <c r="I23" s="306" t="s">
        <v>4405</v>
      </c>
      <c r="J23" s="290"/>
      <c r="K23" s="290"/>
      <c r="L23" s="290"/>
      <c r="M23" s="290" t="s">
        <v>6382</v>
      </c>
      <c r="N23" s="306" t="s">
        <v>179</v>
      </c>
      <c r="O23" s="991" t="s">
        <v>6365</v>
      </c>
      <c r="P23" s="306" t="s">
        <v>3510</v>
      </c>
      <c r="Q23" s="717" t="s">
        <v>5785</v>
      </c>
      <c r="R23" s="727">
        <v>828000</v>
      </c>
      <c r="S23" s="290">
        <v>132480</v>
      </c>
      <c r="T23" s="290">
        <v>960480</v>
      </c>
      <c r="U23" s="727" t="s">
        <v>161</v>
      </c>
      <c r="V23" s="290" t="s">
        <v>161</v>
      </c>
      <c r="W23" s="290">
        <f>+T23+AG23</f>
        <v>1200600</v>
      </c>
      <c r="X23" s="290" t="s">
        <v>156</v>
      </c>
      <c r="Y23" s="59">
        <v>44563</v>
      </c>
      <c r="Z23" s="290" t="s">
        <v>157</v>
      </c>
      <c r="AA23" s="311">
        <v>44927</v>
      </c>
      <c r="AB23" s="311">
        <v>45382</v>
      </c>
      <c r="AC23" s="306" t="s">
        <v>5786</v>
      </c>
      <c r="AD23" s="290" t="s">
        <v>5787</v>
      </c>
      <c r="AE23" s="290" t="s">
        <v>5788</v>
      </c>
      <c r="AF23" s="311">
        <v>45258</v>
      </c>
      <c r="AG23" s="290">
        <f>+T23*0.25</f>
        <v>240120</v>
      </c>
      <c r="AH23" s="1042" t="str">
        <f t="shared" ca="1" si="1"/>
        <v>MUERTO</v>
      </c>
      <c r="AI23" s="290"/>
      <c r="AJ23" s="290"/>
      <c r="AK23" s="63" t="s">
        <v>6301</v>
      </c>
      <c r="AL23" s="705"/>
      <c r="AM23" s="702" t="s">
        <v>6301</v>
      </c>
      <c r="AN23" s="290"/>
      <c r="AO23" s="290"/>
      <c r="AP23" s="38" t="e">
        <f>VLOOKUP(I23,'[4] RFC'!A:B,2,0)</f>
        <v>#N/A</v>
      </c>
      <c r="AQ23" s="290" t="s">
        <v>6383</v>
      </c>
      <c r="AR23" s="290" t="s">
        <v>6384</v>
      </c>
      <c r="AS23" s="290" t="s">
        <v>6385</v>
      </c>
      <c r="AT23" s="994">
        <f>+AF23</f>
        <v>45258</v>
      </c>
      <c r="AU23" s="183">
        <v>45648</v>
      </c>
      <c r="AV23" s="195">
        <v>45268</v>
      </c>
      <c r="AW23" s="185" t="s">
        <v>6386</v>
      </c>
    </row>
    <row r="24" spans="1:49" s="289" customFormat="1" ht="60" hidden="1" x14ac:dyDescent="0.25">
      <c r="A24" s="312" t="s">
        <v>6387</v>
      </c>
      <c r="B24" s="8"/>
      <c r="C24" s="428" t="s">
        <v>149</v>
      </c>
      <c r="D24" s="259" t="s">
        <v>163</v>
      </c>
      <c r="E24" s="287" t="s">
        <v>5803</v>
      </c>
      <c r="F24" s="287" t="s">
        <v>2237</v>
      </c>
      <c r="G24" s="685" t="s">
        <v>546</v>
      </c>
      <c r="H24" s="8" t="s">
        <v>3764</v>
      </c>
      <c r="I24" s="300" t="s">
        <v>1008</v>
      </c>
      <c r="J24" s="287"/>
      <c r="K24" s="287"/>
      <c r="L24" s="287"/>
      <c r="M24" s="287" t="s">
        <v>3323</v>
      </c>
      <c r="N24" s="300" t="s">
        <v>5099</v>
      </c>
      <c r="O24" s="300" t="s">
        <v>5099</v>
      </c>
      <c r="P24" s="300" t="s">
        <v>5441</v>
      </c>
      <c r="Q24" s="716" t="s">
        <v>5804</v>
      </c>
      <c r="R24" s="727">
        <v>3205514.4</v>
      </c>
      <c r="S24" s="290">
        <v>512882.304</v>
      </c>
      <c r="T24" s="290">
        <v>3718396.7039999999</v>
      </c>
      <c r="U24" s="727" t="s">
        <v>161</v>
      </c>
      <c r="V24" s="290" t="s">
        <v>161</v>
      </c>
      <c r="W24" s="290">
        <v>4647995.8839999996</v>
      </c>
      <c r="X24" s="287" t="s">
        <v>156</v>
      </c>
      <c r="Y24" s="288">
        <v>44928</v>
      </c>
      <c r="Z24" s="287" t="s">
        <v>157</v>
      </c>
      <c r="AA24" s="288">
        <v>44927</v>
      </c>
      <c r="AB24" s="288">
        <v>45382</v>
      </c>
      <c r="AC24" s="300" t="s">
        <v>4717</v>
      </c>
      <c r="AD24" s="287" t="s">
        <v>6388</v>
      </c>
      <c r="AE24" s="287" t="s">
        <v>6389</v>
      </c>
      <c r="AF24" s="288">
        <v>45286</v>
      </c>
      <c r="AG24" s="290">
        <v>929599.18</v>
      </c>
      <c r="AH24" s="1042" t="str">
        <f t="shared" ca="1" si="1"/>
        <v>MUERTO</v>
      </c>
      <c r="AI24" s="287"/>
      <c r="AJ24" s="287"/>
      <c r="AK24" s="63" t="s">
        <v>6301</v>
      </c>
      <c r="AL24" s="39" t="s">
        <v>6301</v>
      </c>
      <c r="AM24" s="702" t="s">
        <v>6301</v>
      </c>
      <c r="AN24" s="287"/>
      <c r="AO24" s="287"/>
      <c r="AP24" s="38" t="str">
        <f>VLOOKUP(I24,'[4] RFC'!A:B,2,0)</f>
        <v>DCM060704I30</v>
      </c>
      <c r="AQ24" s="288" t="s">
        <v>6390</v>
      </c>
      <c r="AR24" s="288" t="s">
        <v>6391</v>
      </c>
      <c r="AS24" s="288" t="s">
        <v>6392</v>
      </c>
      <c r="AT24" s="995">
        <f>+AF24</f>
        <v>45286</v>
      </c>
      <c r="AU24" s="183">
        <v>45313</v>
      </c>
      <c r="AV24" s="195" t="s">
        <v>6393</v>
      </c>
      <c r="AW24" s="185" t="s">
        <v>6394</v>
      </c>
    </row>
    <row r="25" spans="1:49" s="289" customFormat="1" ht="75" hidden="1" x14ac:dyDescent="0.25">
      <c r="A25" s="312" t="s">
        <v>6395</v>
      </c>
      <c r="B25" s="8"/>
      <c r="C25" s="428" t="s">
        <v>149</v>
      </c>
      <c r="D25" s="259" t="s">
        <v>173</v>
      </c>
      <c r="E25" s="287" t="s">
        <v>5848</v>
      </c>
      <c r="F25" s="287" t="s">
        <v>173</v>
      </c>
      <c r="G25" s="685"/>
      <c r="H25" s="8" t="s">
        <v>3785</v>
      </c>
      <c r="I25" s="300" t="s">
        <v>1738</v>
      </c>
      <c r="J25" s="287"/>
      <c r="K25" s="287"/>
      <c r="L25" s="287"/>
      <c r="M25" s="287" t="s">
        <v>6396</v>
      </c>
      <c r="N25" s="300" t="s">
        <v>198</v>
      </c>
      <c r="O25" s="300" t="s">
        <v>198</v>
      </c>
      <c r="P25" s="300" t="s">
        <v>5849</v>
      </c>
      <c r="Q25" s="716" t="s">
        <v>5850</v>
      </c>
      <c r="R25" s="727">
        <v>10784197.41</v>
      </c>
      <c r="S25" s="270">
        <f>+R25*0.16</f>
        <v>1725471.5856000001</v>
      </c>
      <c r="T25" s="290">
        <f>+R25+S25</f>
        <v>12509668.9956</v>
      </c>
      <c r="U25" s="727">
        <v>6784197.4100000001</v>
      </c>
      <c r="V25" s="290">
        <v>7869668.9956</v>
      </c>
      <c r="W25" s="290">
        <f>+T25+AG25</f>
        <v>14279713.007414429</v>
      </c>
      <c r="X25" s="287" t="s">
        <v>156</v>
      </c>
      <c r="Y25" s="288">
        <v>44928</v>
      </c>
      <c r="Z25" s="287" t="s">
        <v>157</v>
      </c>
      <c r="AA25" s="288">
        <v>44927</v>
      </c>
      <c r="AB25" s="288">
        <v>45351</v>
      </c>
      <c r="AC25" s="300" t="s">
        <v>3787</v>
      </c>
      <c r="AD25" s="300" t="s">
        <v>6397</v>
      </c>
      <c r="AE25" s="319">
        <v>0.14149407250000001</v>
      </c>
      <c r="AF25" s="288" t="s">
        <v>6398</v>
      </c>
      <c r="AG25" s="290">
        <f>+T25*AE25</f>
        <v>1770044.0118144287</v>
      </c>
      <c r="AH25" s="1042" t="str">
        <f t="shared" ca="1" si="1"/>
        <v>MUERTO</v>
      </c>
      <c r="AI25" s="290"/>
      <c r="AJ25" s="287"/>
      <c r="AK25" s="63" t="s">
        <v>6301</v>
      </c>
      <c r="AL25" s="39" t="s">
        <v>6301</v>
      </c>
      <c r="AM25" s="702" t="s">
        <v>6301</v>
      </c>
      <c r="AN25" s="287"/>
      <c r="AO25" s="287"/>
      <c r="AP25" s="38" t="str">
        <f>VLOOKUP(I25,'[4] RFC'!A:B,2,0)</f>
        <v>ECM840330286</v>
      </c>
      <c r="AQ25" s="288" t="s">
        <v>6399</v>
      </c>
      <c r="AR25" s="418" t="s">
        <v>6400</v>
      </c>
      <c r="AS25" s="288">
        <v>45288</v>
      </c>
      <c r="AT25" s="1053" t="str">
        <f>+AF25</f>
        <v xml:space="preserve">                     28/12/2023</v>
      </c>
      <c r="AU25" s="183">
        <v>45323</v>
      </c>
      <c r="AV25" s="195">
        <v>45103</v>
      </c>
      <c r="AW25" s="185" t="s">
        <v>6401</v>
      </c>
    </row>
    <row r="26" spans="1:49" ht="75" hidden="1" x14ac:dyDescent="0.25">
      <c r="A26" s="424" t="s">
        <v>6402</v>
      </c>
      <c r="B26" s="8"/>
      <c r="C26" s="428" t="s">
        <v>6303</v>
      </c>
      <c r="D26" s="259" t="s">
        <v>6303</v>
      </c>
      <c r="E26" s="287" t="s">
        <v>6403</v>
      </c>
      <c r="F26" s="287" t="s">
        <v>6307</v>
      </c>
      <c r="G26" s="685"/>
      <c r="H26" s="8" t="s">
        <v>6404</v>
      </c>
      <c r="I26" s="300" t="s">
        <v>1738</v>
      </c>
      <c r="J26" s="287"/>
      <c r="K26" s="287"/>
      <c r="L26" s="287"/>
      <c r="M26" s="287" t="s">
        <v>6396</v>
      </c>
      <c r="N26" s="300" t="s">
        <v>198</v>
      </c>
      <c r="O26" s="300" t="s">
        <v>198</v>
      </c>
      <c r="P26" s="300" t="s">
        <v>5849</v>
      </c>
      <c r="Q26" s="716" t="s">
        <v>5850</v>
      </c>
      <c r="R26" s="727"/>
      <c r="S26" s="270"/>
      <c r="T26" s="290"/>
      <c r="U26" s="727"/>
      <c r="V26" s="321"/>
      <c r="W26" s="1041">
        <v>885021.99</v>
      </c>
      <c r="X26" s="287" t="s">
        <v>156</v>
      </c>
      <c r="Y26" s="288">
        <v>45341</v>
      </c>
      <c r="Z26" s="287" t="s">
        <v>193</v>
      </c>
      <c r="AA26" s="288">
        <v>44927</v>
      </c>
      <c r="AB26" s="288">
        <v>45382</v>
      </c>
      <c r="AC26" s="300" t="s">
        <v>3787</v>
      </c>
      <c r="AD26" s="287" t="s">
        <v>6405</v>
      </c>
      <c r="AE26" s="318">
        <v>7.0747035E-2</v>
      </c>
      <c r="AF26" s="288">
        <v>45341</v>
      </c>
      <c r="AG26" s="290">
        <v>885021.99</v>
      </c>
      <c r="AH26" s="1042" t="str">
        <f t="shared" ca="1" si="1"/>
        <v>MUERTO</v>
      </c>
      <c r="AI26" s="290"/>
      <c r="AJ26" s="287"/>
      <c r="AK26" s="63" t="s">
        <v>6301</v>
      </c>
      <c r="AL26" s="8" t="s">
        <v>6406</v>
      </c>
      <c r="AM26" s="702" t="s">
        <v>6301</v>
      </c>
      <c r="AN26" s="287"/>
      <c r="AO26" s="287"/>
      <c r="AP26" s="38" t="str">
        <f>VLOOKUP(I26,'[4] RFC'!A:B,2,0)</f>
        <v>ECM840330286</v>
      </c>
      <c r="AQ26" s="288">
        <v>45341</v>
      </c>
      <c r="AR26" s="288">
        <v>45336</v>
      </c>
      <c r="AS26" s="288">
        <v>45341</v>
      </c>
      <c r="AT26" s="994">
        <f>+Y26</f>
        <v>45341</v>
      </c>
      <c r="AU26" s="183">
        <v>45362</v>
      </c>
      <c r="AV26" s="195">
        <v>45343</v>
      </c>
      <c r="AW26" s="185">
        <v>45342</v>
      </c>
    </row>
    <row r="27" spans="1:49" s="289" customFormat="1" ht="120" hidden="1" x14ac:dyDescent="0.25">
      <c r="A27" s="312" t="s">
        <v>6407</v>
      </c>
      <c r="B27" s="8"/>
      <c r="C27" s="428" t="s">
        <v>149</v>
      </c>
      <c r="D27" s="259" t="s">
        <v>173</v>
      </c>
      <c r="E27" s="287" t="s">
        <v>5880</v>
      </c>
      <c r="F27" s="287" t="s">
        <v>173</v>
      </c>
      <c r="G27" s="685"/>
      <c r="H27" s="8" t="s">
        <v>3785</v>
      </c>
      <c r="I27" s="300" t="s">
        <v>5881</v>
      </c>
      <c r="J27" s="287"/>
      <c r="K27" s="287"/>
      <c r="L27" s="287"/>
      <c r="M27" s="287" t="s">
        <v>6408</v>
      </c>
      <c r="N27" s="991" t="s">
        <v>656</v>
      </c>
      <c r="O27" s="300" t="s">
        <v>209</v>
      </c>
      <c r="P27" s="300" t="s">
        <v>5842</v>
      </c>
      <c r="Q27" s="716" t="s">
        <v>5882</v>
      </c>
      <c r="R27" s="727">
        <v>5640000</v>
      </c>
      <c r="S27" s="290">
        <v>902400</v>
      </c>
      <c r="T27" s="290">
        <v>6542400</v>
      </c>
      <c r="U27" s="727" t="s">
        <v>161</v>
      </c>
      <c r="V27" s="290" t="s">
        <v>161</v>
      </c>
      <c r="W27" s="1041">
        <v>8178000</v>
      </c>
      <c r="X27" s="287" t="s">
        <v>156</v>
      </c>
      <c r="Y27" s="288">
        <v>44932</v>
      </c>
      <c r="Z27" s="287" t="s">
        <v>157</v>
      </c>
      <c r="AA27" s="288">
        <v>44932</v>
      </c>
      <c r="AB27" s="288">
        <v>45381</v>
      </c>
      <c r="AC27" s="300" t="s">
        <v>3787</v>
      </c>
      <c r="AD27" s="287" t="s">
        <v>5883</v>
      </c>
      <c r="AE27" s="287" t="s">
        <v>5884</v>
      </c>
      <c r="AF27" s="288">
        <v>45289</v>
      </c>
      <c r="AG27" s="290">
        <v>1635600</v>
      </c>
      <c r="AH27" s="1042" t="str">
        <f t="shared" ca="1" si="1"/>
        <v>MUERTO</v>
      </c>
      <c r="AI27" s="287"/>
      <c r="AJ27" s="287"/>
      <c r="AK27" s="63" t="s">
        <v>6301</v>
      </c>
      <c r="AL27" s="39" t="s">
        <v>6301</v>
      </c>
      <c r="AM27" s="702" t="s">
        <v>6301</v>
      </c>
      <c r="AN27" s="287"/>
      <c r="AO27" s="287"/>
      <c r="AP27" s="38" t="e">
        <f>VLOOKUP(I27,'[4] RFC'!A:B,2,0)</f>
        <v>#N/A</v>
      </c>
      <c r="AQ27" s="288">
        <v>45270</v>
      </c>
      <c r="AR27" s="288" t="s">
        <v>6409</v>
      </c>
      <c r="AS27" s="288">
        <v>44937</v>
      </c>
      <c r="AT27" s="995">
        <f>+AF27</f>
        <v>45289</v>
      </c>
      <c r="AU27" s="183">
        <v>45320</v>
      </c>
      <c r="AV27" s="195">
        <v>44945</v>
      </c>
      <c r="AW27" s="185">
        <v>44939</v>
      </c>
    </row>
    <row r="28" spans="1:49" s="289" customFormat="1" ht="105" hidden="1" x14ac:dyDescent="0.25">
      <c r="A28" s="312" t="s">
        <v>6410</v>
      </c>
      <c r="B28" s="8"/>
      <c r="C28" s="428" t="s">
        <v>149</v>
      </c>
      <c r="D28" s="259" t="s">
        <v>151</v>
      </c>
      <c r="E28" s="287" t="s">
        <v>5953</v>
      </c>
      <c r="F28" s="287" t="s">
        <v>151</v>
      </c>
      <c r="G28" s="685"/>
      <c r="H28" s="8" t="s">
        <v>3793</v>
      </c>
      <c r="I28" s="300" t="s">
        <v>4644</v>
      </c>
      <c r="J28" s="287"/>
      <c r="K28" s="287"/>
      <c r="L28" s="287"/>
      <c r="M28" s="287" t="s">
        <v>6411</v>
      </c>
      <c r="N28" s="300" t="s">
        <v>198</v>
      </c>
      <c r="O28" s="300" t="s">
        <v>198</v>
      </c>
      <c r="P28" s="300" t="s">
        <v>5441</v>
      </c>
      <c r="Q28" s="716" t="s">
        <v>5954</v>
      </c>
      <c r="R28" s="727">
        <v>725149.14</v>
      </c>
      <c r="S28" s="290">
        <v>116023.8624</v>
      </c>
      <c r="T28" s="290">
        <v>841173.0024</v>
      </c>
      <c r="U28" s="727">
        <v>426724.14</v>
      </c>
      <c r="V28" s="290">
        <v>495000.0024</v>
      </c>
      <c r="W28" s="1041">
        <v>841173.0024</v>
      </c>
      <c r="X28" s="287" t="s">
        <v>156</v>
      </c>
      <c r="Y28" s="288">
        <v>44966</v>
      </c>
      <c r="Z28" s="287" t="s">
        <v>193</v>
      </c>
      <c r="AA28" s="288">
        <v>44966</v>
      </c>
      <c r="AB28" s="288">
        <v>45372</v>
      </c>
      <c r="AC28" s="300" t="s">
        <v>3787</v>
      </c>
      <c r="AD28" s="287" t="s">
        <v>5955</v>
      </c>
      <c r="AE28" s="287" t="s">
        <v>5955</v>
      </c>
      <c r="AF28" s="288">
        <v>45289</v>
      </c>
      <c r="AG28" s="290">
        <v>0</v>
      </c>
      <c r="AH28" s="1042" t="str">
        <f t="shared" ca="1" si="1"/>
        <v>MUERTO</v>
      </c>
      <c r="AI28" s="287"/>
      <c r="AJ28" s="287"/>
      <c r="AK28" s="63" t="s">
        <v>6301</v>
      </c>
      <c r="AL28" s="39" t="s">
        <v>6301</v>
      </c>
      <c r="AM28" s="702" t="s">
        <v>6301</v>
      </c>
      <c r="AN28" s="287"/>
      <c r="AO28" s="287"/>
      <c r="AP28" s="38" t="e">
        <f>VLOOKUP(I28,'[4] RFC'!A:B,2,0)</f>
        <v>#N/A</v>
      </c>
      <c r="AQ28" s="288" t="s">
        <v>6412</v>
      </c>
      <c r="AR28" s="288" t="s">
        <v>6413</v>
      </c>
      <c r="AS28" s="288">
        <v>45289</v>
      </c>
      <c r="AT28" s="995">
        <f>+AF28</f>
        <v>45289</v>
      </c>
      <c r="AU28" s="415">
        <v>45293</v>
      </c>
      <c r="AV28" s="416">
        <v>45293</v>
      </c>
      <c r="AW28" s="185">
        <v>45293</v>
      </c>
    </row>
    <row r="29" spans="1:49" s="289" customFormat="1" ht="75" hidden="1" x14ac:dyDescent="0.25">
      <c r="A29" s="312" t="s">
        <v>6414</v>
      </c>
      <c r="B29" s="8"/>
      <c r="C29" s="428" t="s">
        <v>149</v>
      </c>
      <c r="D29" s="259" t="s">
        <v>173</v>
      </c>
      <c r="E29" s="287" t="s">
        <v>5961</v>
      </c>
      <c r="F29" s="287" t="s">
        <v>173</v>
      </c>
      <c r="G29" s="685"/>
      <c r="H29" s="8" t="s">
        <v>3785</v>
      </c>
      <c r="I29" s="300"/>
      <c r="J29" s="287" t="s">
        <v>1469</v>
      </c>
      <c r="K29" s="287" t="s">
        <v>453</v>
      </c>
      <c r="L29" s="287" t="s">
        <v>454</v>
      </c>
      <c r="M29" s="287" t="s">
        <v>6415</v>
      </c>
      <c r="N29" s="300" t="s">
        <v>301</v>
      </c>
      <c r="O29" s="300" t="s">
        <v>301</v>
      </c>
      <c r="P29" s="300" t="s">
        <v>5772</v>
      </c>
      <c r="Q29" s="716" t="s">
        <v>5962</v>
      </c>
      <c r="R29" s="727">
        <v>948275.86</v>
      </c>
      <c r="S29" s="290">
        <v>151724.13759999999</v>
      </c>
      <c r="T29" s="290">
        <v>1099999.9975999999</v>
      </c>
      <c r="U29" s="727">
        <v>379310.34</v>
      </c>
      <c r="V29" s="290">
        <v>439999.99440000003</v>
      </c>
      <c r="W29" s="1041">
        <v>1099999.9975999999</v>
      </c>
      <c r="X29" s="287" t="s">
        <v>156</v>
      </c>
      <c r="Y29" s="288">
        <v>44986</v>
      </c>
      <c r="Z29" s="287" t="s">
        <v>234</v>
      </c>
      <c r="AA29" s="288">
        <v>44986</v>
      </c>
      <c r="AB29" s="288">
        <v>45351</v>
      </c>
      <c r="AC29" s="300" t="s">
        <v>3113</v>
      </c>
      <c r="AD29" s="287" t="s">
        <v>5963</v>
      </c>
      <c r="AE29" s="287" t="s">
        <v>5964</v>
      </c>
      <c r="AF29" s="288">
        <v>45281</v>
      </c>
      <c r="AG29" s="290">
        <v>0</v>
      </c>
      <c r="AH29" s="1042" t="str">
        <f t="shared" ca="1" si="1"/>
        <v>MUERTO</v>
      </c>
      <c r="AI29" s="287"/>
      <c r="AJ29" s="287"/>
      <c r="AK29" s="63" t="s">
        <v>6301</v>
      </c>
      <c r="AL29" s="39" t="s">
        <v>6301</v>
      </c>
      <c r="AM29" s="703">
        <v>44986</v>
      </c>
      <c r="AN29" s="287"/>
      <c r="AO29" s="287"/>
      <c r="AP29" s="38" t="e">
        <f>VLOOKUP(I29,'[4] RFC'!A:B,2,0)</f>
        <v>#N/A</v>
      </c>
      <c r="AQ29" s="288" t="s">
        <v>6416</v>
      </c>
      <c r="AR29" s="288" t="s">
        <v>6417</v>
      </c>
      <c r="AS29" s="288">
        <v>44985</v>
      </c>
      <c r="AT29" s="994">
        <f>+AF29</f>
        <v>45281</v>
      </c>
      <c r="AU29" s="183">
        <v>45328</v>
      </c>
      <c r="AV29" s="195">
        <v>44992</v>
      </c>
      <c r="AW29" s="185">
        <v>44986</v>
      </c>
    </row>
    <row r="30" spans="1:49" ht="75" hidden="1" x14ac:dyDescent="0.25">
      <c r="A30" s="312" t="s">
        <v>6418</v>
      </c>
      <c r="B30" s="8"/>
      <c r="C30" s="428" t="s">
        <v>149</v>
      </c>
      <c r="D30" s="259" t="s">
        <v>173</v>
      </c>
      <c r="E30" s="287" t="s">
        <v>5961</v>
      </c>
      <c r="F30" s="287" t="s">
        <v>173</v>
      </c>
      <c r="G30" s="685"/>
      <c r="H30" s="8" t="s">
        <v>3785</v>
      </c>
      <c r="I30" s="300"/>
      <c r="J30" s="287" t="s">
        <v>384</v>
      </c>
      <c r="K30" s="287" t="s">
        <v>259</v>
      </c>
      <c r="L30" s="287" t="s">
        <v>385</v>
      </c>
      <c r="M30" s="287" t="s">
        <v>6419</v>
      </c>
      <c r="N30" s="300" t="s">
        <v>301</v>
      </c>
      <c r="O30" s="300" t="s">
        <v>301</v>
      </c>
      <c r="P30" s="300" t="s">
        <v>5772</v>
      </c>
      <c r="Q30" s="716" t="s">
        <v>5979</v>
      </c>
      <c r="R30" s="727">
        <v>1580459.77</v>
      </c>
      <c r="S30" s="290">
        <v>252873.5632</v>
      </c>
      <c r="T30" s="290">
        <v>1833333.3332</v>
      </c>
      <c r="U30" s="727">
        <v>632183.91</v>
      </c>
      <c r="V30" s="290">
        <v>733333.33559999999</v>
      </c>
      <c r="W30" s="1041">
        <v>1833333.3332</v>
      </c>
      <c r="X30" s="290" t="s">
        <v>156</v>
      </c>
      <c r="Y30" s="288">
        <v>44986</v>
      </c>
      <c r="Z30" s="287" t="s">
        <v>234</v>
      </c>
      <c r="AA30" s="288">
        <v>44986</v>
      </c>
      <c r="AB30" s="288">
        <v>45351</v>
      </c>
      <c r="AC30" s="917" t="s">
        <v>3113</v>
      </c>
      <c r="AD30" s="287" t="s">
        <v>5963</v>
      </c>
      <c r="AE30" s="287" t="s">
        <v>5964</v>
      </c>
      <c r="AF30" s="288">
        <v>45279</v>
      </c>
      <c r="AG30" s="317">
        <v>0</v>
      </c>
      <c r="AH30" s="1042" t="str">
        <f t="shared" ca="1" si="1"/>
        <v>MUERTO</v>
      </c>
      <c r="AI30" s="985"/>
      <c r="AJ30" s="287"/>
      <c r="AK30" s="63" t="s">
        <v>6301</v>
      </c>
      <c r="AL30" s="39" t="s">
        <v>6301</v>
      </c>
      <c r="AM30" s="703">
        <v>44986</v>
      </c>
      <c r="AN30" s="287"/>
      <c r="AO30" s="287"/>
      <c r="AP30" s="38" t="e">
        <f>VLOOKUP(I30,'[4] RFC'!A:B,2,0)</f>
        <v>#N/A</v>
      </c>
      <c r="AQ30" s="288">
        <v>45646</v>
      </c>
      <c r="AR30" s="288">
        <v>45278</v>
      </c>
      <c r="AS30" s="288">
        <v>44986</v>
      </c>
      <c r="AT30" s="59">
        <v>44985</v>
      </c>
      <c r="AU30" s="183">
        <v>45315</v>
      </c>
      <c r="AV30" s="195" t="s">
        <v>6416</v>
      </c>
      <c r="AW30" s="185">
        <v>45278</v>
      </c>
    </row>
    <row r="31" spans="1:49" ht="45" hidden="1" x14ac:dyDescent="0.25">
      <c r="A31" s="262" t="s">
        <v>6196</v>
      </c>
      <c r="B31" s="3"/>
      <c r="C31" s="167" t="s">
        <v>149</v>
      </c>
      <c r="D31" s="259" t="s">
        <v>163</v>
      </c>
      <c r="E31" s="287" t="s">
        <v>6197</v>
      </c>
      <c r="F31" s="287" t="s">
        <v>163</v>
      </c>
      <c r="G31" s="685" t="s">
        <v>163</v>
      </c>
      <c r="H31" s="8" t="s">
        <v>3986</v>
      </c>
      <c r="I31" s="42" t="s">
        <v>6420</v>
      </c>
      <c r="J31" s="41"/>
      <c r="K31" s="41"/>
      <c r="L31" s="41"/>
      <c r="M31" s="42" t="s">
        <v>6420</v>
      </c>
      <c r="N31" s="991" t="s">
        <v>860</v>
      </c>
      <c r="O31" s="991" t="s">
        <v>5152</v>
      </c>
      <c r="P31" s="991" t="s">
        <v>5152</v>
      </c>
      <c r="Q31" s="1040" t="s">
        <v>6199</v>
      </c>
      <c r="R31" s="1034">
        <v>6354630</v>
      </c>
      <c r="S31" s="44">
        <v>1016740.8</v>
      </c>
      <c r="T31" s="45">
        <v>7371370.7999999998</v>
      </c>
      <c r="U31" s="224" t="s">
        <v>161</v>
      </c>
      <c r="V31" s="47" t="s">
        <v>161</v>
      </c>
      <c r="W31" s="1041">
        <v>8921275.8000000007</v>
      </c>
      <c r="X31" s="993" t="s">
        <v>156</v>
      </c>
      <c r="Y31" s="48">
        <v>45170</v>
      </c>
      <c r="Z31" s="39" t="s">
        <v>863</v>
      </c>
      <c r="AA31" s="48">
        <v>45170</v>
      </c>
      <c r="AB31" s="48">
        <v>45322</v>
      </c>
      <c r="AC31" s="38" t="s">
        <v>3787</v>
      </c>
      <c r="AD31" s="53" t="s">
        <v>6200</v>
      </c>
      <c r="AE31" s="38" t="s">
        <v>6201</v>
      </c>
      <c r="AF31" s="50">
        <v>45261</v>
      </c>
      <c r="AG31" s="44">
        <v>1549905</v>
      </c>
      <c r="AH31" s="163" t="s">
        <v>2278</v>
      </c>
      <c r="AI31" s="39"/>
      <c r="AJ31" s="39"/>
      <c r="AK31" s="39" t="s">
        <v>6301</v>
      </c>
      <c r="AL31" s="39" t="s">
        <v>6301</v>
      </c>
      <c r="AM31" s="39" t="s">
        <v>6301</v>
      </c>
      <c r="AN31" s="39"/>
      <c r="AO31" s="39"/>
      <c r="AP31" s="38" t="str">
        <f>VLOOKUP(I31,'[4] RFC'!A:B,2,0)</f>
        <v>CIL200217QC9</v>
      </c>
      <c r="AQ31" s="59">
        <v>45259</v>
      </c>
      <c r="AR31" s="59" t="s">
        <v>6421</v>
      </c>
      <c r="AS31" s="59">
        <v>45169</v>
      </c>
      <c r="AT31" s="59">
        <v>45169</v>
      </c>
      <c r="AU31" s="183" t="s">
        <v>6422</v>
      </c>
      <c r="AV31" s="195">
        <v>45280</v>
      </c>
      <c r="AW31" s="185">
        <v>45266</v>
      </c>
    </row>
    <row r="32" spans="1:49" ht="105" hidden="1" x14ac:dyDescent="0.25">
      <c r="A32" s="262" t="s">
        <v>6251</v>
      </c>
      <c r="B32" s="960"/>
      <c r="C32" s="167" t="s">
        <v>149</v>
      </c>
      <c r="D32" s="259" t="s">
        <v>173</v>
      </c>
      <c r="E32" s="287" t="s">
        <v>6252</v>
      </c>
      <c r="F32" s="287" t="s">
        <v>173</v>
      </c>
      <c r="G32" s="685"/>
      <c r="H32" s="8" t="s">
        <v>3785</v>
      </c>
      <c r="I32" s="81" t="s">
        <v>1008</v>
      </c>
      <c r="J32" s="41"/>
      <c r="K32" s="41"/>
      <c r="L32" s="41"/>
      <c r="M32" s="42" t="s">
        <v>3323</v>
      </c>
      <c r="N32" s="991" t="s">
        <v>5099</v>
      </c>
      <c r="O32" s="991" t="s">
        <v>5099</v>
      </c>
      <c r="P32" s="991" t="s">
        <v>6253</v>
      </c>
      <c r="Q32" s="1040" t="s">
        <v>6254</v>
      </c>
      <c r="R32" s="1034">
        <v>50256913</v>
      </c>
      <c r="S32" s="44">
        <v>8041106.0800000001</v>
      </c>
      <c r="T32" s="45">
        <v>58298019.079999998</v>
      </c>
      <c r="U32" s="224" t="s">
        <v>161</v>
      </c>
      <c r="V32" s="47" t="s">
        <v>161</v>
      </c>
      <c r="W32" s="1041">
        <v>58813098.519999996</v>
      </c>
      <c r="X32" s="993" t="s">
        <v>156</v>
      </c>
      <c r="Y32" s="48">
        <v>45239</v>
      </c>
      <c r="Z32" s="39" t="s">
        <v>892</v>
      </c>
      <c r="AA32" s="48">
        <v>45239</v>
      </c>
      <c r="AB32" s="48">
        <v>45304</v>
      </c>
      <c r="AC32" s="38" t="s">
        <v>6255</v>
      </c>
      <c r="AD32" s="53" t="s">
        <v>6256</v>
      </c>
      <c r="AE32" s="53" t="s">
        <v>6256</v>
      </c>
      <c r="AF32" s="50">
        <v>45287</v>
      </c>
      <c r="AG32" s="44">
        <v>515079.44</v>
      </c>
      <c r="AH32" s="163" t="s">
        <v>2278</v>
      </c>
      <c r="AI32" s="39"/>
      <c r="AJ32" s="39"/>
      <c r="AK32" s="39" t="s">
        <v>6301</v>
      </c>
      <c r="AL32" s="39" t="s">
        <v>6301</v>
      </c>
      <c r="AM32" s="39" t="s">
        <v>6301</v>
      </c>
      <c r="AN32" s="39"/>
      <c r="AO32" s="39"/>
      <c r="AP32" s="38" t="str">
        <f>VLOOKUP(I32,'[4] RFC'!A:B,2,0)</f>
        <v>DCM060704I30</v>
      </c>
      <c r="AQ32" s="59" t="s">
        <v>6423</v>
      </c>
      <c r="AR32" s="58" t="s">
        <v>6424</v>
      </c>
      <c r="AS32" s="59">
        <v>45239</v>
      </c>
      <c r="AT32" s="59">
        <v>45239</v>
      </c>
      <c r="AU32" s="183" t="s">
        <v>6425</v>
      </c>
      <c r="AV32" s="195" t="s">
        <v>6426</v>
      </c>
      <c r="AW32" s="185" t="s">
        <v>6427</v>
      </c>
    </row>
    <row r="33" spans="1:49" s="916" customFormat="1" ht="126" hidden="1" customHeight="1" x14ac:dyDescent="0.25">
      <c r="A33" s="248" t="s">
        <v>6428</v>
      </c>
      <c r="B33" s="259">
        <v>1</v>
      </c>
      <c r="C33" s="167" t="s">
        <v>225</v>
      </c>
      <c r="D33" s="259" t="s">
        <v>173</v>
      </c>
      <c r="E33" s="287" t="s">
        <v>6429</v>
      </c>
      <c r="F33" s="287" t="str">
        <f>D33</f>
        <v>Licitación Pública</v>
      </c>
      <c r="G33" s="685"/>
      <c r="H33" s="8" t="s">
        <v>3785</v>
      </c>
      <c r="I33" s="81" t="s">
        <v>1401</v>
      </c>
      <c r="J33" s="41"/>
      <c r="K33" s="41"/>
      <c r="L33" s="41"/>
      <c r="M33" s="1046" t="str">
        <f t="shared" ref="M33:M108" si="2">I33&amp;J33&amp;" "&amp;K33&amp;" "&amp;L33</f>
        <v xml:space="preserve">Servicios Broxel, S.A.P.I. de C.V.  </v>
      </c>
      <c r="N33" s="991" t="s">
        <v>370</v>
      </c>
      <c r="O33" s="991" t="s">
        <v>370</v>
      </c>
      <c r="P33" s="991" t="s">
        <v>3359</v>
      </c>
      <c r="Q33" s="1040" t="s">
        <v>6430</v>
      </c>
      <c r="R33" s="1047">
        <v>58063775</v>
      </c>
      <c r="S33" s="314">
        <v>0</v>
      </c>
      <c r="T33" s="1054">
        <f t="shared" ref="T33:T102" si="3">R33+S33</f>
        <v>58063775</v>
      </c>
      <c r="U33" s="1047">
        <v>52949601</v>
      </c>
      <c r="V33" s="1054">
        <v>52949601</v>
      </c>
      <c r="W33" s="1041">
        <f t="shared" ref="W33:W145" si="4">T33+AG33</f>
        <v>58063775</v>
      </c>
      <c r="X33" s="993" t="s">
        <v>156</v>
      </c>
      <c r="Y33" s="59">
        <v>45293</v>
      </c>
      <c r="Z33" s="39" t="s">
        <v>157</v>
      </c>
      <c r="AA33" s="59">
        <v>45292</v>
      </c>
      <c r="AB33" s="59">
        <v>45657</v>
      </c>
      <c r="AC33" s="38" t="s">
        <v>3113</v>
      </c>
      <c r="AD33" s="53"/>
      <c r="AE33" s="38"/>
      <c r="AF33" s="256"/>
      <c r="AG33" s="270">
        <v>0</v>
      </c>
      <c r="AH33" s="163" t="str">
        <f t="shared" ref="AH33:AH89" ca="1" si="5">IF(ISBLANK(AB33),"",IF(AB33&gt;=TODAY(),"VIGENTE","MUERTO"))</f>
        <v>MUERTO</v>
      </c>
      <c r="AI33" s="39">
        <v>15401</v>
      </c>
      <c r="AJ33" s="39"/>
      <c r="AK33" s="39" t="s">
        <v>6431</v>
      </c>
      <c r="AL33" s="39"/>
      <c r="AM33" s="39" t="s">
        <v>6431</v>
      </c>
      <c r="AN33" s="39"/>
      <c r="AO33" s="39"/>
      <c r="AP33" s="38" t="e">
        <f>VLOOKUP(I33,'[4] RFC'!A:B,2,0)</f>
        <v>#N/A</v>
      </c>
      <c r="AQ33" s="59">
        <v>45225</v>
      </c>
      <c r="AR33" s="59">
        <v>45229</v>
      </c>
      <c r="AS33" s="59">
        <v>45240</v>
      </c>
      <c r="AT33" s="59">
        <f t="shared" ref="AT33:AT97" si="6">+Y33</f>
        <v>45293</v>
      </c>
      <c r="AU33" s="183">
        <v>45308</v>
      </c>
      <c r="AV33" s="195">
        <v>45295</v>
      </c>
      <c r="AW33" s="185">
        <v>45244</v>
      </c>
    </row>
    <row r="34" spans="1:49" s="916" customFormat="1" ht="126" hidden="1" customHeight="1" x14ac:dyDescent="0.25">
      <c r="A34" s="196" t="s">
        <v>6432</v>
      </c>
      <c r="B34" s="259">
        <v>1</v>
      </c>
      <c r="C34" s="167" t="s">
        <v>6303</v>
      </c>
      <c r="D34" s="259" t="s">
        <v>173</v>
      </c>
      <c r="E34" s="287" t="s">
        <v>6433</v>
      </c>
      <c r="F34" s="287" t="s">
        <v>173</v>
      </c>
      <c r="G34" s="685"/>
      <c r="H34" s="8"/>
      <c r="I34" s="81" t="s">
        <v>1401</v>
      </c>
      <c r="J34" s="41"/>
      <c r="K34" s="41"/>
      <c r="L34" s="41"/>
      <c r="M34" s="1046" t="str">
        <f t="shared" si="2"/>
        <v xml:space="preserve">Servicios Broxel, S.A.P.I. de C.V.  </v>
      </c>
      <c r="N34" s="991" t="s">
        <v>370</v>
      </c>
      <c r="O34" s="991" t="s">
        <v>370</v>
      </c>
      <c r="P34" s="991" t="s">
        <v>3359</v>
      </c>
      <c r="Q34" s="1040" t="s">
        <v>6430</v>
      </c>
      <c r="R34" s="1047">
        <v>63437115</v>
      </c>
      <c r="S34" s="314">
        <v>0</v>
      </c>
      <c r="T34" s="1054">
        <f t="shared" si="3"/>
        <v>63437115</v>
      </c>
      <c r="U34" s="1047">
        <v>52949601</v>
      </c>
      <c r="V34" s="1054">
        <v>52949601</v>
      </c>
      <c r="W34" s="1041">
        <f t="shared" si="4"/>
        <v>63437115</v>
      </c>
      <c r="X34" s="993" t="s">
        <v>156</v>
      </c>
      <c r="Y34" s="59">
        <v>45610</v>
      </c>
      <c r="Z34" s="39" t="s">
        <v>892</v>
      </c>
      <c r="AA34" s="59">
        <v>45292</v>
      </c>
      <c r="AB34" s="59">
        <v>45657</v>
      </c>
      <c r="AC34" s="38" t="s">
        <v>3113</v>
      </c>
      <c r="AD34" s="53" t="s">
        <v>6434</v>
      </c>
      <c r="AE34" s="38" t="s">
        <v>6435</v>
      </c>
      <c r="AF34" s="256">
        <v>45593</v>
      </c>
      <c r="AG34" s="270"/>
      <c r="AH34" s="163" t="s">
        <v>1388</v>
      </c>
      <c r="AI34" s="39">
        <v>15401</v>
      </c>
      <c r="AJ34" s="202"/>
      <c r="AK34" s="39" t="s">
        <v>2728</v>
      </c>
      <c r="AL34" s="39"/>
      <c r="AM34" s="39"/>
      <c r="AN34" s="39"/>
      <c r="AO34" s="202"/>
      <c r="AP34" s="38" t="e">
        <f>VLOOKUP(I34,'[4] RFC'!A:B,2,0)</f>
        <v>#N/A</v>
      </c>
      <c r="AQ34" s="59">
        <v>45593</v>
      </c>
      <c r="AR34" s="59">
        <v>45608</v>
      </c>
      <c r="AS34" s="59">
        <v>45611</v>
      </c>
      <c r="AT34" s="59">
        <v>45615</v>
      </c>
      <c r="AU34" s="183">
        <v>45629</v>
      </c>
      <c r="AV34" s="195">
        <v>45610</v>
      </c>
      <c r="AW34" s="185">
        <v>45621</v>
      </c>
    </row>
    <row r="35" spans="1:49" s="916" customFormat="1" ht="70.5" hidden="1" customHeight="1" x14ac:dyDescent="0.25">
      <c r="A35" s="248" t="s">
        <v>6436</v>
      </c>
      <c r="B35" s="259">
        <v>2</v>
      </c>
      <c r="C35" s="167" t="s">
        <v>225</v>
      </c>
      <c r="D35" s="259" t="s">
        <v>151</v>
      </c>
      <c r="E35" s="287" t="s">
        <v>6437</v>
      </c>
      <c r="F35" s="287" t="s">
        <v>151</v>
      </c>
      <c r="G35" s="685"/>
      <c r="H35" s="8" t="s">
        <v>3793</v>
      </c>
      <c r="I35" s="81" t="s">
        <v>719</v>
      </c>
      <c r="J35" s="41"/>
      <c r="K35" s="41"/>
      <c r="L35" s="41"/>
      <c r="M35" s="1046" t="str">
        <f t="shared" si="2"/>
        <v xml:space="preserve">Sí Vale México, S.A. de C.V.  </v>
      </c>
      <c r="N35" s="991" t="s">
        <v>198</v>
      </c>
      <c r="O35" s="991" t="s">
        <v>198</v>
      </c>
      <c r="P35" s="991" t="s">
        <v>6438</v>
      </c>
      <c r="Q35" s="1040" t="s">
        <v>6439</v>
      </c>
      <c r="R35" s="1047">
        <v>1067340</v>
      </c>
      <c r="S35" s="314">
        <v>0</v>
      </c>
      <c r="T35" s="1054">
        <f t="shared" si="3"/>
        <v>1067340</v>
      </c>
      <c r="U35" s="1047">
        <v>426936</v>
      </c>
      <c r="V35" s="314">
        <f>(U35*0.16)+(U35)</f>
        <v>495245.76</v>
      </c>
      <c r="W35" s="1041">
        <f t="shared" si="4"/>
        <v>1067340</v>
      </c>
      <c r="X35" s="993" t="s">
        <v>156</v>
      </c>
      <c r="Y35" s="59">
        <v>45293</v>
      </c>
      <c r="Z35" s="39" t="s">
        <v>157</v>
      </c>
      <c r="AA35" s="59">
        <v>45292</v>
      </c>
      <c r="AB35" s="59">
        <v>45657</v>
      </c>
      <c r="AC35" s="38" t="s">
        <v>3113</v>
      </c>
      <c r="AD35" s="53" t="s">
        <v>6440</v>
      </c>
      <c r="AE35" s="38"/>
      <c r="AF35" s="256"/>
      <c r="AG35" s="270">
        <v>0</v>
      </c>
      <c r="AH35" s="163" t="str">
        <f t="shared" ca="1" si="5"/>
        <v>MUERTO</v>
      </c>
      <c r="AI35" s="39">
        <v>26103</v>
      </c>
      <c r="AJ35" s="202"/>
      <c r="AK35" s="39" t="s">
        <v>6431</v>
      </c>
      <c r="AL35" s="39"/>
      <c r="AM35" s="39" t="s">
        <v>6431</v>
      </c>
      <c r="AN35" s="39"/>
      <c r="AO35" s="202"/>
      <c r="AP35" s="38" t="e">
        <f>VLOOKUP(I35,'[4] RFC'!A:B,2,0)</f>
        <v>#N/A</v>
      </c>
      <c r="AQ35" s="59">
        <v>45225</v>
      </c>
      <c r="AR35" s="59">
        <v>45236</v>
      </c>
      <c r="AS35" s="59">
        <v>45259</v>
      </c>
      <c r="AT35" s="59">
        <f t="shared" si="6"/>
        <v>45293</v>
      </c>
      <c r="AU35" s="183">
        <v>45315</v>
      </c>
      <c r="AV35" s="195">
        <v>45295</v>
      </c>
      <c r="AW35" s="185">
        <v>45265</v>
      </c>
    </row>
    <row r="36" spans="1:49" s="916" customFormat="1" ht="45" hidden="1" x14ac:dyDescent="0.25">
      <c r="A36" s="248" t="s">
        <v>6441</v>
      </c>
      <c r="B36" s="259">
        <v>3</v>
      </c>
      <c r="C36" s="167" t="s">
        <v>225</v>
      </c>
      <c r="D36" s="259" t="s">
        <v>151</v>
      </c>
      <c r="E36" s="287" t="s">
        <v>6442</v>
      </c>
      <c r="F36" s="287" t="str">
        <f t="shared" ref="F36:F105" si="7">D36</f>
        <v>Invitación</v>
      </c>
      <c r="G36" s="685"/>
      <c r="H36" s="8" t="s">
        <v>3793</v>
      </c>
      <c r="I36" s="81"/>
      <c r="J36" s="1055" t="s">
        <v>6443</v>
      </c>
      <c r="K36" s="1055" t="s">
        <v>6444</v>
      </c>
      <c r="L36" s="1055" t="s">
        <v>6445</v>
      </c>
      <c r="M36" s="1055" t="str">
        <f t="shared" si="2"/>
        <v>Roberto Carlos  Blanco  Sentíes</v>
      </c>
      <c r="N36" s="991" t="s">
        <v>656</v>
      </c>
      <c r="O36" s="991" t="s">
        <v>6446</v>
      </c>
      <c r="P36" s="991" t="s">
        <v>6447</v>
      </c>
      <c r="Q36" s="1040" t="s">
        <v>6448</v>
      </c>
      <c r="R36" s="1047">
        <v>862068.97</v>
      </c>
      <c r="S36" s="270">
        <f t="shared" ref="S36:S110" si="8">R36*0.16</f>
        <v>137931.03519999998</v>
      </c>
      <c r="T36" s="1048">
        <f t="shared" si="3"/>
        <v>1000000.0052</v>
      </c>
      <c r="U36" s="1047">
        <v>200000</v>
      </c>
      <c r="V36" s="270">
        <f>(U36*0.16)+(U36)</f>
        <v>232000</v>
      </c>
      <c r="W36" s="1041">
        <f t="shared" si="4"/>
        <v>1000000.0052</v>
      </c>
      <c r="X36" s="993" t="s">
        <v>156</v>
      </c>
      <c r="Y36" s="59">
        <v>45293</v>
      </c>
      <c r="Z36" s="39" t="s">
        <v>157</v>
      </c>
      <c r="AA36" s="59">
        <v>45292</v>
      </c>
      <c r="AB36" s="59">
        <v>45657</v>
      </c>
      <c r="AC36" s="38" t="s">
        <v>3113</v>
      </c>
      <c r="AD36" s="53"/>
      <c r="AE36" s="38"/>
      <c r="AF36" s="256"/>
      <c r="AG36" s="270">
        <v>0</v>
      </c>
      <c r="AH36" s="163" t="str">
        <f t="shared" ca="1" si="5"/>
        <v>MUERTO</v>
      </c>
      <c r="AI36" s="39">
        <v>32701</v>
      </c>
      <c r="AJ36" s="39"/>
      <c r="AK36" s="39" t="s">
        <v>6431</v>
      </c>
      <c r="AL36" s="39"/>
      <c r="AM36" s="39" t="s">
        <v>6431</v>
      </c>
      <c r="AN36" s="39"/>
      <c r="AO36" s="39"/>
      <c r="AP36" s="38" t="e">
        <f>VLOOKUP(I36,'[4] RFC'!A:B,2,0)</f>
        <v>#N/A</v>
      </c>
      <c r="AQ36" s="59">
        <v>45257</v>
      </c>
      <c r="AR36" s="59">
        <v>45231</v>
      </c>
      <c r="AS36" s="59">
        <v>45267</v>
      </c>
      <c r="AT36" s="59">
        <f t="shared" si="6"/>
        <v>45293</v>
      </c>
      <c r="AU36" s="183">
        <v>45315</v>
      </c>
      <c r="AV36" s="195">
        <v>45300</v>
      </c>
      <c r="AW36" s="185">
        <v>44930</v>
      </c>
    </row>
    <row r="37" spans="1:49" s="916" customFormat="1" ht="75" hidden="1" x14ac:dyDescent="0.25">
      <c r="A37" s="196" t="s">
        <v>6449</v>
      </c>
      <c r="B37" s="259">
        <v>3</v>
      </c>
      <c r="C37" s="167" t="s">
        <v>225</v>
      </c>
      <c r="D37" s="259" t="s">
        <v>6303</v>
      </c>
      <c r="E37" s="287" t="s">
        <v>6450</v>
      </c>
      <c r="F37" s="287" t="s">
        <v>151</v>
      </c>
      <c r="G37" s="685"/>
      <c r="H37" s="8" t="s">
        <v>3793</v>
      </c>
      <c r="I37" s="81"/>
      <c r="J37" s="1055" t="s">
        <v>6443</v>
      </c>
      <c r="K37" s="1055" t="s">
        <v>6444</v>
      </c>
      <c r="L37" s="1055" t="s">
        <v>6445</v>
      </c>
      <c r="M37" s="1055" t="str">
        <f t="shared" si="2"/>
        <v>Roberto Carlos  Blanco  Sentíes</v>
      </c>
      <c r="N37" s="991" t="s">
        <v>656</v>
      </c>
      <c r="O37" s="991" t="s">
        <v>6446</v>
      </c>
      <c r="P37" s="991" t="s">
        <v>6447</v>
      </c>
      <c r="Q37" s="1040" t="s">
        <v>6448</v>
      </c>
      <c r="R37" s="1047">
        <v>862068.97</v>
      </c>
      <c r="S37" s="270">
        <f t="shared" si="8"/>
        <v>137931.03519999998</v>
      </c>
      <c r="T37" s="1048">
        <f t="shared" si="3"/>
        <v>1000000.0052</v>
      </c>
      <c r="U37" s="1047">
        <v>200000</v>
      </c>
      <c r="V37" s="270">
        <f>(U37*0.16)+(U37)</f>
        <v>232000</v>
      </c>
      <c r="W37" s="1041">
        <f t="shared" si="4"/>
        <v>1000000.0052</v>
      </c>
      <c r="X37" s="993" t="s">
        <v>156</v>
      </c>
      <c r="Y37" s="59">
        <v>45594</v>
      </c>
      <c r="Z37" s="39" t="s">
        <v>881</v>
      </c>
      <c r="AA37" s="59">
        <v>45292</v>
      </c>
      <c r="AB37" s="59">
        <v>45657</v>
      </c>
      <c r="AC37" s="38" t="s">
        <v>3113</v>
      </c>
      <c r="AD37" s="53" t="s">
        <v>6353</v>
      </c>
      <c r="AE37" s="38"/>
      <c r="AF37" s="256"/>
      <c r="AG37" s="270"/>
      <c r="AH37" s="163" t="str">
        <f t="shared" ca="1" si="5"/>
        <v>MUERTO</v>
      </c>
      <c r="AI37" s="39">
        <v>32701</v>
      </c>
      <c r="AJ37" s="39"/>
      <c r="AK37" s="39" t="s">
        <v>2728</v>
      </c>
      <c r="AL37" s="39"/>
      <c r="AM37" s="39" t="s">
        <v>2728</v>
      </c>
      <c r="AN37" s="39"/>
      <c r="AO37" s="39"/>
      <c r="AP37" s="38" t="e">
        <f>VLOOKUP(I37,'[4] RFC'!A:B,2,0)</f>
        <v>#N/A</v>
      </c>
      <c r="AQ37" s="59">
        <v>45575</v>
      </c>
      <c r="AR37" s="59"/>
      <c r="AS37" s="59">
        <v>45596</v>
      </c>
      <c r="AT37" s="59">
        <v>45600</v>
      </c>
      <c r="AU37" s="183">
        <v>45621</v>
      </c>
      <c r="AV37" s="195">
        <v>45594</v>
      </c>
      <c r="AW37" s="185">
        <v>45601</v>
      </c>
    </row>
    <row r="38" spans="1:49" s="289" customFormat="1" ht="45" hidden="1" x14ac:dyDescent="0.25">
      <c r="A38" s="248" t="s">
        <v>6451</v>
      </c>
      <c r="B38" s="259">
        <v>4</v>
      </c>
      <c r="C38" s="167" t="s">
        <v>225</v>
      </c>
      <c r="D38" s="259" t="s">
        <v>151</v>
      </c>
      <c r="E38" s="287" t="s">
        <v>6452</v>
      </c>
      <c r="F38" s="287" t="str">
        <f t="shared" si="7"/>
        <v>Invitación</v>
      </c>
      <c r="G38" s="685"/>
      <c r="H38" s="8" t="s">
        <v>6453</v>
      </c>
      <c r="I38" s="81" t="s">
        <v>6454</v>
      </c>
      <c r="J38" s="41"/>
      <c r="K38" s="41"/>
      <c r="L38" s="41"/>
      <c r="M38" s="1046" t="str">
        <f t="shared" si="2"/>
        <v xml:space="preserve">AKEN &amp; CEO, S.A DE C.V  </v>
      </c>
      <c r="N38" s="991" t="s">
        <v>656</v>
      </c>
      <c r="O38" s="991" t="s">
        <v>6446</v>
      </c>
      <c r="P38" s="991" t="s">
        <v>6447</v>
      </c>
      <c r="Q38" s="1040" t="s">
        <v>6455</v>
      </c>
      <c r="R38" s="1047">
        <v>1293103.45</v>
      </c>
      <c r="S38" s="270">
        <f t="shared" si="8"/>
        <v>206896.552</v>
      </c>
      <c r="T38" s="1048">
        <f t="shared" si="3"/>
        <v>1500000.0019999999</v>
      </c>
      <c r="U38" s="1047">
        <v>420000</v>
      </c>
      <c r="V38" s="270">
        <f>(U38*0.16)+(U38)</f>
        <v>487200</v>
      </c>
      <c r="W38" s="1041">
        <f t="shared" si="4"/>
        <v>1500000.0019999999</v>
      </c>
      <c r="X38" s="993" t="s">
        <v>156</v>
      </c>
      <c r="Y38" s="59">
        <v>45293</v>
      </c>
      <c r="Z38" s="39" t="s">
        <v>157</v>
      </c>
      <c r="AA38" s="59">
        <v>45292</v>
      </c>
      <c r="AB38" s="59">
        <v>45657</v>
      </c>
      <c r="AC38" s="38" t="s">
        <v>3113</v>
      </c>
      <c r="AD38" s="53"/>
      <c r="AE38" s="38"/>
      <c r="AF38" s="256"/>
      <c r="AG38" s="270">
        <v>0</v>
      </c>
      <c r="AH38" s="163" t="str">
        <f t="shared" ca="1" si="5"/>
        <v>MUERTO</v>
      </c>
      <c r="AI38" s="39">
        <v>51501</v>
      </c>
      <c r="AJ38" s="39"/>
      <c r="AK38" s="39" t="s">
        <v>6431</v>
      </c>
      <c r="AL38" s="39"/>
      <c r="AM38" s="39" t="s">
        <v>6431</v>
      </c>
      <c r="AN38" s="39"/>
      <c r="AO38" s="39"/>
      <c r="AP38" s="38" t="e">
        <f>VLOOKUP(I38,'[4] RFC'!A:B,2,0)</f>
        <v>#N/A</v>
      </c>
      <c r="AQ38" s="59">
        <v>45258</v>
      </c>
      <c r="AR38" s="59">
        <v>45264</v>
      </c>
      <c r="AS38" s="59">
        <v>45268</v>
      </c>
      <c r="AT38" s="59">
        <f t="shared" si="6"/>
        <v>45293</v>
      </c>
      <c r="AU38" s="183">
        <v>45315</v>
      </c>
      <c r="AV38" s="195">
        <v>45295</v>
      </c>
      <c r="AW38" s="185">
        <v>45293</v>
      </c>
    </row>
    <row r="39" spans="1:49" s="289" customFormat="1" ht="45" hidden="1" x14ac:dyDescent="0.25">
      <c r="A39" s="196" t="s">
        <v>6456</v>
      </c>
      <c r="B39" s="259">
        <v>4</v>
      </c>
      <c r="C39" s="167" t="s">
        <v>225</v>
      </c>
      <c r="D39" s="259" t="s">
        <v>6303</v>
      </c>
      <c r="E39" s="287" t="s">
        <v>6457</v>
      </c>
      <c r="F39" s="287" t="s">
        <v>151</v>
      </c>
      <c r="G39" s="685"/>
      <c r="H39" s="8" t="s">
        <v>6453</v>
      </c>
      <c r="I39" s="81" t="s">
        <v>6458</v>
      </c>
      <c r="J39" s="41"/>
      <c r="K39" s="41"/>
      <c r="L39" s="41"/>
      <c r="M39" s="1046" t="str">
        <f t="shared" si="2"/>
        <v xml:space="preserve">AKEN &amp; CEO, S.A. DE C.V.  </v>
      </c>
      <c r="N39" s="991" t="s">
        <v>656</v>
      </c>
      <c r="O39" s="991" t="s">
        <v>6446</v>
      </c>
      <c r="P39" s="991" t="s">
        <v>6447</v>
      </c>
      <c r="Q39" s="1040" t="s">
        <v>6455</v>
      </c>
      <c r="R39" s="1047">
        <v>1293103.45</v>
      </c>
      <c r="S39" s="270">
        <f t="shared" si="8"/>
        <v>206896.552</v>
      </c>
      <c r="T39" s="1048">
        <f t="shared" si="3"/>
        <v>1500000.0019999999</v>
      </c>
      <c r="U39" s="1047">
        <v>420000</v>
      </c>
      <c r="V39" s="270">
        <f>(U39*0.16)+(U39)</f>
        <v>487200</v>
      </c>
      <c r="W39" s="1041">
        <f t="shared" si="4"/>
        <v>1500000.0019999999</v>
      </c>
      <c r="X39" s="993" t="s">
        <v>156</v>
      </c>
      <c r="Y39" s="59">
        <v>45596</v>
      </c>
      <c r="Z39" s="39" t="s">
        <v>881</v>
      </c>
      <c r="AA39" s="59">
        <v>45292</v>
      </c>
      <c r="AB39" s="59">
        <v>45657</v>
      </c>
      <c r="AC39" s="38" t="s">
        <v>3113</v>
      </c>
      <c r="AD39" s="53" t="s">
        <v>6459</v>
      </c>
      <c r="AE39" s="38"/>
      <c r="AF39" s="256"/>
      <c r="AG39" s="270"/>
      <c r="AH39" s="163" t="s">
        <v>1388</v>
      </c>
      <c r="AI39" s="39">
        <v>51501</v>
      </c>
      <c r="AJ39" s="39"/>
      <c r="AK39" s="39" t="s">
        <v>2728</v>
      </c>
      <c r="AL39" s="39"/>
      <c r="AM39" s="39" t="s">
        <v>2728</v>
      </c>
      <c r="AN39" s="39"/>
      <c r="AO39" s="39"/>
      <c r="AP39" s="38" t="e">
        <f>VLOOKUP(I39,'[4] RFC'!A:B,2,0)</f>
        <v>#N/A</v>
      </c>
      <c r="AQ39" s="59">
        <v>45593</v>
      </c>
      <c r="AR39" s="59">
        <v>45593</v>
      </c>
      <c r="AS39" s="59">
        <v>45601</v>
      </c>
      <c r="AT39" s="59">
        <f t="shared" si="6"/>
        <v>45596</v>
      </c>
      <c r="AU39" s="183">
        <v>45628</v>
      </c>
      <c r="AV39" s="195">
        <v>45596</v>
      </c>
      <c r="AW39" s="185">
        <v>45603</v>
      </c>
    </row>
    <row r="40" spans="1:49" s="289" customFormat="1" ht="45" hidden="1" x14ac:dyDescent="0.25">
      <c r="A40" s="248" t="s">
        <v>6460</v>
      </c>
      <c r="B40" s="259">
        <v>5</v>
      </c>
      <c r="C40" s="167" t="s">
        <v>225</v>
      </c>
      <c r="D40" s="259" t="s">
        <v>173</v>
      </c>
      <c r="E40" s="287" t="s">
        <v>6461</v>
      </c>
      <c r="F40" s="287" t="str">
        <f t="shared" si="7"/>
        <v>Licitación Pública</v>
      </c>
      <c r="G40" s="685"/>
      <c r="H40" s="8" t="s">
        <v>6462</v>
      </c>
      <c r="I40" s="81" t="s">
        <v>6463</v>
      </c>
      <c r="J40" s="41"/>
      <c r="K40" s="41"/>
      <c r="L40" s="41"/>
      <c r="M40" s="1046" t="str">
        <f t="shared" si="2"/>
        <v xml:space="preserve">Cadgrafics, S.A de C.V  </v>
      </c>
      <c r="N40" s="991" t="s">
        <v>656</v>
      </c>
      <c r="O40" s="991" t="s">
        <v>6446</v>
      </c>
      <c r="P40" s="991" t="s">
        <v>6447</v>
      </c>
      <c r="Q40" s="1040" t="s">
        <v>6464</v>
      </c>
      <c r="R40" s="1047">
        <v>2205025</v>
      </c>
      <c r="S40" s="270">
        <f t="shared" si="8"/>
        <v>352804</v>
      </c>
      <c r="T40" s="1048">
        <f t="shared" si="3"/>
        <v>2557829</v>
      </c>
      <c r="U40" s="1047" t="s">
        <v>161</v>
      </c>
      <c r="V40" s="270" t="s">
        <v>161</v>
      </c>
      <c r="W40" s="1041">
        <f t="shared" si="4"/>
        <v>2557829</v>
      </c>
      <c r="X40" s="993" t="s">
        <v>156</v>
      </c>
      <c r="Y40" s="59">
        <v>45293</v>
      </c>
      <c r="Z40" s="39" t="s">
        <v>157</v>
      </c>
      <c r="AA40" s="59">
        <v>45292</v>
      </c>
      <c r="AB40" s="59">
        <v>45657</v>
      </c>
      <c r="AC40" s="38" t="s">
        <v>3113</v>
      </c>
      <c r="AD40" s="53"/>
      <c r="AE40" s="38"/>
      <c r="AF40" s="256"/>
      <c r="AG40" s="270">
        <v>0</v>
      </c>
      <c r="AH40" s="163" t="str">
        <f t="shared" ca="1" si="5"/>
        <v>MUERTO</v>
      </c>
      <c r="AI40" s="39">
        <v>32701</v>
      </c>
      <c r="AJ40" s="39"/>
      <c r="AK40" s="39" t="s">
        <v>6431</v>
      </c>
      <c r="AL40" s="39"/>
      <c r="AM40" s="39" t="s">
        <v>6431</v>
      </c>
      <c r="AN40" s="39"/>
      <c r="AO40" s="39"/>
      <c r="AP40" s="38" t="e">
        <f>VLOOKUP(I40,'[4] RFC'!A:B,2,0)</f>
        <v>#N/A</v>
      </c>
      <c r="AQ40" s="59">
        <v>45264</v>
      </c>
      <c r="AR40" s="59">
        <v>45266</v>
      </c>
      <c r="AS40" s="59">
        <v>45273</v>
      </c>
      <c r="AT40" s="59">
        <f t="shared" si="6"/>
        <v>45293</v>
      </c>
      <c r="AU40" s="183">
        <v>45321</v>
      </c>
      <c r="AV40" s="195">
        <v>45302</v>
      </c>
      <c r="AW40" s="185">
        <v>45300</v>
      </c>
    </row>
    <row r="41" spans="1:49" s="289" customFormat="1" ht="45" hidden="1" x14ac:dyDescent="0.25">
      <c r="A41" s="196" t="s">
        <v>6465</v>
      </c>
      <c r="B41" s="259">
        <v>5</v>
      </c>
      <c r="C41" s="167" t="s">
        <v>225</v>
      </c>
      <c r="D41" s="259" t="s">
        <v>173</v>
      </c>
      <c r="E41" s="287" t="s">
        <v>6466</v>
      </c>
      <c r="F41" s="287" t="str">
        <f t="shared" si="7"/>
        <v>Licitación Pública</v>
      </c>
      <c r="G41" s="685"/>
      <c r="H41" s="8" t="s">
        <v>6462</v>
      </c>
      <c r="I41" s="81" t="s">
        <v>6463</v>
      </c>
      <c r="J41" s="41"/>
      <c r="K41" s="41"/>
      <c r="L41" s="41"/>
      <c r="M41" s="1046" t="str">
        <f t="shared" si="2"/>
        <v xml:space="preserve">Cadgrafics, S.A de C.V  </v>
      </c>
      <c r="N41" s="991" t="s">
        <v>656</v>
      </c>
      <c r="O41" s="991" t="s">
        <v>6446</v>
      </c>
      <c r="P41" s="991" t="s">
        <v>6447</v>
      </c>
      <c r="Q41" s="1040" t="s">
        <v>6464</v>
      </c>
      <c r="R41" s="1047">
        <v>2205025</v>
      </c>
      <c r="S41" s="270">
        <f t="shared" si="8"/>
        <v>352804</v>
      </c>
      <c r="T41" s="1048">
        <f t="shared" si="3"/>
        <v>2557829</v>
      </c>
      <c r="U41" s="1047" t="s">
        <v>161</v>
      </c>
      <c r="V41" s="270" t="s">
        <v>161</v>
      </c>
      <c r="W41" s="1041">
        <f t="shared" si="4"/>
        <v>2557829</v>
      </c>
      <c r="X41" s="993" t="s">
        <v>156</v>
      </c>
      <c r="Y41" s="59">
        <v>45293</v>
      </c>
      <c r="Z41" s="39" t="s">
        <v>892</v>
      </c>
      <c r="AA41" s="59">
        <v>45292</v>
      </c>
      <c r="AB41" s="59">
        <v>45657</v>
      </c>
      <c r="AC41" s="38" t="s">
        <v>3113</v>
      </c>
      <c r="AD41" s="53" t="s">
        <v>6467</v>
      </c>
      <c r="AE41" s="38"/>
      <c r="AF41" s="256"/>
      <c r="AG41" s="270"/>
      <c r="AH41" s="163" t="s">
        <v>1388</v>
      </c>
      <c r="AI41" s="39">
        <v>32701</v>
      </c>
      <c r="AJ41" s="39"/>
      <c r="AK41" s="39" t="s">
        <v>2728</v>
      </c>
      <c r="AL41" s="39"/>
      <c r="AM41" s="39" t="s">
        <v>2728</v>
      </c>
      <c r="AN41" s="39"/>
      <c r="AO41" s="39"/>
      <c r="AP41" s="38" t="e">
        <f>VLOOKUP(I41,'[4] RFC'!A:B,2,0)</f>
        <v>#N/A</v>
      </c>
      <c r="AQ41" s="59" t="s">
        <v>6468</v>
      </c>
      <c r="AR41" s="59">
        <v>45589</v>
      </c>
      <c r="AS41" s="59">
        <v>45595</v>
      </c>
      <c r="AT41" s="59">
        <v>45595</v>
      </c>
      <c r="AU41" s="183">
        <v>45635</v>
      </c>
      <c r="AV41" s="195">
        <v>45593</v>
      </c>
      <c r="AW41" s="185">
        <v>45603</v>
      </c>
    </row>
    <row r="42" spans="1:49" s="305" customFormat="1" ht="75" hidden="1" x14ac:dyDescent="0.25">
      <c r="A42" s="248" t="s">
        <v>6469</v>
      </c>
      <c r="B42" s="259">
        <v>6</v>
      </c>
      <c r="C42" s="167" t="s">
        <v>225</v>
      </c>
      <c r="D42" s="259" t="s">
        <v>173</v>
      </c>
      <c r="E42" s="287" t="s">
        <v>6470</v>
      </c>
      <c r="F42" s="287" t="str">
        <f t="shared" si="7"/>
        <v>Licitación Pública</v>
      </c>
      <c r="G42" s="685"/>
      <c r="H42" s="8" t="s">
        <v>3785</v>
      </c>
      <c r="I42" s="81" t="s">
        <v>6471</v>
      </c>
      <c r="J42" s="41"/>
      <c r="K42" s="41"/>
      <c r="L42" s="41"/>
      <c r="M42" s="1046" t="str">
        <f t="shared" si="2"/>
        <v xml:space="preserve">Cocina y Aseo Institucional, S.A de C.V.  </v>
      </c>
      <c r="N42" s="300" t="s">
        <v>198</v>
      </c>
      <c r="O42" s="991" t="str">
        <f>+N42</f>
        <v>Dirección de Mantenimiento de Bienes Muebles e Inmuebles</v>
      </c>
      <c r="P42" s="991" t="s">
        <v>6472</v>
      </c>
      <c r="Q42" s="1040" t="s">
        <v>6473</v>
      </c>
      <c r="R42" s="1047">
        <v>4061961.21</v>
      </c>
      <c r="S42" s="270">
        <f t="shared" si="8"/>
        <v>649913.79359999998</v>
      </c>
      <c r="T42" s="1048">
        <f t="shared" si="3"/>
        <v>4711875.0035999995</v>
      </c>
      <c r="U42" s="1047">
        <v>1624784.48</v>
      </c>
      <c r="V42" s="270">
        <f t="shared" ref="V42:V52" si="9">(U42*0.16)+(U42)</f>
        <v>1884749.9968000001</v>
      </c>
      <c r="W42" s="1041">
        <f t="shared" si="4"/>
        <v>4711875.0035999995</v>
      </c>
      <c r="X42" s="993" t="s">
        <v>156</v>
      </c>
      <c r="Y42" s="59">
        <v>45343</v>
      </c>
      <c r="Z42" s="39" t="s">
        <v>193</v>
      </c>
      <c r="AA42" s="59">
        <v>45343</v>
      </c>
      <c r="AB42" s="59">
        <v>45657</v>
      </c>
      <c r="AC42" s="300" t="s">
        <v>3113</v>
      </c>
      <c r="AD42" s="53"/>
      <c r="AE42" s="38"/>
      <c r="AF42" s="256"/>
      <c r="AG42" s="270">
        <v>0</v>
      </c>
      <c r="AH42" s="163" t="str">
        <f t="shared" ca="1" si="5"/>
        <v>MUERTO</v>
      </c>
      <c r="AI42" s="39">
        <v>21601</v>
      </c>
      <c r="AJ42" s="39"/>
      <c r="AK42" s="39" t="s">
        <v>3316</v>
      </c>
      <c r="AL42" s="39"/>
      <c r="AM42" s="39" t="s">
        <v>3316</v>
      </c>
      <c r="AN42" s="39"/>
      <c r="AO42" s="39"/>
      <c r="AP42" s="38" t="e">
        <f>VLOOKUP(I42,'[4] RFC'!A:B,2,0)</f>
        <v>#N/A</v>
      </c>
      <c r="AQ42" s="59">
        <v>45338</v>
      </c>
      <c r="AR42" s="59">
        <v>45341</v>
      </c>
      <c r="AS42" s="59">
        <v>45343</v>
      </c>
      <c r="AT42" s="59">
        <f t="shared" si="6"/>
        <v>45343</v>
      </c>
      <c r="AU42" s="183">
        <v>45351</v>
      </c>
      <c r="AV42" s="195">
        <v>45345</v>
      </c>
      <c r="AW42" s="185">
        <v>45344</v>
      </c>
    </row>
    <row r="43" spans="1:49" s="305" customFormat="1" ht="30" hidden="1" x14ac:dyDescent="0.25">
      <c r="A43" s="196" t="s">
        <v>6474</v>
      </c>
      <c r="B43" s="259">
        <v>6</v>
      </c>
      <c r="C43" s="167" t="s">
        <v>6303</v>
      </c>
      <c r="D43" s="259" t="s">
        <v>173</v>
      </c>
      <c r="E43" s="287" t="s">
        <v>6475</v>
      </c>
      <c r="F43" s="287" t="s">
        <v>173</v>
      </c>
      <c r="G43" s="685"/>
      <c r="H43" s="8" t="s">
        <v>3785</v>
      </c>
      <c r="I43" s="81" t="s">
        <v>1347</v>
      </c>
      <c r="J43" s="41"/>
      <c r="K43" s="41"/>
      <c r="L43" s="41"/>
      <c r="M43" s="1046" t="str">
        <f t="shared" si="2"/>
        <v xml:space="preserve">Cocina y Aseo Institucional, S.A. de C.V.  </v>
      </c>
      <c r="N43" s="300" t="s">
        <v>198</v>
      </c>
      <c r="O43" s="991" t="str">
        <f>+N43</f>
        <v>Dirección de Mantenimiento de Bienes Muebles e Inmuebles</v>
      </c>
      <c r="P43" s="991" t="s">
        <v>199</v>
      </c>
      <c r="Q43" s="1040" t="s">
        <v>6476</v>
      </c>
      <c r="R43" s="1047">
        <v>4212823.28</v>
      </c>
      <c r="S43" s="270">
        <f t="shared" si="8"/>
        <v>674051.72480000008</v>
      </c>
      <c r="T43" s="1048">
        <f t="shared" si="3"/>
        <v>4886875.0048000002</v>
      </c>
      <c r="U43" s="1047">
        <v>1624784.48</v>
      </c>
      <c r="V43" s="270">
        <f t="shared" si="9"/>
        <v>1884749.9968000001</v>
      </c>
      <c r="W43" s="1041">
        <f t="shared" si="4"/>
        <v>4886875.0048000002</v>
      </c>
      <c r="X43" s="993" t="s">
        <v>156</v>
      </c>
      <c r="Y43" s="59">
        <v>45343</v>
      </c>
      <c r="Z43" s="39" t="s">
        <v>892</v>
      </c>
      <c r="AA43" s="59">
        <v>45343</v>
      </c>
      <c r="AB43" s="59">
        <v>45657</v>
      </c>
      <c r="AC43" s="300" t="s">
        <v>3113</v>
      </c>
      <c r="AD43" s="53"/>
      <c r="AE43" s="38"/>
      <c r="AF43" s="256"/>
      <c r="AG43" s="270"/>
      <c r="AH43" s="163" t="s">
        <v>1388</v>
      </c>
      <c r="AI43" s="39">
        <v>21601</v>
      </c>
      <c r="AJ43" s="39"/>
      <c r="AK43" s="39" t="s">
        <v>2728</v>
      </c>
      <c r="AL43" s="39"/>
      <c r="AM43" s="39" t="s">
        <v>4298</v>
      </c>
      <c r="AN43" s="39"/>
      <c r="AO43" s="39"/>
      <c r="AP43" s="38" t="e">
        <f>VLOOKUP(I43,'[4] RFC'!A:B,2,0)</f>
        <v>#N/A</v>
      </c>
      <c r="AQ43" s="59">
        <v>45582</v>
      </c>
      <c r="AR43" s="59">
        <v>45582</v>
      </c>
      <c r="AS43" s="59">
        <v>45596</v>
      </c>
      <c r="AT43" s="59"/>
      <c r="AU43" s="183">
        <v>45624</v>
      </c>
      <c r="AV43" s="195">
        <v>45593</v>
      </c>
      <c r="AW43" s="185">
        <v>45596</v>
      </c>
    </row>
    <row r="44" spans="1:49" s="289" customFormat="1" ht="45" hidden="1" x14ac:dyDescent="0.25">
      <c r="A44" s="248" t="s">
        <v>6477</v>
      </c>
      <c r="B44" s="259">
        <v>7</v>
      </c>
      <c r="C44" s="167" t="s">
        <v>225</v>
      </c>
      <c r="D44" s="259" t="s">
        <v>173</v>
      </c>
      <c r="E44" s="287" t="s">
        <v>6478</v>
      </c>
      <c r="F44" s="287" t="str">
        <f t="shared" si="7"/>
        <v>Licitación Pública</v>
      </c>
      <c r="G44" s="685"/>
      <c r="H44" s="8" t="s">
        <v>3785</v>
      </c>
      <c r="I44" s="81" t="s">
        <v>6479</v>
      </c>
      <c r="J44" s="41"/>
      <c r="K44" s="41"/>
      <c r="L44" s="41"/>
      <c r="M44" s="1046" t="str">
        <f t="shared" si="2"/>
        <v xml:space="preserve">Ola Media, S,A de C.V.  </v>
      </c>
      <c r="N44" s="991" t="s">
        <v>270</v>
      </c>
      <c r="O44" s="991" t="s">
        <v>270</v>
      </c>
      <c r="P44" s="991" t="s">
        <v>271</v>
      </c>
      <c r="Q44" s="1040" t="s">
        <v>6480</v>
      </c>
      <c r="R44" s="1047">
        <v>169485.75</v>
      </c>
      <c r="S44" s="270">
        <f t="shared" si="8"/>
        <v>27117.72</v>
      </c>
      <c r="T44" s="1048">
        <f t="shared" si="3"/>
        <v>196603.47</v>
      </c>
      <c r="U44" s="1047">
        <v>67794.3</v>
      </c>
      <c r="V44" s="270">
        <f t="shared" si="9"/>
        <v>78641.388000000006</v>
      </c>
      <c r="W44" s="1041">
        <f t="shared" si="4"/>
        <v>196603.47</v>
      </c>
      <c r="X44" s="993" t="s">
        <v>156</v>
      </c>
      <c r="Y44" s="59">
        <v>45350</v>
      </c>
      <c r="Z44" s="39" t="s">
        <v>193</v>
      </c>
      <c r="AA44" s="59">
        <v>45350</v>
      </c>
      <c r="AB44" s="59">
        <v>45657</v>
      </c>
      <c r="AC44" s="38" t="s">
        <v>3113</v>
      </c>
      <c r="AD44" s="53"/>
      <c r="AE44" s="38"/>
      <c r="AF44" s="256"/>
      <c r="AG44" s="270">
        <v>0</v>
      </c>
      <c r="AH44" s="163" t="str">
        <f t="shared" ca="1" si="5"/>
        <v>MUERTO</v>
      </c>
      <c r="AI44" s="39" t="s">
        <v>6481</v>
      </c>
      <c r="AJ44" s="39"/>
      <c r="AK44" s="39" t="s">
        <v>3316</v>
      </c>
      <c r="AL44" s="39"/>
      <c r="AM44" s="39" t="s">
        <v>3316</v>
      </c>
      <c r="AN44" s="39"/>
      <c r="AO44" s="39"/>
      <c r="AP44" s="38" t="e">
        <f>VLOOKUP(I44,'[4] RFC'!A:B,2,0)</f>
        <v>#N/A</v>
      </c>
      <c r="AQ44" s="59">
        <v>45345</v>
      </c>
      <c r="AR44" s="59">
        <v>45349</v>
      </c>
      <c r="AS44" s="59">
        <v>45349</v>
      </c>
      <c r="AT44" s="59">
        <f t="shared" si="6"/>
        <v>45350</v>
      </c>
      <c r="AU44" s="183">
        <v>45362</v>
      </c>
      <c r="AV44" s="195">
        <v>45328</v>
      </c>
      <c r="AW44" s="185">
        <v>45355</v>
      </c>
    </row>
    <row r="45" spans="1:49" s="289" customFormat="1" ht="45" hidden="1" x14ac:dyDescent="0.25">
      <c r="A45" s="248" t="s">
        <v>6482</v>
      </c>
      <c r="B45" s="259">
        <v>8</v>
      </c>
      <c r="C45" s="167" t="s">
        <v>225</v>
      </c>
      <c r="D45" s="259" t="s">
        <v>173</v>
      </c>
      <c r="E45" s="287" t="s">
        <v>6478</v>
      </c>
      <c r="F45" s="287" t="str">
        <f t="shared" si="7"/>
        <v>Licitación Pública</v>
      </c>
      <c r="G45" s="685"/>
      <c r="H45" s="8" t="s">
        <v>3785</v>
      </c>
      <c r="I45" s="81" t="s">
        <v>6483</v>
      </c>
      <c r="J45" s="41"/>
      <c r="K45" s="41"/>
      <c r="L45" s="41"/>
      <c r="M45" s="1046" t="str">
        <f t="shared" si="2"/>
        <v xml:space="preserve">Equipos Carlin De Morelos S.A. de C.V.  </v>
      </c>
      <c r="N45" s="991" t="s">
        <v>270</v>
      </c>
      <c r="O45" s="991" t="s">
        <v>270</v>
      </c>
      <c r="P45" s="991" t="s">
        <v>271</v>
      </c>
      <c r="Q45" s="1040" t="s">
        <v>6484</v>
      </c>
      <c r="R45" s="1047">
        <v>1816467.35</v>
      </c>
      <c r="S45" s="270">
        <f t="shared" si="8"/>
        <v>290634.77600000001</v>
      </c>
      <c r="T45" s="1048">
        <f t="shared" si="3"/>
        <v>2107102.1260000002</v>
      </c>
      <c r="U45" s="1047">
        <v>726586.95</v>
      </c>
      <c r="V45" s="270">
        <f t="shared" si="9"/>
        <v>842840.86199999996</v>
      </c>
      <c r="W45" s="1041">
        <f t="shared" si="4"/>
        <v>2107102.1260000002</v>
      </c>
      <c r="X45" s="993" t="s">
        <v>156</v>
      </c>
      <c r="Y45" s="59">
        <v>45350</v>
      </c>
      <c r="Z45" s="39" t="s">
        <v>193</v>
      </c>
      <c r="AA45" s="59">
        <v>45350</v>
      </c>
      <c r="AB45" s="59">
        <v>45657</v>
      </c>
      <c r="AC45" s="38" t="s">
        <v>3113</v>
      </c>
      <c r="AD45" s="53"/>
      <c r="AE45" s="38"/>
      <c r="AF45" s="256"/>
      <c r="AG45" s="270">
        <v>0</v>
      </c>
      <c r="AH45" s="163" t="str">
        <f t="shared" ca="1" si="5"/>
        <v>MUERTO</v>
      </c>
      <c r="AI45" s="39" t="s">
        <v>6481</v>
      </c>
      <c r="AJ45" s="39"/>
      <c r="AK45" s="39" t="s">
        <v>3316</v>
      </c>
      <c r="AL45" s="39"/>
      <c r="AM45" s="39" t="s">
        <v>3316</v>
      </c>
      <c r="AN45" s="39"/>
      <c r="AO45" s="39"/>
      <c r="AP45" s="38" t="e">
        <f>VLOOKUP(I45,'[4] RFC'!A:B,2,0)</f>
        <v>#N/A</v>
      </c>
      <c r="AQ45" s="59">
        <v>45345</v>
      </c>
      <c r="AR45" s="59">
        <v>45349</v>
      </c>
      <c r="AS45" s="59">
        <v>45350</v>
      </c>
      <c r="AT45" s="59">
        <f t="shared" si="6"/>
        <v>45350</v>
      </c>
      <c r="AU45" s="183">
        <v>45364</v>
      </c>
      <c r="AV45" s="195">
        <v>45328</v>
      </c>
      <c r="AW45" s="185">
        <v>45351</v>
      </c>
    </row>
    <row r="46" spans="1:49" s="289" customFormat="1" ht="45" hidden="1" x14ac:dyDescent="0.25">
      <c r="A46" s="248" t="s">
        <v>6485</v>
      </c>
      <c r="B46" s="259">
        <v>9</v>
      </c>
      <c r="C46" s="167" t="s">
        <v>225</v>
      </c>
      <c r="D46" s="259" t="s">
        <v>173</v>
      </c>
      <c r="E46" s="287" t="s">
        <v>6478</v>
      </c>
      <c r="F46" s="287" t="str">
        <f t="shared" si="7"/>
        <v>Licitación Pública</v>
      </c>
      <c r="G46" s="685"/>
      <c r="H46" s="8" t="s">
        <v>3785</v>
      </c>
      <c r="I46" s="81" t="s">
        <v>6486</v>
      </c>
      <c r="J46" s="41"/>
      <c r="K46" s="41"/>
      <c r="L46" s="41"/>
      <c r="M46" s="1046" t="str">
        <f t="shared" si="2"/>
        <v xml:space="preserve">Internacional Proveedora De Industrias, S.A. de C.V.  </v>
      </c>
      <c r="N46" s="991" t="s">
        <v>270</v>
      </c>
      <c r="O46" s="991" t="s">
        <v>270</v>
      </c>
      <c r="P46" s="991" t="s">
        <v>271</v>
      </c>
      <c r="Q46" s="1040" t="s">
        <v>6487</v>
      </c>
      <c r="R46" s="1047">
        <v>906598.43</v>
      </c>
      <c r="S46" s="270">
        <f t="shared" si="8"/>
        <v>145055.7488</v>
      </c>
      <c r="T46" s="1048">
        <f t="shared" si="3"/>
        <v>1051654.1788000001</v>
      </c>
      <c r="U46" s="1047">
        <v>362639.37</v>
      </c>
      <c r="V46" s="270">
        <f t="shared" si="9"/>
        <v>420661.6692</v>
      </c>
      <c r="W46" s="1041">
        <f t="shared" si="4"/>
        <v>1051654.1788000001</v>
      </c>
      <c r="X46" s="993" t="s">
        <v>156</v>
      </c>
      <c r="Y46" s="59">
        <v>45350</v>
      </c>
      <c r="Z46" s="39" t="s">
        <v>193</v>
      </c>
      <c r="AA46" s="59">
        <v>45350</v>
      </c>
      <c r="AB46" s="59">
        <v>45657</v>
      </c>
      <c r="AC46" s="38" t="s">
        <v>3113</v>
      </c>
      <c r="AD46" s="53"/>
      <c r="AE46" s="38"/>
      <c r="AF46" s="256"/>
      <c r="AG46" s="270">
        <v>0</v>
      </c>
      <c r="AH46" s="163" t="str">
        <f t="shared" ca="1" si="5"/>
        <v>MUERTO</v>
      </c>
      <c r="AI46" s="39" t="s">
        <v>6481</v>
      </c>
      <c r="AJ46" s="39"/>
      <c r="AK46" s="39" t="s">
        <v>3316</v>
      </c>
      <c r="AL46" s="39"/>
      <c r="AM46" s="39" t="s">
        <v>3316</v>
      </c>
      <c r="AN46" s="39"/>
      <c r="AO46" s="39"/>
      <c r="AP46" s="38" t="str">
        <f>VLOOKUP(I46,'[4] RFC'!A:B,2,0)</f>
        <v>IPI860721MN1</v>
      </c>
      <c r="AQ46" s="59">
        <v>45345</v>
      </c>
      <c r="AR46" s="59">
        <v>45349</v>
      </c>
      <c r="AS46" s="59">
        <v>45350</v>
      </c>
      <c r="AT46" s="59">
        <f t="shared" si="6"/>
        <v>45350</v>
      </c>
      <c r="AU46" s="183">
        <v>45366</v>
      </c>
      <c r="AV46" s="195">
        <v>45358</v>
      </c>
      <c r="AW46" s="185">
        <v>45326</v>
      </c>
    </row>
    <row r="47" spans="1:49" s="289" customFormat="1" ht="45" hidden="1" x14ac:dyDescent="0.25">
      <c r="A47" s="196" t="s">
        <v>6485</v>
      </c>
      <c r="B47" s="259">
        <v>9</v>
      </c>
      <c r="C47" s="167" t="s">
        <v>6303</v>
      </c>
      <c r="D47" s="259" t="s">
        <v>6303</v>
      </c>
      <c r="E47" s="695" t="s">
        <v>6488</v>
      </c>
      <c r="F47" s="287" t="str">
        <f t="shared" si="7"/>
        <v>Modificatorio</v>
      </c>
      <c r="G47" s="685"/>
      <c r="H47" s="8" t="s">
        <v>6308</v>
      </c>
      <c r="I47" s="81" t="s">
        <v>6486</v>
      </c>
      <c r="J47" s="41"/>
      <c r="K47" s="41"/>
      <c r="L47" s="41"/>
      <c r="M47" s="1046" t="str">
        <f t="shared" si="2"/>
        <v xml:space="preserve">Internacional Proveedora De Industrias, S.A. de C.V.  </v>
      </c>
      <c r="N47" s="991"/>
      <c r="O47" s="991"/>
      <c r="P47" s="991"/>
      <c r="Q47" s="1040" t="s">
        <v>6487</v>
      </c>
      <c r="R47" s="1047">
        <v>0</v>
      </c>
      <c r="S47" s="270">
        <f t="shared" si="8"/>
        <v>0</v>
      </c>
      <c r="T47" s="1048">
        <f t="shared" si="3"/>
        <v>0</v>
      </c>
      <c r="U47" s="1047"/>
      <c r="V47" s="270">
        <f t="shared" si="9"/>
        <v>0</v>
      </c>
      <c r="W47" s="1041">
        <f t="shared" si="4"/>
        <v>0</v>
      </c>
      <c r="X47" s="993" t="s">
        <v>156</v>
      </c>
      <c r="Y47" s="59">
        <v>45496</v>
      </c>
      <c r="Z47" s="985" t="s">
        <v>696</v>
      </c>
      <c r="AA47" s="59">
        <v>45350</v>
      </c>
      <c r="AB47" s="59">
        <v>45657</v>
      </c>
      <c r="AC47" s="38"/>
      <c r="AD47" s="53" t="s">
        <v>6489</v>
      </c>
      <c r="AE47" s="38"/>
      <c r="AF47" s="256"/>
      <c r="AG47" s="270">
        <v>0</v>
      </c>
      <c r="AH47" s="163" t="str">
        <f t="shared" ca="1" si="5"/>
        <v>MUERTO</v>
      </c>
      <c r="AI47" s="39"/>
      <c r="AJ47" s="39"/>
      <c r="AK47" s="39" t="s">
        <v>3813</v>
      </c>
      <c r="AL47" s="39"/>
      <c r="AM47" s="39"/>
      <c r="AN47" s="39"/>
      <c r="AO47" s="39"/>
      <c r="AP47" s="38" t="str">
        <f>VLOOKUP(I47,'[4] RFC'!A:B,2,0)</f>
        <v>IPI860721MN1</v>
      </c>
      <c r="AQ47" s="59">
        <v>45492</v>
      </c>
      <c r="AR47" s="59">
        <v>45495</v>
      </c>
      <c r="AS47" s="59">
        <v>45497</v>
      </c>
      <c r="AT47" s="1004">
        <f>+Y47</f>
        <v>45496</v>
      </c>
      <c r="AU47" s="183">
        <v>45520</v>
      </c>
      <c r="AV47" s="195">
        <v>45512</v>
      </c>
      <c r="AW47" s="185">
        <v>45502</v>
      </c>
    </row>
    <row r="48" spans="1:49" ht="45" hidden="1" x14ac:dyDescent="0.25">
      <c r="A48" s="248" t="s">
        <v>6490</v>
      </c>
      <c r="B48" s="259">
        <v>10</v>
      </c>
      <c r="C48" s="167" t="s">
        <v>225</v>
      </c>
      <c r="D48" s="259" t="s">
        <v>173</v>
      </c>
      <c r="E48" s="287" t="s">
        <v>6491</v>
      </c>
      <c r="F48" s="287" t="str">
        <f t="shared" si="7"/>
        <v>Licitación Pública</v>
      </c>
      <c r="G48" s="685"/>
      <c r="H48" s="8" t="s">
        <v>3785</v>
      </c>
      <c r="I48" s="81" t="s">
        <v>6492</v>
      </c>
      <c r="J48" s="41"/>
      <c r="K48" s="41"/>
      <c r="L48" s="41"/>
      <c r="M48" s="1046" t="str">
        <f t="shared" si="2"/>
        <v xml:space="preserve">Papelería Anzures, S.A. de C.V.  </v>
      </c>
      <c r="N48" s="991" t="s">
        <v>270</v>
      </c>
      <c r="O48" s="991" t="s">
        <v>270</v>
      </c>
      <c r="P48" s="991" t="s">
        <v>271</v>
      </c>
      <c r="Q48" s="1040" t="s">
        <v>6493</v>
      </c>
      <c r="R48" s="1047">
        <v>4663522.2</v>
      </c>
      <c r="S48" s="270">
        <f t="shared" si="8"/>
        <v>746163.55200000003</v>
      </c>
      <c r="T48" s="1048">
        <f t="shared" si="3"/>
        <v>5409685.7520000003</v>
      </c>
      <c r="U48" s="1047">
        <v>1865408.89</v>
      </c>
      <c r="V48" s="270">
        <f t="shared" si="9"/>
        <v>2163874.3123999997</v>
      </c>
      <c r="W48" s="1041">
        <f t="shared" si="4"/>
        <v>5409685.7520000003</v>
      </c>
      <c r="X48" s="993" t="s">
        <v>156</v>
      </c>
      <c r="Y48" s="59">
        <v>45355</v>
      </c>
      <c r="Z48" s="39" t="s">
        <v>234</v>
      </c>
      <c r="AA48" s="59">
        <v>45355</v>
      </c>
      <c r="AB48" s="59">
        <v>45657</v>
      </c>
      <c r="AC48" s="38" t="s">
        <v>3113</v>
      </c>
      <c r="AD48" s="53"/>
      <c r="AE48" s="38"/>
      <c r="AF48" s="256"/>
      <c r="AG48" s="270">
        <v>0</v>
      </c>
      <c r="AH48" s="163" t="str">
        <f t="shared" ca="1" si="5"/>
        <v>MUERTO</v>
      </c>
      <c r="AI48" s="39" t="s">
        <v>3391</v>
      </c>
      <c r="AJ48" s="39"/>
      <c r="AK48" s="39" t="s">
        <v>234</v>
      </c>
      <c r="AL48" s="39"/>
      <c r="AM48" s="39" t="s">
        <v>234</v>
      </c>
      <c r="AN48" s="39"/>
      <c r="AO48" s="39"/>
      <c r="AP48" s="38" t="s">
        <v>6494</v>
      </c>
      <c r="AQ48" s="59">
        <v>45351</v>
      </c>
      <c r="AR48" s="59">
        <v>45352</v>
      </c>
      <c r="AS48" s="59">
        <v>45355</v>
      </c>
      <c r="AT48" s="59">
        <f t="shared" si="6"/>
        <v>45355</v>
      </c>
      <c r="AU48" s="183">
        <v>45364</v>
      </c>
      <c r="AV48" s="195">
        <v>45362</v>
      </c>
      <c r="AW48" s="185">
        <v>45357</v>
      </c>
    </row>
    <row r="49" spans="1:49" ht="45" hidden="1" x14ac:dyDescent="0.25">
      <c r="A49" s="248" t="s">
        <v>6495</v>
      </c>
      <c r="B49" s="259">
        <v>11</v>
      </c>
      <c r="C49" s="167" t="s">
        <v>225</v>
      </c>
      <c r="D49" s="259" t="s">
        <v>173</v>
      </c>
      <c r="E49" s="287" t="s">
        <v>6491</v>
      </c>
      <c r="F49" s="287" t="str">
        <f t="shared" si="7"/>
        <v>Licitación Pública</v>
      </c>
      <c r="G49" s="685"/>
      <c r="H49" s="8" t="s">
        <v>3785</v>
      </c>
      <c r="I49" s="81" t="s">
        <v>3387</v>
      </c>
      <c r="J49" s="41"/>
      <c r="K49" s="41"/>
      <c r="L49" s="41"/>
      <c r="M49" s="1046" t="str">
        <f t="shared" si="2"/>
        <v xml:space="preserve">CICOVISA, S.A. de C.V.  </v>
      </c>
      <c r="N49" s="991" t="s">
        <v>270</v>
      </c>
      <c r="O49" s="991" t="s">
        <v>270</v>
      </c>
      <c r="P49" s="991" t="s">
        <v>271</v>
      </c>
      <c r="Q49" s="1040" t="s">
        <v>6496</v>
      </c>
      <c r="R49" s="1047">
        <v>2312379.48</v>
      </c>
      <c r="S49" s="270">
        <f t="shared" si="8"/>
        <v>369980.71679999999</v>
      </c>
      <c r="T49" s="1048">
        <f t="shared" si="3"/>
        <v>2682360.1968</v>
      </c>
      <c r="U49" s="1047">
        <v>924951.79</v>
      </c>
      <c r="V49" s="270">
        <f t="shared" si="9"/>
        <v>1072944.0764000001</v>
      </c>
      <c r="W49" s="1041">
        <f t="shared" si="4"/>
        <v>2682360.1968</v>
      </c>
      <c r="X49" s="993" t="s">
        <v>156</v>
      </c>
      <c r="Y49" s="59">
        <v>45355</v>
      </c>
      <c r="Z49" s="39" t="s">
        <v>234</v>
      </c>
      <c r="AA49" s="59">
        <v>45355</v>
      </c>
      <c r="AB49" s="59">
        <v>45657</v>
      </c>
      <c r="AC49" s="38" t="s">
        <v>3113</v>
      </c>
      <c r="AD49" s="53"/>
      <c r="AE49" s="38"/>
      <c r="AF49" s="256"/>
      <c r="AG49" s="270">
        <v>0</v>
      </c>
      <c r="AH49" s="163" t="str">
        <f t="shared" ca="1" si="5"/>
        <v>MUERTO</v>
      </c>
      <c r="AI49" s="39" t="s">
        <v>3391</v>
      </c>
      <c r="AJ49" s="39"/>
      <c r="AK49" s="39" t="s">
        <v>234</v>
      </c>
      <c r="AL49" s="39"/>
      <c r="AM49" s="39" t="s">
        <v>234</v>
      </c>
      <c r="AN49" s="39"/>
      <c r="AO49" s="39"/>
      <c r="AP49" s="38" t="str">
        <f>VLOOKUP(I49,'[4] RFC'!A:B,2,0)</f>
        <v>CIC8308165A4</v>
      </c>
      <c r="AQ49" s="59">
        <v>45351</v>
      </c>
      <c r="AR49" s="59">
        <v>45352</v>
      </c>
      <c r="AS49" s="59">
        <v>45355</v>
      </c>
      <c r="AT49" s="59">
        <f t="shared" si="6"/>
        <v>45355</v>
      </c>
      <c r="AU49" s="183">
        <v>45371</v>
      </c>
      <c r="AV49" s="195">
        <v>45366</v>
      </c>
      <c r="AW49" s="185">
        <v>45363</v>
      </c>
    </row>
    <row r="50" spans="1:49" ht="45" hidden="1" x14ac:dyDescent="0.25">
      <c r="A50" s="248" t="s">
        <v>6497</v>
      </c>
      <c r="B50" s="259">
        <v>12</v>
      </c>
      <c r="C50" s="167" t="s">
        <v>225</v>
      </c>
      <c r="D50" s="259" t="s">
        <v>173</v>
      </c>
      <c r="E50" s="287" t="s">
        <v>6491</v>
      </c>
      <c r="F50" s="287" t="str">
        <f t="shared" si="7"/>
        <v>Licitación Pública</v>
      </c>
      <c r="G50" s="685"/>
      <c r="H50" s="8" t="s">
        <v>3785</v>
      </c>
      <c r="I50" s="81" t="s">
        <v>6498</v>
      </c>
      <c r="J50" s="41"/>
      <c r="K50" s="41"/>
      <c r="L50" s="41"/>
      <c r="M50" s="1046" t="str">
        <f t="shared" si="2"/>
        <v xml:space="preserve">Abastecedor Corporativo, S.A. de C.V.  </v>
      </c>
      <c r="N50" s="991" t="s">
        <v>270</v>
      </c>
      <c r="O50" s="991" t="s">
        <v>270</v>
      </c>
      <c r="P50" s="991" t="s">
        <v>271</v>
      </c>
      <c r="Q50" s="1040" t="s">
        <v>6499</v>
      </c>
      <c r="R50" s="1047">
        <v>334044.65000000002</v>
      </c>
      <c r="S50" s="270">
        <f t="shared" si="8"/>
        <v>53447.144000000008</v>
      </c>
      <c r="T50" s="1048">
        <f t="shared" si="3"/>
        <v>387491.79400000005</v>
      </c>
      <c r="U50" s="1047">
        <v>133617.85999999999</v>
      </c>
      <c r="V50" s="270">
        <f t="shared" si="9"/>
        <v>154996.71759999997</v>
      </c>
      <c r="W50" s="1041">
        <f t="shared" si="4"/>
        <v>387491.79400000005</v>
      </c>
      <c r="X50" s="993" t="s">
        <v>156</v>
      </c>
      <c r="Y50" s="59">
        <v>45355</v>
      </c>
      <c r="Z50" s="39" t="s">
        <v>234</v>
      </c>
      <c r="AA50" s="59">
        <v>45355</v>
      </c>
      <c r="AB50" s="59">
        <v>45657</v>
      </c>
      <c r="AC50" s="38" t="s">
        <v>3113</v>
      </c>
      <c r="AD50" s="53"/>
      <c r="AE50" s="38"/>
      <c r="AF50" s="256"/>
      <c r="AG50" s="270">
        <v>0</v>
      </c>
      <c r="AH50" s="163" t="str">
        <f t="shared" ca="1" si="5"/>
        <v>MUERTO</v>
      </c>
      <c r="AI50" s="39" t="s">
        <v>3391</v>
      </c>
      <c r="AJ50" s="39"/>
      <c r="AK50" s="39" t="s">
        <v>234</v>
      </c>
      <c r="AL50" s="39"/>
      <c r="AM50" s="39" t="s">
        <v>234</v>
      </c>
      <c r="AN50" s="39"/>
      <c r="AO50" s="39"/>
      <c r="AP50" s="38" t="s">
        <v>6500</v>
      </c>
      <c r="AQ50" s="59">
        <v>45351</v>
      </c>
      <c r="AR50" s="59">
        <v>45352</v>
      </c>
      <c r="AS50" s="59">
        <v>45356</v>
      </c>
      <c r="AT50" s="59">
        <f t="shared" si="6"/>
        <v>45355</v>
      </c>
      <c r="AU50" s="183">
        <v>45372</v>
      </c>
      <c r="AV50" s="195">
        <v>45362</v>
      </c>
      <c r="AW50" s="185">
        <v>45357</v>
      </c>
    </row>
    <row r="51" spans="1:49" ht="45" hidden="1" x14ac:dyDescent="0.25">
      <c r="A51" s="248" t="s">
        <v>6501</v>
      </c>
      <c r="B51" s="259">
        <v>13</v>
      </c>
      <c r="C51" s="167" t="s">
        <v>225</v>
      </c>
      <c r="D51" s="259" t="s">
        <v>173</v>
      </c>
      <c r="E51" s="287" t="s">
        <v>6491</v>
      </c>
      <c r="F51" s="287" t="str">
        <f t="shared" si="7"/>
        <v>Licitación Pública</v>
      </c>
      <c r="G51" s="685"/>
      <c r="H51" s="8" t="s">
        <v>3785</v>
      </c>
      <c r="I51" s="81" t="s">
        <v>519</v>
      </c>
      <c r="J51" s="41"/>
      <c r="K51" s="41"/>
      <c r="L51" s="41"/>
      <c r="M51" s="1046" t="str">
        <f t="shared" si="2"/>
        <v xml:space="preserve">Cosmopapel, S.A. de C.V.  </v>
      </c>
      <c r="N51" s="991" t="s">
        <v>270</v>
      </c>
      <c r="O51" s="991" t="s">
        <v>270</v>
      </c>
      <c r="P51" s="991" t="s">
        <v>271</v>
      </c>
      <c r="Q51" s="1040" t="s">
        <v>6502</v>
      </c>
      <c r="R51" s="1047">
        <v>2386774.29</v>
      </c>
      <c r="S51" s="270">
        <f t="shared" si="8"/>
        <v>381883.88640000002</v>
      </c>
      <c r="T51" s="1048">
        <f t="shared" si="3"/>
        <v>2768658.1764000002</v>
      </c>
      <c r="U51" s="1047">
        <v>954709.72</v>
      </c>
      <c r="V51" s="270">
        <f t="shared" si="9"/>
        <v>1107463.2752</v>
      </c>
      <c r="W51" s="1041">
        <f t="shared" si="4"/>
        <v>2768658.1764000002</v>
      </c>
      <c r="X51" s="993" t="s">
        <v>156</v>
      </c>
      <c r="Y51" s="59">
        <v>45355</v>
      </c>
      <c r="Z51" s="39" t="s">
        <v>234</v>
      </c>
      <c r="AA51" s="59">
        <v>45355</v>
      </c>
      <c r="AB51" s="59">
        <v>45657</v>
      </c>
      <c r="AC51" s="38" t="s">
        <v>3113</v>
      </c>
      <c r="AD51" s="53"/>
      <c r="AE51" s="38"/>
      <c r="AF51" s="256"/>
      <c r="AG51" s="270">
        <v>0</v>
      </c>
      <c r="AH51" s="163" t="str">
        <f t="shared" ca="1" si="5"/>
        <v>MUERTO</v>
      </c>
      <c r="AI51" s="39" t="s">
        <v>3391</v>
      </c>
      <c r="AJ51" s="39"/>
      <c r="AK51" s="39" t="s">
        <v>234</v>
      </c>
      <c r="AL51" s="39"/>
      <c r="AM51" s="39" t="s">
        <v>234</v>
      </c>
      <c r="AN51" s="39"/>
      <c r="AO51" s="39"/>
      <c r="AP51" s="38" t="str">
        <f>VLOOKUP(I51,'[4] RFC'!A:B,2,0)</f>
        <v>COS060209D57</v>
      </c>
      <c r="AQ51" s="59">
        <v>45351</v>
      </c>
      <c r="AR51" s="59">
        <v>45352</v>
      </c>
      <c r="AS51" s="59">
        <v>45357</v>
      </c>
      <c r="AT51" s="59">
        <f t="shared" si="6"/>
        <v>45355</v>
      </c>
      <c r="AU51" s="183">
        <v>45365</v>
      </c>
      <c r="AV51" s="195">
        <v>45364</v>
      </c>
      <c r="AW51" s="185">
        <v>45358</v>
      </c>
    </row>
    <row r="52" spans="1:49" ht="45" hidden="1" x14ac:dyDescent="0.25">
      <c r="A52" s="248" t="s">
        <v>6503</v>
      </c>
      <c r="B52" s="259">
        <v>14</v>
      </c>
      <c r="C52" s="167" t="s">
        <v>225</v>
      </c>
      <c r="D52" s="259" t="s">
        <v>173</v>
      </c>
      <c r="E52" s="287" t="s">
        <v>6491</v>
      </c>
      <c r="F52" s="287" t="str">
        <f t="shared" si="7"/>
        <v>Licitación Pública</v>
      </c>
      <c r="G52" s="685"/>
      <c r="H52" s="8" t="s">
        <v>3785</v>
      </c>
      <c r="I52" s="81" t="s">
        <v>6504</v>
      </c>
      <c r="J52" s="41"/>
      <c r="K52" s="41"/>
      <c r="L52" s="41"/>
      <c r="M52" s="1046" t="str">
        <f t="shared" si="2"/>
        <v xml:space="preserve">Distribuidora y Fabricantes de Artículos Escolares y de Oficina, S.A. de C.V.  </v>
      </c>
      <c r="N52" s="991" t="s">
        <v>270</v>
      </c>
      <c r="O52" s="991" t="s">
        <v>270</v>
      </c>
      <c r="P52" s="991" t="s">
        <v>271</v>
      </c>
      <c r="Q52" s="1040" t="s">
        <v>6505</v>
      </c>
      <c r="R52" s="1047">
        <v>106748.07</v>
      </c>
      <c r="S52" s="270">
        <f t="shared" si="8"/>
        <v>17079.691200000001</v>
      </c>
      <c r="T52" s="1048">
        <f t="shared" si="3"/>
        <v>123827.76120000001</v>
      </c>
      <c r="U52" s="1047">
        <v>42699.23</v>
      </c>
      <c r="V52" s="270">
        <f t="shared" si="9"/>
        <v>49531.106800000001</v>
      </c>
      <c r="W52" s="1041">
        <f t="shared" si="4"/>
        <v>123827.76120000001</v>
      </c>
      <c r="X52" s="993" t="s">
        <v>156</v>
      </c>
      <c r="Y52" s="59">
        <v>45355</v>
      </c>
      <c r="Z52" s="39" t="s">
        <v>234</v>
      </c>
      <c r="AA52" s="59">
        <v>45355</v>
      </c>
      <c r="AB52" s="59">
        <v>45657</v>
      </c>
      <c r="AC52" s="38" t="s">
        <v>3113</v>
      </c>
      <c r="AD52" s="53"/>
      <c r="AE52" s="38"/>
      <c r="AF52" s="256"/>
      <c r="AG52" s="270">
        <v>0</v>
      </c>
      <c r="AH52" s="163" t="str">
        <f t="shared" ca="1" si="5"/>
        <v>MUERTO</v>
      </c>
      <c r="AI52" s="39" t="s">
        <v>3391</v>
      </c>
      <c r="AJ52" s="39"/>
      <c r="AK52" s="39" t="s">
        <v>234</v>
      </c>
      <c r="AL52" s="39"/>
      <c r="AM52" s="39" t="s">
        <v>234</v>
      </c>
      <c r="AN52" s="39"/>
      <c r="AO52" s="39"/>
      <c r="AP52" s="38" t="s">
        <v>6506</v>
      </c>
      <c r="AQ52" s="59">
        <v>45351</v>
      </c>
      <c r="AR52" s="59">
        <v>45352</v>
      </c>
      <c r="AS52" s="59">
        <v>45356</v>
      </c>
      <c r="AT52" s="59">
        <f t="shared" si="6"/>
        <v>45355</v>
      </c>
      <c r="AU52" s="183">
        <v>45365</v>
      </c>
      <c r="AV52" s="195">
        <v>45362</v>
      </c>
      <c r="AW52" s="185">
        <v>45357</v>
      </c>
    </row>
    <row r="53" spans="1:49" ht="45" hidden="1" x14ac:dyDescent="0.25">
      <c r="A53" s="248" t="s">
        <v>6507</v>
      </c>
      <c r="B53" s="259">
        <v>15</v>
      </c>
      <c r="C53" s="167" t="s">
        <v>225</v>
      </c>
      <c r="D53" s="259" t="s">
        <v>151</v>
      </c>
      <c r="E53" s="287" t="s">
        <v>6508</v>
      </c>
      <c r="F53" s="287" t="str">
        <f t="shared" si="7"/>
        <v>Invitación</v>
      </c>
      <c r="G53" s="685"/>
      <c r="H53" s="8" t="s">
        <v>6509</v>
      </c>
      <c r="I53" s="81" t="s">
        <v>5501</v>
      </c>
      <c r="J53" s="41"/>
      <c r="K53" s="41"/>
      <c r="L53" s="41"/>
      <c r="M53" s="1046" t="str">
        <f t="shared" si="2"/>
        <v xml:space="preserve">Comercializadora Electropura, S. de R.L. de C.V.  </v>
      </c>
      <c r="N53" s="300" t="s">
        <v>198</v>
      </c>
      <c r="O53" s="300" t="s">
        <v>198</v>
      </c>
      <c r="P53" s="300" t="s">
        <v>5502</v>
      </c>
      <c r="Q53" s="716" t="s">
        <v>6510</v>
      </c>
      <c r="R53" s="1047">
        <v>776250</v>
      </c>
      <c r="S53" s="270">
        <v>0</v>
      </c>
      <c r="T53" s="1048">
        <f>R53+S53</f>
        <v>776250</v>
      </c>
      <c r="U53" s="1047">
        <v>310500</v>
      </c>
      <c r="V53" s="270">
        <v>0</v>
      </c>
      <c r="W53" s="1041">
        <f t="shared" si="4"/>
        <v>776250</v>
      </c>
      <c r="X53" s="993" t="s">
        <v>156</v>
      </c>
      <c r="Y53" s="59">
        <v>45359</v>
      </c>
      <c r="Z53" s="39" t="s">
        <v>234</v>
      </c>
      <c r="AA53" s="59">
        <v>45360</v>
      </c>
      <c r="AB53" s="59">
        <v>45657</v>
      </c>
      <c r="AC53" s="300" t="s">
        <v>3113</v>
      </c>
      <c r="AD53" s="53"/>
      <c r="AE53" s="38"/>
      <c r="AF53" s="256"/>
      <c r="AG53" s="270">
        <v>0</v>
      </c>
      <c r="AH53" s="163" t="str">
        <f t="shared" ca="1" si="5"/>
        <v>MUERTO</v>
      </c>
      <c r="AI53" s="39"/>
      <c r="AJ53" s="39"/>
      <c r="AK53" s="39" t="s">
        <v>234</v>
      </c>
      <c r="AL53" s="39"/>
      <c r="AM53" s="39" t="s">
        <v>234</v>
      </c>
      <c r="AN53" s="39"/>
      <c r="AO53" s="39"/>
      <c r="AP53" s="38" t="e">
        <f>VLOOKUP(I53,'[4] RFC'!A:B,2,0)</f>
        <v>#N/A</v>
      </c>
      <c r="AQ53" s="59">
        <v>45324</v>
      </c>
      <c r="AR53" s="59">
        <v>45328</v>
      </c>
      <c r="AS53" s="59">
        <v>45358</v>
      </c>
      <c r="AT53" s="59">
        <f t="shared" si="6"/>
        <v>45359</v>
      </c>
      <c r="AU53" s="183">
        <v>45387</v>
      </c>
      <c r="AV53" s="195">
        <v>45364</v>
      </c>
      <c r="AW53" s="185">
        <v>45362</v>
      </c>
    </row>
    <row r="54" spans="1:49" ht="45" hidden="1" x14ac:dyDescent="0.25">
      <c r="A54" s="248" t="s">
        <v>6511</v>
      </c>
      <c r="B54" s="259">
        <v>16</v>
      </c>
      <c r="C54" s="167" t="s">
        <v>225</v>
      </c>
      <c r="D54" s="259" t="s">
        <v>173</v>
      </c>
      <c r="E54" s="287" t="s">
        <v>6512</v>
      </c>
      <c r="F54" s="287" t="str">
        <f t="shared" si="7"/>
        <v>Licitación Pública</v>
      </c>
      <c r="G54" s="685"/>
      <c r="H54" s="8" t="s">
        <v>3785</v>
      </c>
      <c r="I54" s="81" t="s">
        <v>6513</v>
      </c>
      <c r="J54" s="41"/>
      <c r="K54" s="41"/>
      <c r="L54" s="41"/>
      <c r="M54" s="1046" t="str">
        <f t="shared" si="2"/>
        <v xml:space="preserve">Café 1810, S.A de C.V.  </v>
      </c>
      <c r="N54" s="991" t="s">
        <v>270</v>
      </c>
      <c r="O54" s="991" t="s">
        <v>270</v>
      </c>
      <c r="P54" s="991" t="s">
        <v>271</v>
      </c>
      <c r="Q54" s="1040" t="s">
        <v>6514</v>
      </c>
      <c r="R54" s="1047">
        <v>4074805.11</v>
      </c>
      <c r="S54" s="270">
        <v>257570.9</v>
      </c>
      <c r="T54" s="1048">
        <f>+R54+S54</f>
        <v>4332376.01</v>
      </c>
      <c r="U54" s="1047">
        <v>1629922.04</v>
      </c>
      <c r="V54" s="270">
        <v>1732950.4</v>
      </c>
      <c r="W54" s="1041">
        <f t="shared" si="4"/>
        <v>4332376.01</v>
      </c>
      <c r="X54" s="993" t="s">
        <v>156</v>
      </c>
      <c r="Y54" s="59">
        <v>45365</v>
      </c>
      <c r="Z54" s="39" t="s">
        <v>234</v>
      </c>
      <c r="AA54" s="59">
        <v>45365</v>
      </c>
      <c r="AB54" s="59">
        <v>45657</v>
      </c>
      <c r="AC54" s="38" t="s">
        <v>3113</v>
      </c>
      <c r="AD54" s="53" t="s">
        <v>6515</v>
      </c>
      <c r="AE54" s="38"/>
      <c r="AF54" s="256"/>
      <c r="AG54" s="270">
        <v>0</v>
      </c>
      <c r="AH54" s="163" t="str">
        <f t="shared" ca="1" si="5"/>
        <v>MUERTO</v>
      </c>
      <c r="AI54" s="39" t="s">
        <v>6516</v>
      </c>
      <c r="AJ54" s="39"/>
      <c r="AK54" s="39" t="s">
        <v>234</v>
      </c>
      <c r="AL54" s="39"/>
      <c r="AM54" s="39" t="s">
        <v>234</v>
      </c>
      <c r="AN54" s="39"/>
      <c r="AO54" s="39"/>
      <c r="AP54" s="38" t="s">
        <v>4683</v>
      </c>
      <c r="AQ54" s="59">
        <v>45363</v>
      </c>
      <c r="AR54" s="59">
        <v>45363</v>
      </c>
      <c r="AS54" s="59">
        <v>45365</v>
      </c>
      <c r="AT54" s="59">
        <f t="shared" si="6"/>
        <v>45365</v>
      </c>
      <c r="AU54" s="183">
        <v>45387</v>
      </c>
      <c r="AV54" s="195">
        <v>45384</v>
      </c>
      <c r="AW54" s="185">
        <v>45377</v>
      </c>
    </row>
    <row r="55" spans="1:49" ht="45" hidden="1" x14ac:dyDescent="0.25">
      <c r="A55" s="248" t="s">
        <v>6517</v>
      </c>
      <c r="B55" s="259">
        <v>17</v>
      </c>
      <c r="C55" s="167" t="s">
        <v>225</v>
      </c>
      <c r="D55" s="259" t="s">
        <v>173</v>
      </c>
      <c r="E55" s="287" t="s">
        <v>6512</v>
      </c>
      <c r="F55" s="287" t="str">
        <f t="shared" si="7"/>
        <v>Licitación Pública</v>
      </c>
      <c r="G55" s="685"/>
      <c r="H55" s="8" t="s">
        <v>3785</v>
      </c>
      <c r="I55" s="81"/>
      <c r="J55" s="1046" t="s">
        <v>1561</v>
      </c>
      <c r="K55" s="1046" t="s">
        <v>1562</v>
      </c>
      <c r="L55" s="1046" t="s">
        <v>1563</v>
      </c>
      <c r="M55" s="1046" t="str">
        <f t="shared" si="2"/>
        <v>Marleny Uscanga Aboytes</v>
      </c>
      <c r="N55" s="991" t="s">
        <v>270</v>
      </c>
      <c r="O55" s="991" t="s">
        <v>270</v>
      </c>
      <c r="P55" s="991" t="s">
        <v>271</v>
      </c>
      <c r="Q55" s="1040" t="s">
        <v>6518</v>
      </c>
      <c r="R55" s="1047">
        <v>706838.4</v>
      </c>
      <c r="S55" s="270">
        <v>0</v>
      </c>
      <c r="T55" s="1048">
        <f t="shared" ref="T55:T63" si="10">R55+S55</f>
        <v>706838.4</v>
      </c>
      <c r="U55" s="1047">
        <v>282735.35999999999</v>
      </c>
      <c r="V55" s="270">
        <v>282735.35999999999</v>
      </c>
      <c r="W55" s="1041">
        <f t="shared" si="4"/>
        <v>706838.4</v>
      </c>
      <c r="X55" s="993" t="s">
        <v>156</v>
      </c>
      <c r="Y55" s="59">
        <v>45365</v>
      </c>
      <c r="Z55" s="39" t="s">
        <v>234</v>
      </c>
      <c r="AA55" s="59">
        <v>45365</v>
      </c>
      <c r="AB55" s="59">
        <v>45657</v>
      </c>
      <c r="AC55" s="38" t="s">
        <v>3113</v>
      </c>
      <c r="AD55" s="53"/>
      <c r="AE55" s="38"/>
      <c r="AF55" s="256"/>
      <c r="AG55" s="270">
        <v>0</v>
      </c>
      <c r="AH55" s="163" t="str">
        <f t="shared" ca="1" si="5"/>
        <v>MUERTO</v>
      </c>
      <c r="AI55" s="39" t="s">
        <v>6516</v>
      </c>
      <c r="AJ55" s="39"/>
      <c r="AK55" s="39" t="s">
        <v>234</v>
      </c>
      <c r="AL55" s="39"/>
      <c r="AM55" s="39" t="s">
        <v>234</v>
      </c>
      <c r="AN55" s="39"/>
      <c r="AO55" s="39"/>
      <c r="AP55" s="38" t="s">
        <v>6519</v>
      </c>
      <c r="AQ55" s="59">
        <v>45363</v>
      </c>
      <c r="AR55" s="59">
        <v>45363</v>
      </c>
      <c r="AS55" s="59">
        <v>45365</v>
      </c>
      <c r="AT55" s="59">
        <f t="shared" si="6"/>
        <v>45365</v>
      </c>
      <c r="AU55" s="183">
        <v>45387</v>
      </c>
      <c r="AV55" s="195">
        <v>45376</v>
      </c>
      <c r="AW55" s="185">
        <v>45371</v>
      </c>
    </row>
    <row r="56" spans="1:49" ht="105" hidden="1" x14ac:dyDescent="0.25">
      <c r="A56" s="248" t="s">
        <v>6520</v>
      </c>
      <c r="B56" s="259">
        <v>18</v>
      </c>
      <c r="C56" s="167" t="s">
        <v>225</v>
      </c>
      <c r="D56" s="259" t="s">
        <v>173</v>
      </c>
      <c r="E56" s="287" t="s">
        <v>6521</v>
      </c>
      <c r="F56" s="287" t="str">
        <f t="shared" si="7"/>
        <v>Licitación Pública</v>
      </c>
      <c r="G56" s="685"/>
      <c r="H56" s="8" t="s">
        <v>3785</v>
      </c>
      <c r="I56" s="81" t="s">
        <v>6522</v>
      </c>
      <c r="J56" s="41"/>
      <c r="K56" s="41"/>
      <c r="L56" s="41"/>
      <c r="M56" s="1046" t="str">
        <f t="shared" si="2"/>
        <v xml:space="preserve">Grupo Antda S.A de C.V.  </v>
      </c>
      <c r="N56" s="991" t="s">
        <v>198</v>
      </c>
      <c r="O56" s="991" t="s">
        <v>198</v>
      </c>
      <c r="P56" s="313" t="s">
        <v>6523</v>
      </c>
      <c r="Q56" s="1040" t="s">
        <v>6524</v>
      </c>
      <c r="R56" s="1047">
        <v>86206.9</v>
      </c>
      <c r="S56" s="270">
        <f t="shared" ref="S56:S62" si="11">R56*0.16</f>
        <v>13793.103999999999</v>
      </c>
      <c r="T56" s="1048">
        <f t="shared" si="10"/>
        <v>100000.00399999999</v>
      </c>
      <c r="U56" s="1047">
        <v>34482.76</v>
      </c>
      <c r="V56" s="270">
        <f t="shared" ref="V56:V61" si="12">(U56*0.16)+(U56)</f>
        <v>40000.001600000003</v>
      </c>
      <c r="W56" s="1041">
        <f t="shared" si="4"/>
        <v>100000.00399999999</v>
      </c>
      <c r="X56" s="993" t="s">
        <v>156</v>
      </c>
      <c r="Y56" s="59">
        <v>45372</v>
      </c>
      <c r="Z56" s="39" t="s">
        <v>234</v>
      </c>
      <c r="AA56" s="59">
        <v>45372</v>
      </c>
      <c r="AB56" s="59">
        <v>45657</v>
      </c>
      <c r="AC56" s="38" t="s">
        <v>3113</v>
      </c>
      <c r="AD56" s="53"/>
      <c r="AE56" s="38"/>
      <c r="AF56" s="256"/>
      <c r="AG56" s="270">
        <v>0</v>
      </c>
      <c r="AH56" s="163" t="str">
        <f t="shared" ca="1" si="5"/>
        <v>MUERTO</v>
      </c>
      <c r="AI56" s="39" t="s">
        <v>6525</v>
      </c>
      <c r="AJ56" s="39"/>
      <c r="AK56" s="39" t="s">
        <v>234</v>
      </c>
      <c r="AL56" s="39"/>
      <c r="AM56" s="39" t="s">
        <v>234</v>
      </c>
      <c r="AN56" s="39"/>
      <c r="AO56" s="39"/>
      <c r="AP56" s="38" t="e">
        <f>VLOOKUP(I56,'[4] RFC'!A:B,2,0)</f>
        <v>#N/A</v>
      </c>
      <c r="AQ56" s="59">
        <v>45337</v>
      </c>
      <c r="AR56" s="59">
        <v>45370</v>
      </c>
      <c r="AS56" s="59">
        <v>45374</v>
      </c>
      <c r="AT56" s="59">
        <f t="shared" si="6"/>
        <v>45372</v>
      </c>
      <c r="AU56" s="183">
        <v>45387</v>
      </c>
      <c r="AV56" s="195">
        <v>45384</v>
      </c>
      <c r="AW56" s="185">
        <v>45373</v>
      </c>
    </row>
    <row r="57" spans="1:49" ht="105" hidden="1" x14ac:dyDescent="0.25">
      <c r="A57" s="196" t="s">
        <v>6526</v>
      </c>
      <c r="B57" s="259">
        <v>18</v>
      </c>
      <c r="C57" s="167" t="s">
        <v>225</v>
      </c>
      <c r="D57" s="259" t="s">
        <v>6303</v>
      </c>
      <c r="E57" s="287" t="s">
        <v>6527</v>
      </c>
      <c r="F57" s="287" t="str">
        <f t="shared" si="7"/>
        <v>Modificatorio</v>
      </c>
      <c r="G57" s="685"/>
      <c r="H57" s="8" t="s">
        <v>6528</v>
      </c>
      <c r="I57" s="81" t="s">
        <v>6529</v>
      </c>
      <c r="J57" s="41"/>
      <c r="K57" s="41"/>
      <c r="L57" s="41"/>
      <c r="M57" s="1046" t="str">
        <f t="shared" si="2"/>
        <v xml:space="preserve">Grupo Antda S.A. de C.V.  </v>
      </c>
      <c r="N57" s="991" t="s">
        <v>198</v>
      </c>
      <c r="O57" s="991" t="s">
        <v>198</v>
      </c>
      <c r="P57" s="313" t="s">
        <v>6523</v>
      </c>
      <c r="Q57" s="1040" t="s">
        <v>6530</v>
      </c>
      <c r="R57" s="1047">
        <v>107758.63</v>
      </c>
      <c r="S57" s="270">
        <f t="shared" si="11"/>
        <v>17241.380800000003</v>
      </c>
      <c r="T57" s="1048">
        <f t="shared" si="10"/>
        <v>125000.0108</v>
      </c>
      <c r="U57" s="1047">
        <v>34482.76</v>
      </c>
      <c r="V57" s="270">
        <f t="shared" si="12"/>
        <v>40000.001600000003</v>
      </c>
      <c r="W57" s="1041">
        <f t="shared" si="4"/>
        <v>125000.0108</v>
      </c>
      <c r="X57" s="993" t="s">
        <v>156</v>
      </c>
      <c r="Y57" s="59">
        <v>45617</v>
      </c>
      <c r="Z57" s="39" t="s">
        <v>892</v>
      </c>
      <c r="AA57" s="59">
        <v>45372</v>
      </c>
      <c r="AB57" s="59">
        <v>45657</v>
      </c>
      <c r="AC57" s="38" t="s">
        <v>3113</v>
      </c>
      <c r="AD57" s="53" t="s">
        <v>6531</v>
      </c>
      <c r="AE57" s="38" t="s">
        <v>6532</v>
      </c>
      <c r="AF57" s="256"/>
      <c r="AG57" s="270"/>
      <c r="AH57" s="163" t="str">
        <f t="shared" ca="1" si="5"/>
        <v>MUERTO</v>
      </c>
      <c r="AI57" s="39" t="s">
        <v>6525</v>
      </c>
      <c r="AJ57" s="39"/>
      <c r="AK57" s="39" t="s">
        <v>2728</v>
      </c>
      <c r="AL57" s="39"/>
      <c r="AM57" s="39" t="s">
        <v>1668</v>
      </c>
      <c r="AN57" s="39"/>
      <c r="AO57" s="39"/>
      <c r="AP57" s="38" t="e">
        <f>VLOOKUP(I57,'[4] RFC'!A:B,2,0)</f>
        <v>#N/A</v>
      </c>
      <c r="AQ57" s="59">
        <v>45615</v>
      </c>
      <c r="AR57" s="59">
        <v>45615</v>
      </c>
      <c r="AS57" s="59">
        <v>45621</v>
      </c>
      <c r="AT57" s="59">
        <f t="shared" si="6"/>
        <v>45617</v>
      </c>
      <c r="AU57" s="183"/>
      <c r="AV57" s="195">
        <v>45617</v>
      </c>
      <c r="AW57" s="185">
        <v>45623</v>
      </c>
    </row>
    <row r="58" spans="1:49" ht="105" hidden="1" x14ac:dyDescent="0.25">
      <c r="A58" s="248" t="s">
        <v>6533</v>
      </c>
      <c r="B58" s="259">
        <v>19</v>
      </c>
      <c r="C58" s="167" t="s">
        <v>225</v>
      </c>
      <c r="D58" s="259" t="s">
        <v>173</v>
      </c>
      <c r="E58" s="287" t="s">
        <v>6521</v>
      </c>
      <c r="F58" s="287" t="str">
        <f t="shared" si="7"/>
        <v>Licitación Pública</v>
      </c>
      <c r="G58" s="685"/>
      <c r="H58" s="8" t="s">
        <v>3785</v>
      </c>
      <c r="I58" s="81"/>
      <c r="J58" s="1046" t="s">
        <v>6534</v>
      </c>
      <c r="K58" s="1046" t="s">
        <v>6535</v>
      </c>
      <c r="L58" s="1046" t="s">
        <v>6536</v>
      </c>
      <c r="M58" s="1046" t="str">
        <f t="shared" si="2"/>
        <v>Brenda  Rojas  Arada</v>
      </c>
      <c r="N58" s="991" t="s">
        <v>198</v>
      </c>
      <c r="O58" s="991" t="s">
        <v>198</v>
      </c>
      <c r="P58" s="313" t="s">
        <v>6523</v>
      </c>
      <c r="Q58" s="1040" t="s">
        <v>6537</v>
      </c>
      <c r="R58" s="1047">
        <v>1474137.93</v>
      </c>
      <c r="S58" s="270">
        <f t="shared" si="11"/>
        <v>235862.06880000001</v>
      </c>
      <c r="T58" s="1048">
        <f t="shared" si="10"/>
        <v>1709999.9987999999</v>
      </c>
      <c r="U58" s="1047">
        <v>612068.96600000001</v>
      </c>
      <c r="V58" s="270">
        <f t="shared" si="12"/>
        <v>710000.00056000007</v>
      </c>
      <c r="W58" s="1041">
        <f t="shared" si="4"/>
        <v>1709999.9987999999</v>
      </c>
      <c r="X58" s="993" t="s">
        <v>156</v>
      </c>
      <c r="Y58" s="59">
        <v>45372</v>
      </c>
      <c r="Z58" s="39" t="s">
        <v>234</v>
      </c>
      <c r="AA58" s="59">
        <v>45372</v>
      </c>
      <c r="AB58" s="59">
        <v>45657</v>
      </c>
      <c r="AC58" s="38" t="s">
        <v>3113</v>
      </c>
      <c r="AD58" s="53"/>
      <c r="AE58" s="38"/>
      <c r="AF58" s="256"/>
      <c r="AG58" s="270">
        <v>0</v>
      </c>
      <c r="AH58" s="163" t="str">
        <f t="shared" ca="1" si="5"/>
        <v>MUERTO</v>
      </c>
      <c r="AI58" s="39" t="s">
        <v>6525</v>
      </c>
      <c r="AJ58" s="39"/>
      <c r="AK58" s="39" t="s">
        <v>234</v>
      </c>
      <c r="AL58" s="39"/>
      <c r="AM58" s="39" t="s">
        <v>234</v>
      </c>
      <c r="AN58" s="39"/>
      <c r="AO58" s="39"/>
      <c r="AP58" s="38" t="e">
        <f>VLOOKUP(I58,'[4] RFC'!A:B,2,0)</f>
        <v>#N/A</v>
      </c>
      <c r="AQ58" s="59">
        <v>45337</v>
      </c>
      <c r="AR58" s="59">
        <v>45370</v>
      </c>
      <c r="AS58" s="59">
        <v>45372</v>
      </c>
      <c r="AT58" s="59">
        <f t="shared" si="6"/>
        <v>45372</v>
      </c>
      <c r="AU58" s="183">
        <v>45390</v>
      </c>
      <c r="AV58" s="195">
        <v>45385</v>
      </c>
      <c r="AW58" s="185">
        <v>45384</v>
      </c>
    </row>
    <row r="59" spans="1:49" ht="105" hidden="1" x14ac:dyDescent="0.25">
      <c r="A59" s="196" t="s">
        <v>6538</v>
      </c>
      <c r="B59" s="259">
        <v>19</v>
      </c>
      <c r="C59" s="167" t="s">
        <v>225</v>
      </c>
      <c r="D59" s="259" t="s">
        <v>6303</v>
      </c>
      <c r="E59" s="287" t="s">
        <v>6539</v>
      </c>
      <c r="F59" s="287" t="str">
        <f t="shared" si="7"/>
        <v>Modificatorio</v>
      </c>
      <c r="G59" s="685"/>
      <c r="H59" s="8" t="s">
        <v>3785</v>
      </c>
      <c r="I59" s="81"/>
      <c r="J59" s="1046" t="s">
        <v>6534</v>
      </c>
      <c r="K59" s="1046" t="s">
        <v>6535</v>
      </c>
      <c r="L59" s="1046" t="s">
        <v>6536</v>
      </c>
      <c r="M59" s="1046" t="str">
        <f t="shared" si="2"/>
        <v>Brenda  Rojas  Arada</v>
      </c>
      <c r="N59" s="991" t="s">
        <v>198</v>
      </c>
      <c r="O59" s="991" t="s">
        <v>198</v>
      </c>
      <c r="P59" s="313" t="s">
        <v>6523</v>
      </c>
      <c r="Q59" s="1040" t="s">
        <v>6537</v>
      </c>
      <c r="R59" s="1047">
        <v>1474137.93</v>
      </c>
      <c r="S59" s="270">
        <f t="shared" si="11"/>
        <v>235862.06880000001</v>
      </c>
      <c r="T59" s="1048">
        <f t="shared" si="10"/>
        <v>1709999.9987999999</v>
      </c>
      <c r="U59" s="1047">
        <v>612068.96600000001</v>
      </c>
      <c r="V59" s="270">
        <f t="shared" si="12"/>
        <v>710000.00056000007</v>
      </c>
      <c r="W59" s="1041">
        <f t="shared" si="4"/>
        <v>1709999.9987999999</v>
      </c>
      <c r="X59" s="993" t="s">
        <v>156</v>
      </c>
      <c r="Y59" s="59">
        <v>45372</v>
      </c>
      <c r="Z59" s="39" t="s">
        <v>881</v>
      </c>
      <c r="AA59" s="59">
        <v>45372</v>
      </c>
      <c r="AB59" s="59">
        <v>45657</v>
      </c>
      <c r="AC59" s="38" t="s">
        <v>3113</v>
      </c>
      <c r="AD59" s="53" t="s">
        <v>6540</v>
      </c>
      <c r="AE59" s="38"/>
      <c r="AF59" s="256"/>
      <c r="AG59" s="270"/>
      <c r="AH59" s="163" t="s">
        <v>1388</v>
      </c>
      <c r="AI59" s="39" t="s">
        <v>6525</v>
      </c>
      <c r="AJ59" s="39"/>
      <c r="AK59" s="39" t="s">
        <v>4298</v>
      </c>
      <c r="AL59" s="39"/>
      <c r="AM59" s="39" t="s">
        <v>4298</v>
      </c>
      <c r="AN59" s="39"/>
      <c r="AO59" s="39"/>
      <c r="AP59" s="38" t="e">
        <f>VLOOKUP(I59,'[4] RFC'!A:B,2,0)</f>
        <v>#N/A</v>
      </c>
      <c r="AQ59" s="59">
        <v>45582</v>
      </c>
      <c r="AR59" s="59">
        <v>45590</v>
      </c>
      <c r="AS59" s="59">
        <v>45593</v>
      </c>
      <c r="AT59" s="59">
        <v>45596</v>
      </c>
      <c r="AU59" s="183">
        <v>45604</v>
      </c>
      <c r="AV59" s="195">
        <v>45593</v>
      </c>
      <c r="AW59" s="185">
        <v>45596</v>
      </c>
    </row>
    <row r="60" spans="1:49" ht="105" hidden="1" x14ac:dyDescent="0.25">
      <c r="A60" s="248" t="s">
        <v>6541</v>
      </c>
      <c r="B60" s="259">
        <v>20</v>
      </c>
      <c r="C60" s="167" t="s">
        <v>225</v>
      </c>
      <c r="D60" s="259" t="s">
        <v>173</v>
      </c>
      <c r="E60" s="287" t="s">
        <v>6521</v>
      </c>
      <c r="F60" s="287" t="str">
        <f t="shared" si="7"/>
        <v>Licitación Pública</v>
      </c>
      <c r="G60" s="685"/>
      <c r="H60" s="8" t="s">
        <v>3785</v>
      </c>
      <c r="I60" s="81" t="s">
        <v>6542</v>
      </c>
      <c r="J60" s="41"/>
      <c r="K60" s="41"/>
      <c r="L60" s="41"/>
      <c r="M60" s="1046" t="str">
        <f>I60&amp;J60&amp;" "&amp;K60&amp;" "&amp;L60</f>
        <v xml:space="preserve">Abastecedora y Distribuidora del Sureste García Hnos. S.A de C.V  </v>
      </c>
      <c r="N60" s="991" t="s">
        <v>198</v>
      </c>
      <c r="O60" s="991" t="s">
        <v>198</v>
      </c>
      <c r="P60" s="313" t="s">
        <v>6523</v>
      </c>
      <c r="Q60" s="1040" t="s">
        <v>6543</v>
      </c>
      <c r="R60" s="1056">
        <v>215517.24</v>
      </c>
      <c r="S60" s="270">
        <f t="shared" si="11"/>
        <v>34482.758399999999</v>
      </c>
      <c r="T60" s="1048">
        <f t="shared" si="10"/>
        <v>249999.99839999998</v>
      </c>
      <c r="U60" s="1047">
        <v>86206.9</v>
      </c>
      <c r="V60" s="270">
        <f t="shared" si="12"/>
        <v>100000.00399999999</v>
      </c>
      <c r="W60" s="1041">
        <f t="shared" si="4"/>
        <v>249999.99839999998</v>
      </c>
      <c r="X60" s="993" t="s">
        <v>156</v>
      </c>
      <c r="Y60" s="59">
        <v>45372</v>
      </c>
      <c r="Z60" s="39" t="s">
        <v>234</v>
      </c>
      <c r="AA60" s="59">
        <v>45372</v>
      </c>
      <c r="AB60" s="59">
        <v>45657</v>
      </c>
      <c r="AC60" s="38" t="s">
        <v>3113</v>
      </c>
      <c r="AD60" s="53"/>
      <c r="AE60" s="38"/>
      <c r="AF60" s="256"/>
      <c r="AG60" s="270">
        <v>0</v>
      </c>
      <c r="AH60" s="163" t="str">
        <f t="shared" ca="1" si="5"/>
        <v>MUERTO</v>
      </c>
      <c r="AI60" s="39" t="s">
        <v>6525</v>
      </c>
      <c r="AJ60" s="39"/>
      <c r="AK60" s="39" t="s">
        <v>234</v>
      </c>
      <c r="AL60" s="39"/>
      <c r="AM60" s="39" t="s">
        <v>234</v>
      </c>
      <c r="AN60" s="39"/>
      <c r="AO60" s="39"/>
      <c r="AP60" s="38" t="e">
        <f>VLOOKUP(I60,'[4] RFC'!A:B,2,0)</f>
        <v>#N/A</v>
      </c>
      <c r="AQ60" s="59">
        <v>45337</v>
      </c>
      <c r="AR60" s="59">
        <v>45370</v>
      </c>
      <c r="AS60" s="59">
        <v>45372</v>
      </c>
      <c r="AT60" s="59">
        <f t="shared" si="6"/>
        <v>45372</v>
      </c>
      <c r="AU60" s="183">
        <v>45387</v>
      </c>
      <c r="AV60" s="195">
        <v>45384</v>
      </c>
      <c r="AW60" s="185">
        <v>45373</v>
      </c>
    </row>
    <row r="61" spans="1:49" ht="105" hidden="1" x14ac:dyDescent="0.25">
      <c r="A61" s="196" t="s">
        <v>6544</v>
      </c>
      <c r="B61" s="259">
        <v>20</v>
      </c>
      <c r="C61" s="167" t="s">
        <v>225</v>
      </c>
      <c r="D61" s="259" t="s">
        <v>6303</v>
      </c>
      <c r="E61" s="287" t="s">
        <v>6545</v>
      </c>
      <c r="F61" s="287" t="str">
        <f t="shared" si="7"/>
        <v>Modificatorio</v>
      </c>
      <c r="G61" s="685"/>
      <c r="H61" s="8" t="s">
        <v>6342</v>
      </c>
      <c r="I61" s="81" t="s">
        <v>6546</v>
      </c>
      <c r="J61" s="41"/>
      <c r="K61" s="41"/>
      <c r="L61" s="41"/>
      <c r="M61" s="1046" t="str">
        <f t="shared" si="2"/>
        <v xml:space="preserve">Abastecedora y Distribuidora del Sureste García Hnos. S.A. de C.V.  </v>
      </c>
      <c r="N61" s="991" t="s">
        <v>198</v>
      </c>
      <c r="O61" s="991" t="s">
        <v>198</v>
      </c>
      <c r="P61" s="313" t="s">
        <v>6523</v>
      </c>
      <c r="Q61" s="1040" t="s">
        <v>6547</v>
      </c>
      <c r="R61" s="1056">
        <v>269396.55</v>
      </c>
      <c r="S61" s="270">
        <f t="shared" si="11"/>
        <v>43103.447999999997</v>
      </c>
      <c r="T61" s="1048">
        <f t="shared" si="10"/>
        <v>312499.99799999996</v>
      </c>
      <c r="U61" s="1047">
        <v>86206.9</v>
      </c>
      <c r="V61" s="270">
        <f t="shared" si="12"/>
        <v>100000.00399999999</v>
      </c>
      <c r="W61" s="1041">
        <f t="shared" si="4"/>
        <v>312499.99799999996</v>
      </c>
      <c r="X61" s="993" t="s">
        <v>156</v>
      </c>
      <c r="Y61" s="59">
        <v>45617</v>
      </c>
      <c r="Z61" s="39" t="s">
        <v>892</v>
      </c>
      <c r="AA61" s="59">
        <v>45372</v>
      </c>
      <c r="AB61" s="59">
        <v>45657</v>
      </c>
      <c r="AC61" s="38" t="s">
        <v>3113</v>
      </c>
      <c r="AD61" s="53" t="s">
        <v>6548</v>
      </c>
      <c r="AE61" s="38" t="s">
        <v>6549</v>
      </c>
      <c r="AF61" s="256"/>
      <c r="AG61" s="270"/>
      <c r="AH61" s="163" t="str">
        <f t="shared" ca="1" si="5"/>
        <v>MUERTO</v>
      </c>
      <c r="AI61" s="39" t="s">
        <v>6525</v>
      </c>
      <c r="AJ61" s="39"/>
      <c r="AK61" s="39" t="s">
        <v>2728</v>
      </c>
      <c r="AL61" s="39"/>
      <c r="AM61" s="39" t="s">
        <v>1668</v>
      </c>
      <c r="AN61" s="39"/>
      <c r="AO61" s="39"/>
      <c r="AP61" s="38" t="e">
        <f>VLOOKUP(I61,'[4] RFC'!A:B,2,0)</f>
        <v>#N/A</v>
      </c>
      <c r="AQ61" s="59">
        <v>45615</v>
      </c>
      <c r="AR61" s="59">
        <v>45615</v>
      </c>
      <c r="AS61" s="59">
        <v>45621</v>
      </c>
      <c r="AT61" s="59">
        <f t="shared" si="6"/>
        <v>45617</v>
      </c>
      <c r="AU61" s="183">
        <v>45636</v>
      </c>
      <c r="AV61" s="195">
        <v>45617</v>
      </c>
      <c r="AW61" s="185">
        <v>45623</v>
      </c>
    </row>
    <row r="62" spans="1:49" ht="45" hidden="1" x14ac:dyDescent="0.25">
      <c r="A62" s="248" t="s">
        <v>6550</v>
      </c>
      <c r="B62" s="259">
        <v>21</v>
      </c>
      <c r="C62" s="167" t="s">
        <v>225</v>
      </c>
      <c r="D62" s="259" t="s">
        <v>151</v>
      </c>
      <c r="E62" s="287" t="s">
        <v>6551</v>
      </c>
      <c r="F62" s="287" t="str">
        <f t="shared" si="7"/>
        <v>Invitación</v>
      </c>
      <c r="G62" s="685"/>
      <c r="H62" s="8" t="s">
        <v>3793</v>
      </c>
      <c r="I62" s="81" t="s">
        <v>631</v>
      </c>
      <c r="J62" s="41"/>
      <c r="K62" s="41"/>
      <c r="L62" s="41"/>
      <c r="M62" s="1046" t="str">
        <f t="shared" si="2"/>
        <v xml:space="preserve">Grupo Besh, S.A. de C.V.  </v>
      </c>
      <c r="N62" s="991" t="s">
        <v>6552</v>
      </c>
      <c r="O62" s="991" t="s">
        <v>1946</v>
      </c>
      <c r="P62" s="991"/>
      <c r="Q62" s="1040" t="s">
        <v>1555</v>
      </c>
      <c r="R62" s="1047">
        <v>1104944</v>
      </c>
      <c r="S62" s="270">
        <f t="shared" si="11"/>
        <v>176791.04000000001</v>
      </c>
      <c r="T62" s="1048">
        <f t="shared" si="10"/>
        <v>1281735.04</v>
      </c>
      <c r="U62" s="1047" t="s">
        <v>161</v>
      </c>
      <c r="V62" s="270" t="s">
        <v>161</v>
      </c>
      <c r="W62" s="1041">
        <f>T62+AG62</f>
        <v>1281735.04</v>
      </c>
      <c r="X62" s="993" t="s">
        <v>156</v>
      </c>
      <c r="Y62" s="59">
        <v>45377</v>
      </c>
      <c r="Z62" s="39" t="s">
        <v>234</v>
      </c>
      <c r="AA62" s="59">
        <v>45377</v>
      </c>
      <c r="AB62" s="59">
        <v>45657</v>
      </c>
      <c r="AC62" s="38" t="s">
        <v>3113</v>
      </c>
      <c r="AD62" s="53"/>
      <c r="AE62" s="38"/>
      <c r="AF62" s="256"/>
      <c r="AG62" s="270">
        <v>0</v>
      </c>
      <c r="AH62" s="163" t="str">
        <f t="shared" ca="1" si="5"/>
        <v>MUERTO</v>
      </c>
      <c r="AI62" s="39">
        <v>21401</v>
      </c>
      <c r="AJ62" s="39"/>
      <c r="AK62" s="39" t="s">
        <v>234</v>
      </c>
      <c r="AL62" s="39"/>
      <c r="AM62" s="39" t="s">
        <v>234</v>
      </c>
      <c r="AN62" s="39"/>
      <c r="AO62" s="39"/>
      <c r="AP62" s="38" t="str">
        <f>VLOOKUP(I62,'[4] RFC'!A:B,2,0)</f>
        <v>GBE940526J33</v>
      </c>
      <c r="AQ62" s="59">
        <v>45372</v>
      </c>
      <c r="AR62" s="59">
        <v>45376</v>
      </c>
      <c r="AS62" s="59">
        <v>45377</v>
      </c>
      <c r="AT62" s="59">
        <f t="shared" si="6"/>
        <v>45377</v>
      </c>
      <c r="AU62" s="183">
        <v>45390</v>
      </c>
      <c r="AV62" s="195">
        <v>45385</v>
      </c>
      <c r="AW62" s="185">
        <v>45383</v>
      </c>
    </row>
    <row r="63" spans="1:49" ht="60" hidden="1" x14ac:dyDescent="0.25">
      <c r="A63" s="196" t="s">
        <v>6553</v>
      </c>
      <c r="B63" s="259">
        <v>21</v>
      </c>
      <c r="C63" s="167" t="s">
        <v>6303</v>
      </c>
      <c r="D63" s="259" t="s">
        <v>6303</v>
      </c>
      <c r="E63" s="287" t="s">
        <v>6554</v>
      </c>
      <c r="F63" s="287" t="s">
        <v>6303</v>
      </c>
      <c r="G63" s="685"/>
      <c r="H63" s="8" t="s">
        <v>6308</v>
      </c>
      <c r="I63" s="81" t="s">
        <v>631</v>
      </c>
      <c r="J63" s="267"/>
      <c r="K63" s="267"/>
      <c r="L63" s="267"/>
      <c r="M63" s="1046" t="str">
        <f t="shared" si="2"/>
        <v xml:space="preserve">Grupo Besh, S.A. de C.V.  </v>
      </c>
      <c r="N63" s="991" t="s">
        <v>6552</v>
      </c>
      <c r="O63" s="991" t="s">
        <v>1946</v>
      </c>
      <c r="P63" s="991"/>
      <c r="Q63" s="1040" t="s">
        <v>1555</v>
      </c>
      <c r="R63" s="1047">
        <v>0</v>
      </c>
      <c r="S63" s="270">
        <v>0</v>
      </c>
      <c r="T63" s="1048">
        <f t="shared" si="10"/>
        <v>0</v>
      </c>
      <c r="U63" s="1047" t="s">
        <v>161</v>
      </c>
      <c r="V63" s="270" t="s">
        <v>161</v>
      </c>
      <c r="W63" s="1041">
        <v>0</v>
      </c>
      <c r="X63" s="993" t="s">
        <v>156</v>
      </c>
      <c r="Y63" s="59">
        <v>45392</v>
      </c>
      <c r="Z63" s="39" t="s">
        <v>333</v>
      </c>
      <c r="AA63" s="59">
        <v>45377</v>
      </c>
      <c r="AB63" s="59">
        <v>45443</v>
      </c>
      <c r="AC63" s="38" t="s">
        <v>3113</v>
      </c>
      <c r="AD63" s="53" t="s">
        <v>6555</v>
      </c>
      <c r="AE63" s="38"/>
      <c r="AF63" s="256"/>
      <c r="AG63" s="270"/>
      <c r="AH63" s="163" t="str">
        <f t="shared" ca="1" si="5"/>
        <v>MUERTO</v>
      </c>
      <c r="AI63" s="39">
        <v>21401</v>
      </c>
      <c r="AJ63" s="39"/>
      <c r="AK63" s="39" t="s">
        <v>333</v>
      </c>
      <c r="AL63" s="39"/>
      <c r="AM63" s="39" t="s">
        <v>333</v>
      </c>
      <c r="AN63" s="39"/>
      <c r="AO63" s="39"/>
      <c r="AP63" s="38" t="str">
        <f>VLOOKUP(I63,'[4] RFC'!A:B,2,0)</f>
        <v>GBE940526J33</v>
      </c>
      <c r="AQ63" s="59">
        <v>45392</v>
      </c>
      <c r="AR63" s="59">
        <v>45392</v>
      </c>
      <c r="AS63" s="59">
        <v>45393</v>
      </c>
      <c r="AT63" s="59">
        <f t="shared" si="6"/>
        <v>45392</v>
      </c>
      <c r="AU63" s="183">
        <v>45401</v>
      </c>
      <c r="AV63" s="195">
        <v>45397</v>
      </c>
      <c r="AW63" s="185">
        <v>45394</v>
      </c>
    </row>
    <row r="64" spans="1:49" ht="45" hidden="1" x14ac:dyDescent="0.25">
      <c r="A64" s="248" t="s">
        <v>6556</v>
      </c>
      <c r="B64" s="259">
        <v>22</v>
      </c>
      <c r="C64" s="167" t="s">
        <v>225</v>
      </c>
      <c r="D64" s="259" t="s">
        <v>173</v>
      </c>
      <c r="E64" s="287" t="s">
        <v>6557</v>
      </c>
      <c r="F64" s="287" t="str">
        <f>D64</f>
        <v>Licitación Pública</v>
      </c>
      <c r="G64" s="685"/>
      <c r="H64" s="8" t="s">
        <v>3785</v>
      </c>
      <c r="I64" s="81"/>
      <c r="J64" s="1046" t="s">
        <v>4524</v>
      </c>
      <c r="K64" s="1046" t="s">
        <v>6558</v>
      </c>
      <c r="L64" s="1046" t="s">
        <v>4525</v>
      </c>
      <c r="M64" s="1046" t="str">
        <f t="shared" si="2"/>
        <v>Miguel Ángel Gutierrz Gil</v>
      </c>
      <c r="N64" s="1023" t="s">
        <v>198</v>
      </c>
      <c r="O64" s="429" t="s">
        <v>198</v>
      </c>
      <c r="P64" s="429" t="s">
        <v>6559</v>
      </c>
      <c r="Q64" s="1040" t="s">
        <v>6560</v>
      </c>
      <c r="R64" s="1047">
        <v>1606302.5</v>
      </c>
      <c r="S64" s="270">
        <f t="shared" ref="S64:S72" si="13">R64*0.16</f>
        <v>257008.4</v>
      </c>
      <c r="T64" s="1048">
        <f>R64+S64</f>
        <v>1863310.9</v>
      </c>
      <c r="U64" s="1047">
        <v>794305</v>
      </c>
      <c r="V64" s="270">
        <f>(U64*0.16)+(U64)</f>
        <v>921393.8</v>
      </c>
      <c r="W64" s="1041">
        <f>T64+AG64</f>
        <v>1863310.9</v>
      </c>
      <c r="X64" s="993" t="s">
        <v>156</v>
      </c>
      <c r="Y64" s="59">
        <v>45408</v>
      </c>
      <c r="Z64" s="39" t="s">
        <v>333</v>
      </c>
      <c r="AA64" s="59">
        <v>45408</v>
      </c>
      <c r="AB64" s="59">
        <v>45626</v>
      </c>
      <c r="AC64" s="38" t="s">
        <v>3113</v>
      </c>
      <c r="AD64" s="53" t="s">
        <v>6561</v>
      </c>
      <c r="AE64" s="38"/>
      <c r="AF64" s="256"/>
      <c r="AG64" s="270">
        <v>0</v>
      </c>
      <c r="AH64" s="163" t="str">
        <f t="shared" ca="1" si="5"/>
        <v>MUERTO</v>
      </c>
      <c r="AI64" s="39" t="s">
        <v>6562</v>
      </c>
      <c r="AJ64" s="39"/>
      <c r="AK64" s="39" t="s">
        <v>6309</v>
      </c>
      <c r="AL64" s="39"/>
      <c r="AM64" s="39" t="s">
        <v>6309</v>
      </c>
      <c r="AN64" s="39"/>
      <c r="AO64" s="39"/>
      <c r="AP64" s="38" t="e">
        <f>VLOOKUP(I64,'[4] RFC'!A:B,2,0)</f>
        <v>#N/A</v>
      </c>
      <c r="AQ64" s="59">
        <v>45406</v>
      </c>
      <c r="AR64" s="59">
        <v>45407</v>
      </c>
      <c r="AS64" s="59">
        <v>45408</v>
      </c>
      <c r="AT64" s="59">
        <f t="shared" si="6"/>
        <v>45408</v>
      </c>
      <c r="AU64" s="183">
        <v>45427</v>
      </c>
      <c r="AV64" s="195">
        <v>45421</v>
      </c>
      <c r="AW64" s="185">
        <v>45419</v>
      </c>
    </row>
    <row r="65" spans="1:49" ht="60" hidden="1" x14ac:dyDescent="0.25">
      <c r="A65" s="381" t="s">
        <v>6563</v>
      </c>
      <c r="B65" s="259">
        <v>22</v>
      </c>
      <c r="C65" s="167" t="s">
        <v>6564</v>
      </c>
      <c r="D65" s="259" t="s">
        <v>6565</v>
      </c>
      <c r="E65" s="287"/>
      <c r="F65" s="39"/>
      <c r="G65" s="39"/>
      <c r="H65" s="287"/>
      <c r="I65" s="81"/>
      <c r="J65" s="1046" t="s">
        <v>4524</v>
      </c>
      <c r="K65" s="1046" t="s">
        <v>6558</v>
      </c>
      <c r="L65" s="1046" t="s">
        <v>4525</v>
      </c>
      <c r="M65" s="1046" t="str">
        <f t="shared" si="2"/>
        <v>Miguel Ángel Gutierrz Gil</v>
      </c>
      <c r="N65" s="1023" t="s">
        <v>198</v>
      </c>
      <c r="O65" s="429" t="s">
        <v>198</v>
      </c>
      <c r="P65" s="429" t="s">
        <v>6559</v>
      </c>
      <c r="Q65" s="1040" t="s">
        <v>6560</v>
      </c>
      <c r="R65" s="1047">
        <v>0</v>
      </c>
      <c r="S65" s="270">
        <f t="shared" si="13"/>
        <v>0</v>
      </c>
      <c r="T65" s="1048">
        <v>0</v>
      </c>
      <c r="U65" s="1047">
        <v>0</v>
      </c>
      <c r="V65" s="270">
        <v>0</v>
      </c>
      <c r="W65" s="1041">
        <v>0</v>
      </c>
      <c r="X65" s="993" t="s">
        <v>156</v>
      </c>
      <c r="Y65" s="59">
        <v>45460</v>
      </c>
      <c r="Z65" s="39" t="s">
        <v>496</v>
      </c>
      <c r="AA65" s="59">
        <v>45408</v>
      </c>
      <c r="AB65" s="59">
        <v>45455</v>
      </c>
      <c r="AC65" s="38"/>
      <c r="AD65" s="53" t="s">
        <v>6566</v>
      </c>
      <c r="AE65" s="38"/>
      <c r="AF65" s="256"/>
      <c r="AG65" s="270"/>
      <c r="AH65" s="163" t="str">
        <f t="shared" ca="1" si="5"/>
        <v>MUERTO</v>
      </c>
      <c r="AI65" s="39"/>
      <c r="AJ65" s="39"/>
      <c r="AK65" s="39" t="s">
        <v>1613</v>
      </c>
      <c r="AL65" s="39"/>
      <c r="AM65" s="39"/>
      <c r="AN65" s="39"/>
      <c r="AO65" s="39"/>
      <c r="AP65" s="38"/>
      <c r="AQ65" s="59">
        <v>45455</v>
      </c>
      <c r="AR65" s="59">
        <v>45396</v>
      </c>
      <c r="AS65" s="59">
        <v>45460</v>
      </c>
      <c r="AT65" s="59">
        <f t="shared" si="6"/>
        <v>45460</v>
      </c>
      <c r="AU65" s="183">
        <v>45461</v>
      </c>
      <c r="AV65" s="195">
        <v>45461</v>
      </c>
      <c r="AW65" s="185">
        <v>45461</v>
      </c>
    </row>
    <row r="66" spans="1:49" ht="105" hidden="1" x14ac:dyDescent="0.25">
      <c r="A66" s="248" t="s">
        <v>6567</v>
      </c>
      <c r="B66" s="259">
        <v>23</v>
      </c>
      <c r="C66" s="167" t="s">
        <v>225</v>
      </c>
      <c r="D66" s="259" t="s">
        <v>173</v>
      </c>
      <c r="E66" s="287" t="s">
        <v>6568</v>
      </c>
      <c r="F66" s="39" t="str">
        <f t="shared" ref="F66:F75" si="14">D66</f>
        <v>Licitación Pública</v>
      </c>
      <c r="G66" s="39"/>
      <c r="H66" s="287" t="s">
        <v>3785</v>
      </c>
      <c r="I66" s="81" t="s">
        <v>6542</v>
      </c>
      <c r="J66" s="1046"/>
      <c r="K66" s="1046"/>
      <c r="L66" s="1046"/>
      <c r="M66" s="1057" t="str">
        <f t="shared" si="2"/>
        <v xml:space="preserve">Abastecedora y Distribuidora del Sureste García Hnos. S.A de C.V  </v>
      </c>
      <c r="N66" s="1058" t="s">
        <v>198</v>
      </c>
      <c r="O66" s="430" t="s">
        <v>198</v>
      </c>
      <c r="P66" s="430" t="s">
        <v>6569</v>
      </c>
      <c r="Q66" s="1059" t="s">
        <v>6570</v>
      </c>
      <c r="R66" s="1047">
        <v>3686382</v>
      </c>
      <c r="S66" s="270">
        <f t="shared" si="13"/>
        <v>589821.12</v>
      </c>
      <c r="T66" s="1048">
        <f t="shared" ref="T66:T75" si="15">R66+S66</f>
        <v>4276203.12</v>
      </c>
      <c r="U66" s="1047">
        <v>1482158</v>
      </c>
      <c r="V66" s="270">
        <f t="shared" ref="V66:V74" si="16">(U66*0.16)+(U66)</f>
        <v>1719303.28</v>
      </c>
      <c r="W66" s="1041">
        <f t="shared" ref="W66:W75" si="17">T66+AG66</f>
        <v>4276203.12</v>
      </c>
      <c r="X66" s="993" t="s">
        <v>156</v>
      </c>
      <c r="Y66" s="59">
        <v>45419</v>
      </c>
      <c r="Z66" s="39" t="s">
        <v>559</v>
      </c>
      <c r="AA66" s="59">
        <v>45419</v>
      </c>
      <c r="AB66" s="59">
        <v>45611</v>
      </c>
      <c r="AC66" s="38" t="s">
        <v>3113</v>
      </c>
      <c r="AD66" s="53"/>
      <c r="AE66" s="38"/>
      <c r="AF66" s="256"/>
      <c r="AG66" s="270">
        <v>0</v>
      </c>
      <c r="AH66" s="163" t="str">
        <f t="shared" ca="1" si="5"/>
        <v>MUERTO</v>
      </c>
      <c r="AI66" s="39" t="s">
        <v>6571</v>
      </c>
      <c r="AJ66" s="39"/>
      <c r="AK66" s="39" t="s">
        <v>6572</v>
      </c>
      <c r="AL66" s="39"/>
      <c r="AM66" s="39" t="s">
        <v>6572</v>
      </c>
      <c r="AN66" s="39"/>
      <c r="AO66" s="39"/>
      <c r="AP66" s="38" t="e">
        <f>VLOOKUP(I66,'[4] RFC'!A:B,2,0)</f>
        <v>#N/A</v>
      </c>
      <c r="AQ66" s="59">
        <v>45415</v>
      </c>
      <c r="AR66" s="59">
        <v>45418</v>
      </c>
      <c r="AS66" s="59">
        <v>45419</v>
      </c>
      <c r="AT66" s="59">
        <f t="shared" si="6"/>
        <v>45419</v>
      </c>
      <c r="AU66" s="183">
        <v>45439</v>
      </c>
      <c r="AV66" s="195">
        <v>45432</v>
      </c>
      <c r="AW66" s="185">
        <v>45427</v>
      </c>
    </row>
    <row r="67" spans="1:49" ht="105" hidden="1" x14ac:dyDescent="0.25">
      <c r="A67" s="196" t="s">
        <v>6573</v>
      </c>
      <c r="B67" s="259">
        <v>23</v>
      </c>
      <c r="C67" s="167" t="s">
        <v>225</v>
      </c>
      <c r="D67" s="259" t="s">
        <v>173</v>
      </c>
      <c r="E67" s="287" t="s">
        <v>6574</v>
      </c>
      <c r="F67" s="39" t="str">
        <f t="shared" si="14"/>
        <v>Licitación Pública</v>
      </c>
      <c r="G67" s="39"/>
      <c r="H67" s="287" t="s">
        <v>3785</v>
      </c>
      <c r="I67" s="81" t="s">
        <v>6546</v>
      </c>
      <c r="J67" s="1046"/>
      <c r="K67" s="1046"/>
      <c r="L67" s="1046"/>
      <c r="M67" s="1057" t="str">
        <f t="shared" si="2"/>
        <v xml:space="preserve">Abastecedora y Distribuidora del Sureste García Hnos. S.A. de C.V.  </v>
      </c>
      <c r="N67" s="1058" t="s">
        <v>198</v>
      </c>
      <c r="O67" s="430" t="s">
        <v>198</v>
      </c>
      <c r="P67" s="430" t="s">
        <v>6569</v>
      </c>
      <c r="Q67" s="1059" t="s">
        <v>6575</v>
      </c>
      <c r="R67" s="1047">
        <v>4295342.25</v>
      </c>
      <c r="S67" s="270">
        <f t="shared" si="13"/>
        <v>687254.76</v>
      </c>
      <c r="T67" s="1048">
        <f t="shared" si="15"/>
        <v>4982597.01</v>
      </c>
      <c r="U67" s="1047">
        <v>1482158</v>
      </c>
      <c r="V67" s="270">
        <f t="shared" si="16"/>
        <v>1719303.28</v>
      </c>
      <c r="W67" s="1041">
        <f t="shared" si="17"/>
        <v>4982597.01</v>
      </c>
      <c r="X67" s="993" t="s">
        <v>156</v>
      </c>
      <c r="Y67" s="59">
        <v>45601</v>
      </c>
      <c r="Z67" s="39" t="s">
        <v>892</v>
      </c>
      <c r="AA67" s="59">
        <v>45419</v>
      </c>
      <c r="AB67" s="59">
        <v>45646</v>
      </c>
      <c r="AC67" s="38" t="s">
        <v>3113</v>
      </c>
      <c r="AD67" s="53" t="s">
        <v>6576</v>
      </c>
      <c r="AE67" s="38"/>
      <c r="AF67" s="256"/>
      <c r="AG67" s="270"/>
      <c r="AH67" s="163" t="s">
        <v>1388</v>
      </c>
      <c r="AI67" s="39" t="s">
        <v>6571</v>
      </c>
      <c r="AJ67" s="39"/>
      <c r="AK67" s="39" t="s">
        <v>2728</v>
      </c>
      <c r="AL67" s="39"/>
      <c r="AM67" s="39" t="s">
        <v>2728</v>
      </c>
      <c r="AN67" s="39"/>
      <c r="AO67" s="39"/>
      <c r="AP67" s="38" t="e">
        <f>VLOOKUP(I67,'[4] RFC'!A:B,2,0)</f>
        <v>#N/A</v>
      </c>
      <c r="AQ67" s="59">
        <v>45583</v>
      </c>
      <c r="AR67" s="59">
        <v>45594</v>
      </c>
      <c r="AS67" s="59">
        <v>45603</v>
      </c>
      <c r="AT67" s="59">
        <v>45615</v>
      </c>
      <c r="AU67" s="183">
        <v>45628</v>
      </c>
      <c r="AV67" s="195">
        <v>45601</v>
      </c>
      <c r="AW67" s="185">
        <v>45609</v>
      </c>
    </row>
    <row r="68" spans="1:49" ht="105" hidden="1" x14ac:dyDescent="0.25">
      <c r="A68" s="196" t="s">
        <v>6577</v>
      </c>
      <c r="B68" s="259">
        <v>23</v>
      </c>
      <c r="C68" s="167" t="s">
        <v>225</v>
      </c>
      <c r="D68" s="259" t="s">
        <v>173</v>
      </c>
      <c r="E68" s="287" t="s">
        <v>6578</v>
      </c>
      <c r="F68" s="39" t="s">
        <v>173</v>
      </c>
      <c r="G68" s="39"/>
      <c r="H68" s="287" t="s">
        <v>6579</v>
      </c>
      <c r="I68" s="81" t="s">
        <v>6580</v>
      </c>
      <c r="J68" s="1046"/>
      <c r="K68" s="1046"/>
      <c r="L68" s="1046"/>
      <c r="M68" s="1057" t="str">
        <f t="shared" si="2"/>
        <v xml:space="preserve">Abastecedora y Distribuidora del Sureste García Hnos., S.A. de C.V.  </v>
      </c>
      <c r="N68" s="1058" t="s">
        <v>198</v>
      </c>
      <c r="O68" s="430" t="s">
        <v>198</v>
      </c>
      <c r="P68" s="430" t="s">
        <v>6569</v>
      </c>
      <c r="Q68" s="1059" t="s">
        <v>6575</v>
      </c>
      <c r="R68" s="1047">
        <v>4426936.5</v>
      </c>
      <c r="S68" s="270">
        <f t="shared" si="13"/>
        <v>708309.84</v>
      </c>
      <c r="T68" s="1048">
        <f t="shared" si="15"/>
        <v>5135246.34</v>
      </c>
      <c r="U68" s="1047">
        <v>1482158</v>
      </c>
      <c r="V68" s="270">
        <f t="shared" si="16"/>
        <v>1719303.28</v>
      </c>
      <c r="W68" s="1041">
        <f t="shared" si="17"/>
        <v>5266840.59</v>
      </c>
      <c r="X68" s="993" t="s">
        <v>156</v>
      </c>
      <c r="Y68" s="59"/>
      <c r="Z68" s="39" t="s">
        <v>924</v>
      </c>
      <c r="AA68" s="59">
        <v>45419</v>
      </c>
      <c r="AB68" s="59">
        <v>45646</v>
      </c>
      <c r="AC68" s="38"/>
      <c r="AD68" s="53" t="s">
        <v>6581</v>
      </c>
      <c r="AE68" s="270" t="s">
        <v>6582</v>
      </c>
      <c r="AF68" s="256"/>
      <c r="AG68" s="270">
        <v>131594.25</v>
      </c>
      <c r="AH68" s="163" t="s">
        <v>1388</v>
      </c>
      <c r="AI68" s="39" t="s">
        <v>6571</v>
      </c>
      <c r="AJ68" s="39"/>
      <c r="AK68" s="39" t="s">
        <v>1937</v>
      </c>
      <c r="AL68" s="39"/>
      <c r="AM68" s="39" t="s">
        <v>1937</v>
      </c>
      <c r="AN68" s="39"/>
      <c r="AO68" s="39"/>
      <c r="AP68" s="38"/>
      <c r="AQ68" s="59">
        <v>45616</v>
      </c>
      <c r="AR68" s="59">
        <v>45630</v>
      </c>
      <c r="AS68" s="59">
        <v>45636</v>
      </c>
      <c r="AT68" s="59">
        <v>45636</v>
      </c>
      <c r="AU68" s="183">
        <v>45673</v>
      </c>
      <c r="AV68" s="195">
        <v>45632</v>
      </c>
      <c r="AW68" s="185">
        <v>45639</v>
      </c>
    </row>
    <row r="69" spans="1:49" ht="105" hidden="1" x14ac:dyDescent="0.25">
      <c r="A69" s="248" t="s">
        <v>6583</v>
      </c>
      <c r="B69" s="259">
        <v>24</v>
      </c>
      <c r="C69" s="167" t="s">
        <v>225</v>
      </c>
      <c r="D69" s="259" t="s">
        <v>173</v>
      </c>
      <c r="E69" s="287" t="s">
        <v>6568</v>
      </c>
      <c r="F69" s="39" t="str">
        <f t="shared" si="14"/>
        <v>Licitación Pública</v>
      </c>
      <c r="G69" s="39"/>
      <c r="H69" s="287" t="s">
        <v>3785</v>
      </c>
      <c r="I69" s="81" t="s">
        <v>6529</v>
      </c>
      <c r="J69" s="1046"/>
      <c r="K69" s="1046"/>
      <c r="L69" s="1046"/>
      <c r="M69" s="1046" t="str">
        <f t="shared" si="2"/>
        <v xml:space="preserve">Grupo Antda S.A. de C.V.  </v>
      </c>
      <c r="N69" s="1058" t="s">
        <v>198</v>
      </c>
      <c r="O69" s="430" t="s">
        <v>198</v>
      </c>
      <c r="P69" s="430" t="s">
        <v>6569</v>
      </c>
      <c r="Q69" s="1040" t="s">
        <v>6584</v>
      </c>
      <c r="R69" s="1047">
        <v>387195</v>
      </c>
      <c r="S69" s="270">
        <f t="shared" si="13"/>
        <v>61951.200000000004</v>
      </c>
      <c r="T69" s="1048">
        <f t="shared" si="15"/>
        <v>449146.2</v>
      </c>
      <c r="U69" s="1047">
        <v>158100</v>
      </c>
      <c r="V69" s="270">
        <f t="shared" si="16"/>
        <v>183396</v>
      </c>
      <c r="W69" s="1041">
        <f t="shared" si="17"/>
        <v>449146.2</v>
      </c>
      <c r="X69" s="993" t="s">
        <v>156</v>
      </c>
      <c r="Y69" s="59">
        <v>45419</v>
      </c>
      <c r="Z69" s="39" t="s">
        <v>559</v>
      </c>
      <c r="AA69" s="59">
        <v>45419</v>
      </c>
      <c r="AB69" s="59">
        <v>45611</v>
      </c>
      <c r="AC69" s="38" t="s">
        <v>3113</v>
      </c>
      <c r="AD69" s="53"/>
      <c r="AE69" s="38"/>
      <c r="AF69" s="256"/>
      <c r="AG69" s="270">
        <v>0</v>
      </c>
      <c r="AH69" s="163" t="str">
        <f t="shared" ca="1" si="5"/>
        <v>MUERTO</v>
      </c>
      <c r="AI69" s="39" t="s">
        <v>6571</v>
      </c>
      <c r="AJ69" s="39"/>
      <c r="AK69" s="39" t="s">
        <v>6572</v>
      </c>
      <c r="AL69" s="39"/>
      <c r="AM69" s="39" t="s">
        <v>6572</v>
      </c>
      <c r="AN69" s="39"/>
      <c r="AO69" s="39"/>
      <c r="AP69" s="38" t="e">
        <f>VLOOKUP(I69,'[4] RFC'!A:B,2,0)</f>
        <v>#N/A</v>
      </c>
      <c r="AQ69" s="59">
        <v>45415</v>
      </c>
      <c r="AR69" s="59">
        <v>45418</v>
      </c>
      <c r="AS69" s="59">
        <v>45420</v>
      </c>
      <c r="AT69" s="59">
        <f t="shared" si="6"/>
        <v>45419</v>
      </c>
      <c r="AU69" s="183">
        <v>45434</v>
      </c>
      <c r="AV69" s="195">
        <v>45428</v>
      </c>
      <c r="AW69" s="185">
        <v>45426</v>
      </c>
    </row>
    <row r="70" spans="1:49" ht="105" hidden="1" x14ac:dyDescent="0.25">
      <c r="A70" s="196" t="s">
        <v>6585</v>
      </c>
      <c r="B70" s="259">
        <v>24</v>
      </c>
      <c r="C70" s="167" t="s">
        <v>225</v>
      </c>
      <c r="D70" s="259" t="s">
        <v>173</v>
      </c>
      <c r="E70" s="287" t="s">
        <v>6586</v>
      </c>
      <c r="F70" s="39" t="str">
        <f t="shared" si="14"/>
        <v>Licitación Pública</v>
      </c>
      <c r="G70" s="39"/>
      <c r="H70" s="287" t="s">
        <v>3785</v>
      </c>
      <c r="I70" s="81" t="s">
        <v>6529</v>
      </c>
      <c r="J70" s="1046"/>
      <c r="K70" s="1046"/>
      <c r="L70" s="1046"/>
      <c r="M70" s="1046" t="str">
        <f t="shared" si="2"/>
        <v xml:space="preserve">Grupo Antda S.A. de C.V.  </v>
      </c>
      <c r="N70" s="1058" t="s">
        <v>198</v>
      </c>
      <c r="O70" s="430" t="s">
        <v>198</v>
      </c>
      <c r="P70" s="430" t="s">
        <v>6569</v>
      </c>
      <c r="Q70" s="1040" t="s">
        <v>6584</v>
      </c>
      <c r="R70" s="1047">
        <v>401879.03999999998</v>
      </c>
      <c r="S70" s="270">
        <f t="shared" si="13"/>
        <v>64300.646399999998</v>
      </c>
      <c r="T70" s="1048">
        <f t="shared" si="15"/>
        <v>466179.68640000001</v>
      </c>
      <c r="U70" s="1047">
        <v>158100</v>
      </c>
      <c r="V70" s="270">
        <f t="shared" si="16"/>
        <v>183396</v>
      </c>
      <c r="W70" s="1041">
        <f t="shared" si="17"/>
        <v>466179.68640000001</v>
      </c>
      <c r="X70" s="993" t="s">
        <v>156</v>
      </c>
      <c r="Y70" s="59">
        <v>45601</v>
      </c>
      <c r="Z70" s="39" t="s">
        <v>892</v>
      </c>
      <c r="AA70" s="59">
        <v>45419</v>
      </c>
      <c r="AB70" s="59">
        <v>45646</v>
      </c>
      <c r="AC70" s="38" t="s">
        <v>3113</v>
      </c>
      <c r="AD70" s="53" t="s">
        <v>6576</v>
      </c>
      <c r="AE70" s="38"/>
      <c r="AF70" s="256"/>
      <c r="AG70" s="270"/>
      <c r="AH70" s="163" t="str">
        <f t="shared" ca="1" si="5"/>
        <v>MUERTO</v>
      </c>
      <c r="AI70" s="39" t="s">
        <v>6571</v>
      </c>
      <c r="AJ70" s="39"/>
      <c r="AK70" s="39" t="s">
        <v>2728</v>
      </c>
      <c r="AL70" s="39"/>
      <c r="AM70" s="39" t="s">
        <v>2728</v>
      </c>
      <c r="AN70" s="39"/>
      <c r="AO70" s="39"/>
      <c r="AP70" s="38" t="e">
        <f>VLOOKUP(I70,'[4] RFC'!A:B,2,0)</f>
        <v>#N/A</v>
      </c>
      <c r="AQ70" s="59">
        <v>45583</v>
      </c>
      <c r="AR70" s="59">
        <v>45594</v>
      </c>
      <c r="AS70" s="59">
        <v>45603</v>
      </c>
      <c r="AT70" s="59"/>
      <c r="AU70" s="183">
        <v>45629</v>
      </c>
      <c r="AV70" s="195">
        <v>45601</v>
      </c>
      <c r="AW70" s="185">
        <v>45610</v>
      </c>
    </row>
    <row r="71" spans="1:49" ht="105" hidden="1" x14ac:dyDescent="0.25">
      <c r="A71" s="248" t="s">
        <v>6587</v>
      </c>
      <c r="B71" s="259">
        <v>25</v>
      </c>
      <c r="C71" s="167" t="s">
        <v>225</v>
      </c>
      <c r="D71" s="259" t="s">
        <v>173</v>
      </c>
      <c r="E71" s="287" t="s">
        <v>6568</v>
      </c>
      <c r="F71" s="39" t="str">
        <f t="shared" si="14"/>
        <v>Licitación Pública</v>
      </c>
      <c r="G71" s="39"/>
      <c r="H71" s="287" t="s">
        <v>3785</v>
      </c>
      <c r="I71" s="81"/>
      <c r="J71" s="1046" t="s">
        <v>6534</v>
      </c>
      <c r="K71" s="1046" t="s">
        <v>6535</v>
      </c>
      <c r="L71" s="1046" t="s">
        <v>6536</v>
      </c>
      <c r="M71" s="1046" t="str">
        <f t="shared" si="2"/>
        <v>Brenda  Rojas  Arada</v>
      </c>
      <c r="N71" s="991" t="s">
        <v>198</v>
      </c>
      <c r="O71" s="300" t="s">
        <v>198</v>
      </c>
      <c r="P71" s="300" t="s">
        <v>6569</v>
      </c>
      <c r="Q71" s="1040" t="s">
        <v>6588</v>
      </c>
      <c r="R71" s="1047">
        <v>127230</v>
      </c>
      <c r="S71" s="270">
        <f t="shared" si="13"/>
        <v>20356.8</v>
      </c>
      <c r="T71" s="1048">
        <f t="shared" si="15"/>
        <v>147586.79999999999</v>
      </c>
      <c r="U71" s="1047">
        <v>50892</v>
      </c>
      <c r="V71" s="270">
        <f t="shared" si="16"/>
        <v>59034.720000000001</v>
      </c>
      <c r="W71" s="1041">
        <f t="shared" si="17"/>
        <v>147586.79999999999</v>
      </c>
      <c r="X71" s="993" t="s">
        <v>156</v>
      </c>
      <c r="Y71" s="59">
        <v>45419</v>
      </c>
      <c r="Z71" s="39" t="s">
        <v>559</v>
      </c>
      <c r="AA71" s="59">
        <v>45419</v>
      </c>
      <c r="AB71" s="59">
        <v>45611</v>
      </c>
      <c r="AC71" s="38" t="s">
        <v>3113</v>
      </c>
      <c r="AD71" s="53"/>
      <c r="AE71" s="38"/>
      <c r="AF71" s="256"/>
      <c r="AG71" s="270">
        <v>0</v>
      </c>
      <c r="AH71" s="163" t="str">
        <f t="shared" ca="1" si="5"/>
        <v>MUERTO</v>
      </c>
      <c r="AI71" s="39" t="s">
        <v>6571</v>
      </c>
      <c r="AJ71" s="39"/>
      <c r="AK71" s="39" t="s">
        <v>6572</v>
      </c>
      <c r="AL71" s="39"/>
      <c r="AM71" s="39" t="s">
        <v>6572</v>
      </c>
      <c r="AN71" s="39"/>
      <c r="AO71" s="39"/>
      <c r="AP71" s="38" t="e">
        <f>VLOOKUP(I71,'[4] RFC'!A:B,2,0)</f>
        <v>#N/A</v>
      </c>
      <c r="AQ71" s="59">
        <v>45415</v>
      </c>
      <c r="AR71" s="59">
        <v>45418</v>
      </c>
      <c r="AS71" s="59">
        <v>45420</v>
      </c>
      <c r="AT71" s="59">
        <f t="shared" si="6"/>
        <v>45419</v>
      </c>
      <c r="AU71" s="183">
        <v>45435</v>
      </c>
      <c r="AV71" s="195">
        <v>45433</v>
      </c>
      <c r="AW71" s="185">
        <v>45428</v>
      </c>
    </row>
    <row r="72" spans="1:49" ht="75" hidden="1" x14ac:dyDescent="0.25">
      <c r="A72" s="248" t="s">
        <v>6589</v>
      </c>
      <c r="B72" s="259">
        <v>26</v>
      </c>
      <c r="C72" s="167" t="s">
        <v>225</v>
      </c>
      <c r="D72" s="259" t="s">
        <v>173</v>
      </c>
      <c r="E72" s="287" t="s">
        <v>6590</v>
      </c>
      <c r="F72" s="39" t="str">
        <f t="shared" si="14"/>
        <v>Licitación Pública</v>
      </c>
      <c r="G72" s="39"/>
      <c r="H72" s="39" t="s">
        <v>3785</v>
      </c>
      <c r="I72" s="81"/>
      <c r="J72" s="1046" t="s">
        <v>4524</v>
      </c>
      <c r="K72" s="1046" t="s">
        <v>467</v>
      </c>
      <c r="L72" s="1046" t="s">
        <v>4525</v>
      </c>
      <c r="M72" s="1046" t="str">
        <f t="shared" si="2"/>
        <v>Miguel Ángel Gutiérrez Gil</v>
      </c>
      <c r="N72" s="991" t="s">
        <v>198</v>
      </c>
      <c r="O72" s="300" t="s">
        <v>198</v>
      </c>
      <c r="P72" s="300" t="s">
        <v>6591</v>
      </c>
      <c r="Q72" s="1040" t="s">
        <v>6592</v>
      </c>
      <c r="R72" s="1047">
        <v>2398140</v>
      </c>
      <c r="S72" s="270">
        <f t="shared" si="13"/>
        <v>383702.4</v>
      </c>
      <c r="T72" s="1048">
        <f t="shared" si="15"/>
        <v>2781842.4</v>
      </c>
      <c r="U72" s="1047">
        <v>0</v>
      </c>
      <c r="V72" s="270">
        <f t="shared" si="16"/>
        <v>0</v>
      </c>
      <c r="W72" s="1041">
        <f t="shared" si="17"/>
        <v>2781842.4</v>
      </c>
      <c r="X72" s="993" t="s">
        <v>156</v>
      </c>
      <c r="Y72" s="59">
        <v>45495</v>
      </c>
      <c r="Z72" s="39" t="s">
        <v>696</v>
      </c>
      <c r="AA72" s="59">
        <v>45495</v>
      </c>
      <c r="AB72" s="59">
        <v>45519</v>
      </c>
      <c r="AC72" s="38" t="s">
        <v>3113</v>
      </c>
      <c r="AD72" s="53"/>
      <c r="AE72" s="38"/>
      <c r="AF72" s="256"/>
      <c r="AG72" s="270">
        <v>0</v>
      </c>
      <c r="AH72" s="163" t="str">
        <f t="shared" ca="1" si="5"/>
        <v>MUERTO</v>
      </c>
      <c r="AI72" s="39" t="s">
        <v>6593</v>
      </c>
      <c r="AJ72" s="39"/>
      <c r="AK72" s="39" t="s">
        <v>3813</v>
      </c>
      <c r="AL72" s="39"/>
      <c r="AM72" s="39" t="s">
        <v>3813</v>
      </c>
      <c r="AN72" s="39"/>
      <c r="AO72" s="39"/>
      <c r="AP72" s="38" t="e">
        <f>VLOOKUP(I72,'[4] RFC'!A:B,2,0)</f>
        <v>#N/A</v>
      </c>
      <c r="AQ72" s="59">
        <v>45490</v>
      </c>
      <c r="AR72" s="59">
        <v>45491</v>
      </c>
      <c r="AS72" s="59">
        <v>45495</v>
      </c>
      <c r="AT72" s="59">
        <f t="shared" si="6"/>
        <v>45495</v>
      </c>
      <c r="AU72" s="183">
        <v>45512</v>
      </c>
      <c r="AV72" s="195">
        <v>45497</v>
      </c>
      <c r="AW72" s="185">
        <v>45495</v>
      </c>
    </row>
    <row r="73" spans="1:49" ht="45" hidden="1" x14ac:dyDescent="0.25">
      <c r="A73" s="248" t="s">
        <v>6594</v>
      </c>
      <c r="B73" s="259">
        <v>27</v>
      </c>
      <c r="C73" s="167" t="s">
        <v>225</v>
      </c>
      <c r="D73" s="259" t="s">
        <v>173</v>
      </c>
      <c r="E73" s="287" t="s">
        <v>6595</v>
      </c>
      <c r="F73" s="39" t="str">
        <f t="shared" si="14"/>
        <v>Licitación Pública</v>
      </c>
      <c r="G73" s="39"/>
      <c r="H73" s="39" t="s">
        <v>3785</v>
      </c>
      <c r="I73" s="81" t="s">
        <v>6596</v>
      </c>
      <c r="J73" s="1046"/>
      <c r="K73" s="1046"/>
      <c r="L73" s="1046"/>
      <c r="M73" s="1046" t="str">
        <f t="shared" si="2"/>
        <v xml:space="preserve">DRPQ, S.A DE C.V.  </v>
      </c>
      <c r="N73" s="991" t="s">
        <v>656</v>
      </c>
      <c r="O73" s="991" t="s">
        <v>6597</v>
      </c>
      <c r="P73" s="991" t="s">
        <v>6598</v>
      </c>
      <c r="Q73" s="1040" t="s">
        <v>6599</v>
      </c>
      <c r="R73" s="1047">
        <v>2624694</v>
      </c>
      <c r="S73" s="270">
        <f>R73*0.16</f>
        <v>419951.04000000004</v>
      </c>
      <c r="T73" s="1048">
        <f t="shared" si="15"/>
        <v>3044645.04</v>
      </c>
      <c r="U73" s="1047">
        <v>0</v>
      </c>
      <c r="V73" s="270">
        <f t="shared" si="16"/>
        <v>0</v>
      </c>
      <c r="W73" s="1041">
        <f t="shared" si="17"/>
        <v>3044645.04</v>
      </c>
      <c r="X73" s="993" t="s">
        <v>156</v>
      </c>
      <c r="Y73" s="59">
        <v>45504</v>
      </c>
      <c r="Z73" s="39" t="s">
        <v>696</v>
      </c>
      <c r="AA73" s="59">
        <v>45504</v>
      </c>
      <c r="AB73" s="59">
        <v>45626</v>
      </c>
      <c r="AC73" s="38" t="s">
        <v>6600</v>
      </c>
      <c r="AD73" s="53"/>
      <c r="AE73" s="38"/>
      <c r="AF73" s="256"/>
      <c r="AG73" s="270">
        <v>0</v>
      </c>
      <c r="AH73" s="163" t="str">
        <f t="shared" ca="1" si="5"/>
        <v>MUERTO</v>
      </c>
      <c r="AI73" s="39" t="s">
        <v>6601</v>
      </c>
      <c r="AJ73" s="39"/>
      <c r="AK73" s="39" t="s">
        <v>3813</v>
      </c>
      <c r="AL73" s="39"/>
      <c r="AM73" s="39" t="s">
        <v>3813</v>
      </c>
      <c r="AN73" s="39"/>
      <c r="AO73" s="39"/>
      <c r="AP73" s="38" t="e">
        <f>VLOOKUP(I73,'[4] RFC'!A:B,2,0)</f>
        <v>#N/A</v>
      </c>
      <c r="AQ73" s="59">
        <v>45499</v>
      </c>
      <c r="AR73" s="59">
        <v>45503</v>
      </c>
      <c r="AS73" s="59">
        <v>45504</v>
      </c>
      <c r="AT73" s="59">
        <f t="shared" si="6"/>
        <v>45504</v>
      </c>
      <c r="AU73" s="183">
        <v>45530</v>
      </c>
      <c r="AV73" s="195">
        <v>45516</v>
      </c>
      <c r="AW73" s="185">
        <v>45512</v>
      </c>
    </row>
    <row r="74" spans="1:49" ht="60" hidden="1" x14ac:dyDescent="0.25">
      <c r="A74" s="714" t="s">
        <v>6602</v>
      </c>
      <c r="B74" s="259">
        <v>27</v>
      </c>
      <c r="C74" s="167" t="s">
        <v>6303</v>
      </c>
      <c r="D74" s="259" t="s">
        <v>6303</v>
      </c>
      <c r="E74" s="287" t="s">
        <v>6603</v>
      </c>
      <c r="F74" s="39" t="s">
        <v>6307</v>
      </c>
      <c r="G74" s="39"/>
      <c r="H74" s="39" t="s">
        <v>6308</v>
      </c>
      <c r="I74" s="81" t="s">
        <v>6596</v>
      </c>
      <c r="J74" s="1046"/>
      <c r="K74" s="1046"/>
      <c r="L74" s="1046"/>
      <c r="M74" s="1046" t="str">
        <f t="shared" si="2"/>
        <v xml:space="preserve">DRPQ, S.A DE C.V.  </v>
      </c>
      <c r="N74" s="991" t="s">
        <v>656</v>
      </c>
      <c r="O74" s="991" t="s">
        <v>6597</v>
      </c>
      <c r="P74" s="991" t="s">
        <v>6598</v>
      </c>
      <c r="Q74" s="1040" t="s">
        <v>6599</v>
      </c>
      <c r="R74" s="1047">
        <v>2624694</v>
      </c>
      <c r="S74" s="270">
        <f>R74*0.16</f>
        <v>419951.04000000004</v>
      </c>
      <c r="T74" s="1048">
        <f t="shared" si="15"/>
        <v>3044645.04</v>
      </c>
      <c r="U74" s="1047">
        <v>0</v>
      </c>
      <c r="V74" s="270">
        <f t="shared" si="16"/>
        <v>0</v>
      </c>
      <c r="W74" s="1041">
        <f t="shared" si="17"/>
        <v>3044645.04</v>
      </c>
      <c r="X74" s="993" t="s">
        <v>156</v>
      </c>
      <c r="Y74" s="59">
        <v>45537</v>
      </c>
      <c r="Z74" s="39" t="s">
        <v>863</v>
      </c>
      <c r="AA74" s="59">
        <v>45504</v>
      </c>
      <c r="AB74" s="59">
        <v>45626</v>
      </c>
      <c r="AC74" s="38" t="s">
        <v>6600</v>
      </c>
      <c r="AD74" s="53" t="s">
        <v>6604</v>
      </c>
      <c r="AE74" s="38"/>
      <c r="AF74" s="256"/>
      <c r="AG74" s="270">
        <v>0</v>
      </c>
      <c r="AH74" s="163" t="str">
        <f t="shared" ca="1" si="5"/>
        <v>MUERTO</v>
      </c>
      <c r="AI74" s="39" t="s">
        <v>6601</v>
      </c>
      <c r="AJ74" s="39"/>
      <c r="AK74" s="39"/>
      <c r="AL74" s="39"/>
      <c r="AM74" s="39"/>
      <c r="AN74" s="39"/>
      <c r="AO74" s="39"/>
      <c r="AP74" s="38" t="e">
        <f>VLOOKUP(I74,'[4] RFC'!A:B,2,0)</f>
        <v>#N/A</v>
      </c>
      <c r="AQ74" s="59">
        <v>45530</v>
      </c>
      <c r="AR74" s="59">
        <v>45534</v>
      </c>
      <c r="AS74" s="59">
        <v>45537</v>
      </c>
      <c r="AT74" s="59">
        <f t="shared" si="6"/>
        <v>45537</v>
      </c>
      <c r="AU74" s="183">
        <v>45646</v>
      </c>
      <c r="AV74" s="195">
        <v>45547</v>
      </c>
      <c r="AW74" s="185">
        <v>45547</v>
      </c>
    </row>
    <row r="75" spans="1:49" ht="75" hidden="1" x14ac:dyDescent="0.25">
      <c r="A75" s="248" t="s">
        <v>6605</v>
      </c>
      <c r="B75" s="259">
        <v>28</v>
      </c>
      <c r="C75" s="167" t="s">
        <v>225</v>
      </c>
      <c r="D75" s="259" t="s">
        <v>163</v>
      </c>
      <c r="E75" s="287" t="s">
        <v>6606</v>
      </c>
      <c r="F75" s="39" t="str">
        <f t="shared" si="14"/>
        <v>Adjudicación Directa</v>
      </c>
      <c r="G75" s="39"/>
      <c r="H75" s="63" t="s">
        <v>4030</v>
      </c>
      <c r="I75" s="81" t="s">
        <v>6607</v>
      </c>
      <c r="J75" s="1060"/>
      <c r="K75" s="1060"/>
      <c r="L75" s="1060"/>
      <c r="M75" s="1060" t="str">
        <f t="shared" si="2"/>
        <v xml:space="preserve">Johnson Controls BTS México S.A de C.V  </v>
      </c>
      <c r="N75" s="991" t="s">
        <v>198</v>
      </c>
      <c r="O75" s="300" t="s">
        <v>198</v>
      </c>
      <c r="P75" s="300" t="s">
        <v>6608</v>
      </c>
      <c r="Q75" s="1040" t="s">
        <v>6609</v>
      </c>
      <c r="R75" s="1047">
        <v>1450953.49</v>
      </c>
      <c r="S75" s="270">
        <f>R75*0.16</f>
        <v>232152.55840000001</v>
      </c>
      <c r="T75" s="1048">
        <f t="shared" si="15"/>
        <v>1683106.0484</v>
      </c>
      <c r="U75" s="1047">
        <v>0</v>
      </c>
      <c r="V75" s="270">
        <v>0</v>
      </c>
      <c r="W75" s="1041">
        <f t="shared" si="17"/>
        <v>1683106.0484</v>
      </c>
      <c r="X75" s="993" t="s">
        <v>156</v>
      </c>
      <c r="Y75" s="59">
        <v>45509</v>
      </c>
      <c r="Z75" s="39" t="s">
        <v>815</v>
      </c>
      <c r="AA75" s="59">
        <v>45509</v>
      </c>
      <c r="AB75" s="59">
        <v>45626</v>
      </c>
      <c r="AC75" s="38" t="s">
        <v>4717</v>
      </c>
      <c r="AD75" s="53"/>
      <c r="AE75" s="38"/>
      <c r="AF75" s="256"/>
      <c r="AG75" s="270"/>
      <c r="AH75" s="163" t="str">
        <f t="shared" ca="1" si="5"/>
        <v>MUERTO</v>
      </c>
      <c r="AI75" s="39"/>
      <c r="AJ75" s="39"/>
      <c r="AK75" s="39"/>
      <c r="AL75" s="39"/>
      <c r="AM75" s="39" t="s">
        <v>815</v>
      </c>
      <c r="AN75" s="39"/>
      <c r="AO75" s="39"/>
      <c r="AP75" s="38" t="e">
        <f>VLOOKUP(I75,'[4] RFC'!A:B,2,0)</f>
        <v>#N/A</v>
      </c>
      <c r="AQ75" s="59">
        <v>45499</v>
      </c>
      <c r="AR75" s="59">
        <v>45504</v>
      </c>
      <c r="AS75" s="59">
        <v>45505</v>
      </c>
      <c r="AT75" s="59">
        <f t="shared" si="6"/>
        <v>45509</v>
      </c>
      <c r="AU75" s="183" t="s">
        <v>6610</v>
      </c>
      <c r="AV75" s="195">
        <v>45519</v>
      </c>
      <c r="AW75" s="185">
        <v>45517</v>
      </c>
    </row>
    <row r="76" spans="1:49" ht="73.5" hidden="1" customHeight="1" x14ac:dyDescent="0.25">
      <c r="A76" s="248" t="s">
        <v>6611</v>
      </c>
      <c r="B76" s="259">
        <v>29</v>
      </c>
      <c r="C76" s="167" t="s">
        <v>225</v>
      </c>
      <c r="D76" s="259" t="s">
        <v>163</v>
      </c>
      <c r="E76" s="287" t="s">
        <v>6612</v>
      </c>
      <c r="F76" s="39" t="str">
        <f>D76</f>
        <v>Adjudicación Directa</v>
      </c>
      <c r="G76" s="39"/>
      <c r="H76" s="39" t="s">
        <v>6613</v>
      </c>
      <c r="I76" s="81" t="s">
        <v>1401</v>
      </c>
      <c r="J76" s="1046"/>
      <c r="K76" s="1046"/>
      <c r="L76" s="1046"/>
      <c r="M76" s="1046" t="str">
        <f t="shared" si="2"/>
        <v xml:space="preserve">Servicios Broxel, S.A.P.I. de C.V.  </v>
      </c>
      <c r="N76" s="991" t="s">
        <v>370</v>
      </c>
      <c r="O76" s="991" t="s">
        <v>6614</v>
      </c>
      <c r="P76" s="991" t="s">
        <v>6615</v>
      </c>
      <c r="Q76" s="1040" t="s">
        <v>6616</v>
      </c>
      <c r="R76" s="1047">
        <v>7151160</v>
      </c>
      <c r="S76" s="270">
        <v>0</v>
      </c>
      <c r="T76" s="1048">
        <f>R76+S76</f>
        <v>7151160</v>
      </c>
      <c r="U76" s="1047">
        <v>0</v>
      </c>
      <c r="V76" s="270">
        <f>(U76*0.16)+(U76)</f>
        <v>0</v>
      </c>
      <c r="W76" s="1041">
        <f>T76+AG76</f>
        <v>7151160</v>
      </c>
      <c r="X76" s="993" t="s">
        <v>156</v>
      </c>
      <c r="Y76" s="59">
        <v>45527</v>
      </c>
      <c r="Z76" s="39" t="s">
        <v>815</v>
      </c>
      <c r="AA76" s="59">
        <v>45527</v>
      </c>
      <c r="AB76" s="59">
        <v>45657</v>
      </c>
      <c r="AC76" s="38" t="s">
        <v>6617</v>
      </c>
      <c r="AD76" s="53"/>
      <c r="AE76" s="38"/>
      <c r="AF76" s="256"/>
      <c r="AG76" s="270">
        <v>0</v>
      </c>
      <c r="AH76" s="163" t="str">
        <f t="shared" ca="1" si="5"/>
        <v>MUERTO</v>
      </c>
      <c r="AI76" s="39"/>
      <c r="AJ76" s="39"/>
      <c r="AK76" s="39"/>
      <c r="AL76" s="39"/>
      <c r="AM76" s="39" t="s">
        <v>815</v>
      </c>
      <c r="AN76" s="39"/>
      <c r="AO76" s="39"/>
      <c r="AP76" s="38" t="e">
        <f>VLOOKUP(I76,'[4] RFC'!A:B,2,0)</f>
        <v>#N/A</v>
      </c>
      <c r="AQ76" s="59">
        <v>45524</v>
      </c>
      <c r="AR76" s="59">
        <v>45525</v>
      </c>
      <c r="AS76" s="59">
        <v>45526</v>
      </c>
      <c r="AT76" s="59">
        <f t="shared" si="6"/>
        <v>45527</v>
      </c>
      <c r="AU76" s="183">
        <v>45544</v>
      </c>
      <c r="AV76" s="195"/>
      <c r="AW76" s="185">
        <v>45538</v>
      </c>
    </row>
    <row r="77" spans="1:49" ht="75" hidden="1" x14ac:dyDescent="0.25">
      <c r="A77" s="248" t="s">
        <v>6618</v>
      </c>
      <c r="B77" s="259">
        <v>30</v>
      </c>
      <c r="C77" s="167" t="s">
        <v>225</v>
      </c>
      <c r="D77" s="259" t="s">
        <v>173</v>
      </c>
      <c r="E77" s="287" t="s">
        <v>6619</v>
      </c>
      <c r="F77" s="39" t="str">
        <f>D77</f>
        <v>Licitación Pública</v>
      </c>
      <c r="G77" s="39"/>
      <c r="H77" s="39" t="s">
        <v>3785</v>
      </c>
      <c r="I77" s="81" t="s">
        <v>6620</v>
      </c>
      <c r="J77" s="1046"/>
      <c r="K77" s="1046"/>
      <c r="L77" s="1046"/>
      <c r="M77" s="1046" t="str">
        <f t="shared" si="2"/>
        <v xml:space="preserve">Siselectron, S.A. de C.V.  </v>
      </c>
      <c r="N77" s="991" t="s">
        <v>6621</v>
      </c>
      <c r="O77" s="991" t="s">
        <v>6622</v>
      </c>
      <c r="P77" s="991"/>
      <c r="Q77" s="1040" t="s">
        <v>6623</v>
      </c>
      <c r="R77" s="1047">
        <v>1936776.31</v>
      </c>
      <c r="S77" s="270">
        <f>R77*0.16</f>
        <v>309884.2096</v>
      </c>
      <c r="T77" s="1048">
        <f>R77+S77</f>
        <v>2246660.5196000002</v>
      </c>
      <c r="U77" s="1047">
        <v>0</v>
      </c>
      <c r="V77" s="270">
        <f>(U77*0.16)+(U77)</f>
        <v>0</v>
      </c>
      <c r="W77" s="1041">
        <f>T77+AG77</f>
        <v>2246660.5196000002</v>
      </c>
      <c r="X77" s="993" t="s">
        <v>156</v>
      </c>
      <c r="Y77" s="59">
        <v>45538</v>
      </c>
      <c r="Z77" s="39" t="s">
        <v>863</v>
      </c>
      <c r="AA77" s="59">
        <v>45538</v>
      </c>
      <c r="AB77" s="59">
        <v>45622</v>
      </c>
      <c r="AC77" s="38" t="s">
        <v>3113</v>
      </c>
      <c r="AD77" s="53"/>
      <c r="AE77" s="38"/>
      <c r="AF77" s="256"/>
      <c r="AG77" s="270">
        <v>0</v>
      </c>
      <c r="AH77" s="163" t="str">
        <f t="shared" ca="1" si="5"/>
        <v>MUERTO</v>
      </c>
      <c r="AI77" s="39" t="s">
        <v>6624</v>
      </c>
      <c r="AJ77" s="39"/>
      <c r="AK77" s="39"/>
      <c r="AL77" s="39"/>
      <c r="AM77" s="39" t="s">
        <v>863</v>
      </c>
      <c r="AN77" s="39"/>
      <c r="AO77" s="39"/>
      <c r="AP77" s="38" t="e">
        <f>VLOOKUP(I77,'[4] RFC'!A:B,2,0)</f>
        <v>#N/A</v>
      </c>
      <c r="AQ77" s="59">
        <v>45533</v>
      </c>
      <c r="AR77" s="59">
        <v>45534</v>
      </c>
      <c r="AS77" s="59">
        <v>45538</v>
      </c>
      <c r="AT77" s="59">
        <f t="shared" si="6"/>
        <v>45538</v>
      </c>
      <c r="AU77" s="183"/>
      <c r="AV77" s="195"/>
      <c r="AW77" s="185"/>
    </row>
    <row r="78" spans="1:49" ht="45" hidden="1" x14ac:dyDescent="0.25">
      <c r="A78" s="248" t="s">
        <v>6625</v>
      </c>
      <c r="B78" s="259">
        <v>1</v>
      </c>
      <c r="C78" s="167" t="s">
        <v>149</v>
      </c>
      <c r="D78" s="259" t="s">
        <v>151</v>
      </c>
      <c r="E78" s="287" t="s">
        <v>6626</v>
      </c>
      <c r="F78" s="39" t="str">
        <f t="shared" si="7"/>
        <v>Invitación</v>
      </c>
      <c r="G78" s="39"/>
      <c r="H78" s="39" t="s">
        <v>3793</v>
      </c>
      <c r="I78" s="81" t="s">
        <v>3138</v>
      </c>
      <c r="J78" s="267"/>
      <c r="K78" s="267"/>
      <c r="L78" s="267"/>
      <c r="M78" s="1060" t="str">
        <f t="shared" si="2"/>
        <v xml:space="preserve">Servipro de México, S.A. de C.V.  </v>
      </c>
      <c r="N78" s="991" t="s">
        <v>198</v>
      </c>
      <c r="O78" s="991" t="s">
        <v>198</v>
      </c>
      <c r="P78" s="991" t="s">
        <v>6627</v>
      </c>
      <c r="Q78" s="1040" t="s">
        <v>6017</v>
      </c>
      <c r="R78" s="1047">
        <v>793103.45</v>
      </c>
      <c r="S78" s="270">
        <f t="shared" si="8"/>
        <v>126896.552</v>
      </c>
      <c r="T78" s="1048">
        <f t="shared" si="3"/>
        <v>920000.00199999998</v>
      </c>
      <c r="U78" s="1047">
        <v>721711.77</v>
      </c>
      <c r="V78" s="270">
        <f>(U78*0.16)+(U78)</f>
        <v>837185.65320000006</v>
      </c>
      <c r="W78" s="1041">
        <f t="shared" si="4"/>
        <v>920000.00199999998</v>
      </c>
      <c r="X78" s="993" t="s">
        <v>156</v>
      </c>
      <c r="Y78" s="59">
        <v>45293</v>
      </c>
      <c r="Z78" s="39" t="s">
        <v>157</v>
      </c>
      <c r="AA78" s="59">
        <v>45292</v>
      </c>
      <c r="AB78" s="59">
        <v>45657</v>
      </c>
      <c r="AC78" s="38" t="s">
        <v>4717</v>
      </c>
      <c r="AD78" s="53"/>
      <c r="AE78" s="38"/>
      <c r="AF78" s="256"/>
      <c r="AG78" s="270">
        <v>0</v>
      </c>
      <c r="AH78" s="163" t="str">
        <f t="shared" ca="1" si="5"/>
        <v>MUERTO</v>
      </c>
      <c r="AI78" s="39">
        <v>35901</v>
      </c>
      <c r="AJ78" s="39"/>
      <c r="AK78" s="39" t="s">
        <v>6431</v>
      </c>
      <c r="AL78" s="39"/>
      <c r="AM78" s="39" t="s">
        <v>6431</v>
      </c>
      <c r="AN78" s="39"/>
      <c r="AO78" s="39"/>
      <c r="AP78" s="38" t="str">
        <f>VLOOKUP(I78,'[4] RFC'!A:B,2,0)</f>
        <v>SME910904AE2</v>
      </c>
      <c r="AQ78" s="59">
        <v>45224</v>
      </c>
      <c r="AR78" s="59">
        <v>45225</v>
      </c>
      <c r="AS78" s="59">
        <v>45238</v>
      </c>
      <c r="AT78" s="59">
        <f t="shared" si="6"/>
        <v>45293</v>
      </c>
      <c r="AU78" s="183">
        <v>45323</v>
      </c>
      <c r="AV78" s="195">
        <v>45294</v>
      </c>
      <c r="AW78" s="185">
        <v>45244</v>
      </c>
    </row>
    <row r="79" spans="1:49" ht="60" hidden="1" x14ac:dyDescent="0.25">
      <c r="A79" s="248" t="s">
        <v>6628</v>
      </c>
      <c r="B79" s="259">
        <v>2</v>
      </c>
      <c r="C79" s="167" t="s">
        <v>149</v>
      </c>
      <c r="D79" s="259" t="s">
        <v>173</v>
      </c>
      <c r="E79" s="287" t="s">
        <v>6629</v>
      </c>
      <c r="F79" s="39" t="str">
        <f t="shared" si="7"/>
        <v>Licitación Pública</v>
      </c>
      <c r="G79" s="39"/>
      <c r="H79" s="39" t="s">
        <v>3785</v>
      </c>
      <c r="I79" s="81" t="s">
        <v>4199</v>
      </c>
      <c r="J79" s="17"/>
      <c r="K79" s="17"/>
      <c r="L79" s="17"/>
      <c r="M79" s="1060" t="str">
        <f t="shared" si="2"/>
        <v xml:space="preserve">TVMDIGITAL, S. DE R.L. DE C.V.  </v>
      </c>
      <c r="N79" s="1060" t="s">
        <v>656</v>
      </c>
      <c r="O79" s="991" t="s">
        <v>667</v>
      </c>
      <c r="P79" s="991" t="s">
        <v>5368</v>
      </c>
      <c r="Q79" s="1040" t="s">
        <v>6630</v>
      </c>
      <c r="R79" s="1047">
        <v>1551724.14</v>
      </c>
      <c r="S79" s="270">
        <f t="shared" si="8"/>
        <v>248275.86239999998</v>
      </c>
      <c r="T79" s="1048">
        <f t="shared" si="3"/>
        <v>1800000.0023999999</v>
      </c>
      <c r="U79" s="1047">
        <v>500000</v>
      </c>
      <c r="V79" s="270">
        <f>(U79*0.16)+(U79)</f>
        <v>580000</v>
      </c>
      <c r="W79" s="1041">
        <f t="shared" si="4"/>
        <v>1800000.0023999999</v>
      </c>
      <c r="X79" s="993" t="s">
        <v>156</v>
      </c>
      <c r="Y79" s="59">
        <v>45293</v>
      </c>
      <c r="Z79" s="39" t="s">
        <v>157</v>
      </c>
      <c r="AA79" s="59">
        <v>45292</v>
      </c>
      <c r="AB79" s="59">
        <v>45657</v>
      </c>
      <c r="AC79" s="38" t="s">
        <v>3787</v>
      </c>
      <c r="AD79" s="53"/>
      <c r="AE79" s="38"/>
      <c r="AF79" s="256"/>
      <c r="AG79" s="270">
        <v>0</v>
      </c>
      <c r="AH79" s="163" t="str">
        <f t="shared" ca="1" si="5"/>
        <v>MUERTO</v>
      </c>
      <c r="AI79" s="39" t="s">
        <v>6631</v>
      </c>
      <c r="AJ79" s="39"/>
      <c r="AK79" s="39" t="s">
        <v>6431</v>
      </c>
      <c r="AL79" s="39"/>
      <c r="AM79" s="39" t="s">
        <v>6431</v>
      </c>
      <c r="AN79" s="39"/>
      <c r="AO79" s="39"/>
      <c r="AP79" s="38" t="e">
        <f>VLOOKUP(I79,'[4] RFC'!A:B,2,0)</f>
        <v>#N/A</v>
      </c>
      <c r="AQ79" s="59">
        <v>45233</v>
      </c>
      <c r="AR79" s="59">
        <v>45236</v>
      </c>
      <c r="AS79" s="59">
        <v>45240</v>
      </c>
      <c r="AT79" s="59">
        <f t="shared" si="6"/>
        <v>45293</v>
      </c>
      <c r="AU79" s="183">
        <v>45313</v>
      </c>
      <c r="AV79" s="195">
        <v>45294</v>
      </c>
      <c r="AW79" s="185">
        <v>45251</v>
      </c>
    </row>
    <row r="80" spans="1:49" ht="75" hidden="1" x14ac:dyDescent="0.25">
      <c r="A80" s="196" t="s">
        <v>6632</v>
      </c>
      <c r="B80" s="259">
        <v>2</v>
      </c>
      <c r="C80" s="167" t="s">
        <v>149</v>
      </c>
      <c r="D80" s="259" t="s">
        <v>6303</v>
      </c>
      <c r="E80" s="287" t="s">
        <v>6450</v>
      </c>
      <c r="F80" s="39" t="str">
        <f t="shared" si="7"/>
        <v>Modificatorio</v>
      </c>
      <c r="G80" s="63"/>
      <c r="H80" s="39" t="s">
        <v>3785</v>
      </c>
      <c r="I80" s="81" t="s">
        <v>4199</v>
      </c>
      <c r="J80" s="17"/>
      <c r="K80" s="17"/>
      <c r="L80" s="17"/>
      <c r="M80" s="1060" t="str">
        <f t="shared" si="2"/>
        <v xml:space="preserve">TVMDIGITAL, S. DE R.L. DE C.V.  </v>
      </c>
      <c r="N80" s="1060" t="s">
        <v>656</v>
      </c>
      <c r="O80" s="991" t="s">
        <v>667</v>
      </c>
      <c r="P80" s="991" t="s">
        <v>5368</v>
      </c>
      <c r="Q80" s="1040" t="s">
        <v>6630</v>
      </c>
      <c r="R80" s="1047">
        <v>1551724.14</v>
      </c>
      <c r="S80" s="270">
        <f t="shared" si="8"/>
        <v>248275.86239999998</v>
      </c>
      <c r="T80" s="1048">
        <f t="shared" si="3"/>
        <v>1800000.0023999999</v>
      </c>
      <c r="U80" s="1047">
        <v>500000</v>
      </c>
      <c r="V80" s="270">
        <f>(U80*0.16)+(U80)</f>
        <v>580000</v>
      </c>
      <c r="W80" s="1041">
        <f t="shared" si="4"/>
        <v>1800000.0023999999</v>
      </c>
      <c r="X80" s="993" t="s">
        <v>156</v>
      </c>
      <c r="Y80" s="59">
        <v>45293</v>
      </c>
      <c r="Z80" s="39" t="s">
        <v>881</v>
      </c>
      <c r="AA80" s="59">
        <v>45292</v>
      </c>
      <c r="AB80" s="59">
        <v>45657</v>
      </c>
      <c r="AC80" s="38" t="s">
        <v>3787</v>
      </c>
      <c r="AD80" s="53" t="s">
        <v>6353</v>
      </c>
      <c r="AE80" s="38"/>
      <c r="AF80" s="256"/>
      <c r="AG80" s="270"/>
      <c r="AH80" s="163" t="str">
        <f t="shared" ca="1" si="5"/>
        <v>MUERTO</v>
      </c>
      <c r="AI80" s="39" t="s">
        <v>6631</v>
      </c>
      <c r="AJ80" s="39"/>
      <c r="AK80" s="39" t="s">
        <v>2728</v>
      </c>
      <c r="AL80" s="39"/>
      <c r="AM80" s="39" t="s">
        <v>2728</v>
      </c>
      <c r="AN80" s="39"/>
      <c r="AO80" s="39"/>
      <c r="AP80" s="38" t="e">
        <f>VLOOKUP(I80,'[4] RFC'!A:B,2,0)</f>
        <v>#N/A</v>
      </c>
      <c r="AQ80" s="59">
        <v>45575</v>
      </c>
      <c r="AR80" s="59"/>
      <c r="AS80" s="59">
        <v>45596</v>
      </c>
      <c r="AT80" s="59">
        <v>45600</v>
      </c>
      <c r="AU80" s="183">
        <v>45636</v>
      </c>
      <c r="AV80" s="195">
        <v>45594</v>
      </c>
      <c r="AW80" s="185">
        <v>45603</v>
      </c>
    </row>
    <row r="81" spans="1:50" ht="105" hidden="1" x14ac:dyDescent="0.25">
      <c r="A81" s="248" t="s">
        <v>6633</v>
      </c>
      <c r="B81" s="259">
        <v>3</v>
      </c>
      <c r="C81" s="167" t="s">
        <v>149</v>
      </c>
      <c r="D81" s="259" t="s">
        <v>163</v>
      </c>
      <c r="E81" s="287" t="s">
        <v>5663</v>
      </c>
      <c r="F81" s="287" t="s">
        <v>2237</v>
      </c>
      <c r="G81" s="309" t="s">
        <v>163</v>
      </c>
      <c r="H81" s="63" t="s">
        <v>4185</v>
      </c>
      <c r="I81" s="274" t="s">
        <v>2132</v>
      </c>
      <c r="J81" s="17"/>
      <c r="K81" s="17"/>
      <c r="L81" s="17"/>
      <c r="M81" s="1060" t="str">
        <f t="shared" si="2"/>
        <v xml:space="preserve">Detecno, S.A. de C.V.  </v>
      </c>
      <c r="N81" s="1060" t="s">
        <v>461</v>
      </c>
      <c r="O81" s="991" t="s">
        <v>461</v>
      </c>
      <c r="P81" s="991" t="s">
        <v>3433</v>
      </c>
      <c r="Q81" s="1040" t="s">
        <v>5990</v>
      </c>
      <c r="R81" s="1047">
        <v>2681268</v>
      </c>
      <c r="S81" s="270">
        <f t="shared" si="8"/>
        <v>429002.88</v>
      </c>
      <c r="T81" s="1048">
        <f t="shared" si="3"/>
        <v>3110270.88</v>
      </c>
      <c r="U81" s="1047" t="s">
        <v>161</v>
      </c>
      <c r="V81" s="270" t="s">
        <v>161</v>
      </c>
      <c r="W81" s="1041">
        <f t="shared" si="4"/>
        <v>3110270.88</v>
      </c>
      <c r="X81" s="993" t="s">
        <v>156</v>
      </c>
      <c r="Y81" s="59">
        <v>45293</v>
      </c>
      <c r="Z81" s="39" t="s">
        <v>157</v>
      </c>
      <c r="AA81" s="59">
        <v>45292</v>
      </c>
      <c r="AB81" s="59">
        <v>45657</v>
      </c>
      <c r="AC81" s="38" t="s">
        <v>3113</v>
      </c>
      <c r="AD81" s="53"/>
      <c r="AE81" s="38"/>
      <c r="AF81" s="256"/>
      <c r="AG81" s="270">
        <v>0</v>
      </c>
      <c r="AH81" s="163" t="str">
        <f t="shared" ca="1" si="5"/>
        <v>MUERTO</v>
      </c>
      <c r="AI81" s="39">
        <v>33301</v>
      </c>
      <c r="AJ81" s="39"/>
      <c r="AK81" s="39" t="s">
        <v>6431</v>
      </c>
      <c r="AL81" s="39"/>
      <c r="AM81" s="39" t="s">
        <v>6431</v>
      </c>
      <c r="AN81" s="39"/>
      <c r="AO81" s="39"/>
      <c r="AP81" s="38" t="e">
        <f>VLOOKUP(I81,'[4] RFC'!A:B,2,0)</f>
        <v>#N/A</v>
      </c>
      <c r="AQ81" s="59">
        <v>45230</v>
      </c>
      <c r="AR81" s="59">
        <v>45236</v>
      </c>
      <c r="AS81" s="59">
        <v>45243</v>
      </c>
      <c r="AT81" s="59">
        <f t="shared" si="6"/>
        <v>45293</v>
      </c>
      <c r="AU81" s="183">
        <v>45313</v>
      </c>
      <c r="AV81" s="195">
        <v>45295</v>
      </c>
      <c r="AW81" s="185">
        <v>45260</v>
      </c>
    </row>
    <row r="82" spans="1:50" ht="105" hidden="1" x14ac:dyDescent="0.25">
      <c r="A82" s="196" t="s">
        <v>6634</v>
      </c>
      <c r="B82" s="259">
        <v>3</v>
      </c>
      <c r="C82" s="167" t="s">
        <v>149</v>
      </c>
      <c r="D82" s="259" t="s">
        <v>6303</v>
      </c>
      <c r="E82" s="287" t="s">
        <v>6635</v>
      </c>
      <c r="F82" s="287" t="s">
        <v>6303</v>
      </c>
      <c r="G82" s="309" t="s">
        <v>163</v>
      </c>
      <c r="H82" s="63" t="s">
        <v>6579</v>
      </c>
      <c r="I82" s="274" t="s">
        <v>2132</v>
      </c>
      <c r="J82" s="17"/>
      <c r="K82" s="17"/>
      <c r="L82" s="17"/>
      <c r="M82" s="1060" t="str">
        <f>I82&amp;J82&amp;" "&amp;K82&amp;" "&amp;L82</f>
        <v xml:space="preserve">Detecno, S.A. de C.V.  </v>
      </c>
      <c r="N82" s="1060" t="s">
        <v>461</v>
      </c>
      <c r="O82" s="991" t="s">
        <v>461</v>
      </c>
      <c r="P82" s="991" t="s">
        <v>3433</v>
      </c>
      <c r="Q82" s="1040" t="s">
        <v>5990</v>
      </c>
      <c r="R82" s="1047">
        <v>2904707</v>
      </c>
      <c r="S82" s="270">
        <f t="shared" si="8"/>
        <v>464753.12</v>
      </c>
      <c r="T82" s="1048">
        <f t="shared" si="3"/>
        <v>3369460.12</v>
      </c>
      <c r="U82" s="1047">
        <v>0</v>
      </c>
      <c r="V82" s="270"/>
      <c r="W82" s="1041">
        <v>0</v>
      </c>
      <c r="X82" s="993" t="s">
        <v>156</v>
      </c>
      <c r="Y82" s="59">
        <v>45657</v>
      </c>
      <c r="Z82" s="39" t="s">
        <v>924</v>
      </c>
      <c r="AA82" s="59">
        <v>45292</v>
      </c>
      <c r="AB82" s="59">
        <v>45688</v>
      </c>
      <c r="AC82" s="38" t="s">
        <v>3113</v>
      </c>
      <c r="AD82" s="53" t="s">
        <v>6636</v>
      </c>
      <c r="AE82" s="38" t="s">
        <v>6637</v>
      </c>
      <c r="AF82" s="256"/>
      <c r="AG82" s="270"/>
      <c r="AH82" s="163" t="str">
        <f t="shared" ca="1" si="5"/>
        <v>MUERTO</v>
      </c>
      <c r="AI82" s="39">
        <v>33301</v>
      </c>
      <c r="AJ82" s="39" t="s">
        <v>6638</v>
      </c>
      <c r="AK82" s="39" t="s">
        <v>1937</v>
      </c>
      <c r="AL82" s="39"/>
      <c r="AM82" s="39" t="s">
        <v>1937</v>
      </c>
      <c r="AN82" s="39" t="s">
        <v>6639</v>
      </c>
      <c r="AO82" s="39"/>
      <c r="AP82" s="38"/>
      <c r="AQ82" s="59">
        <v>45649</v>
      </c>
      <c r="AR82" s="59"/>
      <c r="AS82" s="59">
        <v>45299</v>
      </c>
      <c r="AT82" s="59">
        <f t="shared" si="6"/>
        <v>45657</v>
      </c>
      <c r="AU82" s="183"/>
      <c r="AV82" s="195">
        <v>45657</v>
      </c>
      <c r="AW82" s="185">
        <v>45665</v>
      </c>
      <c r="AX82" s="589" t="s">
        <v>6640</v>
      </c>
    </row>
    <row r="83" spans="1:50" ht="60" hidden="1" x14ac:dyDescent="0.25">
      <c r="A83" s="248" t="s">
        <v>6641</v>
      </c>
      <c r="B83" s="259">
        <v>4</v>
      </c>
      <c r="C83" s="167" t="s">
        <v>149</v>
      </c>
      <c r="D83" s="259" t="s">
        <v>173</v>
      </c>
      <c r="E83" s="287" t="s">
        <v>6642</v>
      </c>
      <c r="F83" s="39" t="str">
        <f t="shared" si="7"/>
        <v>Licitación Pública</v>
      </c>
      <c r="G83" s="63"/>
      <c r="H83" s="63" t="s">
        <v>3785</v>
      </c>
      <c r="I83" s="275" t="s">
        <v>6643</v>
      </c>
      <c r="J83" s="269"/>
      <c r="K83" s="268"/>
      <c r="L83" s="41"/>
      <c r="M83" s="1060" t="str">
        <f t="shared" si="2"/>
        <v xml:space="preserve">Uninet, S.A. de C.V.  </v>
      </c>
      <c r="N83" s="1060" t="s">
        <v>656</v>
      </c>
      <c r="O83" s="991" t="s">
        <v>209</v>
      </c>
      <c r="P83" s="991" t="s">
        <v>6644</v>
      </c>
      <c r="Q83" s="1040" t="s">
        <v>6645</v>
      </c>
      <c r="R83" s="1047">
        <v>4444983</v>
      </c>
      <c r="S83" s="270">
        <f t="shared" si="8"/>
        <v>711197.28</v>
      </c>
      <c r="T83" s="1048">
        <f t="shared" si="3"/>
        <v>5156180.28</v>
      </c>
      <c r="U83" s="1047" t="s">
        <v>161</v>
      </c>
      <c r="V83" s="270" t="s">
        <v>161</v>
      </c>
      <c r="W83" s="1041">
        <f t="shared" si="4"/>
        <v>5156180.28</v>
      </c>
      <c r="X83" s="993" t="s">
        <v>156</v>
      </c>
      <c r="Y83" s="59">
        <v>45293</v>
      </c>
      <c r="Z83" s="39" t="s">
        <v>157</v>
      </c>
      <c r="AA83" s="59">
        <v>45292</v>
      </c>
      <c r="AB83" s="59">
        <v>45657</v>
      </c>
      <c r="AC83" s="38" t="s">
        <v>3787</v>
      </c>
      <c r="AD83" s="53"/>
      <c r="AE83" s="38"/>
      <c r="AF83" s="256"/>
      <c r="AG83" s="270">
        <v>0</v>
      </c>
      <c r="AH83" s="163" t="str">
        <f t="shared" ca="1" si="5"/>
        <v>MUERTO</v>
      </c>
      <c r="AI83" s="39">
        <v>32701</v>
      </c>
      <c r="AJ83" s="39"/>
      <c r="AK83" s="39" t="s">
        <v>6431</v>
      </c>
      <c r="AL83" s="39"/>
      <c r="AM83" s="39" t="s">
        <v>6431</v>
      </c>
      <c r="AN83" s="39"/>
      <c r="AO83" s="39"/>
      <c r="AP83" s="38" t="e">
        <f>VLOOKUP(I83,'[4] RFC'!A:B,2,0)</f>
        <v>#N/A</v>
      </c>
      <c r="AQ83" s="59">
        <v>45240</v>
      </c>
      <c r="AR83" s="59">
        <v>45240</v>
      </c>
      <c r="AS83" s="59">
        <v>45253</v>
      </c>
      <c r="AT83" s="59">
        <f t="shared" si="6"/>
        <v>45293</v>
      </c>
      <c r="AU83" s="183">
        <v>45321</v>
      </c>
      <c r="AV83" s="195">
        <v>45295</v>
      </c>
      <c r="AW83" s="185">
        <v>45258</v>
      </c>
    </row>
    <row r="84" spans="1:50" ht="60" hidden="1" x14ac:dyDescent="0.25">
      <c r="A84" s="248" t="s">
        <v>6646</v>
      </c>
      <c r="B84" s="259">
        <v>5</v>
      </c>
      <c r="C84" s="167" t="s">
        <v>149</v>
      </c>
      <c r="D84" s="259" t="s">
        <v>163</v>
      </c>
      <c r="E84" s="287" t="s">
        <v>6647</v>
      </c>
      <c r="F84" s="39" t="str">
        <f t="shared" si="7"/>
        <v>Adjudicación Directa</v>
      </c>
      <c r="G84" s="309" t="s">
        <v>163</v>
      </c>
      <c r="H84" s="39" t="s">
        <v>4123</v>
      </c>
      <c r="I84" s="274" t="s">
        <v>2484</v>
      </c>
      <c r="J84" s="41"/>
      <c r="K84" s="41"/>
      <c r="L84" s="41"/>
      <c r="M84" s="1046" t="str">
        <f t="shared" si="2"/>
        <v xml:space="preserve">RCM Seguridad Privada, S.A. de C.V.  </v>
      </c>
      <c r="N84" s="991" t="s">
        <v>166</v>
      </c>
      <c r="O84" s="991" t="s">
        <v>166</v>
      </c>
      <c r="P84" s="991" t="s">
        <v>166</v>
      </c>
      <c r="Q84" s="1040" t="s">
        <v>6648</v>
      </c>
      <c r="R84" s="1047">
        <v>1988287.68</v>
      </c>
      <c r="S84" s="270">
        <f t="shared" si="8"/>
        <v>318126.02879999997</v>
      </c>
      <c r="T84" s="1048">
        <f t="shared" si="3"/>
        <v>2306413.7088000001</v>
      </c>
      <c r="U84" s="1047" t="s">
        <v>161</v>
      </c>
      <c r="V84" s="270" t="s">
        <v>161</v>
      </c>
      <c r="W84" s="1041">
        <f t="shared" si="4"/>
        <v>2306413.7088000001</v>
      </c>
      <c r="X84" s="993" t="s">
        <v>156</v>
      </c>
      <c r="Y84" s="59">
        <v>45293</v>
      </c>
      <c r="Z84" s="39" t="s">
        <v>157</v>
      </c>
      <c r="AA84" s="59">
        <v>45292</v>
      </c>
      <c r="AB84" s="59">
        <v>45657</v>
      </c>
      <c r="AC84" s="38" t="s">
        <v>3787</v>
      </c>
      <c r="AD84" s="53"/>
      <c r="AE84" s="38"/>
      <c r="AF84" s="256"/>
      <c r="AG84" s="270">
        <v>0</v>
      </c>
      <c r="AH84" s="163" t="str">
        <f t="shared" ca="1" si="5"/>
        <v>MUERTO</v>
      </c>
      <c r="AI84" s="39">
        <v>33801</v>
      </c>
      <c r="AJ84" s="39"/>
      <c r="AK84" s="39" t="s">
        <v>6431</v>
      </c>
      <c r="AL84" s="39"/>
      <c r="AM84" s="39" t="s">
        <v>6431</v>
      </c>
      <c r="AN84" s="39"/>
      <c r="AO84" s="39"/>
      <c r="AP84" s="38" t="e">
        <f>VLOOKUP(I84,'[4] RFC'!A:B,2,0)</f>
        <v>#N/A</v>
      </c>
      <c r="AQ84" s="59">
        <v>45239</v>
      </c>
      <c r="AR84" s="59">
        <v>45240</v>
      </c>
      <c r="AS84" s="59">
        <v>45253</v>
      </c>
      <c r="AT84" s="59">
        <f t="shared" si="6"/>
        <v>45293</v>
      </c>
      <c r="AU84" s="183">
        <v>45337</v>
      </c>
      <c r="AV84" s="195">
        <v>45295</v>
      </c>
      <c r="AW84" s="185">
        <v>45257</v>
      </c>
    </row>
    <row r="85" spans="1:50" ht="134.25" hidden="1" customHeight="1" x14ac:dyDescent="0.25">
      <c r="A85" s="248" t="s">
        <v>6649</v>
      </c>
      <c r="B85" s="259">
        <v>6</v>
      </c>
      <c r="C85" s="167" t="s">
        <v>149</v>
      </c>
      <c r="D85" s="259" t="s">
        <v>163</v>
      </c>
      <c r="E85" s="287" t="s">
        <v>6650</v>
      </c>
      <c r="F85" s="39" t="str">
        <f t="shared" si="7"/>
        <v>Adjudicación Directa</v>
      </c>
      <c r="G85" s="309" t="s">
        <v>163</v>
      </c>
      <c r="H85" s="63" t="s">
        <v>4492</v>
      </c>
      <c r="I85" s="81" t="s">
        <v>4493</v>
      </c>
      <c r="J85" s="41"/>
      <c r="K85" s="41"/>
      <c r="L85" s="41"/>
      <c r="M85" s="1046" t="str">
        <f t="shared" si="2"/>
        <v xml:space="preserve">Estrategia en Estacionamientos y Valet Parking, S.A. de C.V.  </v>
      </c>
      <c r="N85" s="991" t="s">
        <v>301</v>
      </c>
      <c r="O85" s="991" t="s">
        <v>301</v>
      </c>
      <c r="P85" s="991" t="s">
        <v>5772</v>
      </c>
      <c r="Q85" s="1040" t="s">
        <v>6651</v>
      </c>
      <c r="R85" s="1047">
        <v>7663644.3099999996</v>
      </c>
      <c r="S85" s="270">
        <f t="shared" si="8"/>
        <v>1226183.0896000001</v>
      </c>
      <c r="T85" s="1048">
        <f t="shared" si="3"/>
        <v>8889827.3995999992</v>
      </c>
      <c r="U85" s="1047">
        <v>3065457.72</v>
      </c>
      <c r="V85" s="270">
        <f>(U85*0.16)+(U85)</f>
        <v>3555930.9552000002</v>
      </c>
      <c r="W85" s="1041">
        <f t="shared" si="4"/>
        <v>8889827.3995999992</v>
      </c>
      <c r="X85" s="993" t="s">
        <v>156</v>
      </c>
      <c r="Y85" s="59">
        <v>45293</v>
      </c>
      <c r="Z85" s="39" t="s">
        <v>157</v>
      </c>
      <c r="AA85" s="59">
        <v>45292</v>
      </c>
      <c r="AB85" s="59">
        <v>45657</v>
      </c>
      <c r="AC85" s="38"/>
      <c r="AD85" s="53"/>
      <c r="AE85" s="38"/>
      <c r="AF85" s="256"/>
      <c r="AG85" s="270">
        <v>0</v>
      </c>
      <c r="AH85" s="163" t="str">
        <f t="shared" ca="1" si="5"/>
        <v>MUERTO</v>
      </c>
      <c r="AI85" s="39">
        <v>31902</v>
      </c>
      <c r="AJ85" s="39"/>
      <c r="AK85" s="39" t="s">
        <v>6431</v>
      </c>
      <c r="AL85" s="39"/>
      <c r="AM85" s="39" t="s">
        <v>6431</v>
      </c>
      <c r="AN85" s="39"/>
      <c r="AO85" s="39"/>
      <c r="AP85" s="38" t="e">
        <f>VLOOKUP(I85,'[4] RFC'!A:B,2,0)</f>
        <v>#N/A</v>
      </c>
      <c r="AQ85" s="59">
        <v>45244</v>
      </c>
      <c r="AR85" s="59">
        <v>45244</v>
      </c>
      <c r="AS85" s="59">
        <v>45253</v>
      </c>
      <c r="AT85" s="59">
        <f t="shared" si="6"/>
        <v>45293</v>
      </c>
      <c r="AU85" s="183">
        <v>45295</v>
      </c>
      <c r="AV85" s="195">
        <v>45295</v>
      </c>
      <c r="AW85" s="185">
        <v>45257</v>
      </c>
    </row>
    <row r="86" spans="1:50" ht="134.25" hidden="1" customHeight="1" x14ac:dyDescent="0.25">
      <c r="A86" s="196" t="s">
        <v>6652</v>
      </c>
      <c r="B86" s="259">
        <v>6</v>
      </c>
      <c r="C86" s="167" t="s">
        <v>149</v>
      </c>
      <c r="D86" s="259" t="s">
        <v>6303</v>
      </c>
      <c r="E86" s="287" t="s">
        <v>6653</v>
      </c>
      <c r="F86" s="39" t="str">
        <f t="shared" si="7"/>
        <v>Modificatorio</v>
      </c>
      <c r="G86" s="309"/>
      <c r="H86" s="63" t="s">
        <v>6579</v>
      </c>
      <c r="I86" s="81" t="s">
        <v>4493</v>
      </c>
      <c r="J86" s="41"/>
      <c r="K86" s="41"/>
      <c r="L86" s="41"/>
      <c r="M86" s="1046" t="str">
        <f t="shared" si="2"/>
        <v xml:space="preserve">Estrategia en Estacionamientos y Valet Parking, S.A. de C.V.  </v>
      </c>
      <c r="N86" s="991" t="s">
        <v>301</v>
      </c>
      <c r="O86" s="991" t="s">
        <v>301</v>
      </c>
      <c r="P86" s="991" t="s">
        <v>5772</v>
      </c>
      <c r="Q86" s="1040" t="s">
        <v>6651</v>
      </c>
      <c r="R86" s="1047">
        <v>9579555.3900000006</v>
      </c>
      <c r="S86" s="270">
        <f t="shared" si="8"/>
        <v>1532728.8624000002</v>
      </c>
      <c r="T86" s="1048">
        <f t="shared" si="3"/>
        <v>11112284.252400002</v>
      </c>
      <c r="U86" s="1047">
        <v>3065457.72</v>
      </c>
      <c r="V86" s="270">
        <f>(U86*0.16)+(U86)</f>
        <v>3555930.9552000002</v>
      </c>
      <c r="W86" s="1041">
        <f t="shared" si="4"/>
        <v>13028195.332400002</v>
      </c>
      <c r="X86" s="993" t="s">
        <v>156</v>
      </c>
      <c r="Y86" s="59">
        <v>45623</v>
      </c>
      <c r="Z86" s="39" t="s">
        <v>892</v>
      </c>
      <c r="AA86" s="59">
        <v>45292</v>
      </c>
      <c r="AB86" s="59">
        <v>45657</v>
      </c>
      <c r="AC86" s="38"/>
      <c r="AD86" s="38" t="s">
        <v>6654</v>
      </c>
      <c r="AE86" s="38" t="s">
        <v>6655</v>
      </c>
      <c r="AF86" s="256">
        <v>45618</v>
      </c>
      <c r="AG86" s="958">
        <v>1915911.08</v>
      </c>
      <c r="AH86" s="163" t="s">
        <v>1388</v>
      </c>
      <c r="AI86" s="39">
        <v>31902</v>
      </c>
      <c r="AJ86" s="39"/>
      <c r="AK86" s="39" t="s">
        <v>2728</v>
      </c>
      <c r="AL86" s="39"/>
      <c r="AM86" s="39" t="s">
        <v>2728</v>
      </c>
      <c r="AN86" s="39"/>
      <c r="AO86" s="39"/>
      <c r="AP86" s="38" t="e">
        <f>VLOOKUP(I86,'[4] RFC'!A:B,2,0)</f>
        <v>#N/A</v>
      </c>
      <c r="AQ86" s="59">
        <v>45618</v>
      </c>
      <c r="AR86" s="59">
        <v>45618</v>
      </c>
      <c r="AS86" s="59">
        <v>45624</v>
      </c>
      <c r="AT86" s="59">
        <f t="shared" si="6"/>
        <v>45623</v>
      </c>
      <c r="AU86" s="183">
        <v>45632</v>
      </c>
      <c r="AV86" s="195">
        <v>45623</v>
      </c>
      <c r="AW86" s="185">
        <v>45629</v>
      </c>
    </row>
    <row r="87" spans="1:50" ht="90" hidden="1" x14ac:dyDescent="0.25">
      <c r="A87" s="248" t="s">
        <v>6656</v>
      </c>
      <c r="B87" s="259">
        <v>7</v>
      </c>
      <c r="C87" s="167" t="s">
        <v>149</v>
      </c>
      <c r="D87" s="259" t="s">
        <v>173</v>
      </c>
      <c r="E87" s="287" t="s">
        <v>6657</v>
      </c>
      <c r="F87" s="39" t="str">
        <f t="shared" si="7"/>
        <v>Licitación Pública</v>
      </c>
      <c r="G87" s="39"/>
      <c r="H87" s="39" t="s">
        <v>3785</v>
      </c>
      <c r="I87" s="81" t="s">
        <v>4537</v>
      </c>
      <c r="J87" s="41"/>
      <c r="K87" s="41"/>
      <c r="L87" s="41"/>
      <c r="M87" s="1046" t="str">
        <f t="shared" si="2"/>
        <v xml:space="preserve">Escalator, Elevator &amp; Electromechanics Enterprise, S.A. de C.V.  </v>
      </c>
      <c r="N87" s="991" t="s">
        <v>198</v>
      </c>
      <c r="O87" s="991" t="s">
        <v>198</v>
      </c>
      <c r="P87" s="991" t="s">
        <v>6244</v>
      </c>
      <c r="Q87" s="1040" t="s">
        <v>6658</v>
      </c>
      <c r="R87" s="1047">
        <v>1620675</v>
      </c>
      <c r="S87" s="270">
        <f t="shared" si="8"/>
        <v>259308</v>
      </c>
      <c r="T87" s="1048">
        <f t="shared" si="3"/>
        <v>1879983</v>
      </c>
      <c r="U87" s="1047">
        <v>1065456</v>
      </c>
      <c r="V87" s="270">
        <f>(U87*0.16)+(U87)</f>
        <v>1235928.96</v>
      </c>
      <c r="W87" s="1041">
        <f t="shared" si="4"/>
        <v>1879983</v>
      </c>
      <c r="X87" s="993" t="s">
        <v>156</v>
      </c>
      <c r="Y87" s="59">
        <v>45293</v>
      </c>
      <c r="Z87" s="39" t="s">
        <v>157</v>
      </c>
      <c r="AA87" s="59">
        <v>45292</v>
      </c>
      <c r="AB87" s="59">
        <v>45657</v>
      </c>
      <c r="AC87" s="38" t="s">
        <v>3787</v>
      </c>
      <c r="AD87" s="53"/>
      <c r="AE87" s="38"/>
      <c r="AF87" s="256"/>
      <c r="AG87" s="270">
        <v>0</v>
      </c>
      <c r="AH87" s="163" t="str">
        <f t="shared" ca="1" si="5"/>
        <v>MUERTO</v>
      </c>
      <c r="AI87" s="39">
        <v>35101</v>
      </c>
      <c r="AJ87" s="39"/>
      <c r="AK87" s="39" t="s">
        <v>6431</v>
      </c>
      <c r="AL87" s="39"/>
      <c r="AM87" s="39" t="s">
        <v>6431</v>
      </c>
      <c r="AN87" s="39"/>
      <c r="AO87" s="39"/>
      <c r="AP87" s="38" t="str">
        <f>VLOOKUP(I87,'[4] RFC'!A:B,2,0)</f>
        <v>EEA1006077G5</v>
      </c>
      <c r="AQ87" s="59">
        <v>45243</v>
      </c>
      <c r="AR87" s="59">
        <v>45245</v>
      </c>
      <c r="AS87" s="59">
        <v>45253</v>
      </c>
      <c r="AT87" s="59">
        <f t="shared" si="6"/>
        <v>45293</v>
      </c>
      <c r="AU87" s="183">
        <v>45308</v>
      </c>
      <c r="AV87" s="195">
        <v>45294</v>
      </c>
      <c r="AW87" s="185">
        <v>45258</v>
      </c>
    </row>
    <row r="88" spans="1:50" ht="90" hidden="1" x14ac:dyDescent="0.25">
      <c r="A88" s="196" t="s">
        <v>6659</v>
      </c>
      <c r="B88" s="259">
        <v>7</v>
      </c>
      <c r="C88" s="167" t="s">
        <v>6303</v>
      </c>
      <c r="D88" s="259" t="s">
        <v>6303</v>
      </c>
      <c r="E88" s="287"/>
      <c r="F88" s="39" t="s">
        <v>6307</v>
      </c>
      <c r="G88" s="39"/>
      <c r="H88" s="39" t="s">
        <v>6308</v>
      </c>
      <c r="I88" s="81" t="s">
        <v>4537</v>
      </c>
      <c r="J88" s="41"/>
      <c r="K88" s="41"/>
      <c r="L88" s="41"/>
      <c r="M88" s="1046" t="str">
        <f t="shared" si="2"/>
        <v xml:space="preserve">Escalator, Elevator &amp; Electromechanics Enterprise, S.A. de C.V.  </v>
      </c>
      <c r="N88" s="991" t="s">
        <v>198</v>
      </c>
      <c r="O88" s="991" t="s">
        <v>198</v>
      </c>
      <c r="P88" s="991" t="s">
        <v>6244</v>
      </c>
      <c r="Q88" s="1040" t="s">
        <v>6658</v>
      </c>
      <c r="R88" s="1047">
        <v>0</v>
      </c>
      <c r="S88" s="270">
        <v>0</v>
      </c>
      <c r="T88" s="1048">
        <v>0</v>
      </c>
      <c r="U88" s="1047">
        <v>0</v>
      </c>
      <c r="V88" s="270">
        <v>0</v>
      </c>
      <c r="W88" s="1041">
        <f t="shared" si="4"/>
        <v>0</v>
      </c>
      <c r="X88" s="993" t="s">
        <v>156</v>
      </c>
      <c r="Y88" s="59">
        <v>45364</v>
      </c>
      <c r="Z88" s="39" t="s">
        <v>234</v>
      </c>
      <c r="AA88" s="59">
        <v>45292</v>
      </c>
      <c r="AB88" s="59">
        <v>45657</v>
      </c>
      <c r="AC88" s="38"/>
      <c r="AD88" s="53"/>
      <c r="AE88" s="38" t="s">
        <v>6660</v>
      </c>
      <c r="AF88" s="256">
        <v>45364</v>
      </c>
      <c r="AG88" s="270">
        <v>0</v>
      </c>
      <c r="AH88" s="163" t="str">
        <f t="shared" ca="1" si="5"/>
        <v>MUERTO</v>
      </c>
      <c r="AI88" s="39"/>
      <c r="AJ88" s="39"/>
      <c r="AK88" s="63" t="s">
        <v>6301</v>
      </c>
      <c r="AL88" s="39" t="s">
        <v>6661</v>
      </c>
      <c r="AM88" s="39" t="s">
        <v>234</v>
      </c>
      <c r="AN88" s="39"/>
      <c r="AO88" s="39"/>
      <c r="AP88" s="38"/>
      <c r="AQ88" s="59">
        <v>45362</v>
      </c>
      <c r="AR88" s="59">
        <v>45363</v>
      </c>
      <c r="AS88" s="59">
        <v>45364</v>
      </c>
      <c r="AT88" s="59">
        <f t="shared" si="6"/>
        <v>45364</v>
      </c>
      <c r="AU88" s="183">
        <v>45390</v>
      </c>
      <c r="AV88" s="195">
        <v>45370</v>
      </c>
      <c r="AW88" s="185">
        <v>45366</v>
      </c>
    </row>
    <row r="89" spans="1:50" ht="60" hidden="1" x14ac:dyDescent="0.25">
      <c r="A89" s="248" t="s">
        <v>6662</v>
      </c>
      <c r="B89" s="259">
        <v>8</v>
      </c>
      <c r="C89" s="167" t="s">
        <v>149</v>
      </c>
      <c r="D89" s="259" t="s">
        <v>173</v>
      </c>
      <c r="E89" s="287" t="s">
        <v>6663</v>
      </c>
      <c r="F89" s="39" t="str">
        <f t="shared" si="7"/>
        <v>Licitación Pública</v>
      </c>
      <c r="G89" s="39"/>
      <c r="H89" s="39" t="s">
        <v>3785</v>
      </c>
      <c r="I89" s="81" t="s">
        <v>5158</v>
      </c>
      <c r="J89" s="41"/>
      <c r="K89" s="41"/>
      <c r="L89" s="41"/>
      <c r="M89" s="1046" t="str">
        <f t="shared" si="2"/>
        <v xml:space="preserve">Cen Systems, S.A. de C.V.  </v>
      </c>
      <c r="N89" s="991" t="s">
        <v>656</v>
      </c>
      <c r="O89" s="991" t="s">
        <v>209</v>
      </c>
      <c r="P89" s="991" t="s">
        <v>6644</v>
      </c>
      <c r="Q89" s="1040" t="s">
        <v>6664</v>
      </c>
      <c r="R89" s="1047">
        <v>9743892</v>
      </c>
      <c r="S89" s="270">
        <f t="shared" si="8"/>
        <v>1559022.72</v>
      </c>
      <c r="T89" s="1048">
        <f t="shared" si="3"/>
        <v>11302914.720000001</v>
      </c>
      <c r="U89" s="1047" t="s">
        <v>161</v>
      </c>
      <c r="V89" s="270" t="s">
        <v>161</v>
      </c>
      <c r="W89" s="1041">
        <f t="shared" si="4"/>
        <v>11302914.720000001</v>
      </c>
      <c r="X89" s="993" t="s">
        <v>156</v>
      </c>
      <c r="Y89" s="59">
        <v>45293</v>
      </c>
      <c r="Z89" s="39" t="s">
        <v>157</v>
      </c>
      <c r="AA89" s="59">
        <v>45292</v>
      </c>
      <c r="AB89" s="59">
        <v>45657</v>
      </c>
      <c r="AC89" s="38" t="s">
        <v>3787</v>
      </c>
      <c r="AD89" s="53"/>
      <c r="AE89" s="38"/>
      <c r="AF89" s="256"/>
      <c r="AG89" s="270">
        <v>0</v>
      </c>
      <c r="AH89" s="163" t="str">
        <f t="shared" ca="1" si="5"/>
        <v>MUERTO</v>
      </c>
      <c r="AI89" s="39">
        <v>33304</v>
      </c>
      <c r="AJ89" s="39"/>
      <c r="AK89" s="39" t="s">
        <v>6431</v>
      </c>
      <c r="AL89" s="39"/>
      <c r="AM89" s="39" t="s">
        <v>6431</v>
      </c>
      <c r="AN89" s="39"/>
      <c r="AO89" s="39"/>
      <c r="AP89" s="38" t="str">
        <f>VLOOKUP(I89,'[4] RFC'!A:B,2,0)</f>
        <v>CSY100128PK5</v>
      </c>
      <c r="AQ89" s="59">
        <v>45245</v>
      </c>
      <c r="AR89" s="59">
        <v>45251</v>
      </c>
      <c r="AS89" s="59">
        <v>45258</v>
      </c>
      <c r="AT89" s="59">
        <f t="shared" si="6"/>
        <v>45293</v>
      </c>
      <c r="AU89" s="183">
        <v>45313</v>
      </c>
      <c r="AV89" s="195">
        <v>45295</v>
      </c>
      <c r="AW89" s="185">
        <v>45260</v>
      </c>
    </row>
    <row r="90" spans="1:50" ht="60" hidden="1" x14ac:dyDescent="0.25">
      <c r="A90" s="196" t="s">
        <v>6665</v>
      </c>
      <c r="B90" s="259">
        <v>8</v>
      </c>
      <c r="C90" s="167" t="s">
        <v>6303</v>
      </c>
      <c r="D90" s="259" t="s">
        <v>6303</v>
      </c>
      <c r="E90" s="287" t="s">
        <v>6666</v>
      </c>
      <c r="F90" s="287" t="s">
        <v>6307</v>
      </c>
      <c r="G90" s="39"/>
      <c r="H90" s="39" t="s">
        <v>6308</v>
      </c>
      <c r="I90" s="81" t="s">
        <v>5158</v>
      </c>
      <c r="J90" s="41"/>
      <c r="K90" s="41"/>
      <c r="L90" s="41"/>
      <c r="M90" s="1046" t="str">
        <f t="shared" si="2"/>
        <v xml:space="preserve">Cen Systems, S.A. de C.V.  </v>
      </c>
      <c r="N90" s="991" t="s">
        <v>656</v>
      </c>
      <c r="O90" s="991" t="s">
        <v>209</v>
      </c>
      <c r="P90" s="991" t="s">
        <v>6644</v>
      </c>
      <c r="Q90" s="1040" t="s">
        <v>6664</v>
      </c>
      <c r="R90" s="1047">
        <v>0</v>
      </c>
      <c r="S90" s="270">
        <f t="shared" si="8"/>
        <v>0</v>
      </c>
      <c r="T90" s="1048">
        <f t="shared" si="3"/>
        <v>0</v>
      </c>
      <c r="U90" s="1047" t="s">
        <v>161</v>
      </c>
      <c r="V90" s="270" t="s">
        <v>161</v>
      </c>
      <c r="W90" s="1041">
        <f t="shared" si="4"/>
        <v>0</v>
      </c>
      <c r="X90" s="993" t="s">
        <v>156</v>
      </c>
      <c r="Y90" s="59">
        <v>45476</v>
      </c>
      <c r="Z90" s="39" t="s">
        <v>696</v>
      </c>
      <c r="AA90" s="59">
        <v>45292</v>
      </c>
      <c r="AB90" s="59">
        <v>45657</v>
      </c>
      <c r="AC90" s="38" t="s">
        <v>3787</v>
      </c>
      <c r="AD90" s="38" t="s">
        <v>6667</v>
      </c>
      <c r="AE90" s="38"/>
      <c r="AF90" s="256"/>
      <c r="AG90" s="270">
        <v>0</v>
      </c>
      <c r="AH90" s="163"/>
      <c r="AI90" s="39"/>
      <c r="AJ90" s="39"/>
      <c r="AK90" s="39" t="s">
        <v>6301</v>
      </c>
      <c r="AL90" s="39"/>
      <c r="AM90" s="39"/>
      <c r="AN90" s="39"/>
      <c r="AO90" s="39"/>
      <c r="AP90" s="38"/>
      <c r="AQ90" s="59">
        <v>45474</v>
      </c>
      <c r="AR90" s="59">
        <v>45444</v>
      </c>
      <c r="AS90" s="59">
        <v>45446</v>
      </c>
      <c r="AT90" s="59">
        <f t="shared" si="6"/>
        <v>45476</v>
      </c>
      <c r="AU90" s="183">
        <v>45512</v>
      </c>
      <c r="AV90" s="195">
        <v>45483</v>
      </c>
      <c r="AW90" s="185">
        <v>45481</v>
      </c>
    </row>
    <row r="91" spans="1:50" ht="120" hidden="1" x14ac:dyDescent="0.25">
      <c r="A91" s="248" t="s">
        <v>6668</v>
      </c>
      <c r="B91" s="259">
        <v>9</v>
      </c>
      <c r="C91" s="167" t="s">
        <v>149</v>
      </c>
      <c r="D91" s="259" t="s">
        <v>173</v>
      </c>
      <c r="E91" s="287" t="s">
        <v>6669</v>
      </c>
      <c r="F91" s="39" t="str">
        <f t="shared" si="7"/>
        <v>Licitación Pública</v>
      </c>
      <c r="G91" s="39"/>
      <c r="H91" s="39" t="s">
        <v>3785</v>
      </c>
      <c r="I91" s="81" t="s">
        <v>1046</v>
      </c>
      <c r="J91" s="41"/>
      <c r="K91" s="41"/>
      <c r="L91" s="41"/>
      <c r="M91" s="1046" t="str">
        <f t="shared" si="2"/>
        <v xml:space="preserve">Blue &amp; Green Servicios y Soluciones al Medio Ambiente, S.A. de C.V.  </v>
      </c>
      <c r="N91" s="991" t="s">
        <v>198</v>
      </c>
      <c r="O91" s="991" t="s">
        <v>198</v>
      </c>
      <c r="P91" s="991" t="s">
        <v>5719</v>
      </c>
      <c r="Q91" s="1040" t="s">
        <v>6670</v>
      </c>
      <c r="R91" s="1047">
        <v>5016042.24</v>
      </c>
      <c r="S91" s="270">
        <f t="shared" si="8"/>
        <v>802566.75840000005</v>
      </c>
      <c r="T91" s="1048">
        <f t="shared" si="3"/>
        <v>5818608.9983999999</v>
      </c>
      <c r="U91" s="1047">
        <v>4734889.08</v>
      </c>
      <c r="V91" s="270">
        <f>(U91*0.16)+(U91)</f>
        <v>5492471.3328</v>
      </c>
      <c r="W91" s="1041">
        <f t="shared" si="4"/>
        <v>5818608.9983999999</v>
      </c>
      <c r="X91" s="993" t="s">
        <v>156</v>
      </c>
      <c r="Y91" s="59">
        <v>45293</v>
      </c>
      <c r="Z91" s="39" t="s">
        <v>157</v>
      </c>
      <c r="AA91" s="59">
        <v>45292</v>
      </c>
      <c r="AB91" s="59">
        <v>45657</v>
      </c>
      <c r="AC91" s="38" t="s">
        <v>3787</v>
      </c>
      <c r="AD91" s="53"/>
      <c r="AE91" s="38"/>
      <c r="AF91" s="256"/>
      <c r="AG91" s="270">
        <v>0</v>
      </c>
      <c r="AH91" s="163" t="str">
        <f t="shared" ref="AH91:AH113" ca="1" si="18">IF(ISBLANK(AB91),"",IF(AB91&gt;=TODAY(),"VIGENTE","MUERTO"))</f>
        <v>MUERTO</v>
      </c>
      <c r="AI91" s="39">
        <v>35701</v>
      </c>
      <c r="AJ91" s="39"/>
      <c r="AK91" s="39" t="s">
        <v>6431</v>
      </c>
      <c r="AL91" s="39"/>
      <c r="AM91" s="39" t="s">
        <v>6431</v>
      </c>
      <c r="AN91" s="39"/>
      <c r="AO91" s="39"/>
      <c r="AP91" s="38" t="str">
        <f>VLOOKUP(I91,'[4] RFC'!A:B,2,0)</f>
        <v>BAG1106299U7</v>
      </c>
      <c r="AQ91" s="59">
        <v>45245</v>
      </c>
      <c r="AR91" s="59">
        <v>45251</v>
      </c>
      <c r="AS91" s="59">
        <v>45258</v>
      </c>
      <c r="AT91" s="59">
        <f t="shared" si="6"/>
        <v>45293</v>
      </c>
      <c r="AU91" s="183">
        <v>45313</v>
      </c>
      <c r="AV91" s="195">
        <v>45294</v>
      </c>
      <c r="AW91" s="185">
        <v>45260</v>
      </c>
    </row>
    <row r="92" spans="1:50" ht="60" hidden="1" x14ac:dyDescent="0.25">
      <c r="A92" s="248" t="s">
        <v>6671</v>
      </c>
      <c r="B92" s="259">
        <v>10</v>
      </c>
      <c r="C92" s="167" t="s">
        <v>149</v>
      </c>
      <c r="D92" s="259" t="s">
        <v>163</v>
      </c>
      <c r="E92" s="287" t="s">
        <v>6672</v>
      </c>
      <c r="F92" s="39" t="str">
        <f t="shared" si="7"/>
        <v>Adjudicación Directa</v>
      </c>
      <c r="G92" s="309" t="s">
        <v>163</v>
      </c>
      <c r="H92" s="39" t="s">
        <v>3935</v>
      </c>
      <c r="I92" s="81" t="s">
        <v>165</v>
      </c>
      <c r="J92" s="41"/>
      <c r="K92" s="41"/>
      <c r="L92" s="41"/>
      <c r="M92" s="1046" t="str">
        <f t="shared" si="2"/>
        <v xml:space="preserve">Policía Auxiliar de la Ciudad de México  </v>
      </c>
      <c r="N92" s="991" t="s">
        <v>166</v>
      </c>
      <c r="O92" s="991" t="s">
        <v>166</v>
      </c>
      <c r="P92" s="991" t="s">
        <v>166</v>
      </c>
      <c r="Q92" s="1040" t="s">
        <v>6673</v>
      </c>
      <c r="R92" s="1047">
        <v>68975584.079999998</v>
      </c>
      <c r="S92" s="270">
        <f t="shared" si="8"/>
        <v>11036093.4528</v>
      </c>
      <c r="T92" s="1048">
        <f t="shared" si="3"/>
        <v>80011677.532800004</v>
      </c>
      <c r="U92" s="1047" t="s">
        <v>161</v>
      </c>
      <c r="V92" s="270" t="s">
        <v>161</v>
      </c>
      <c r="W92" s="1041">
        <f t="shared" si="4"/>
        <v>80011677.532800004</v>
      </c>
      <c r="X92" s="993" t="s">
        <v>156</v>
      </c>
      <c r="Y92" s="59">
        <v>45293</v>
      </c>
      <c r="Z92" s="39" t="s">
        <v>157</v>
      </c>
      <c r="AA92" s="59">
        <v>45292</v>
      </c>
      <c r="AB92" s="59">
        <v>45657</v>
      </c>
      <c r="AC92" s="38" t="s">
        <v>4247</v>
      </c>
      <c r="AD92" s="53"/>
      <c r="AE92" s="38"/>
      <c r="AF92" s="256"/>
      <c r="AG92" s="270">
        <v>0</v>
      </c>
      <c r="AH92" s="163" t="str">
        <f t="shared" ca="1" si="18"/>
        <v>MUERTO</v>
      </c>
      <c r="AI92" s="39">
        <v>33801</v>
      </c>
      <c r="AJ92" s="39"/>
      <c r="AK92" s="39" t="s">
        <v>6431</v>
      </c>
      <c r="AL92" s="39"/>
      <c r="AM92" s="39" t="s">
        <v>6431</v>
      </c>
      <c r="AN92" s="39"/>
      <c r="AO92" s="39"/>
      <c r="AP92" s="38" t="e">
        <f>VLOOKUP(I92,'[4] RFC'!A:B,2,0)</f>
        <v>#N/A</v>
      </c>
      <c r="AQ92" s="59">
        <v>45252</v>
      </c>
      <c r="AR92" s="59">
        <v>45252</v>
      </c>
      <c r="AS92" s="59">
        <v>45259</v>
      </c>
      <c r="AT92" s="59">
        <f t="shared" si="6"/>
        <v>45293</v>
      </c>
      <c r="AU92" s="183">
        <v>45295</v>
      </c>
      <c r="AV92" s="195">
        <v>45295</v>
      </c>
      <c r="AW92" s="185">
        <v>45261</v>
      </c>
    </row>
    <row r="93" spans="1:50" ht="60" hidden="1" x14ac:dyDescent="0.25">
      <c r="A93" s="248" t="s">
        <v>6674</v>
      </c>
      <c r="B93" s="259">
        <v>11</v>
      </c>
      <c r="C93" s="167" t="s">
        <v>149</v>
      </c>
      <c r="D93" s="259" t="s">
        <v>173</v>
      </c>
      <c r="E93" s="287" t="s">
        <v>6675</v>
      </c>
      <c r="F93" s="39" t="str">
        <f t="shared" si="7"/>
        <v>Licitación Pública</v>
      </c>
      <c r="G93" s="39"/>
      <c r="H93" s="39" t="s">
        <v>3785</v>
      </c>
      <c r="I93" s="81" t="s">
        <v>6676</v>
      </c>
      <c r="J93" s="41"/>
      <c r="K93" s="41"/>
      <c r="L93" s="41"/>
      <c r="M93" s="1046" t="str">
        <f t="shared" si="2"/>
        <v xml:space="preserve">CRYPTEX Seguridad Privada Mexicana S.A. DE C.V.  </v>
      </c>
      <c r="N93" s="991" t="s">
        <v>656</v>
      </c>
      <c r="O93" s="991" t="s">
        <v>209</v>
      </c>
      <c r="P93" s="991" t="s">
        <v>6644</v>
      </c>
      <c r="Q93" s="1040" t="s">
        <v>6677</v>
      </c>
      <c r="R93" s="1047">
        <v>3779862.08</v>
      </c>
      <c r="S93" s="270">
        <f t="shared" si="8"/>
        <v>604777.93280000007</v>
      </c>
      <c r="T93" s="1048">
        <f t="shared" si="3"/>
        <v>4384640.0128000006</v>
      </c>
      <c r="U93" s="1047" t="s">
        <v>161</v>
      </c>
      <c r="V93" s="270" t="s">
        <v>161</v>
      </c>
      <c r="W93" s="1041">
        <f t="shared" si="4"/>
        <v>4384640.0128000006</v>
      </c>
      <c r="X93" s="993" t="s">
        <v>156</v>
      </c>
      <c r="Y93" s="59">
        <v>45293</v>
      </c>
      <c r="Z93" s="39" t="s">
        <v>157</v>
      </c>
      <c r="AA93" s="59">
        <v>45292</v>
      </c>
      <c r="AB93" s="59">
        <v>45657</v>
      </c>
      <c r="AC93" s="38" t="s">
        <v>3787</v>
      </c>
      <c r="AD93" s="53"/>
      <c r="AE93" s="38"/>
      <c r="AF93" s="256"/>
      <c r="AG93" s="270">
        <v>0</v>
      </c>
      <c r="AH93" s="163" t="str">
        <f t="shared" ca="1" si="18"/>
        <v>MUERTO</v>
      </c>
      <c r="AI93" s="39" t="s">
        <v>6678</v>
      </c>
      <c r="AJ93" s="39"/>
      <c r="AK93" s="39" t="s">
        <v>6431</v>
      </c>
      <c r="AL93" s="39"/>
      <c r="AM93" s="39" t="s">
        <v>6431</v>
      </c>
      <c r="AN93" s="39"/>
      <c r="AO93" s="39"/>
      <c r="AP93" s="38" t="e">
        <f>VLOOKUP(I93,'[4] RFC'!A:B,2,0)</f>
        <v>#N/A</v>
      </c>
      <c r="AQ93" s="59">
        <v>45252</v>
      </c>
      <c r="AR93" s="59">
        <v>45253</v>
      </c>
      <c r="AS93" s="59">
        <v>45260</v>
      </c>
      <c r="AT93" s="59">
        <f t="shared" si="6"/>
        <v>45293</v>
      </c>
      <c r="AU93" s="183">
        <v>45313</v>
      </c>
      <c r="AV93" s="195">
        <v>45295</v>
      </c>
      <c r="AW93" s="185">
        <v>45264</v>
      </c>
    </row>
    <row r="94" spans="1:50" ht="60" hidden="1" x14ac:dyDescent="0.25">
      <c r="A94" s="248" t="s">
        <v>6679</v>
      </c>
      <c r="B94" s="259">
        <v>12</v>
      </c>
      <c r="C94" s="167" t="s">
        <v>149</v>
      </c>
      <c r="D94" s="259" t="s">
        <v>151</v>
      </c>
      <c r="E94" s="287" t="s">
        <v>6680</v>
      </c>
      <c r="F94" s="39" t="str">
        <f t="shared" si="7"/>
        <v>Invitación</v>
      </c>
      <c r="G94" s="39"/>
      <c r="H94" s="39" t="s">
        <v>3793</v>
      </c>
      <c r="I94" s="81" t="s">
        <v>6681</v>
      </c>
      <c r="J94" s="41"/>
      <c r="K94" s="41"/>
      <c r="L94" s="41"/>
      <c r="M94" s="1046" t="str">
        <f t="shared" si="2"/>
        <v xml:space="preserve">Ambiente Paisajismo y Ojo de Agua, S. de R.l. de C.V.  </v>
      </c>
      <c r="N94" s="991" t="s">
        <v>198</v>
      </c>
      <c r="O94" s="991" t="s">
        <v>198</v>
      </c>
      <c r="P94" s="1023" t="s">
        <v>6627</v>
      </c>
      <c r="Q94" s="1040" t="s">
        <v>5970</v>
      </c>
      <c r="R94" s="1047">
        <v>1217619.83</v>
      </c>
      <c r="S94" s="270">
        <f t="shared" si="8"/>
        <v>194819.17280000003</v>
      </c>
      <c r="T94" s="1048">
        <f t="shared" si="3"/>
        <v>1412439.0028000001</v>
      </c>
      <c r="U94" s="1047">
        <v>1021196.66</v>
      </c>
      <c r="V94" s="270">
        <f>(U94*0.16)+(U94)</f>
        <v>1184588.1255999999</v>
      </c>
      <c r="W94" s="1041">
        <f t="shared" si="4"/>
        <v>1412439.0028000001</v>
      </c>
      <c r="X94" s="993" t="s">
        <v>156</v>
      </c>
      <c r="Y94" s="59">
        <v>45293</v>
      </c>
      <c r="Z94" s="39" t="s">
        <v>157</v>
      </c>
      <c r="AA94" s="59">
        <v>45292</v>
      </c>
      <c r="AB94" s="59">
        <v>45657</v>
      </c>
      <c r="AC94" s="38" t="s">
        <v>3787</v>
      </c>
      <c r="AD94" s="53"/>
      <c r="AE94" s="38"/>
      <c r="AF94" s="256"/>
      <c r="AG94" s="270">
        <v>0</v>
      </c>
      <c r="AH94" s="163" t="str">
        <f t="shared" ca="1" si="18"/>
        <v>MUERTO</v>
      </c>
      <c r="AI94" s="39">
        <v>35901</v>
      </c>
      <c r="AJ94" s="39"/>
      <c r="AK94" s="39" t="s">
        <v>6431</v>
      </c>
      <c r="AL94" s="39"/>
      <c r="AM94" s="39" t="s">
        <v>6431</v>
      </c>
      <c r="AN94" s="39"/>
      <c r="AO94" s="39"/>
      <c r="AP94" s="38" t="e">
        <f>VLOOKUP(I94,'[4] RFC'!A:B,2,0)</f>
        <v>#N/A</v>
      </c>
      <c r="AQ94" s="59">
        <v>45247</v>
      </c>
      <c r="AR94" s="59">
        <v>45253</v>
      </c>
      <c r="AS94" s="59">
        <v>45261</v>
      </c>
      <c r="AT94" s="59">
        <f t="shared" si="6"/>
        <v>45293</v>
      </c>
      <c r="AU94" s="183">
        <v>45315</v>
      </c>
      <c r="AV94" s="195">
        <v>45294</v>
      </c>
      <c r="AW94" s="185">
        <v>45266</v>
      </c>
    </row>
    <row r="95" spans="1:50" ht="105" hidden="1" x14ac:dyDescent="0.25">
      <c r="A95" s="251" t="s">
        <v>6682</v>
      </c>
      <c r="B95" s="259">
        <v>13</v>
      </c>
      <c r="C95" s="283" t="s">
        <v>149</v>
      </c>
      <c r="D95" s="259" t="s">
        <v>173</v>
      </c>
      <c r="E95" s="287" t="s">
        <v>6683</v>
      </c>
      <c r="F95" s="272" t="str">
        <f t="shared" si="7"/>
        <v>Licitación Pública</v>
      </c>
      <c r="G95" s="272"/>
      <c r="H95" s="272" t="s">
        <v>3785</v>
      </c>
      <c r="I95" s="276" t="s">
        <v>6684</v>
      </c>
      <c r="J95" s="267"/>
      <c r="K95" s="267"/>
      <c r="L95" s="267"/>
      <c r="M95" s="1060" t="str">
        <f t="shared" si="2"/>
        <v xml:space="preserve">Grupo México Tecnoindustrial SA de CV  </v>
      </c>
      <c r="N95" s="1023" t="s">
        <v>301</v>
      </c>
      <c r="O95" s="1023" t="s">
        <v>301</v>
      </c>
      <c r="P95" s="1061" t="s">
        <v>6685</v>
      </c>
      <c r="Q95" s="1062" t="s">
        <v>6686</v>
      </c>
      <c r="R95" s="1063">
        <v>2896175.17</v>
      </c>
      <c r="S95" s="395">
        <f t="shared" si="8"/>
        <v>463388.02720000001</v>
      </c>
      <c r="T95" s="1064">
        <f t="shared" si="3"/>
        <v>3359563.1971999998</v>
      </c>
      <c r="U95" s="1063">
        <v>1158470.07</v>
      </c>
      <c r="V95" s="395">
        <f>(U95*0.16)+(U95)</f>
        <v>1343825.2812000001</v>
      </c>
      <c r="W95" s="1041">
        <f t="shared" si="4"/>
        <v>3359563.1971999998</v>
      </c>
      <c r="X95" s="1025" t="s">
        <v>156</v>
      </c>
      <c r="Y95" s="164">
        <v>45293</v>
      </c>
      <c r="Z95" s="272" t="s">
        <v>157</v>
      </c>
      <c r="AA95" s="164">
        <v>45292</v>
      </c>
      <c r="AB95" s="164">
        <v>45657</v>
      </c>
      <c r="AC95" s="396" t="s">
        <v>4253</v>
      </c>
      <c r="AD95" s="397"/>
      <c r="AE95" s="396"/>
      <c r="AF95" s="398"/>
      <c r="AG95" s="395">
        <v>0</v>
      </c>
      <c r="AH95" s="399" t="str">
        <f t="shared" ca="1" si="18"/>
        <v>MUERTO</v>
      </c>
      <c r="AI95" s="272">
        <v>35701</v>
      </c>
      <c r="AJ95" s="272"/>
      <c r="AK95" s="272" t="s">
        <v>6431</v>
      </c>
      <c r="AL95" s="272"/>
      <c r="AM95" s="272" t="s">
        <v>6431</v>
      </c>
      <c r="AN95" s="272"/>
      <c r="AO95" s="272"/>
      <c r="AP95" s="396" t="e">
        <f>VLOOKUP(I95,'[4] RFC'!A:B,2,0)</f>
        <v>#N/A</v>
      </c>
      <c r="AQ95" s="164">
        <v>45254</v>
      </c>
      <c r="AR95" s="164">
        <v>45257</v>
      </c>
      <c r="AS95" s="164">
        <v>45266</v>
      </c>
      <c r="AT95" s="164">
        <f t="shared" si="6"/>
        <v>45293</v>
      </c>
      <c r="AU95" s="400">
        <v>45321</v>
      </c>
      <c r="AV95" s="227">
        <v>45295</v>
      </c>
      <c r="AW95" s="185">
        <v>45268</v>
      </c>
    </row>
    <row r="96" spans="1:50" ht="75" hidden="1" x14ac:dyDescent="0.25">
      <c r="A96" s="286" t="s">
        <v>6687</v>
      </c>
      <c r="B96" s="259">
        <v>14</v>
      </c>
      <c r="C96" s="4" t="s">
        <v>149</v>
      </c>
      <c r="D96" s="259" t="s">
        <v>173</v>
      </c>
      <c r="E96" s="287" t="s">
        <v>6688</v>
      </c>
      <c r="F96" s="3" t="str">
        <f t="shared" si="7"/>
        <v>Licitación Pública</v>
      </c>
      <c r="G96" s="3"/>
      <c r="H96" s="3" t="s">
        <v>6689</v>
      </c>
      <c r="I96" s="275" t="s">
        <v>6690</v>
      </c>
      <c r="J96" s="17"/>
      <c r="K96" s="17"/>
      <c r="L96" s="17"/>
      <c r="M96" s="1065" t="str">
        <f t="shared" si="2"/>
        <v xml:space="preserve">Corporate Accon En Conocimientos E Ingenieria, S.A. de C.V.  </v>
      </c>
      <c r="N96" s="959" t="s">
        <v>5099</v>
      </c>
      <c r="O96" s="959" t="s">
        <v>5099</v>
      </c>
      <c r="P96" s="959" t="s">
        <v>5668</v>
      </c>
      <c r="Q96" s="1044" t="s">
        <v>6691</v>
      </c>
      <c r="R96" s="1066">
        <v>2904600</v>
      </c>
      <c r="S96" s="411">
        <f t="shared" si="8"/>
        <v>464736</v>
      </c>
      <c r="T96" s="1067">
        <f t="shared" si="3"/>
        <v>3369336</v>
      </c>
      <c r="U96" s="1066" t="s">
        <v>161</v>
      </c>
      <c r="V96" s="411" t="s">
        <v>161</v>
      </c>
      <c r="W96" s="1041">
        <f t="shared" si="4"/>
        <v>3369336</v>
      </c>
      <c r="X96" s="963" t="s">
        <v>156</v>
      </c>
      <c r="Y96" s="6">
        <v>45293</v>
      </c>
      <c r="Z96" s="3" t="s">
        <v>157</v>
      </c>
      <c r="AA96" s="6">
        <v>45292</v>
      </c>
      <c r="AB96" s="6">
        <v>45657</v>
      </c>
      <c r="AC96" s="4" t="s">
        <v>3787</v>
      </c>
      <c r="AD96" s="412"/>
      <c r="AE96" s="4"/>
      <c r="AF96" s="413"/>
      <c r="AG96" s="411">
        <v>0</v>
      </c>
      <c r="AH96" s="414" t="str">
        <f t="shared" ca="1" si="18"/>
        <v>MUERTO</v>
      </c>
      <c r="AI96" s="3">
        <v>35701</v>
      </c>
      <c r="AJ96" s="3"/>
      <c r="AK96" s="3" t="s">
        <v>6431</v>
      </c>
      <c r="AL96" s="3"/>
      <c r="AM96" s="3" t="s">
        <v>6431</v>
      </c>
      <c r="AN96" s="3"/>
      <c r="AO96" s="3"/>
      <c r="AP96" s="4" t="e">
        <f>VLOOKUP(I96,'[4] RFC'!A:B,2,0)</f>
        <v>#N/A</v>
      </c>
      <c r="AQ96" s="6">
        <v>45254</v>
      </c>
      <c r="AR96" s="6">
        <v>45258</v>
      </c>
      <c r="AS96" s="6">
        <v>45266</v>
      </c>
      <c r="AT96" s="6">
        <f t="shared" si="6"/>
        <v>45293</v>
      </c>
      <c r="AU96" s="415">
        <v>45292</v>
      </c>
      <c r="AV96" s="416">
        <v>45308</v>
      </c>
      <c r="AW96" s="185">
        <v>45303</v>
      </c>
    </row>
    <row r="97" spans="1:49" ht="75" hidden="1" x14ac:dyDescent="0.25">
      <c r="A97" s="417" t="s">
        <v>6692</v>
      </c>
      <c r="B97" s="259">
        <v>14</v>
      </c>
      <c r="C97" s="167" t="s">
        <v>6303</v>
      </c>
      <c r="D97" s="259" t="s">
        <v>6303</v>
      </c>
      <c r="E97" s="287"/>
      <c r="F97" s="287" t="s">
        <v>6307</v>
      </c>
      <c r="G97" s="3"/>
      <c r="H97" s="3"/>
      <c r="I97" s="275" t="s">
        <v>6690</v>
      </c>
      <c r="J97" s="17"/>
      <c r="K97" s="17"/>
      <c r="L97" s="17"/>
      <c r="M97" s="1065" t="str">
        <f t="shared" si="2"/>
        <v xml:space="preserve">Corporate Accon En Conocimientos E Ingenieria, S.A. de C.V.  </v>
      </c>
      <c r="N97" s="959" t="s">
        <v>5099</v>
      </c>
      <c r="O97" s="959" t="s">
        <v>5099</v>
      </c>
      <c r="P97" s="959" t="s">
        <v>5668</v>
      </c>
      <c r="Q97" s="1044" t="s">
        <v>6691</v>
      </c>
      <c r="R97" s="1066">
        <v>0</v>
      </c>
      <c r="S97" s="411">
        <f t="shared" si="8"/>
        <v>0</v>
      </c>
      <c r="T97" s="1067">
        <f t="shared" si="3"/>
        <v>0</v>
      </c>
      <c r="U97" s="1066" t="s">
        <v>161</v>
      </c>
      <c r="V97" s="411" t="s">
        <v>161</v>
      </c>
      <c r="W97" s="1041">
        <v>0</v>
      </c>
      <c r="X97" s="963" t="s">
        <v>156</v>
      </c>
      <c r="Y97" s="6">
        <v>45372</v>
      </c>
      <c r="Z97" s="3" t="s">
        <v>234</v>
      </c>
      <c r="AA97" s="6">
        <v>45292</v>
      </c>
      <c r="AB97" s="6">
        <v>45657</v>
      </c>
      <c r="AC97" s="4"/>
      <c r="AD97" s="412" t="s">
        <v>6660</v>
      </c>
      <c r="AE97" s="4"/>
      <c r="AF97" s="6">
        <v>45372</v>
      </c>
      <c r="AG97" s="411">
        <v>0</v>
      </c>
      <c r="AH97" s="163" t="str">
        <f t="shared" ca="1" si="18"/>
        <v>MUERTO</v>
      </c>
      <c r="AI97" s="3"/>
      <c r="AJ97" s="3"/>
      <c r="AK97" s="63" t="s">
        <v>6301</v>
      </c>
      <c r="AL97" s="39" t="s">
        <v>6661</v>
      </c>
      <c r="AM97" s="39" t="s">
        <v>234</v>
      </c>
      <c r="AN97" s="3"/>
      <c r="AO97" s="3"/>
      <c r="AP97" s="4"/>
      <c r="AQ97" s="6">
        <v>45371</v>
      </c>
      <c r="AR97" s="6">
        <v>45371</v>
      </c>
      <c r="AS97" s="6">
        <v>45372</v>
      </c>
      <c r="AT97" s="6">
        <f t="shared" si="6"/>
        <v>45372</v>
      </c>
      <c r="AU97" s="415">
        <v>45405</v>
      </c>
      <c r="AV97" s="416">
        <v>45393</v>
      </c>
      <c r="AW97" s="185">
        <v>45387</v>
      </c>
    </row>
    <row r="98" spans="1:49" ht="75" hidden="1" x14ac:dyDescent="0.25">
      <c r="A98" s="401" t="s">
        <v>6693</v>
      </c>
      <c r="B98" s="259">
        <v>15</v>
      </c>
      <c r="C98" s="402" t="s">
        <v>149</v>
      </c>
      <c r="D98" s="259" t="s">
        <v>163</v>
      </c>
      <c r="E98" s="287" t="s">
        <v>5667</v>
      </c>
      <c r="F98" s="287" t="s">
        <v>2237</v>
      </c>
      <c r="G98" s="309" t="s">
        <v>163</v>
      </c>
      <c r="H98" s="277" t="s">
        <v>6694</v>
      </c>
      <c r="I98" s="403" t="s">
        <v>6695</v>
      </c>
      <c r="J98" s="1068"/>
      <c r="K98" s="1068"/>
      <c r="L98" s="1068"/>
      <c r="M98" s="1069" t="str">
        <f t="shared" si="2"/>
        <v xml:space="preserve">Teletec De México, S.A.P.I. de C.V.  </v>
      </c>
      <c r="N98" s="1070" t="s">
        <v>198</v>
      </c>
      <c r="O98" s="1070" t="s">
        <v>198</v>
      </c>
      <c r="P98" s="1070" t="s">
        <v>6696</v>
      </c>
      <c r="Q98" s="1071" t="s">
        <v>6697</v>
      </c>
      <c r="R98" s="1072">
        <v>2420110.98</v>
      </c>
      <c r="S98" s="404">
        <f t="shared" si="8"/>
        <v>387217.75680000003</v>
      </c>
      <c r="T98" s="1073">
        <f t="shared" si="3"/>
        <v>2807328.7368000001</v>
      </c>
      <c r="U98" s="1074">
        <v>2116484.5699999998</v>
      </c>
      <c r="V98" s="405">
        <f>(U98*0.16)+(U98)</f>
        <v>2455122.1011999999</v>
      </c>
      <c r="W98" s="405">
        <f t="shared" si="4"/>
        <v>2807328.7368000001</v>
      </c>
      <c r="X98" s="1075" t="s">
        <v>156</v>
      </c>
      <c r="Y98" s="406">
        <v>45293</v>
      </c>
      <c r="Z98" s="273" t="s">
        <v>157</v>
      </c>
      <c r="AA98" s="406">
        <v>45292</v>
      </c>
      <c r="AB98" s="406">
        <v>45657</v>
      </c>
      <c r="AC98" s="264" t="s">
        <v>3787</v>
      </c>
      <c r="AD98" s="407"/>
      <c r="AE98" s="264"/>
      <c r="AF98" s="408"/>
      <c r="AG98" s="405">
        <v>0</v>
      </c>
      <c r="AH98" s="364" t="str">
        <f t="shared" ca="1" si="18"/>
        <v>MUERTO</v>
      </c>
      <c r="AI98" s="273">
        <v>35701</v>
      </c>
      <c r="AJ98" s="273"/>
      <c r="AK98" s="273" t="s">
        <v>6431</v>
      </c>
      <c r="AL98" s="273"/>
      <c r="AM98" s="273" t="s">
        <v>6431</v>
      </c>
      <c r="AN98" s="273"/>
      <c r="AO98" s="273"/>
      <c r="AP98" s="264" t="str">
        <f>VLOOKUP(I98,'[4] RFC'!A:B,2,0)</f>
        <v>TME910924TL5</v>
      </c>
      <c r="AQ98" s="406">
        <v>45254</v>
      </c>
      <c r="AR98" s="406">
        <v>45261</v>
      </c>
      <c r="AS98" s="406">
        <v>45268</v>
      </c>
      <c r="AT98" s="406">
        <f t="shared" ref="AT98:AT165" si="19">+Y98</f>
        <v>45293</v>
      </c>
      <c r="AU98" s="409">
        <v>45323</v>
      </c>
      <c r="AV98" s="410">
        <v>45296</v>
      </c>
      <c r="AW98" s="185">
        <v>45266</v>
      </c>
    </row>
    <row r="99" spans="1:49" ht="75" hidden="1" x14ac:dyDescent="0.25">
      <c r="A99" s="286" t="s">
        <v>6698</v>
      </c>
      <c r="B99" s="259">
        <v>16</v>
      </c>
      <c r="C99" s="4" t="s">
        <v>149</v>
      </c>
      <c r="D99" s="259" t="s">
        <v>163</v>
      </c>
      <c r="E99" s="287" t="s">
        <v>5667</v>
      </c>
      <c r="F99" s="287" t="s">
        <v>2237</v>
      </c>
      <c r="G99" s="685" t="s">
        <v>546</v>
      </c>
      <c r="H99" s="3" t="s">
        <v>4030</v>
      </c>
      <c r="I99" s="275" t="s">
        <v>6699</v>
      </c>
      <c r="J99" s="17"/>
      <c r="K99" s="17"/>
      <c r="L99" s="17"/>
      <c r="M99" s="1065" t="str">
        <f t="shared" si="2"/>
        <v xml:space="preserve">Sistemas Neumáticos de envíos, S.A. de C.V.  </v>
      </c>
      <c r="N99" s="959" t="s">
        <v>301</v>
      </c>
      <c r="O99" s="959" t="s">
        <v>301</v>
      </c>
      <c r="P99" s="959" t="s">
        <v>5772</v>
      </c>
      <c r="Q99" s="1044" t="s">
        <v>6700</v>
      </c>
      <c r="R99" s="1066">
        <v>2802586.04</v>
      </c>
      <c r="S99" s="293">
        <f t="shared" si="8"/>
        <v>448413.76640000002</v>
      </c>
      <c r="T99" s="1048">
        <f t="shared" si="3"/>
        <v>3250999.8064000001</v>
      </c>
      <c r="U99" s="1047">
        <v>2241001.69</v>
      </c>
      <c r="V99" s="270">
        <f>(U99*0.16)+(U99)</f>
        <v>2599561.9603999997</v>
      </c>
      <c r="W99" s="270">
        <f t="shared" si="4"/>
        <v>3250999.8064000001</v>
      </c>
      <c r="X99" s="993" t="s">
        <v>156</v>
      </c>
      <c r="Y99" s="59">
        <v>45293</v>
      </c>
      <c r="Z99" s="39" t="s">
        <v>157</v>
      </c>
      <c r="AA99" s="59">
        <v>45292</v>
      </c>
      <c r="AB99" s="59">
        <v>45657</v>
      </c>
      <c r="AC99" s="38" t="s">
        <v>6701</v>
      </c>
      <c r="AD99" s="53"/>
      <c r="AE99" s="38"/>
      <c r="AF99" s="256"/>
      <c r="AG99" s="270">
        <v>0</v>
      </c>
      <c r="AH99" s="163" t="str">
        <f t="shared" ca="1" si="18"/>
        <v>MUERTO</v>
      </c>
      <c r="AI99" s="39">
        <v>35701</v>
      </c>
      <c r="AJ99" s="39"/>
      <c r="AK99" s="39" t="s">
        <v>6431</v>
      </c>
      <c r="AL99" s="39"/>
      <c r="AM99" s="39" t="s">
        <v>6431</v>
      </c>
      <c r="AN99" s="39"/>
      <c r="AO99" s="39"/>
      <c r="AP99" s="38" t="str">
        <f>VLOOKUP(I99,'[4] RFC'!A:B,2,0)</f>
        <v>SNE8902146C0</v>
      </c>
      <c r="AQ99" s="59">
        <v>45254</v>
      </c>
      <c r="AR99" s="59">
        <v>45264</v>
      </c>
      <c r="AS99" s="59">
        <v>45273</v>
      </c>
      <c r="AT99" s="59">
        <f t="shared" si="19"/>
        <v>45293</v>
      </c>
      <c r="AU99" s="183">
        <v>45329</v>
      </c>
      <c r="AV99" s="195">
        <v>45308</v>
      </c>
      <c r="AW99" s="185">
        <v>45274</v>
      </c>
    </row>
    <row r="100" spans="1:49" s="1" customFormat="1" ht="105" hidden="1" x14ac:dyDescent="0.25">
      <c r="A100" s="284" t="s">
        <v>6702</v>
      </c>
      <c r="B100" s="259">
        <v>17</v>
      </c>
      <c r="C100" s="285" t="s">
        <v>149</v>
      </c>
      <c r="D100" s="259" t="s">
        <v>173</v>
      </c>
      <c r="E100" s="287" t="s">
        <v>6703</v>
      </c>
      <c r="F100" s="287" t="str">
        <f t="shared" si="7"/>
        <v>Licitación Pública</v>
      </c>
      <c r="G100" s="685"/>
      <c r="H100" s="3" t="s">
        <v>6462</v>
      </c>
      <c r="I100" s="275" t="s">
        <v>4199</v>
      </c>
      <c r="J100" s="17"/>
      <c r="K100" s="17"/>
      <c r="L100" s="17"/>
      <c r="M100" s="1065" t="str">
        <f t="shared" si="2"/>
        <v xml:space="preserve">TVMDIGITAL, S. DE R.L. DE C.V.  </v>
      </c>
      <c r="N100" s="959" t="s">
        <v>6365</v>
      </c>
      <c r="O100" s="959" t="s">
        <v>6365</v>
      </c>
      <c r="P100" s="1070" t="s">
        <v>6704</v>
      </c>
      <c r="Q100" s="1076" t="s">
        <v>6705</v>
      </c>
      <c r="R100" s="1074">
        <v>3448275.86</v>
      </c>
      <c r="S100" s="270">
        <f t="shared" si="8"/>
        <v>551724.13760000002</v>
      </c>
      <c r="T100" s="1048">
        <f t="shared" si="3"/>
        <v>3999999.9975999999</v>
      </c>
      <c r="U100" s="1047">
        <v>1379310.34</v>
      </c>
      <c r="V100" s="270">
        <f>(U100*0.16)+(U100)</f>
        <v>1599999.9944000002</v>
      </c>
      <c r="W100" s="270">
        <f t="shared" si="4"/>
        <v>3999999.9975999999</v>
      </c>
      <c r="X100" s="993" t="s">
        <v>156</v>
      </c>
      <c r="Y100" s="59">
        <v>45293</v>
      </c>
      <c r="Z100" s="39" t="s">
        <v>157</v>
      </c>
      <c r="AA100" s="59">
        <v>45292</v>
      </c>
      <c r="AB100" s="59">
        <v>45657</v>
      </c>
      <c r="AC100" s="38" t="s">
        <v>6706</v>
      </c>
      <c r="AD100" s="53"/>
      <c r="AE100" s="38"/>
      <c r="AF100" s="256"/>
      <c r="AG100" s="270">
        <v>0</v>
      </c>
      <c r="AH100" s="163" t="str">
        <f t="shared" ca="1" si="18"/>
        <v>MUERTO</v>
      </c>
      <c r="AI100" s="39">
        <v>35201</v>
      </c>
      <c r="AJ100" s="39"/>
      <c r="AK100" s="39" t="s">
        <v>6431</v>
      </c>
      <c r="AL100" s="39"/>
      <c r="AM100" s="39" t="s">
        <v>6431</v>
      </c>
      <c r="AN100" s="39"/>
      <c r="AO100" s="39"/>
      <c r="AP100" s="38" t="e">
        <f>VLOOKUP(I100,'[4] RFC'!A:B,2,0)</f>
        <v>#N/A</v>
      </c>
      <c r="AQ100" s="59">
        <v>45264</v>
      </c>
      <c r="AR100" s="59">
        <v>45266</v>
      </c>
      <c r="AS100" s="59">
        <v>45279</v>
      </c>
      <c r="AT100" s="59">
        <f t="shared" si="19"/>
        <v>45293</v>
      </c>
      <c r="AU100" s="183">
        <v>45324</v>
      </c>
      <c r="AV100" s="195">
        <v>45296</v>
      </c>
      <c r="AW100" s="185">
        <v>45286</v>
      </c>
    </row>
    <row r="101" spans="1:49" s="1" customFormat="1" ht="105" hidden="1" x14ac:dyDescent="0.25">
      <c r="A101" s="918" t="s">
        <v>6707</v>
      </c>
      <c r="B101" s="259">
        <v>17</v>
      </c>
      <c r="C101" s="285" t="s">
        <v>149</v>
      </c>
      <c r="D101" s="259" t="s">
        <v>6303</v>
      </c>
      <c r="E101" s="287" t="s">
        <v>6708</v>
      </c>
      <c r="F101" s="287" t="s">
        <v>173</v>
      </c>
      <c r="G101" s="685"/>
      <c r="H101" s="3" t="s">
        <v>6342</v>
      </c>
      <c r="I101" s="275" t="s">
        <v>4199</v>
      </c>
      <c r="J101" s="17"/>
      <c r="K101" s="17"/>
      <c r="L101" s="17"/>
      <c r="M101" s="1065" t="str">
        <f t="shared" si="2"/>
        <v xml:space="preserve">TVMDIGITAL, S. DE R.L. DE C.V.  </v>
      </c>
      <c r="N101" s="959" t="s">
        <v>6365</v>
      </c>
      <c r="O101" s="959" t="s">
        <v>6365</v>
      </c>
      <c r="P101" s="1070" t="s">
        <v>6704</v>
      </c>
      <c r="Q101" s="1076" t="s">
        <v>6705</v>
      </c>
      <c r="R101" s="1074">
        <v>3965517.24</v>
      </c>
      <c r="S101" s="270">
        <f t="shared" si="8"/>
        <v>634482.75840000005</v>
      </c>
      <c r="T101" s="1048">
        <f t="shared" si="3"/>
        <v>4599999.9983999999</v>
      </c>
      <c r="U101" s="1047">
        <v>1379310.34</v>
      </c>
      <c r="V101" s="270">
        <f>(U101*0.16)+(U101)</f>
        <v>1599999.9944000002</v>
      </c>
      <c r="W101" s="270">
        <f t="shared" si="4"/>
        <v>4599999.9983999999</v>
      </c>
      <c r="X101" s="993" t="s">
        <v>156</v>
      </c>
      <c r="Y101" s="59">
        <v>45656</v>
      </c>
      <c r="Z101" s="39" t="s">
        <v>157</v>
      </c>
      <c r="AA101" s="59">
        <v>45292</v>
      </c>
      <c r="AB101" s="59">
        <v>45730</v>
      </c>
      <c r="AC101" s="38" t="s">
        <v>6706</v>
      </c>
      <c r="AD101" s="53" t="s">
        <v>6709</v>
      </c>
      <c r="AE101" s="38" t="s">
        <v>6710</v>
      </c>
      <c r="AF101" s="256"/>
      <c r="AG101" s="270"/>
      <c r="AH101" s="163" t="s">
        <v>1388</v>
      </c>
      <c r="AI101" s="39">
        <v>35201</v>
      </c>
      <c r="AJ101" s="39"/>
      <c r="AK101" s="39" t="s">
        <v>1937</v>
      </c>
      <c r="AL101" s="39"/>
      <c r="AM101" s="39" t="s">
        <v>1937</v>
      </c>
      <c r="AN101" s="39"/>
      <c r="AO101" s="39"/>
      <c r="AP101" s="38" t="e">
        <f>VLOOKUP(I101,'[4] RFC'!A:B,2,0)</f>
        <v>#N/A</v>
      </c>
      <c r="AQ101" s="59">
        <v>45645</v>
      </c>
      <c r="AR101" s="59">
        <v>45649</v>
      </c>
      <c r="AS101" s="59">
        <v>45656</v>
      </c>
      <c r="AT101" s="59"/>
      <c r="AU101" s="183"/>
      <c r="AV101" s="195">
        <v>45656</v>
      </c>
      <c r="AW101" s="185"/>
    </row>
    <row r="102" spans="1:49" ht="60" hidden="1" x14ac:dyDescent="0.25">
      <c r="A102" s="248" t="s">
        <v>6711</v>
      </c>
      <c r="B102" s="259">
        <v>18</v>
      </c>
      <c r="C102" s="167" t="s">
        <v>149</v>
      </c>
      <c r="D102" s="259" t="s">
        <v>173</v>
      </c>
      <c r="E102" s="287" t="s">
        <v>6712</v>
      </c>
      <c r="F102" s="287" t="str">
        <f t="shared" si="7"/>
        <v>Licitación Pública</v>
      </c>
      <c r="G102" s="685"/>
      <c r="H102" s="3" t="s">
        <v>3785</v>
      </c>
      <c r="I102" s="275" t="s">
        <v>4199</v>
      </c>
      <c r="J102" s="267"/>
      <c r="K102" s="17"/>
      <c r="L102" s="41"/>
      <c r="M102" s="1065" t="str">
        <f t="shared" si="2"/>
        <v xml:space="preserve">TVMDIGITAL, S. DE R.L. DE C.V.  </v>
      </c>
      <c r="N102" s="991" t="s">
        <v>190</v>
      </c>
      <c r="O102" s="991" t="s">
        <v>190</v>
      </c>
      <c r="P102" s="1077" t="s">
        <v>6713</v>
      </c>
      <c r="Q102" s="1040" t="s">
        <v>6714</v>
      </c>
      <c r="R102" s="1047">
        <v>4310344.82</v>
      </c>
      <c r="S102" s="270">
        <f t="shared" si="8"/>
        <v>689655.1712000001</v>
      </c>
      <c r="T102" s="1048">
        <f t="shared" si="3"/>
        <v>4999999.9912</v>
      </c>
      <c r="U102" s="1047">
        <v>2500000</v>
      </c>
      <c r="V102" s="270">
        <f>(U102*0.16)+(U102)</f>
        <v>2900000</v>
      </c>
      <c r="W102" s="270">
        <f t="shared" si="4"/>
        <v>4999999.9912</v>
      </c>
      <c r="X102" s="993" t="s">
        <v>156</v>
      </c>
      <c r="Y102" s="59">
        <v>45293</v>
      </c>
      <c r="Z102" s="39" t="s">
        <v>157</v>
      </c>
      <c r="AA102" s="59">
        <v>45292</v>
      </c>
      <c r="AB102" s="59">
        <v>45657</v>
      </c>
      <c r="AC102" s="38" t="s">
        <v>6715</v>
      </c>
      <c r="AD102" s="53"/>
      <c r="AE102" s="38"/>
      <c r="AF102" s="256"/>
      <c r="AG102" s="270">
        <v>0</v>
      </c>
      <c r="AH102" s="163" t="str">
        <f t="shared" ca="1" si="18"/>
        <v>MUERTO</v>
      </c>
      <c r="AI102" s="39">
        <v>35301</v>
      </c>
      <c r="AJ102" s="39"/>
      <c r="AK102" s="39" t="s">
        <v>6431</v>
      </c>
      <c r="AL102" s="39"/>
      <c r="AM102" s="39" t="s">
        <v>6431</v>
      </c>
      <c r="AN102" s="39"/>
      <c r="AO102" s="39"/>
      <c r="AP102" s="38" t="e">
        <f>VLOOKUP(I102,'[4] RFC'!A:B,2,0)</f>
        <v>#N/A</v>
      </c>
      <c r="AQ102" s="59">
        <v>45264</v>
      </c>
      <c r="AR102" s="59">
        <v>45265</v>
      </c>
      <c r="AS102" s="59">
        <v>45273</v>
      </c>
      <c r="AT102" s="59">
        <f t="shared" si="19"/>
        <v>45293</v>
      </c>
      <c r="AU102" s="183">
        <v>45323</v>
      </c>
      <c r="AV102" s="195">
        <v>45296</v>
      </c>
      <c r="AW102" s="185">
        <v>45280</v>
      </c>
    </row>
    <row r="103" spans="1:49" ht="45" hidden="1" x14ac:dyDescent="0.25">
      <c r="A103" s="248" t="s">
        <v>6716</v>
      </c>
      <c r="B103" s="259">
        <v>19</v>
      </c>
      <c r="C103" s="167" t="s">
        <v>149</v>
      </c>
      <c r="D103" s="259" t="s">
        <v>173</v>
      </c>
      <c r="E103" s="287" t="s">
        <v>6712</v>
      </c>
      <c r="F103" s="287" t="str">
        <f t="shared" si="7"/>
        <v>Licitación Pública</v>
      </c>
      <c r="G103" s="685"/>
      <c r="H103" s="3" t="s">
        <v>6717</v>
      </c>
      <c r="I103" s="264" t="s">
        <v>6718</v>
      </c>
      <c r="J103" s="267"/>
      <c r="K103" s="268"/>
      <c r="L103" s="41"/>
      <c r="M103" s="1078" t="str">
        <f t="shared" si="2"/>
        <v xml:space="preserve">Audio y Video &amp; Control, S.A de C.V.  </v>
      </c>
      <c r="N103" s="1079" t="s">
        <v>5099</v>
      </c>
      <c r="O103" s="1080" t="s">
        <v>5099</v>
      </c>
      <c r="P103" s="1061" t="s">
        <v>5668</v>
      </c>
      <c r="Q103" s="1076" t="s">
        <v>6719</v>
      </c>
      <c r="R103" s="1047">
        <v>720000</v>
      </c>
      <c r="S103" s="270">
        <f t="shared" si="8"/>
        <v>115200</v>
      </c>
      <c r="T103" s="1048">
        <f t="shared" ref="T103:T138" si="20">R103+S103</f>
        <v>835200</v>
      </c>
      <c r="U103" s="1047" t="s">
        <v>161</v>
      </c>
      <c r="V103" s="270" t="s">
        <v>161</v>
      </c>
      <c r="W103" s="270">
        <f t="shared" si="4"/>
        <v>835200</v>
      </c>
      <c r="X103" s="993" t="s">
        <v>156</v>
      </c>
      <c r="Y103" s="59">
        <v>45293</v>
      </c>
      <c r="Z103" s="39" t="s">
        <v>157</v>
      </c>
      <c r="AA103" s="59">
        <v>45292</v>
      </c>
      <c r="AB103" s="59">
        <v>45657</v>
      </c>
      <c r="AC103" s="38" t="s">
        <v>6720</v>
      </c>
      <c r="AD103" s="53"/>
      <c r="AE103" s="38"/>
      <c r="AF103" s="256"/>
      <c r="AG103" s="270">
        <v>0</v>
      </c>
      <c r="AH103" s="163" t="str">
        <f t="shared" ca="1" si="18"/>
        <v>MUERTO</v>
      </c>
      <c r="AI103" s="39">
        <v>35701</v>
      </c>
      <c r="AJ103" s="39"/>
      <c r="AK103" s="39" t="s">
        <v>6431</v>
      </c>
      <c r="AL103" s="39"/>
      <c r="AM103" s="39" t="s">
        <v>6431</v>
      </c>
      <c r="AN103" s="39"/>
      <c r="AO103" s="39"/>
      <c r="AP103" s="38" t="e">
        <f>VLOOKUP(I103,'[4] RFC'!A:B,2,0)</f>
        <v>#N/A</v>
      </c>
      <c r="AQ103" s="59">
        <v>45264</v>
      </c>
      <c r="AR103" s="59">
        <v>45267</v>
      </c>
      <c r="AS103" s="59">
        <v>45274</v>
      </c>
      <c r="AT103" s="59">
        <f t="shared" si="19"/>
        <v>45293</v>
      </c>
      <c r="AU103" s="183">
        <v>45313</v>
      </c>
      <c r="AV103" s="195">
        <v>45296</v>
      </c>
      <c r="AW103" s="185">
        <v>44929</v>
      </c>
    </row>
    <row r="104" spans="1:49" ht="60" hidden="1" x14ac:dyDescent="0.25">
      <c r="A104" s="713" t="s">
        <v>6721</v>
      </c>
      <c r="B104" s="259">
        <v>20</v>
      </c>
      <c r="C104" s="167" t="s">
        <v>149</v>
      </c>
      <c r="D104" s="259" t="s">
        <v>173</v>
      </c>
      <c r="E104" s="287" t="s">
        <v>6722</v>
      </c>
      <c r="F104" s="287" t="str">
        <f t="shared" si="7"/>
        <v>Licitación Pública</v>
      </c>
      <c r="G104" s="685"/>
      <c r="H104" s="3" t="s">
        <v>6462</v>
      </c>
      <c r="I104" s="81" t="s">
        <v>6676</v>
      </c>
      <c r="J104" s="41"/>
      <c r="K104" s="41"/>
      <c r="L104" s="41"/>
      <c r="M104" s="1046" t="str">
        <f t="shared" si="2"/>
        <v xml:space="preserve">CRYPTEX Seguridad Privada Mexicana S.A. DE C.V.  </v>
      </c>
      <c r="N104" s="1081" t="s">
        <v>1946</v>
      </c>
      <c r="O104" s="1081" t="s">
        <v>1946</v>
      </c>
      <c r="P104" s="1081"/>
      <c r="Q104" s="1040" t="s">
        <v>6723</v>
      </c>
      <c r="R104" s="1047">
        <v>6000000</v>
      </c>
      <c r="S104" s="270">
        <f t="shared" si="8"/>
        <v>960000</v>
      </c>
      <c r="T104" s="1048">
        <f t="shared" si="20"/>
        <v>6960000</v>
      </c>
      <c r="U104" s="1047">
        <v>0</v>
      </c>
      <c r="V104" s="270">
        <f>(U104*0.16)+(U104)</f>
        <v>0</v>
      </c>
      <c r="W104" s="270">
        <f t="shared" si="4"/>
        <v>6960000</v>
      </c>
      <c r="X104" s="993" t="s">
        <v>156</v>
      </c>
      <c r="Y104" s="59">
        <v>45293</v>
      </c>
      <c r="Z104" s="39" t="s">
        <v>157</v>
      </c>
      <c r="AA104" s="59">
        <v>45292</v>
      </c>
      <c r="AB104" s="59">
        <v>45657</v>
      </c>
      <c r="AC104" s="50" t="s">
        <v>3113</v>
      </c>
      <c r="AD104" s="53" t="s">
        <v>6724</v>
      </c>
      <c r="AE104" s="38"/>
      <c r="AF104" s="256"/>
      <c r="AG104" s="270">
        <v>0</v>
      </c>
      <c r="AH104" s="163" t="str">
        <f t="shared" ca="1" si="18"/>
        <v>MUERTO</v>
      </c>
      <c r="AI104" s="39">
        <v>33501</v>
      </c>
      <c r="AJ104" s="39"/>
      <c r="AK104" s="39" t="s">
        <v>6431</v>
      </c>
      <c r="AL104" s="39"/>
      <c r="AM104" s="39" t="s">
        <v>6431</v>
      </c>
      <c r="AN104" s="39"/>
      <c r="AO104" s="39"/>
      <c r="AP104" s="38" t="e">
        <f>VLOOKUP(I104,'[4] RFC'!A:B,2,0)</f>
        <v>#N/A</v>
      </c>
      <c r="AQ104" s="59">
        <v>45265</v>
      </c>
      <c r="AR104" s="59">
        <v>45266</v>
      </c>
      <c r="AS104" s="59">
        <v>45274</v>
      </c>
      <c r="AT104" s="59">
        <f t="shared" si="19"/>
        <v>45293</v>
      </c>
      <c r="AU104" s="183">
        <v>45315</v>
      </c>
      <c r="AV104" s="195">
        <v>45301</v>
      </c>
      <c r="AW104" s="185">
        <v>45301</v>
      </c>
    </row>
    <row r="105" spans="1:49" ht="45" hidden="1" x14ac:dyDescent="0.25">
      <c r="A105" s="196" t="s">
        <v>6721</v>
      </c>
      <c r="B105" s="259">
        <v>20</v>
      </c>
      <c r="C105" s="167" t="s">
        <v>149</v>
      </c>
      <c r="D105" s="259" t="s">
        <v>6725</v>
      </c>
      <c r="E105" s="287" t="s">
        <v>6726</v>
      </c>
      <c r="F105" s="287" t="str">
        <f t="shared" si="7"/>
        <v>Terminación Administrativa</v>
      </c>
      <c r="G105" s="685"/>
      <c r="H105" s="3" t="s">
        <v>6727</v>
      </c>
      <c r="I105" s="81" t="s">
        <v>6676</v>
      </c>
      <c r="J105" s="41"/>
      <c r="K105" s="41"/>
      <c r="L105" s="41"/>
      <c r="M105" s="1046" t="str">
        <f t="shared" si="2"/>
        <v xml:space="preserve">CRYPTEX Seguridad Privada Mexicana S.A. DE C.V.  </v>
      </c>
      <c r="N105" s="1081" t="s">
        <v>1946</v>
      </c>
      <c r="O105" s="1081" t="s">
        <v>1946</v>
      </c>
      <c r="P105" s="1081"/>
      <c r="Q105" s="1040" t="s">
        <v>6723</v>
      </c>
      <c r="R105" s="1047">
        <v>6000000</v>
      </c>
      <c r="S105" s="270">
        <f t="shared" si="8"/>
        <v>960000</v>
      </c>
      <c r="T105" s="1048">
        <f t="shared" si="20"/>
        <v>6960000</v>
      </c>
      <c r="U105" s="1047">
        <v>0</v>
      </c>
      <c r="V105" s="270">
        <f>(U105*0.16)+(U105)</f>
        <v>0</v>
      </c>
      <c r="W105" s="270">
        <f t="shared" si="4"/>
        <v>6960000</v>
      </c>
      <c r="X105" s="993" t="s">
        <v>156</v>
      </c>
      <c r="Y105" s="59">
        <v>45552</v>
      </c>
      <c r="Z105" s="208" t="s">
        <v>863</v>
      </c>
      <c r="AA105" s="59" t="s">
        <v>161</v>
      </c>
      <c r="AB105" s="59" t="s">
        <v>161</v>
      </c>
      <c r="AC105" s="50" t="s">
        <v>161</v>
      </c>
      <c r="AD105" s="53" t="s">
        <v>6728</v>
      </c>
      <c r="AE105" s="38" t="s">
        <v>6729</v>
      </c>
      <c r="AF105" s="256"/>
      <c r="AG105" s="270"/>
      <c r="AH105" s="163" t="s">
        <v>1388</v>
      </c>
      <c r="AI105" s="39"/>
      <c r="AJ105" s="39"/>
      <c r="AK105" s="39" t="s">
        <v>1937</v>
      </c>
      <c r="AL105" s="39"/>
      <c r="AM105" s="39" t="s">
        <v>1937</v>
      </c>
      <c r="AN105" s="39"/>
      <c r="AO105" s="39"/>
      <c r="AP105" s="38"/>
      <c r="AQ105" s="59">
        <v>45532</v>
      </c>
      <c r="AR105" s="59"/>
      <c r="AS105" s="59"/>
      <c r="AT105" s="59"/>
      <c r="AU105" s="183">
        <v>45635</v>
      </c>
      <c r="AV105" s="195"/>
      <c r="AW105" s="185"/>
    </row>
    <row r="106" spans="1:49" ht="60" hidden="1" x14ac:dyDescent="0.25">
      <c r="A106" s="248" t="s">
        <v>6730</v>
      </c>
      <c r="B106" s="259">
        <v>21</v>
      </c>
      <c r="C106" s="167" t="s">
        <v>149</v>
      </c>
      <c r="D106" s="259" t="s">
        <v>173</v>
      </c>
      <c r="E106" s="287" t="s">
        <v>6731</v>
      </c>
      <c r="F106" s="287" t="str">
        <f t="shared" ref="F106:F149" si="21">D106</f>
        <v>Licitación Pública</v>
      </c>
      <c r="G106" s="685"/>
      <c r="H106" s="3" t="s">
        <v>3785</v>
      </c>
      <c r="I106" s="81" t="s">
        <v>6732</v>
      </c>
      <c r="J106" s="267"/>
      <c r="K106" s="41"/>
      <c r="L106" s="41"/>
      <c r="M106" s="1046" t="str">
        <f t="shared" si="2"/>
        <v xml:space="preserve">Sinteg en México, S.A DE C.V  </v>
      </c>
      <c r="N106" s="991" t="s">
        <v>656</v>
      </c>
      <c r="O106" s="991" t="s">
        <v>209</v>
      </c>
      <c r="P106" s="1061" t="s">
        <v>1203</v>
      </c>
      <c r="Q106" s="1040" t="s">
        <v>6733</v>
      </c>
      <c r="R106" s="1047">
        <v>2560345</v>
      </c>
      <c r="S106" s="270">
        <f t="shared" si="8"/>
        <v>409655.2</v>
      </c>
      <c r="T106" s="1048">
        <f t="shared" si="20"/>
        <v>2970000.2</v>
      </c>
      <c r="U106" s="1047" t="s">
        <v>161</v>
      </c>
      <c r="V106" s="270" t="s">
        <v>161</v>
      </c>
      <c r="W106" s="270">
        <f t="shared" si="4"/>
        <v>2970000.2</v>
      </c>
      <c r="X106" s="993" t="s">
        <v>156</v>
      </c>
      <c r="Y106" s="59">
        <v>45293</v>
      </c>
      <c r="Z106" s="39" t="s">
        <v>157</v>
      </c>
      <c r="AA106" s="59">
        <v>45292</v>
      </c>
      <c r="AB106" s="59">
        <v>45657</v>
      </c>
      <c r="AC106" s="38" t="s">
        <v>6734</v>
      </c>
      <c r="AD106" s="53"/>
      <c r="AE106" s="38"/>
      <c r="AF106" s="256"/>
      <c r="AG106" s="270">
        <v>0</v>
      </c>
      <c r="AH106" s="163" t="str">
        <f t="shared" ca="1" si="18"/>
        <v>MUERTO</v>
      </c>
      <c r="AI106" s="39" t="s">
        <v>6735</v>
      </c>
      <c r="AJ106" s="39"/>
      <c r="AK106" s="39" t="s">
        <v>6431</v>
      </c>
      <c r="AL106" s="39"/>
      <c r="AM106" s="39" t="s">
        <v>6431</v>
      </c>
      <c r="AN106" s="39"/>
      <c r="AO106" s="39"/>
      <c r="AP106" s="38" t="e">
        <f>VLOOKUP(I106,'[4] RFC'!A:B,2,0)</f>
        <v>#N/A</v>
      </c>
      <c r="AQ106" s="59">
        <v>45266</v>
      </c>
      <c r="AR106" s="59">
        <v>45267</v>
      </c>
      <c r="AS106" s="59">
        <v>45274</v>
      </c>
      <c r="AT106" s="59">
        <f t="shared" si="19"/>
        <v>45293</v>
      </c>
      <c r="AU106" s="183">
        <v>45328</v>
      </c>
      <c r="AV106" s="195">
        <v>45296</v>
      </c>
      <c r="AW106" s="185">
        <v>45275</v>
      </c>
    </row>
    <row r="107" spans="1:49" ht="75" hidden="1" x14ac:dyDescent="0.25">
      <c r="A107" s="248" t="s">
        <v>6736</v>
      </c>
      <c r="B107" s="259">
        <v>22</v>
      </c>
      <c r="C107" s="167" t="s">
        <v>149</v>
      </c>
      <c r="D107" s="259" t="s">
        <v>163</v>
      </c>
      <c r="E107" s="287" t="s">
        <v>6277</v>
      </c>
      <c r="F107" s="287" t="s">
        <v>2237</v>
      </c>
      <c r="G107" s="685" t="s">
        <v>546</v>
      </c>
      <c r="H107" s="3" t="s">
        <v>6737</v>
      </c>
      <c r="I107" s="81" t="s">
        <v>6738</v>
      </c>
      <c r="J107" s="267"/>
      <c r="K107" s="41"/>
      <c r="L107" s="41"/>
      <c r="M107" s="1046" t="str">
        <f t="shared" si="2"/>
        <v xml:space="preserve">Elevadores Schindler, S.A. de C.V  </v>
      </c>
      <c r="N107" s="991" t="s">
        <v>198</v>
      </c>
      <c r="O107" s="991" t="s">
        <v>198</v>
      </c>
      <c r="P107" s="308" t="s">
        <v>6739</v>
      </c>
      <c r="Q107" s="1040" t="s">
        <v>6740</v>
      </c>
      <c r="R107" s="1082">
        <v>2740500</v>
      </c>
      <c r="S107" s="270">
        <f t="shared" si="8"/>
        <v>438480</v>
      </c>
      <c r="T107" s="1048">
        <f t="shared" si="20"/>
        <v>3178980</v>
      </c>
      <c r="U107" s="1047" t="s">
        <v>161</v>
      </c>
      <c r="V107" s="270" t="s">
        <v>161</v>
      </c>
      <c r="W107" s="1041">
        <f t="shared" si="4"/>
        <v>3178980</v>
      </c>
      <c r="X107" s="993" t="s">
        <v>156</v>
      </c>
      <c r="Y107" s="59">
        <v>45293</v>
      </c>
      <c r="Z107" s="39" t="s">
        <v>157</v>
      </c>
      <c r="AA107" s="59">
        <v>45292</v>
      </c>
      <c r="AB107" s="59">
        <v>45657</v>
      </c>
      <c r="AC107" s="38" t="s">
        <v>6741</v>
      </c>
      <c r="AD107" s="53"/>
      <c r="AE107" s="38"/>
      <c r="AF107" s="256"/>
      <c r="AG107" s="270"/>
      <c r="AH107" s="163" t="str">
        <f t="shared" ca="1" si="18"/>
        <v>MUERTO</v>
      </c>
      <c r="AI107" s="39">
        <v>35101</v>
      </c>
      <c r="AJ107" s="39"/>
      <c r="AK107" s="39" t="s">
        <v>6431</v>
      </c>
      <c r="AL107" s="39"/>
      <c r="AM107" s="39" t="s">
        <v>6431</v>
      </c>
      <c r="AN107" s="39"/>
      <c r="AO107" s="39"/>
      <c r="AP107" s="38" t="e">
        <f>VLOOKUP(I107,'[4] RFC'!A:B,2,0)</f>
        <v>#N/A</v>
      </c>
      <c r="AQ107" s="59">
        <v>45268</v>
      </c>
      <c r="AR107" s="59">
        <v>45639</v>
      </c>
      <c r="AS107" s="59">
        <v>45274</v>
      </c>
      <c r="AT107" s="59">
        <f t="shared" si="19"/>
        <v>45293</v>
      </c>
      <c r="AU107" s="183">
        <v>45337</v>
      </c>
      <c r="AV107" s="195">
        <v>45303</v>
      </c>
      <c r="AW107" s="185">
        <v>45300</v>
      </c>
    </row>
    <row r="108" spans="1:49" ht="105" hidden="1" x14ac:dyDescent="0.25">
      <c r="A108" s="248" t="s">
        <v>6742</v>
      </c>
      <c r="B108" s="259">
        <v>23</v>
      </c>
      <c r="C108" s="167" t="s">
        <v>149</v>
      </c>
      <c r="D108" s="259" t="s">
        <v>151</v>
      </c>
      <c r="E108" s="287" t="s">
        <v>6743</v>
      </c>
      <c r="F108" s="39" t="str">
        <f t="shared" si="21"/>
        <v>Invitación</v>
      </c>
      <c r="G108" s="39"/>
      <c r="H108" s="39" t="s">
        <v>3793</v>
      </c>
      <c r="I108" s="81" t="s">
        <v>6744</v>
      </c>
      <c r="J108" s="267"/>
      <c r="K108" s="41"/>
      <c r="L108" s="41"/>
      <c r="M108" s="1046" t="str">
        <f t="shared" si="2"/>
        <v xml:space="preserve">Ingeniería Operativa, S.A de C.V.  </v>
      </c>
      <c r="N108" s="991" t="s">
        <v>166</v>
      </c>
      <c r="O108" s="991" t="s">
        <v>2116</v>
      </c>
      <c r="P108" s="991" t="s">
        <v>6745</v>
      </c>
      <c r="Q108" s="1040" t="s">
        <v>6746</v>
      </c>
      <c r="R108" s="1047">
        <v>1198500</v>
      </c>
      <c r="S108" s="270">
        <f t="shared" si="8"/>
        <v>191760</v>
      </c>
      <c r="T108" s="1048">
        <f t="shared" si="20"/>
        <v>1390260</v>
      </c>
      <c r="U108" s="1047">
        <v>0</v>
      </c>
      <c r="V108" s="270">
        <f>(U108*0.16)+(U108)</f>
        <v>0</v>
      </c>
      <c r="W108" s="270">
        <f t="shared" si="4"/>
        <v>1390260</v>
      </c>
      <c r="X108" s="993" t="s">
        <v>156</v>
      </c>
      <c r="Y108" s="59">
        <v>45293</v>
      </c>
      <c r="Z108" s="39" t="s">
        <v>157</v>
      </c>
      <c r="AA108" s="59">
        <v>45292</v>
      </c>
      <c r="AB108" s="59">
        <v>45657</v>
      </c>
      <c r="AC108" s="38" t="s">
        <v>6747</v>
      </c>
      <c r="AD108" s="53"/>
      <c r="AE108" s="38"/>
      <c r="AF108" s="256"/>
      <c r="AG108" s="270">
        <v>0</v>
      </c>
      <c r="AH108" s="163" t="str">
        <f t="shared" ca="1" si="18"/>
        <v>MUERTO</v>
      </c>
      <c r="AI108" s="39">
        <v>35701</v>
      </c>
      <c r="AJ108" s="39"/>
      <c r="AK108" s="39" t="s">
        <v>6431</v>
      </c>
      <c r="AL108" s="39"/>
      <c r="AM108" s="39" t="s">
        <v>6431</v>
      </c>
      <c r="AN108" s="39"/>
      <c r="AO108" s="39"/>
      <c r="AP108" s="38" t="e">
        <f>VLOOKUP(I108,'[4] RFC'!A:B,2,0)</f>
        <v>#N/A</v>
      </c>
      <c r="AQ108" s="59">
        <v>45266</v>
      </c>
      <c r="AR108" s="59">
        <v>45271</v>
      </c>
      <c r="AS108" s="59">
        <v>45274</v>
      </c>
      <c r="AT108" s="59">
        <f t="shared" si="19"/>
        <v>45293</v>
      </c>
      <c r="AU108" s="183">
        <v>45321</v>
      </c>
      <c r="AV108" s="195">
        <v>45308</v>
      </c>
      <c r="AW108" s="185">
        <v>45300</v>
      </c>
    </row>
    <row r="109" spans="1:49" ht="45" hidden="1" x14ac:dyDescent="0.25">
      <c r="A109" s="248" t="s">
        <v>6748</v>
      </c>
      <c r="B109" s="259">
        <v>24</v>
      </c>
      <c r="C109" s="167" t="s">
        <v>149</v>
      </c>
      <c r="D109" s="259" t="s">
        <v>173</v>
      </c>
      <c r="E109" s="287" t="s">
        <v>6749</v>
      </c>
      <c r="F109" s="39" t="str">
        <f t="shared" si="21"/>
        <v>Licitación Pública</v>
      </c>
      <c r="G109" s="39"/>
      <c r="H109" s="39" t="s">
        <v>3785</v>
      </c>
      <c r="I109" s="42" t="s">
        <v>6750</v>
      </c>
      <c r="J109" s="323"/>
      <c r="K109" s="322"/>
      <c r="L109" s="322"/>
      <c r="M109" s="1046" t="s">
        <v>6750</v>
      </c>
      <c r="N109" s="991" t="s">
        <v>6751</v>
      </c>
      <c r="O109" s="991" t="s">
        <v>637</v>
      </c>
      <c r="P109" s="1061" t="s">
        <v>6752</v>
      </c>
      <c r="Q109" s="718" t="s">
        <v>6753</v>
      </c>
      <c r="R109" s="1049">
        <v>2683296</v>
      </c>
      <c r="S109" s="270">
        <f t="shared" si="8"/>
        <v>429327.35999999999</v>
      </c>
      <c r="T109" s="1048">
        <f t="shared" si="20"/>
        <v>3112623.36</v>
      </c>
      <c r="U109" s="1049" t="s">
        <v>161</v>
      </c>
      <c r="V109" s="298" t="s">
        <v>161</v>
      </c>
      <c r="W109" s="270">
        <f>+T109+T110</f>
        <v>3000000.0039999997</v>
      </c>
      <c r="X109" s="993" t="s">
        <v>156</v>
      </c>
      <c r="Y109" s="59">
        <v>45293</v>
      </c>
      <c r="Z109" s="39" t="s">
        <v>157</v>
      </c>
      <c r="AA109" s="59">
        <v>45292</v>
      </c>
      <c r="AB109" s="59">
        <v>45657</v>
      </c>
      <c r="AC109" s="38" t="s">
        <v>6754</v>
      </c>
      <c r="AD109" s="58"/>
      <c r="AE109" s="39"/>
      <c r="AF109" s="59"/>
      <c r="AG109" s="298"/>
      <c r="AH109" s="163" t="str">
        <f t="shared" ca="1" si="18"/>
        <v>MUERTO</v>
      </c>
      <c r="AI109" s="39">
        <v>34601</v>
      </c>
      <c r="AJ109" s="39"/>
      <c r="AK109" s="39" t="s">
        <v>6431</v>
      </c>
      <c r="AL109" s="39"/>
      <c r="AM109" s="39" t="s">
        <v>6431</v>
      </c>
      <c r="AN109" s="39"/>
      <c r="AO109" s="39"/>
      <c r="AP109" s="38" t="e">
        <f>VLOOKUP(I109,'[4] RFC'!A:B,2,0)</f>
        <v>#N/A</v>
      </c>
      <c r="AQ109" s="59">
        <v>45271</v>
      </c>
      <c r="AR109" s="59">
        <v>45273</v>
      </c>
      <c r="AS109" s="59">
        <v>45278</v>
      </c>
      <c r="AT109" s="59">
        <f t="shared" si="19"/>
        <v>45293</v>
      </c>
      <c r="AU109" s="183">
        <v>45321</v>
      </c>
      <c r="AV109" s="195">
        <v>45296</v>
      </c>
      <c r="AW109" s="185">
        <v>45287</v>
      </c>
    </row>
    <row r="110" spans="1:49" ht="120" hidden="1" x14ac:dyDescent="0.25">
      <c r="A110" s="196" t="s">
        <v>6755</v>
      </c>
      <c r="B110" s="259">
        <v>24</v>
      </c>
      <c r="C110" s="167" t="s">
        <v>6303</v>
      </c>
      <c r="D110" s="259" t="s">
        <v>6303</v>
      </c>
      <c r="E110" s="287" t="s">
        <v>6756</v>
      </c>
      <c r="F110" s="287" t="s">
        <v>6307</v>
      </c>
      <c r="G110" s="39"/>
      <c r="H110" s="39" t="s">
        <v>6757</v>
      </c>
      <c r="I110" s="422" t="s">
        <v>6750</v>
      </c>
      <c r="J110" s="322"/>
      <c r="K110" s="322"/>
      <c r="L110" s="322"/>
      <c r="M110" s="1046" t="s">
        <v>6750</v>
      </c>
      <c r="N110" s="991" t="s">
        <v>6751</v>
      </c>
      <c r="O110" s="991" t="s">
        <v>637</v>
      </c>
      <c r="P110" s="991" t="s">
        <v>6752</v>
      </c>
      <c r="Q110" s="719" t="s">
        <v>6758</v>
      </c>
      <c r="R110" s="1049">
        <v>-97089.1</v>
      </c>
      <c r="S110" s="270">
        <f t="shared" si="8"/>
        <v>-15534.256000000001</v>
      </c>
      <c r="T110" s="1048">
        <f t="shared" si="20"/>
        <v>-112623.356</v>
      </c>
      <c r="U110" s="1049" t="s">
        <v>161</v>
      </c>
      <c r="V110" s="298" t="s">
        <v>161</v>
      </c>
      <c r="W110" s="270">
        <v>0</v>
      </c>
      <c r="X110" s="993" t="s">
        <v>156</v>
      </c>
      <c r="Y110" s="59">
        <v>45293</v>
      </c>
      <c r="Z110" s="39" t="s">
        <v>193</v>
      </c>
      <c r="AA110" s="59">
        <v>45292</v>
      </c>
      <c r="AB110" s="59">
        <v>45657</v>
      </c>
      <c r="AC110" s="38" t="s">
        <v>6754</v>
      </c>
      <c r="AD110" s="58" t="s">
        <v>6759</v>
      </c>
      <c r="AE110" s="39"/>
      <c r="AF110" s="59"/>
      <c r="AG110" s="298"/>
      <c r="AH110" s="163" t="str">
        <f t="shared" ca="1" si="18"/>
        <v>MUERTO</v>
      </c>
      <c r="AI110" s="39">
        <v>34601</v>
      </c>
      <c r="AJ110" s="39"/>
      <c r="AK110" s="39" t="s">
        <v>6301</v>
      </c>
      <c r="AL110" s="39" t="s">
        <v>6406</v>
      </c>
      <c r="AM110" s="39" t="s">
        <v>3316</v>
      </c>
      <c r="AN110" s="39"/>
      <c r="AO110" s="39"/>
      <c r="AP110" s="38" t="e">
        <f>VLOOKUP(I110,'[4] RFC'!A:B,2,0)</f>
        <v>#N/A</v>
      </c>
      <c r="AQ110" s="59">
        <v>45321</v>
      </c>
      <c r="AR110" s="59">
        <v>45322</v>
      </c>
      <c r="AS110" s="59">
        <v>45293</v>
      </c>
      <c r="AT110" s="59">
        <f>+Y110</f>
        <v>45293</v>
      </c>
      <c r="AU110" s="183">
        <v>45348</v>
      </c>
      <c r="AV110" s="195">
        <v>45331</v>
      </c>
      <c r="AW110" s="185">
        <v>45330</v>
      </c>
    </row>
    <row r="111" spans="1:49" ht="105" hidden="1" x14ac:dyDescent="0.25">
      <c r="A111" s="196" t="s">
        <v>6760</v>
      </c>
      <c r="B111" s="259">
        <v>24</v>
      </c>
      <c r="C111" s="167" t="s">
        <v>6303</v>
      </c>
      <c r="D111" s="259" t="s">
        <v>6303</v>
      </c>
      <c r="E111" s="287" t="s">
        <v>6761</v>
      </c>
      <c r="F111" s="287" t="s">
        <v>6307</v>
      </c>
      <c r="G111" s="39"/>
      <c r="H111" s="39"/>
      <c r="I111" s="422" t="s">
        <v>6750</v>
      </c>
      <c r="J111" s="323"/>
      <c r="K111" s="322"/>
      <c r="L111" s="322"/>
      <c r="M111" s="1046" t="s">
        <v>6750</v>
      </c>
      <c r="N111" s="991" t="s">
        <v>6751</v>
      </c>
      <c r="O111" s="991" t="s">
        <v>637</v>
      </c>
      <c r="P111" s="991" t="s">
        <v>6752</v>
      </c>
      <c r="Q111" s="719" t="s">
        <v>6762</v>
      </c>
      <c r="R111" s="1049">
        <v>2863296</v>
      </c>
      <c r="S111" s="270">
        <f>R111*0.16</f>
        <v>458127.35999999999</v>
      </c>
      <c r="T111" s="1048">
        <f t="shared" si="20"/>
        <v>3321423.36</v>
      </c>
      <c r="U111" s="1049" t="s">
        <v>161</v>
      </c>
      <c r="V111" s="298" t="s">
        <v>161</v>
      </c>
      <c r="W111" s="270"/>
      <c r="X111" s="993" t="s">
        <v>156</v>
      </c>
      <c r="Y111" s="59">
        <v>45610</v>
      </c>
      <c r="Z111" s="39" t="s">
        <v>892</v>
      </c>
      <c r="AA111" s="59">
        <v>45292</v>
      </c>
      <c r="AB111" s="59">
        <v>45657</v>
      </c>
      <c r="AC111" s="38" t="s">
        <v>6754</v>
      </c>
      <c r="AD111" s="58" t="s">
        <v>6763</v>
      </c>
      <c r="AE111" s="39"/>
      <c r="AF111" s="59"/>
      <c r="AG111" s="298"/>
      <c r="AH111" s="163" t="s">
        <v>1388</v>
      </c>
      <c r="AI111" s="39">
        <v>34601</v>
      </c>
      <c r="AJ111" s="39"/>
      <c r="AK111" s="39" t="s">
        <v>2728</v>
      </c>
      <c r="AL111" s="39"/>
      <c r="AM111" s="39" t="s">
        <v>2728</v>
      </c>
      <c r="AN111" s="39"/>
      <c r="AO111" s="39"/>
      <c r="AP111" s="38" t="e">
        <f>VLOOKUP(I111,'[4] RFC'!A:B,2,0)</f>
        <v>#N/A</v>
      </c>
      <c r="AQ111" s="59">
        <v>45602</v>
      </c>
      <c r="AR111" s="59">
        <v>45603</v>
      </c>
      <c r="AS111" s="59">
        <v>45611</v>
      </c>
      <c r="AT111" s="59"/>
      <c r="AU111" s="183"/>
      <c r="AV111" s="195">
        <v>45610</v>
      </c>
      <c r="AW111" s="185">
        <v>45621</v>
      </c>
    </row>
    <row r="112" spans="1:49" ht="75" hidden="1" x14ac:dyDescent="0.25">
      <c r="A112" s="248" t="s">
        <v>6764</v>
      </c>
      <c r="B112" s="259">
        <v>25</v>
      </c>
      <c r="C112" s="167" t="s">
        <v>149</v>
      </c>
      <c r="D112" s="259" t="s">
        <v>151</v>
      </c>
      <c r="E112" s="287" t="s">
        <v>6765</v>
      </c>
      <c r="F112" s="39" t="str">
        <f t="shared" si="21"/>
        <v>Invitación</v>
      </c>
      <c r="G112" s="39"/>
      <c r="H112" s="39" t="s">
        <v>3793</v>
      </c>
      <c r="I112" s="81" t="s">
        <v>6766</v>
      </c>
      <c r="J112" s="267"/>
      <c r="K112" s="41"/>
      <c r="L112" s="41"/>
      <c r="M112" s="1046" t="str">
        <f t="shared" ref="M112:M178" si="22">I112&amp;J112&amp;" "&amp;K112&amp;" "&amp;L112</f>
        <v xml:space="preserve">Metlife México S.A de C.V  </v>
      </c>
      <c r="N112" s="991" t="s">
        <v>270</v>
      </c>
      <c r="O112" s="991" t="s">
        <v>270</v>
      </c>
      <c r="P112" s="1061" t="s">
        <v>6767</v>
      </c>
      <c r="Q112" s="1040" t="s">
        <v>6768</v>
      </c>
      <c r="R112" s="1047">
        <f>12385136.52+12428838.91+212225.69</f>
        <v>25026201.120000001</v>
      </c>
      <c r="S112" s="270">
        <v>0</v>
      </c>
      <c r="T112" s="1048">
        <f t="shared" si="20"/>
        <v>25026201.120000001</v>
      </c>
      <c r="U112" s="1047">
        <v>0</v>
      </c>
      <c r="V112" s="270">
        <f>(U112*0.16)+(U112)</f>
        <v>0</v>
      </c>
      <c r="W112" s="270">
        <f t="shared" si="4"/>
        <v>25026201.120000001</v>
      </c>
      <c r="X112" s="993" t="s">
        <v>156</v>
      </c>
      <c r="Y112" s="59">
        <v>45293</v>
      </c>
      <c r="Z112" s="39" t="s">
        <v>157</v>
      </c>
      <c r="AA112" s="59">
        <v>45292</v>
      </c>
      <c r="AB112" s="59">
        <v>45657</v>
      </c>
      <c r="AC112" s="38" t="s">
        <v>159</v>
      </c>
      <c r="AD112" s="53"/>
      <c r="AE112" s="38"/>
      <c r="AF112" s="256"/>
      <c r="AG112" s="270">
        <v>0</v>
      </c>
      <c r="AH112" s="163" t="str">
        <f t="shared" ca="1" si="18"/>
        <v>MUERTO</v>
      </c>
      <c r="AI112" s="39">
        <v>14401</v>
      </c>
      <c r="AJ112" s="39"/>
      <c r="AK112" s="39" t="s">
        <v>6431</v>
      </c>
      <c r="AL112" s="39"/>
      <c r="AM112" s="39" t="s">
        <v>6431</v>
      </c>
      <c r="AN112" s="39"/>
      <c r="AO112" s="39"/>
      <c r="AP112" s="38" t="e">
        <f>VLOOKUP(I112,'[4] RFC'!A:B,2,0)</f>
        <v>#N/A</v>
      </c>
      <c r="AQ112" s="59">
        <v>45266</v>
      </c>
      <c r="AR112" s="59">
        <v>45273</v>
      </c>
      <c r="AS112" s="59">
        <v>45280</v>
      </c>
      <c r="AT112" s="59">
        <f t="shared" si="19"/>
        <v>45293</v>
      </c>
      <c r="AU112" s="183">
        <v>45299</v>
      </c>
      <c r="AV112" s="195">
        <v>45296</v>
      </c>
      <c r="AW112" s="185">
        <v>45287</v>
      </c>
    </row>
    <row r="113" spans="1:50" ht="105" hidden="1" x14ac:dyDescent="0.25">
      <c r="A113" s="248" t="s">
        <v>6769</v>
      </c>
      <c r="B113" s="259">
        <v>26</v>
      </c>
      <c r="C113" s="167" t="s">
        <v>149</v>
      </c>
      <c r="D113" s="259" t="s">
        <v>163</v>
      </c>
      <c r="E113" s="287" t="s">
        <v>6277</v>
      </c>
      <c r="F113" s="287" t="s">
        <v>2237</v>
      </c>
      <c r="G113" s="309" t="s">
        <v>163</v>
      </c>
      <c r="H113" s="39" t="s">
        <v>6694</v>
      </c>
      <c r="I113" s="81" t="s">
        <v>6607</v>
      </c>
      <c r="J113" s="267"/>
      <c r="K113" s="41"/>
      <c r="L113" s="41"/>
      <c r="M113" s="1046" t="str">
        <f t="shared" si="22"/>
        <v xml:space="preserve">Johnson Controls BTS México S.A de C.V  </v>
      </c>
      <c r="N113" s="991" t="s">
        <v>198</v>
      </c>
      <c r="O113" s="991" t="s">
        <v>198</v>
      </c>
      <c r="P113" s="313" t="s">
        <v>6739</v>
      </c>
      <c r="Q113" s="720" t="s">
        <v>6770</v>
      </c>
      <c r="R113" s="1047">
        <v>7028484.5</v>
      </c>
      <c r="S113" s="270">
        <f t="shared" ref="S113:S138" si="23">R113*0.16</f>
        <v>1124557.52</v>
      </c>
      <c r="T113" s="1048">
        <f t="shared" si="20"/>
        <v>8153042.0199999996</v>
      </c>
      <c r="U113" s="1047">
        <v>6581030.4699999997</v>
      </c>
      <c r="V113" s="270">
        <f>(U113*0.16)+(U113)</f>
        <v>7633995.3451999994</v>
      </c>
      <c r="W113" s="270">
        <f t="shared" si="4"/>
        <v>8153042.0199999996</v>
      </c>
      <c r="X113" s="993" t="s">
        <v>156</v>
      </c>
      <c r="Y113" s="59">
        <v>45293</v>
      </c>
      <c r="Z113" s="39" t="s">
        <v>157</v>
      </c>
      <c r="AA113" s="59">
        <v>45292</v>
      </c>
      <c r="AB113" s="59">
        <v>45657</v>
      </c>
      <c r="AC113" s="38" t="s">
        <v>6747</v>
      </c>
      <c r="AD113" s="53"/>
      <c r="AE113" s="38"/>
      <c r="AF113" s="256"/>
      <c r="AG113" s="270">
        <v>0</v>
      </c>
      <c r="AH113" s="163" t="str">
        <f t="shared" ca="1" si="18"/>
        <v>MUERTO</v>
      </c>
      <c r="AI113" s="39">
        <v>35701</v>
      </c>
      <c r="AJ113" s="39"/>
      <c r="AK113" s="39" t="s">
        <v>6431</v>
      </c>
      <c r="AL113" s="39"/>
      <c r="AM113" s="39" t="s">
        <v>6431</v>
      </c>
      <c r="AN113" s="39"/>
      <c r="AO113" s="39"/>
      <c r="AP113" s="38" t="e">
        <f>VLOOKUP(I113,'[4] RFC'!A:B,2,0)</f>
        <v>#N/A</v>
      </c>
      <c r="AQ113" s="59">
        <v>45268</v>
      </c>
      <c r="AR113" s="59">
        <v>45273</v>
      </c>
      <c r="AS113" s="59">
        <v>45279</v>
      </c>
      <c r="AT113" s="59">
        <f t="shared" si="19"/>
        <v>45293</v>
      </c>
      <c r="AU113" s="183">
        <v>45342</v>
      </c>
      <c r="AV113" s="195">
        <v>45303</v>
      </c>
      <c r="AW113" s="185">
        <v>45301</v>
      </c>
    </row>
    <row r="114" spans="1:50" ht="105" hidden="1" x14ac:dyDescent="0.25">
      <c r="A114" s="196" t="s">
        <v>6771</v>
      </c>
      <c r="B114" s="259">
        <v>26</v>
      </c>
      <c r="C114" s="167" t="s">
        <v>6303</v>
      </c>
      <c r="D114" s="259" t="s">
        <v>6303</v>
      </c>
      <c r="E114" s="300" t="s">
        <v>6772</v>
      </c>
      <c r="F114" s="287" t="s">
        <v>2237</v>
      </c>
      <c r="G114" s="309"/>
      <c r="H114" s="39" t="s">
        <v>6773</v>
      </c>
      <c r="I114" s="81" t="s">
        <v>6607</v>
      </c>
      <c r="J114" s="267"/>
      <c r="K114" s="41"/>
      <c r="L114" s="41"/>
      <c r="M114" s="1046" t="str">
        <f t="shared" si="22"/>
        <v xml:space="preserve">Johnson Controls BTS México S.A de C.V  </v>
      </c>
      <c r="N114" s="991" t="s">
        <v>198</v>
      </c>
      <c r="O114" s="991" t="s">
        <v>198</v>
      </c>
      <c r="P114" s="313" t="s">
        <v>6739</v>
      </c>
      <c r="Q114" s="720" t="s">
        <v>6770</v>
      </c>
      <c r="R114" s="1047">
        <f>+R113*0.109608307452339</f>
        <v>770380.28999999911</v>
      </c>
      <c r="S114" s="270">
        <f>+R114*0.16</f>
        <v>123260.84639999986</v>
      </c>
      <c r="T114" s="1048">
        <f>+R114+S114</f>
        <v>893641.13639999903</v>
      </c>
      <c r="U114" s="1047" t="s">
        <v>161</v>
      </c>
      <c r="V114" s="270" t="s">
        <v>161</v>
      </c>
      <c r="W114" s="1041">
        <f>+T114</f>
        <v>893641.13639999903</v>
      </c>
      <c r="X114" s="993" t="s">
        <v>156</v>
      </c>
      <c r="Y114" s="59">
        <v>45475</v>
      </c>
      <c r="Z114" s="39" t="s">
        <v>696</v>
      </c>
      <c r="AA114" s="59"/>
      <c r="AB114" s="59"/>
      <c r="AC114" s="38"/>
      <c r="AD114" s="53" t="s">
        <v>6774</v>
      </c>
      <c r="AE114" s="38"/>
      <c r="AF114" s="256"/>
      <c r="AG114" s="270"/>
      <c r="AH114" s="163"/>
      <c r="AI114" s="39"/>
      <c r="AJ114" s="39"/>
      <c r="AK114" s="39" t="s">
        <v>6301</v>
      </c>
      <c r="AL114" s="39"/>
      <c r="AM114" s="39"/>
      <c r="AN114" s="39"/>
      <c r="AO114" s="39"/>
      <c r="AP114" s="38"/>
      <c r="AQ114" s="59">
        <v>45470</v>
      </c>
      <c r="AR114" s="59">
        <v>45474</v>
      </c>
      <c r="AS114" s="59">
        <v>45475</v>
      </c>
      <c r="AT114" s="59">
        <f t="shared" si="19"/>
        <v>45475</v>
      </c>
      <c r="AU114" s="183">
        <v>45512</v>
      </c>
      <c r="AV114" s="195">
        <v>45488</v>
      </c>
      <c r="AW114" s="185">
        <v>45484</v>
      </c>
    </row>
    <row r="115" spans="1:50" ht="105" hidden="1" x14ac:dyDescent="0.25">
      <c r="A115" s="196" t="s">
        <v>6775</v>
      </c>
      <c r="B115" s="259">
        <v>26</v>
      </c>
      <c r="C115" s="167" t="s">
        <v>6303</v>
      </c>
      <c r="D115" s="259" t="s">
        <v>6303</v>
      </c>
      <c r="E115" s="300" t="s">
        <v>6776</v>
      </c>
      <c r="F115" s="287" t="s">
        <v>163</v>
      </c>
      <c r="G115" s="309"/>
      <c r="H115" s="39" t="s">
        <v>6773</v>
      </c>
      <c r="I115" s="81" t="s">
        <v>6607</v>
      </c>
      <c r="J115" s="267"/>
      <c r="K115" s="41"/>
      <c r="L115" s="41"/>
      <c r="M115" s="1046" t="str">
        <f t="shared" si="22"/>
        <v xml:space="preserve">Johnson Controls BTS México S.A de C.V  </v>
      </c>
      <c r="N115" s="991" t="s">
        <v>198</v>
      </c>
      <c r="O115" s="991" t="s">
        <v>198</v>
      </c>
      <c r="P115" s="313" t="s">
        <v>6777</v>
      </c>
      <c r="Q115" s="720" t="s">
        <v>6770</v>
      </c>
      <c r="R115" s="1047">
        <v>8785605.6300000008</v>
      </c>
      <c r="S115" s="270">
        <f>+R115*0.16</f>
        <v>1405696.9008000002</v>
      </c>
      <c r="T115" s="1048">
        <f>+R115+S115</f>
        <v>10191302.530800002</v>
      </c>
      <c r="U115" s="1047" t="s">
        <v>161</v>
      </c>
      <c r="V115" s="270" t="s">
        <v>161</v>
      </c>
      <c r="W115" s="1041">
        <f>+T115</f>
        <v>10191302.530800002</v>
      </c>
      <c r="X115" s="993" t="s">
        <v>156</v>
      </c>
      <c r="Y115" s="59">
        <v>45652</v>
      </c>
      <c r="Z115" s="39" t="s">
        <v>924</v>
      </c>
      <c r="AA115" s="59">
        <v>45627</v>
      </c>
      <c r="AB115" s="59">
        <v>45716</v>
      </c>
      <c r="AC115" s="38" t="s">
        <v>6747</v>
      </c>
      <c r="AD115" s="53" t="s">
        <v>6778</v>
      </c>
      <c r="AE115" s="38" t="s">
        <v>6779</v>
      </c>
      <c r="AF115" s="256"/>
      <c r="AG115" s="270"/>
      <c r="AH115" s="163" t="s">
        <v>1388</v>
      </c>
      <c r="AI115" s="39">
        <v>35701</v>
      </c>
      <c r="AJ115" s="39"/>
      <c r="AK115" s="39" t="s">
        <v>1937</v>
      </c>
      <c r="AL115" s="39"/>
      <c r="AM115" s="39" t="s">
        <v>1937</v>
      </c>
      <c r="AN115" s="39"/>
      <c r="AO115" s="39"/>
      <c r="AP115" s="38"/>
      <c r="AQ115" s="59"/>
      <c r="AR115" s="59">
        <v>45643</v>
      </c>
      <c r="AS115" s="59">
        <v>45653</v>
      </c>
      <c r="AT115" s="59">
        <f t="shared" si="19"/>
        <v>45652</v>
      </c>
      <c r="AU115" s="183"/>
      <c r="AV115" s="195">
        <v>45652</v>
      </c>
      <c r="AW115" s="185">
        <v>45665</v>
      </c>
      <c r="AX115" s="589" t="s">
        <v>6780</v>
      </c>
    </row>
    <row r="116" spans="1:50" ht="63" hidden="1" x14ac:dyDescent="0.25">
      <c r="A116" s="248" t="s">
        <v>6781</v>
      </c>
      <c r="B116" s="259">
        <v>27</v>
      </c>
      <c r="C116" s="167" t="s">
        <v>149</v>
      </c>
      <c r="D116" s="259" t="s">
        <v>151</v>
      </c>
      <c r="E116" s="287" t="s">
        <v>6782</v>
      </c>
      <c r="F116" s="39" t="str">
        <f t="shared" si="21"/>
        <v>Invitación</v>
      </c>
      <c r="G116" s="39"/>
      <c r="H116" s="39" t="s">
        <v>152</v>
      </c>
      <c r="I116" s="81" t="s">
        <v>6783</v>
      </c>
      <c r="J116" s="41"/>
      <c r="K116" s="41"/>
      <c r="L116" s="41"/>
      <c r="M116" s="1046" t="str">
        <f t="shared" si="22"/>
        <v xml:space="preserve">Segudirecto, Agente de Seguros y de Fianzas, S.A de C.V  </v>
      </c>
      <c r="N116" s="991" t="s">
        <v>270</v>
      </c>
      <c r="O116" s="991" t="s">
        <v>270</v>
      </c>
      <c r="P116" s="991" t="s">
        <v>6767</v>
      </c>
      <c r="Q116" s="721" t="s">
        <v>6784</v>
      </c>
      <c r="R116" s="1047">
        <v>468000</v>
      </c>
      <c r="S116" s="270">
        <f t="shared" si="23"/>
        <v>74880</v>
      </c>
      <c r="T116" s="1048">
        <f t="shared" si="20"/>
        <v>542880</v>
      </c>
      <c r="U116" s="1047">
        <v>0</v>
      </c>
      <c r="V116" s="270">
        <f>(U116*0.16)+(U116)</f>
        <v>0</v>
      </c>
      <c r="W116" s="270">
        <f t="shared" si="4"/>
        <v>542880</v>
      </c>
      <c r="X116" s="993" t="s">
        <v>156</v>
      </c>
      <c r="Y116" s="59">
        <v>45293</v>
      </c>
      <c r="Z116" s="39" t="s">
        <v>157</v>
      </c>
      <c r="AA116" s="59">
        <v>45292</v>
      </c>
      <c r="AB116" s="59">
        <v>45657</v>
      </c>
      <c r="AC116" s="38" t="s">
        <v>6785</v>
      </c>
      <c r="AD116" s="53"/>
      <c r="AE116" s="38"/>
      <c r="AF116" s="256"/>
      <c r="AG116" s="270">
        <v>0</v>
      </c>
      <c r="AH116" s="163" t="str">
        <f t="shared" ref="AH116:AH142" ca="1" si="24">IF(ISBLANK(AB116),"",IF(AB116&gt;=TODAY(),"VIGENTE","MUERTO"))</f>
        <v>MUERTO</v>
      </c>
      <c r="AI116" s="39">
        <v>33104</v>
      </c>
      <c r="AJ116" s="39"/>
      <c r="AK116" s="39" t="s">
        <v>6431</v>
      </c>
      <c r="AL116" s="39"/>
      <c r="AM116" s="39" t="s">
        <v>6431</v>
      </c>
      <c r="AN116" s="39"/>
      <c r="AO116" s="39"/>
      <c r="AP116" s="38" t="e">
        <f>VLOOKUP(I116,'[4] RFC'!A:B,2,0)</f>
        <v>#N/A</v>
      </c>
      <c r="AQ116" s="59">
        <v>45272</v>
      </c>
      <c r="AR116" s="59">
        <v>45274</v>
      </c>
      <c r="AS116" s="59">
        <v>45282</v>
      </c>
      <c r="AT116" s="59">
        <f t="shared" si="19"/>
        <v>45293</v>
      </c>
      <c r="AU116" s="183">
        <v>45313</v>
      </c>
      <c r="AV116" s="195">
        <v>45513</v>
      </c>
      <c r="AW116" s="185">
        <v>44928</v>
      </c>
    </row>
    <row r="117" spans="1:50" ht="90" hidden="1" x14ac:dyDescent="0.25">
      <c r="A117" s="248" t="s">
        <v>6786</v>
      </c>
      <c r="B117" s="259">
        <v>28</v>
      </c>
      <c r="C117" s="167" t="s">
        <v>149</v>
      </c>
      <c r="D117" s="259" t="s">
        <v>163</v>
      </c>
      <c r="E117" s="287" t="s">
        <v>6787</v>
      </c>
      <c r="F117" s="39" t="str">
        <f t="shared" si="21"/>
        <v>Adjudicación Directa</v>
      </c>
      <c r="G117" s="309" t="s">
        <v>163</v>
      </c>
      <c r="H117" s="39" t="s">
        <v>4123</v>
      </c>
      <c r="I117" s="81" t="s">
        <v>6788</v>
      </c>
      <c r="J117" s="41"/>
      <c r="K117" s="41"/>
      <c r="L117" s="41"/>
      <c r="M117" s="1046" t="str">
        <f t="shared" si="22"/>
        <v xml:space="preserve">Dhimex Ciudad de México, S.A de C.V  </v>
      </c>
      <c r="N117" s="991" t="s">
        <v>198</v>
      </c>
      <c r="O117" s="991" t="s">
        <v>198</v>
      </c>
      <c r="P117" s="919" t="s">
        <v>6789</v>
      </c>
      <c r="Q117" s="1040" t="s">
        <v>6790</v>
      </c>
      <c r="R117" s="1047">
        <v>1783329.43</v>
      </c>
      <c r="S117" s="270">
        <f t="shared" si="23"/>
        <v>285332.70880000002</v>
      </c>
      <c r="T117" s="1048">
        <f t="shared" si="20"/>
        <v>2068662.1387999998</v>
      </c>
      <c r="U117" s="1047">
        <v>1352429.43</v>
      </c>
      <c r="V117" s="270">
        <f>(U117*0.16)+(U117)</f>
        <v>1568818.1387999998</v>
      </c>
      <c r="W117" s="270">
        <f t="shared" si="4"/>
        <v>2068662.1387999998</v>
      </c>
      <c r="X117" s="993" t="s">
        <v>156</v>
      </c>
      <c r="Y117" s="59">
        <v>45293</v>
      </c>
      <c r="Z117" s="39" t="s">
        <v>157</v>
      </c>
      <c r="AA117" s="59">
        <v>45292</v>
      </c>
      <c r="AB117" s="59">
        <v>45657</v>
      </c>
      <c r="AC117" s="38" t="s">
        <v>6791</v>
      </c>
      <c r="AD117" s="53"/>
      <c r="AE117" s="38"/>
      <c r="AF117" s="256"/>
      <c r="AG117" s="270">
        <v>0</v>
      </c>
      <c r="AH117" s="163" t="str">
        <f t="shared" ca="1" si="24"/>
        <v>MUERTO</v>
      </c>
      <c r="AI117" s="39">
        <v>35701</v>
      </c>
      <c r="AJ117" s="39"/>
      <c r="AK117" s="39" t="s">
        <v>6431</v>
      </c>
      <c r="AL117" s="39"/>
      <c r="AM117" s="39" t="s">
        <v>6431</v>
      </c>
      <c r="AN117" s="39"/>
      <c r="AO117" s="39"/>
      <c r="AP117" s="38" t="e">
        <f>VLOOKUP(I117,'[4] RFC'!A:B,2,0)</f>
        <v>#N/A</v>
      </c>
      <c r="AQ117" s="59">
        <v>45639</v>
      </c>
      <c r="AR117" s="59">
        <v>45274</v>
      </c>
      <c r="AS117" s="59">
        <v>45282</v>
      </c>
      <c r="AT117" s="59">
        <f t="shared" si="19"/>
        <v>45293</v>
      </c>
      <c r="AU117" s="183">
        <v>45313</v>
      </c>
      <c r="AV117" s="195">
        <v>45299</v>
      </c>
      <c r="AW117" s="185">
        <v>45654</v>
      </c>
    </row>
    <row r="118" spans="1:50" ht="45" hidden="1" x14ac:dyDescent="0.25">
      <c r="A118" s="248" t="s">
        <v>6792</v>
      </c>
      <c r="B118" s="259">
        <v>29</v>
      </c>
      <c r="C118" s="167" t="s">
        <v>149</v>
      </c>
      <c r="D118" s="259" t="s">
        <v>151</v>
      </c>
      <c r="E118" s="287" t="s">
        <v>6793</v>
      </c>
      <c r="F118" s="39" t="str">
        <f t="shared" si="21"/>
        <v>Invitación</v>
      </c>
      <c r="G118" s="39"/>
      <c r="H118" s="39" t="s">
        <v>3793</v>
      </c>
      <c r="I118" s="81" t="s">
        <v>6794</v>
      </c>
      <c r="J118" s="41"/>
      <c r="K118" s="41"/>
      <c r="L118" s="41"/>
      <c r="M118" s="1046" t="str">
        <f t="shared" si="22"/>
        <v xml:space="preserve">Enforcer Units Fire Service Pluse México S.A de C.V.  </v>
      </c>
      <c r="N118" s="1080" t="s">
        <v>5099</v>
      </c>
      <c r="O118" s="1080" t="s">
        <v>5099</v>
      </c>
      <c r="P118" s="1061" t="s">
        <v>6795</v>
      </c>
      <c r="Q118" s="1040" t="s">
        <v>6796</v>
      </c>
      <c r="R118" s="1047">
        <v>1142232</v>
      </c>
      <c r="S118" s="270">
        <f t="shared" si="23"/>
        <v>182757.12</v>
      </c>
      <c r="T118" s="1048">
        <f t="shared" si="20"/>
        <v>1324989.1200000001</v>
      </c>
      <c r="U118" s="1047" t="s">
        <v>161</v>
      </c>
      <c r="V118" s="270" t="s">
        <v>161</v>
      </c>
      <c r="W118" s="270">
        <f t="shared" si="4"/>
        <v>1324989.1200000001</v>
      </c>
      <c r="X118" s="993" t="s">
        <v>156</v>
      </c>
      <c r="Y118" s="59">
        <v>45293</v>
      </c>
      <c r="Z118" s="39" t="s">
        <v>157</v>
      </c>
      <c r="AA118" s="59">
        <v>45292</v>
      </c>
      <c r="AB118" s="59">
        <v>45657</v>
      </c>
      <c r="AC118" s="38" t="s">
        <v>6797</v>
      </c>
      <c r="AD118" s="53"/>
      <c r="AE118" s="38"/>
      <c r="AF118" s="256"/>
      <c r="AG118" s="270">
        <v>0</v>
      </c>
      <c r="AH118" s="163" t="str">
        <f t="shared" ca="1" si="24"/>
        <v>MUERTO</v>
      </c>
      <c r="AI118" s="39">
        <v>35701</v>
      </c>
      <c r="AJ118" s="39"/>
      <c r="AK118" s="39" t="s">
        <v>6431</v>
      </c>
      <c r="AL118" s="39"/>
      <c r="AM118" s="39" t="s">
        <v>6431</v>
      </c>
      <c r="AN118" s="39"/>
      <c r="AO118" s="39"/>
      <c r="AP118" s="38" t="e">
        <f>VLOOKUP(I118,'[4] RFC'!A:B,2,0)</f>
        <v>#N/A</v>
      </c>
      <c r="AQ118" s="59">
        <v>45274</v>
      </c>
      <c r="AR118" s="59">
        <v>45275</v>
      </c>
      <c r="AS118" s="59">
        <v>45282</v>
      </c>
      <c r="AT118" s="59">
        <f t="shared" si="19"/>
        <v>45293</v>
      </c>
      <c r="AU118" s="183">
        <v>45323</v>
      </c>
      <c r="AV118" s="195">
        <v>45299</v>
      </c>
      <c r="AW118" s="185">
        <v>45654</v>
      </c>
    </row>
    <row r="119" spans="1:50" ht="90" hidden="1" x14ac:dyDescent="0.25">
      <c r="A119" s="248" t="s">
        <v>6798</v>
      </c>
      <c r="B119" s="259">
        <v>30</v>
      </c>
      <c r="C119" s="167" t="s">
        <v>149</v>
      </c>
      <c r="D119" s="259" t="s">
        <v>163</v>
      </c>
      <c r="E119" s="287" t="s">
        <v>6277</v>
      </c>
      <c r="F119" s="287" t="s">
        <v>2237</v>
      </c>
      <c r="G119" s="685" t="s">
        <v>546</v>
      </c>
      <c r="H119" s="39" t="s">
        <v>6799</v>
      </c>
      <c r="I119" s="81" t="s">
        <v>6800</v>
      </c>
      <c r="J119" s="41"/>
      <c r="K119" s="41"/>
      <c r="L119" s="41"/>
      <c r="M119" s="1046" t="str">
        <f t="shared" si="22"/>
        <v xml:space="preserve">Estafeta Méxicana, S.A. de C.V.  </v>
      </c>
      <c r="N119" s="1080" t="s">
        <v>301</v>
      </c>
      <c r="O119" s="1080" t="s">
        <v>301</v>
      </c>
      <c r="P119" s="1023" t="s">
        <v>6801</v>
      </c>
      <c r="Q119" s="1076" t="s">
        <v>6802</v>
      </c>
      <c r="R119" s="1047">
        <v>1500000</v>
      </c>
      <c r="S119" s="270">
        <f t="shared" si="23"/>
        <v>240000</v>
      </c>
      <c r="T119" s="1048">
        <f t="shared" si="20"/>
        <v>1740000</v>
      </c>
      <c r="U119" s="1047">
        <v>600000</v>
      </c>
      <c r="V119" s="270">
        <f t="shared" ref="V119:V184" si="25">(U119*0.16)+(U119)</f>
        <v>696000</v>
      </c>
      <c r="W119" s="270">
        <f t="shared" si="4"/>
        <v>1740000</v>
      </c>
      <c r="X119" s="993" t="s">
        <v>156</v>
      </c>
      <c r="Y119" s="59">
        <v>45293</v>
      </c>
      <c r="Z119" s="39" t="s">
        <v>157</v>
      </c>
      <c r="AA119" s="59">
        <v>45292</v>
      </c>
      <c r="AB119" s="59">
        <v>45657</v>
      </c>
      <c r="AC119" s="38" t="s">
        <v>6797</v>
      </c>
      <c r="AD119" s="53"/>
      <c r="AE119" s="38"/>
      <c r="AF119" s="256"/>
      <c r="AG119" s="270"/>
      <c r="AH119" s="163" t="str">
        <f t="shared" ca="1" si="24"/>
        <v>MUERTO</v>
      </c>
      <c r="AI119" s="39">
        <v>31801</v>
      </c>
      <c r="AJ119" s="39"/>
      <c r="AK119" s="39" t="s">
        <v>6431</v>
      </c>
      <c r="AL119" s="39"/>
      <c r="AM119" s="39" t="s">
        <v>6431</v>
      </c>
      <c r="AN119" s="39"/>
      <c r="AO119" s="39"/>
      <c r="AP119" s="38" t="e">
        <f>VLOOKUP(I119,'[4] RFC'!A:B,2,0)</f>
        <v>#N/A</v>
      </c>
      <c r="AQ119" s="59">
        <v>45275</v>
      </c>
      <c r="AR119" s="59">
        <v>45278</v>
      </c>
      <c r="AS119" s="59">
        <v>45282</v>
      </c>
      <c r="AT119" s="59">
        <f t="shared" si="19"/>
        <v>45293</v>
      </c>
      <c r="AU119" s="183">
        <v>45308</v>
      </c>
      <c r="AV119" s="195">
        <v>45307</v>
      </c>
      <c r="AW119" s="185">
        <v>45300</v>
      </c>
    </row>
    <row r="120" spans="1:50" ht="126" hidden="1" x14ac:dyDescent="0.25">
      <c r="A120" s="248" t="s">
        <v>6803</v>
      </c>
      <c r="B120" s="259">
        <v>31</v>
      </c>
      <c r="C120" s="167" t="s">
        <v>149</v>
      </c>
      <c r="D120" s="259" t="s">
        <v>163</v>
      </c>
      <c r="E120" s="287" t="s">
        <v>6804</v>
      </c>
      <c r="F120" s="287" t="s">
        <v>2237</v>
      </c>
      <c r="G120" s="685" t="s">
        <v>546</v>
      </c>
      <c r="H120" s="39" t="s">
        <v>6737</v>
      </c>
      <c r="I120" s="81" t="s">
        <v>6788</v>
      </c>
      <c r="J120" s="41"/>
      <c r="K120" s="41"/>
      <c r="L120" s="41"/>
      <c r="M120" s="1046" t="str">
        <f t="shared" si="22"/>
        <v xml:space="preserve">Dhimex Ciudad de México, S.A de C.V  </v>
      </c>
      <c r="N120" s="991" t="s">
        <v>198</v>
      </c>
      <c r="O120" s="991" t="s">
        <v>198</v>
      </c>
      <c r="P120" s="376" t="s">
        <v>6805</v>
      </c>
      <c r="Q120" s="722" t="s">
        <v>6806</v>
      </c>
      <c r="R120" s="1083">
        <v>3017241.38</v>
      </c>
      <c r="S120" s="270">
        <f t="shared" si="23"/>
        <v>482758.62079999998</v>
      </c>
      <c r="T120" s="1048">
        <f t="shared" si="20"/>
        <v>3500000.0008</v>
      </c>
      <c r="U120" s="1047">
        <v>2452544.52</v>
      </c>
      <c r="V120" s="270">
        <f t="shared" si="25"/>
        <v>2844951.6431999998</v>
      </c>
      <c r="W120" s="270">
        <f t="shared" si="4"/>
        <v>3500000.0008</v>
      </c>
      <c r="X120" s="993" t="s">
        <v>156</v>
      </c>
      <c r="Y120" s="59">
        <v>45293</v>
      </c>
      <c r="Z120" s="39" t="s">
        <v>157</v>
      </c>
      <c r="AA120" s="59">
        <v>45292</v>
      </c>
      <c r="AB120" s="59">
        <v>45657</v>
      </c>
      <c r="AC120" s="38" t="s">
        <v>6797</v>
      </c>
      <c r="AD120" s="53"/>
      <c r="AE120" s="38"/>
      <c r="AF120" s="256"/>
      <c r="AG120" s="270">
        <v>0</v>
      </c>
      <c r="AH120" s="163" t="str">
        <f t="shared" ca="1" si="24"/>
        <v>MUERTO</v>
      </c>
      <c r="AI120" s="39">
        <v>35701</v>
      </c>
      <c r="AJ120" s="39"/>
      <c r="AK120" s="39" t="s">
        <v>6431</v>
      </c>
      <c r="AL120" s="39"/>
      <c r="AM120" s="39" t="s">
        <v>6431</v>
      </c>
      <c r="AN120" s="39"/>
      <c r="AO120" s="39"/>
      <c r="AP120" s="38" t="e">
        <f>VLOOKUP(I120,'[4] RFC'!A:B,2,0)</f>
        <v>#N/A</v>
      </c>
      <c r="AQ120" s="59">
        <v>45275</v>
      </c>
      <c r="AR120" s="59">
        <v>45282</v>
      </c>
      <c r="AS120" s="59">
        <v>45287</v>
      </c>
      <c r="AT120" s="59">
        <f t="shared" si="19"/>
        <v>45293</v>
      </c>
      <c r="AU120" s="183">
        <v>45313</v>
      </c>
      <c r="AV120" s="195">
        <v>45299</v>
      </c>
      <c r="AW120" s="185">
        <v>45288</v>
      </c>
    </row>
    <row r="121" spans="1:50" ht="94.5" hidden="1" x14ac:dyDescent="0.25">
      <c r="A121" s="248" t="s">
        <v>6807</v>
      </c>
      <c r="B121" s="259">
        <v>32</v>
      </c>
      <c r="C121" s="167" t="s">
        <v>149</v>
      </c>
      <c r="D121" s="259" t="s">
        <v>163</v>
      </c>
      <c r="E121" s="287" t="s">
        <v>6808</v>
      </c>
      <c r="F121" s="39" t="str">
        <f t="shared" si="21"/>
        <v>Adjudicación Directa</v>
      </c>
      <c r="G121" s="309" t="s">
        <v>163</v>
      </c>
      <c r="H121" s="39" t="s">
        <v>6809</v>
      </c>
      <c r="I121" s="81" t="s">
        <v>6810</v>
      </c>
      <c r="J121" s="41"/>
      <c r="K121" s="41"/>
      <c r="L121" s="41"/>
      <c r="M121" s="1046" t="str">
        <f t="shared" si="22"/>
        <v xml:space="preserve">Sistemas Neumáticos de envíos, S.A. de C.V.    </v>
      </c>
      <c r="N121" s="991" t="s">
        <v>198</v>
      </c>
      <c r="O121" s="991" t="s">
        <v>198</v>
      </c>
      <c r="P121" s="376" t="s">
        <v>6811</v>
      </c>
      <c r="Q121" s="722" t="s">
        <v>6812</v>
      </c>
      <c r="R121" s="1083">
        <v>724137.93</v>
      </c>
      <c r="S121" s="270">
        <f t="shared" si="23"/>
        <v>115862.06880000001</v>
      </c>
      <c r="T121" s="1048">
        <f t="shared" si="20"/>
        <v>839999.99880000006</v>
      </c>
      <c r="U121" s="1047">
        <v>553643.53</v>
      </c>
      <c r="V121" s="270">
        <f t="shared" si="25"/>
        <v>642226.49479999999</v>
      </c>
      <c r="W121" s="270">
        <f t="shared" si="4"/>
        <v>839999.99880000006</v>
      </c>
      <c r="X121" s="993" t="s">
        <v>156</v>
      </c>
      <c r="Y121" s="59">
        <v>45293</v>
      </c>
      <c r="Z121" s="39" t="s">
        <v>157</v>
      </c>
      <c r="AA121" s="59">
        <v>45292</v>
      </c>
      <c r="AB121" s="59">
        <v>45657</v>
      </c>
      <c r="AC121" s="38" t="s">
        <v>6797</v>
      </c>
      <c r="AD121" s="53"/>
      <c r="AE121" s="38"/>
      <c r="AF121" s="256"/>
      <c r="AG121" s="270">
        <v>0</v>
      </c>
      <c r="AH121" s="163" t="str">
        <f t="shared" ca="1" si="24"/>
        <v>MUERTO</v>
      </c>
      <c r="AI121" s="39">
        <v>35701</v>
      </c>
      <c r="AJ121" s="39"/>
      <c r="AK121" s="39" t="s">
        <v>6431</v>
      </c>
      <c r="AL121" s="39"/>
      <c r="AM121" s="39" t="s">
        <v>6431</v>
      </c>
      <c r="AN121" s="39"/>
      <c r="AO121" s="39"/>
      <c r="AP121" s="38" t="e">
        <f>VLOOKUP(I121,'[4] RFC'!A:B,2,0)</f>
        <v>#N/A</v>
      </c>
      <c r="AQ121" s="59">
        <v>45275</v>
      </c>
      <c r="AR121" s="59">
        <v>45281</v>
      </c>
      <c r="AS121" s="59">
        <v>45288</v>
      </c>
      <c r="AT121" s="59">
        <f t="shared" si="19"/>
        <v>45293</v>
      </c>
      <c r="AU121" s="183">
        <v>45337</v>
      </c>
      <c r="AV121" s="195">
        <v>45303</v>
      </c>
      <c r="AW121" s="185">
        <v>45299</v>
      </c>
    </row>
    <row r="122" spans="1:50" ht="60" hidden="1" x14ac:dyDescent="0.25">
      <c r="A122" s="248" t="s">
        <v>6813</v>
      </c>
      <c r="B122" s="259">
        <v>33</v>
      </c>
      <c r="C122" s="167" t="s">
        <v>149</v>
      </c>
      <c r="D122" s="259" t="s">
        <v>163</v>
      </c>
      <c r="E122" s="287" t="s">
        <v>6814</v>
      </c>
      <c r="F122" s="39" t="str">
        <f t="shared" si="21"/>
        <v>Adjudicación Directa</v>
      </c>
      <c r="G122" s="309" t="s">
        <v>163</v>
      </c>
      <c r="H122" s="39" t="s">
        <v>6815</v>
      </c>
      <c r="I122" s="81" t="s">
        <v>6816</v>
      </c>
      <c r="J122" s="41"/>
      <c r="K122" s="41"/>
      <c r="L122" s="41"/>
      <c r="M122" s="1057" t="str">
        <f t="shared" si="22"/>
        <v xml:space="preserve">MISE EN PLACE SJA SA DE CV  </v>
      </c>
      <c r="N122" s="991" t="s">
        <v>190</v>
      </c>
      <c r="O122" s="991" t="s">
        <v>6817</v>
      </c>
      <c r="P122" s="959" t="s">
        <v>6818</v>
      </c>
      <c r="Q122" s="1084" t="s">
        <v>6819</v>
      </c>
      <c r="R122" s="1047">
        <v>6000000</v>
      </c>
      <c r="S122" s="270">
        <f t="shared" si="23"/>
        <v>960000</v>
      </c>
      <c r="T122" s="1048">
        <f t="shared" si="20"/>
        <v>6960000</v>
      </c>
      <c r="U122" s="1047">
        <v>3600000</v>
      </c>
      <c r="V122" s="270">
        <f t="shared" si="25"/>
        <v>4176000</v>
      </c>
      <c r="W122" s="270">
        <f>T122+AG122</f>
        <v>6960000</v>
      </c>
      <c r="X122" s="993" t="s">
        <v>156</v>
      </c>
      <c r="Y122" s="59">
        <v>45293</v>
      </c>
      <c r="Z122" s="39" t="s">
        <v>157</v>
      </c>
      <c r="AA122" s="59">
        <v>45292</v>
      </c>
      <c r="AB122" s="59">
        <v>45657</v>
      </c>
      <c r="AC122" s="38" t="s">
        <v>6820</v>
      </c>
      <c r="AD122" s="53" t="s">
        <v>6821</v>
      </c>
      <c r="AE122" s="38"/>
      <c r="AF122" s="256"/>
      <c r="AG122" s="270">
        <v>0</v>
      </c>
      <c r="AH122" s="163" t="str">
        <f t="shared" ca="1" si="24"/>
        <v>MUERTO</v>
      </c>
      <c r="AI122" s="39">
        <v>22104</v>
      </c>
      <c r="AJ122" s="39"/>
      <c r="AK122" s="39" t="s">
        <v>6431</v>
      </c>
      <c r="AL122" s="39"/>
      <c r="AM122" s="39" t="s">
        <v>6431</v>
      </c>
      <c r="AN122" s="39"/>
      <c r="AO122" s="39"/>
      <c r="AP122" s="38" t="e">
        <f>VLOOKUP(I122,'[4] RFC'!A:B,2,0)</f>
        <v>#N/A</v>
      </c>
      <c r="AQ122" s="59">
        <v>45282</v>
      </c>
      <c r="AR122" s="59">
        <v>45281</v>
      </c>
      <c r="AS122" s="59">
        <v>45655</v>
      </c>
      <c r="AT122" s="59">
        <f t="shared" si="19"/>
        <v>45293</v>
      </c>
      <c r="AU122" s="183">
        <v>45313</v>
      </c>
      <c r="AV122" s="195">
        <v>45308</v>
      </c>
      <c r="AW122" s="185">
        <v>45300</v>
      </c>
    </row>
    <row r="123" spans="1:50" ht="60" hidden="1" x14ac:dyDescent="0.25">
      <c r="A123" s="196" t="s">
        <v>6822</v>
      </c>
      <c r="B123" s="259">
        <v>33</v>
      </c>
      <c r="C123" s="167" t="s">
        <v>149</v>
      </c>
      <c r="D123" s="259" t="s">
        <v>6303</v>
      </c>
      <c r="E123" s="287" t="s">
        <v>6823</v>
      </c>
      <c r="F123" s="39" t="str">
        <f t="shared" si="21"/>
        <v>Modificatorio</v>
      </c>
      <c r="G123" s="309" t="s">
        <v>163</v>
      </c>
      <c r="H123" s="39" t="s">
        <v>6824</v>
      </c>
      <c r="I123" s="81" t="s">
        <v>6816</v>
      </c>
      <c r="J123" s="41"/>
      <c r="K123" s="41"/>
      <c r="L123" s="41"/>
      <c r="M123" s="81" t="s">
        <v>6816</v>
      </c>
      <c r="N123" s="991" t="s">
        <v>190</v>
      </c>
      <c r="O123" s="991" t="s">
        <v>6817</v>
      </c>
      <c r="P123" s="959" t="s">
        <v>6818</v>
      </c>
      <c r="Q123" s="1084" t="s">
        <v>6819</v>
      </c>
      <c r="R123" s="1047">
        <v>1500000</v>
      </c>
      <c r="S123" s="270">
        <f t="shared" si="23"/>
        <v>240000</v>
      </c>
      <c r="T123" s="1048">
        <f t="shared" si="20"/>
        <v>1740000</v>
      </c>
      <c r="U123" s="1047" t="s">
        <v>161</v>
      </c>
      <c r="V123" s="270" t="s">
        <v>161</v>
      </c>
      <c r="W123" s="270">
        <f>T123+AG123</f>
        <v>1740000</v>
      </c>
      <c r="X123" s="993" t="s">
        <v>156</v>
      </c>
      <c r="Y123" s="59">
        <v>45572</v>
      </c>
      <c r="Z123" s="39" t="s">
        <v>881</v>
      </c>
      <c r="AA123" s="59">
        <v>45292</v>
      </c>
      <c r="AB123" s="59">
        <v>45657</v>
      </c>
      <c r="AC123" s="38" t="s">
        <v>6820</v>
      </c>
      <c r="AD123" s="53" t="s">
        <v>6825</v>
      </c>
      <c r="AE123" s="38"/>
      <c r="AF123" s="256"/>
      <c r="AG123" s="270"/>
      <c r="AH123" s="163" t="s">
        <v>1388</v>
      </c>
      <c r="AI123" s="39">
        <v>22104</v>
      </c>
      <c r="AJ123" s="39"/>
      <c r="AK123" s="39"/>
      <c r="AL123" s="39"/>
      <c r="AM123" s="39"/>
      <c r="AN123" s="39"/>
      <c r="AO123" s="39"/>
      <c r="AP123" s="38" t="e">
        <f>VLOOKUP(I123,'[4] RFC'!A:B,2,0)</f>
        <v>#N/A</v>
      </c>
      <c r="AQ123" s="59">
        <v>45572</v>
      </c>
      <c r="AR123" s="59">
        <v>45569</v>
      </c>
      <c r="AS123" s="59">
        <v>45574</v>
      </c>
      <c r="AT123" s="59">
        <f t="shared" si="19"/>
        <v>45572</v>
      </c>
      <c r="AU123" s="183"/>
      <c r="AV123" s="195"/>
      <c r="AW123" s="185"/>
    </row>
    <row r="124" spans="1:50" ht="60" hidden="1" x14ac:dyDescent="0.25">
      <c r="A124" s="248" t="s">
        <v>6826</v>
      </c>
      <c r="B124" s="259">
        <v>34</v>
      </c>
      <c r="C124" s="167" t="s">
        <v>149</v>
      </c>
      <c r="D124" s="259" t="s">
        <v>163</v>
      </c>
      <c r="E124" s="287" t="s">
        <v>6827</v>
      </c>
      <c r="F124" s="39" t="str">
        <f t="shared" si="21"/>
        <v>Adjudicación Directa</v>
      </c>
      <c r="G124" s="309" t="s">
        <v>163</v>
      </c>
      <c r="H124" s="39" t="s">
        <v>6815</v>
      </c>
      <c r="I124" s="81" t="s">
        <v>6828</v>
      </c>
      <c r="J124" s="41"/>
      <c r="K124" s="41"/>
      <c r="L124" s="41"/>
      <c r="M124" s="1046" t="str">
        <f t="shared" si="22"/>
        <v xml:space="preserve">Especialidades Reyes, S.A. de C.V.  </v>
      </c>
      <c r="N124" s="991" t="s">
        <v>190</v>
      </c>
      <c r="O124" s="991" t="s">
        <v>6817</v>
      </c>
      <c r="P124" s="991" t="s">
        <v>6818</v>
      </c>
      <c r="Q124" s="1040" t="s">
        <v>6829</v>
      </c>
      <c r="R124" s="1047">
        <v>6000000</v>
      </c>
      <c r="S124" s="270">
        <f t="shared" si="23"/>
        <v>960000</v>
      </c>
      <c r="T124" s="1048">
        <f t="shared" si="20"/>
        <v>6960000</v>
      </c>
      <c r="U124" s="1047">
        <v>3600000</v>
      </c>
      <c r="V124" s="270">
        <f t="shared" si="25"/>
        <v>4176000</v>
      </c>
      <c r="W124" s="270">
        <f t="shared" si="4"/>
        <v>6960000</v>
      </c>
      <c r="X124" s="993" t="s">
        <v>156</v>
      </c>
      <c r="Y124" s="59">
        <v>45293</v>
      </c>
      <c r="Z124" s="39" t="s">
        <v>157</v>
      </c>
      <c r="AA124" s="59">
        <v>45292</v>
      </c>
      <c r="AB124" s="59">
        <v>45657</v>
      </c>
      <c r="AC124" s="38" t="s">
        <v>6820</v>
      </c>
      <c r="AD124" s="53" t="s">
        <v>6821</v>
      </c>
      <c r="AE124" s="38"/>
      <c r="AF124" s="256"/>
      <c r="AG124" s="270">
        <v>0</v>
      </c>
      <c r="AH124" s="163" t="str">
        <f t="shared" ca="1" si="24"/>
        <v>MUERTO</v>
      </c>
      <c r="AI124" s="39">
        <v>22104</v>
      </c>
      <c r="AJ124" s="39"/>
      <c r="AK124" s="39" t="s">
        <v>6431</v>
      </c>
      <c r="AL124" s="39"/>
      <c r="AM124" s="39" t="s">
        <v>6431</v>
      </c>
      <c r="AN124" s="39"/>
      <c r="AO124" s="39"/>
      <c r="AP124" s="38" t="e">
        <f>VLOOKUP(I124,'[4] RFC'!A:B,2,0)</f>
        <v>#N/A</v>
      </c>
      <c r="AQ124" s="59">
        <v>45282</v>
      </c>
      <c r="AR124" s="59">
        <v>45281</v>
      </c>
      <c r="AS124" s="59">
        <v>45289</v>
      </c>
      <c r="AT124" s="59">
        <f t="shared" si="19"/>
        <v>45293</v>
      </c>
      <c r="AU124" s="183">
        <v>45341</v>
      </c>
      <c r="AV124" s="195">
        <v>45308</v>
      </c>
      <c r="AW124" s="185">
        <v>45300</v>
      </c>
    </row>
    <row r="125" spans="1:50" ht="60" hidden="1" x14ac:dyDescent="0.25">
      <c r="A125" s="248" t="s">
        <v>6830</v>
      </c>
      <c r="B125" s="259">
        <v>35</v>
      </c>
      <c r="C125" s="167" t="s">
        <v>149</v>
      </c>
      <c r="D125" s="259" t="s">
        <v>173</v>
      </c>
      <c r="E125" s="287" t="s">
        <v>6831</v>
      </c>
      <c r="F125" s="39" t="str">
        <f t="shared" si="21"/>
        <v>Licitación Pública</v>
      </c>
      <c r="G125" s="39"/>
      <c r="H125" s="39" t="s">
        <v>3785</v>
      </c>
      <c r="I125" s="81" t="s">
        <v>6832</v>
      </c>
      <c r="J125" s="41"/>
      <c r="K125" s="41"/>
      <c r="L125" s="41"/>
      <c r="M125" s="1046" t="str">
        <f>I125&amp;J125&amp;" "&amp;K125&amp;" "&amp;L125</f>
        <v xml:space="preserve">Lemonrot Bususiness Solutions, S.A. de C.V.  </v>
      </c>
      <c r="N125" s="991" t="s">
        <v>198</v>
      </c>
      <c r="O125" s="991" t="s">
        <v>198</v>
      </c>
      <c r="P125" s="991" t="s">
        <v>6833</v>
      </c>
      <c r="Q125" s="1076" t="s">
        <v>6834</v>
      </c>
      <c r="R125" s="1047">
        <v>3483073.28</v>
      </c>
      <c r="S125" s="270">
        <f t="shared" si="23"/>
        <v>557291.72479999997</v>
      </c>
      <c r="T125" s="1048">
        <f t="shared" si="20"/>
        <v>4040365.0047999998</v>
      </c>
      <c r="U125" s="1047">
        <v>1922423.04</v>
      </c>
      <c r="V125" s="270">
        <f t="shared" si="25"/>
        <v>2230010.7264</v>
      </c>
      <c r="W125" s="270">
        <f t="shared" si="4"/>
        <v>4040365.0047999998</v>
      </c>
      <c r="X125" s="993" t="s">
        <v>156</v>
      </c>
      <c r="Y125" s="59">
        <v>45293</v>
      </c>
      <c r="Z125" s="39" t="s">
        <v>157</v>
      </c>
      <c r="AA125" s="59">
        <v>45292</v>
      </c>
      <c r="AB125" s="59">
        <v>45657</v>
      </c>
      <c r="AC125" s="38" t="s">
        <v>6835</v>
      </c>
      <c r="AD125" s="53"/>
      <c r="AE125" s="38"/>
      <c r="AF125" s="256"/>
      <c r="AG125" s="270">
        <v>0</v>
      </c>
      <c r="AH125" s="163" t="str">
        <f t="shared" ca="1" si="24"/>
        <v>MUERTO</v>
      </c>
      <c r="AI125" s="39">
        <v>35301</v>
      </c>
      <c r="AJ125" s="39"/>
      <c r="AK125" s="39" t="s">
        <v>6431</v>
      </c>
      <c r="AL125" s="39"/>
      <c r="AM125" s="39" t="s">
        <v>6431</v>
      </c>
      <c r="AN125" s="39"/>
      <c r="AO125" s="39"/>
      <c r="AP125" s="38" t="e">
        <f>VLOOKUP(I125,'[4] RFC'!A:B,2,0)</f>
        <v>#N/A</v>
      </c>
      <c r="AQ125" s="59">
        <v>45281</v>
      </c>
      <c r="AR125" s="59">
        <v>45282</v>
      </c>
      <c r="AS125" s="59">
        <v>45289</v>
      </c>
      <c r="AT125" s="59">
        <f t="shared" si="19"/>
        <v>45293</v>
      </c>
      <c r="AU125" s="183">
        <v>45315</v>
      </c>
      <c r="AV125" s="195">
        <v>45301</v>
      </c>
      <c r="AW125" s="185">
        <v>45295</v>
      </c>
    </row>
    <row r="126" spans="1:50" ht="90" hidden="1" x14ac:dyDescent="0.25">
      <c r="A126" s="196" t="s">
        <v>6836</v>
      </c>
      <c r="B126" s="259">
        <v>35</v>
      </c>
      <c r="C126" s="167" t="s">
        <v>149</v>
      </c>
      <c r="D126" s="259" t="s">
        <v>6303</v>
      </c>
      <c r="E126" s="287" t="s">
        <v>6837</v>
      </c>
      <c r="F126" s="39" t="str">
        <f t="shared" si="21"/>
        <v>Modificatorio</v>
      </c>
      <c r="G126" s="39"/>
      <c r="H126" s="39" t="s">
        <v>6342</v>
      </c>
      <c r="I126" s="81" t="s">
        <v>6832</v>
      </c>
      <c r="J126" s="41"/>
      <c r="K126" s="41"/>
      <c r="L126" s="41"/>
      <c r="M126" s="1046" t="str">
        <f>I126&amp;J126&amp;" "&amp;K126&amp;" "&amp;L126</f>
        <v xml:space="preserve">Lemonrot Bususiness Solutions, S.A. de C.V.  </v>
      </c>
      <c r="N126" s="991" t="s">
        <v>198</v>
      </c>
      <c r="O126" s="991" t="s">
        <v>198</v>
      </c>
      <c r="P126" s="991" t="s">
        <v>6833</v>
      </c>
      <c r="Q126" s="1076" t="s">
        <v>6834</v>
      </c>
      <c r="R126" s="1047">
        <v>3641973.28</v>
      </c>
      <c r="S126" s="270">
        <f t="shared" si="23"/>
        <v>582715.72479999997</v>
      </c>
      <c r="T126" s="1048">
        <f t="shared" si="20"/>
        <v>4224689.0047999993</v>
      </c>
      <c r="U126" s="1047">
        <v>1922423.04</v>
      </c>
      <c r="V126" s="270">
        <f t="shared" si="25"/>
        <v>2230010.7264</v>
      </c>
      <c r="W126" s="270">
        <f t="shared" si="4"/>
        <v>4224689.0047999993</v>
      </c>
      <c r="X126" s="993" t="s">
        <v>156</v>
      </c>
      <c r="Y126" s="59">
        <v>45657</v>
      </c>
      <c r="Z126" s="39" t="s">
        <v>924</v>
      </c>
      <c r="AA126" s="59">
        <v>45292</v>
      </c>
      <c r="AB126" s="59">
        <v>45688</v>
      </c>
      <c r="AC126" s="38" t="s">
        <v>6835</v>
      </c>
      <c r="AD126" s="53" t="s">
        <v>6636</v>
      </c>
      <c r="AE126" s="38" t="s">
        <v>6838</v>
      </c>
      <c r="AF126" s="256">
        <v>46022</v>
      </c>
      <c r="AG126" s="270"/>
      <c r="AH126" s="163" t="str">
        <f t="shared" ca="1" si="24"/>
        <v>MUERTO</v>
      </c>
      <c r="AI126" s="39">
        <v>35301</v>
      </c>
      <c r="AJ126" s="39"/>
      <c r="AK126" s="39" t="s">
        <v>1937</v>
      </c>
      <c r="AL126" s="39"/>
      <c r="AM126" s="39" t="s">
        <v>1937</v>
      </c>
      <c r="AN126" s="39"/>
      <c r="AO126" s="39"/>
      <c r="AP126" s="38" t="s">
        <v>6839</v>
      </c>
      <c r="AQ126" s="59">
        <v>45649</v>
      </c>
      <c r="AR126" s="59">
        <v>46018</v>
      </c>
      <c r="AS126" s="59">
        <v>45667</v>
      </c>
      <c r="AT126" s="59">
        <f t="shared" si="19"/>
        <v>45657</v>
      </c>
      <c r="AU126" s="183"/>
      <c r="AV126" s="195">
        <v>45657</v>
      </c>
      <c r="AW126" s="185"/>
    </row>
    <row r="127" spans="1:50" ht="105" hidden="1" x14ac:dyDescent="0.25">
      <c r="A127" s="248" t="s">
        <v>6840</v>
      </c>
      <c r="B127" s="259">
        <v>36</v>
      </c>
      <c r="C127" s="167" t="s">
        <v>149</v>
      </c>
      <c r="D127" s="259" t="s">
        <v>151</v>
      </c>
      <c r="E127" s="287" t="s">
        <v>6841</v>
      </c>
      <c r="F127" s="39" t="str">
        <f t="shared" si="21"/>
        <v>Invitación</v>
      </c>
      <c r="G127" s="39"/>
      <c r="H127" s="39" t="s">
        <v>152</v>
      </c>
      <c r="I127" s="81" t="s">
        <v>6842</v>
      </c>
      <c r="J127" s="41"/>
      <c r="K127" s="41"/>
      <c r="L127" s="41"/>
      <c r="M127" s="1046" t="str">
        <f t="shared" si="22"/>
        <v xml:space="preserve">Grupo Nacional Provincial, S.A.B  </v>
      </c>
      <c r="N127" s="991" t="s">
        <v>270</v>
      </c>
      <c r="O127" s="991" t="s">
        <v>270</v>
      </c>
      <c r="P127" s="991" t="s">
        <v>1077</v>
      </c>
      <c r="Q127" s="718" t="s">
        <v>6843</v>
      </c>
      <c r="R127" s="1047">
        <v>497592.77</v>
      </c>
      <c r="S127" s="270">
        <f t="shared" si="23"/>
        <v>79614.843200000003</v>
      </c>
      <c r="T127" s="1048">
        <f t="shared" si="20"/>
        <v>577207.61320000002</v>
      </c>
      <c r="U127" s="1047">
        <v>0</v>
      </c>
      <c r="V127" s="270">
        <f t="shared" si="25"/>
        <v>0</v>
      </c>
      <c r="W127" s="270">
        <f t="shared" si="4"/>
        <v>577207.61320000002</v>
      </c>
      <c r="X127" s="993" t="s">
        <v>156</v>
      </c>
      <c r="Y127" s="59">
        <v>45293</v>
      </c>
      <c r="Z127" s="39" t="s">
        <v>157</v>
      </c>
      <c r="AA127" s="59">
        <v>45292</v>
      </c>
      <c r="AB127" s="59">
        <v>45657</v>
      </c>
      <c r="AC127" s="38" t="s">
        <v>159</v>
      </c>
      <c r="AD127" s="53"/>
      <c r="AE127" s="38"/>
      <c r="AF127" s="256"/>
      <c r="AG127" s="270">
        <v>0</v>
      </c>
      <c r="AH127" s="163" t="str">
        <f t="shared" ca="1" si="24"/>
        <v>MUERTO</v>
      </c>
      <c r="AI127" s="39">
        <v>34501</v>
      </c>
      <c r="AJ127" s="39"/>
      <c r="AK127" s="39" t="s">
        <v>6431</v>
      </c>
      <c r="AL127" s="39"/>
      <c r="AM127" s="39" t="s">
        <v>6431</v>
      </c>
      <c r="AN127" s="39"/>
      <c r="AO127" s="39"/>
      <c r="AP127" s="38" t="e">
        <f>VLOOKUP(I127,'[4] RFC'!A:B,2,0)</f>
        <v>#N/A</v>
      </c>
      <c r="AQ127" s="59">
        <v>45282</v>
      </c>
      <c r="AR127" s="59">
        <v>45282</v>
      </c>
      <c r="AS127" s="59">
        <v>45655</v>
      </c>
      <c r="AT127" s="59">
        <f t="shared" si="19"/>
        <v>45293</v>
      </c>
      <c r="AU127" s="183">
        <v>45303</v>
      </c>
      <c r="AV127" s="195">
        <v>45302</v>
      </c>
      <c r="AW127" s="185">
        <v>45300</v>
      </c>
    </row>
    <row r="128" spans="1:50" ht="45" hidden="1" x14ac:dyDescent="0.25">
      <c r="A128" s="248" t="s">
        <v>6844</v>
      </c>
      <c r="B128" s="259">
        <v>37</v>
      </c>
      <c r="C128" s="167" t="s">
        <v>149</v>
      </c>
      <c r="D128" s="259" t="s">
        <v>151</v>
      </c>
      <c r="E128" s="287" t="s">
        <v>6841</v>
      </c>
      <c r="F128" s="39" t="str">
        <f t="shared" si="21"/>
        <v>Invitación</v>
      </c>
      <c r="G128" s="39"/>
      <c r="H128" s="39" t="s">
        <v>152</v>
      </c>
      <c r="I128" s="81" t="s">
        <v>6845</v>
      </c>
      <c r="J128" s="41"/>
      <c r="K128" s="41"/>
      <c r="L128" s="41"/>
      <c r="M128" s="1046" t="str">
        <f t="shared" si="22"/>
        <v xml:space="preserve">Grupo Mexicano de Seguros, S.A de C.V.  </v>
      </c>
      <c r="N128" s="991" t="s">
        <v>270</v>
      </c>
      <c r="O128" s="991" t="s">
        <v>270</v>
      </c>
      <c r="P128" s="991" t="s">
        <v>1077</v>
      </c>
      <c r="Q128" s="719" t="s">
        <v>6846</v>
      </c>
      <c r="R128" s="1047">
        <v>29989943.219999999</v>
      </c>
      <c r="S128" s="270">
        <f t="shared" si="23"/>
        <v>4798390.9151999997</v>
      </c>
      <c r="T128" s="1048">
        <f t="shared" si="20"/>
        <v>34788334.135200001</v>
      </c>
      <c r="U128" s="1047">
        <v>0</v>
      </c>
      <c r="V128" s="270">
        <f t="shared" si="25"/>
        <v>0</v>
      </c>
      <c r="W128" s="270">
        <f t="shared" si="4"/>
        <v>34788334.135200001</v>
      </c>
      <c r="X128" s="993" t="s">
        <v>156</v>
      </c>
      <c r="Y128" s="59">
        <v>45293</v>
      </c>
      <c r="Z128" s="39" t="s">
        <v>157</v>
      </c>
      <c r="AA128" s="59">
        <v>45292</v>
      </c>
      <c r="AB128" s="59">
        <v>45657</v>
      </c>
      <c r="AC128" s="38" t="s">
        <v>159</v>
      </c>
      <c r="AD128" s="53"/>
      <c r="AE128" s="38"/>
      <c r="AF128" s="256"/>
      <c r="AG128" s="270">
        <v>0</v>
      </c>
      <c r="AH128" s="163" t="str">
        <f t="shared" ca="1" si="24"/>
        <v>MUERTO</v>
      </c>
      <c r="AI128" s="39">
        <v>34501</v>
      </c>
      <c r="AJ128" s="39"/>
      <c r="AK128" s="39" t="s">
        <v>6431</v>
      </c>
      <c r="AL128" s="39"/>
      <c r="AM128" s="39" t="s">
        <v>6431</v>
      </c>
      <c r="AN128" s="39"/>
      <c r="AO128" s="39"/>
      <c r="AP128" s="38" t="e">
        <f>VLOOKUP(I128,'[4] RFC'!A:B,2,0)</f>
        <v>#N/A</v>
      </c>
      <c r="AQ128" s="59">
        <v>45282</v>
      </c>
      <c r="AR128" s="59">
        <v>45282</v>
      </c>
      <c r="AS128" s="59">
        <v>45287</v>
      </c>
      <c r="AT128" s="59">
        <f t="shared" si="19"/>
        <v>45293</v>
      </c>
      <c r="AU128" s="183">
        <v>45303</v>
      </c>
      <c r="AV128" s="195">
        <v>45302</v>
      </c>
      <c r="AW128" s="185">
        <v>45293</v>
      </c>
    </row>
    <row r="129" spans="1:49" ht="75" hidden="1" x14ac:dyDescent="0.25">
      <c r="A129" s="248" t="s">
        <v>6847</v>
      </c>
      <c r="B129" s="259">
        <v>38</v>
      </c>
      <c r="C129" s="167" t="s">
        <v>149</v>
      </c>
      <c r="D129" s="259" t="s">
        <v>151</v>
      </c>
      <c r="E129" s="287" t="s">
        <v>6848</v>
      </c>
      <c r="F129" s="39" t="str">
        <f t="shared" si="21"/>
        <v>Invitación</v>
      </c>
      <c r="G129" s="39"/>
      <c r="H129" s="39" t="s">
        <v>3793</v>
      </c>
      <c r="I129" s="42" t="s">
        <v>6101</v>
      </c>
      <c r="J129" s="41"/>
      <c r="K129" s="41"/>
      <c r="L129" s="41"/>
      <c r="M129" s="1046" t="str">
        <f t="shared" si="22"/>
        <v xml:space="preserve">Construcciones y Materiales Keno, S.A. de C.V.  </v>
      </c>
      <c r="N129" s="991" t="s">
        <v>198</v>
      </c>
      <c r="O129" s="991" t="s">
        <v>198</v>
      </c>
      <c r="P129" s="991" t="s">
        <v>6849</v>
      </c>
      <c r="Q129" s="1040" t="s">
        <v>6850</v>
      </c>
      <c r="R129" s="1047">
        <v>1268400</v>
      </c>
      <c r="S129" s="270">
        <f t="shared" si="23"/>
        <v>202944</v>
      </c>
      <c r="T129" s="1048">
        <f t="shared" si="20"/>
        <v>1471344</v>
      </c>
      <c r="U129" s="1047">
        <v>0</v>
      </c>
      <c r="V129" s="270">
        <f t="shared" si="25"/>
        <v>0</v>
      </c>
      <c r="W129" s="270">
        <f t="shared" si="4"/>
        <v>1471344</v>
      </c>
      <c r="X129" s="993" t="s">
        <v>156</v>
      </c>
      <c r="Y129" s="59">
        <v>45293</v>
      </c>
      <c r="Z129" s="39" t="s">
        <v>157</v>
      </c>
      <c r="AA129" s="59">
        <v>45292</v>
      </c>
      <c r="AB129" s="59">
        <v>45657</v>
      </c>
      <c r="AC129" s="38" t="s">
        <v>6741</v>
      </c>
      <c r="AD129" s="53"/>
      <c r="AE129" s="38"/>
      <c r="AF129" s="256"/>
      <c r="AG129" s="270">
        <v>0</v>
      </c>
      <c r="AH129" s="163" t="str">
        <f t="shared" ca="1" si="24"/>
        <v>MUERTO</v>
      </c>
      <c r="AI129" s="39">
        <v>35501</v>
      </c>
      <c r="AJ129" s="39"/>
      <c r="AK129" s="39" t="s">
        <v>6431</v>
      </c>
      <c r="AL129" s="39"/>
      <c r="AM129" s="39" t="s">
        <v>6431</v>
      </c>
      <c r="AN129" s="39"/>
      <c r="AO129" s="39"/>
      <c r="AP129" s="38" t="e">
        <f>VLOOKUP(I129,'[4] RFC'!A:B,2,0)</f>
        <v>#N/A</v>
      </c>
      <c r="AQ129" s="59">
        <v>45281</v>
      </c>
      <c r="AR129" s="59">
        <v>45287</v>
      </c>
      <c r="AS129" s="59">
        <v>44928</v>
      </c>
      <c r="AT129" s="59">
        <f t="shared" si="19"/>
        <v>45293</v>
      </c>
      <c r="AU129" s="183">
        <v>45322</v>
      </c>
      <c r="AV129" s="195">
        <v>45306</v>
      </c>
      <c r="AW129" s="185">
        <v>45300</v>
      </c>
    </row>
    <row r="130" spans="1:49" ht="120" hidden="1" x14ac:dyDescent="0.25">
      <c r="A130" s="196" t="s">
        <v>6851</v>
      </c>
      <c r="B130" s="259">
        <v>38</v>
      </c>
      <c r="C130" s="167" t="s">
        <v>6303</v>
      </c>
      <c r="D130" s="259" t="s">
        <v>6303</v>
      </c>
      <c r="E130" s="287" t="s">
        <v>6852</v>
      </c>
      <c r="F130" s="39" t="str">
        <f>D130</f>
        <v>Modificatorio</v>
      </c>
      <c r="G130" s="39"/>
      <c r="H130" s="39" t="s">
        <v>6853</v>
      </c>
      <c r="I130" s="81" t="s">
        <v>6101</v>
      </c>
      <c r="J130" s="1046"/>
      <c r="K130" s="1046"/>
      <c r="L130" s="1046"/>
      <c r="M130" s="1046" t="str">
        <f>I130&amp;J130&amp;" "&amp;K130&amp;" "&amp;L130</f>
        <v xml:space="preserve">Construcciones y Materiales Keno, S.A. de C.V.  </v>
      </c>
      <c r="N130" s="991" t="s">
        <v>6854</v>
      </c>
      <c r="O130" s="991" t="s">
        <v>6854</v>
      </c>
      <c r="P130" s="991" t="s">
        <v>6855</v>
      </c>
      <c r="Q130" s="1040" t="s">
        <v>6856</v>
      </c>
      <c r="R130" s="1047">
        <v>1268400</v>
      </c>
      <c r="S130" s="270">
        <f>R130*0.16</f>
        <v>202944</v>
      </c>
      <c r="T130" s="1048">
        <f>R130+S130</f>
        <v>1471344</v>
      </c>
      <c r="U130" s="1047">
        <v>0</v>
      </c>
      <c r="V130" s="270">
        <f>(U130*0.16)+(U130)</f>
        <v>0</v>
      </c>
      <c r="W130" s="270">
        <f>T130+AG130</f>
        <v>1471344</v>
      </c>
      <c r="X130" s="993" t="s">
        <v>156</v>
      </c>
      <c r="Y130" s="59">
        <v>45293</v>
      </c>
      <c r="Z130" s="39" t="s">
        <v>881</v>
      </c>
      <c r="AA130" s="59">
        <v>45292</v>
      </c>
      <c r="AB130" s="59">
        <v>45657</v>
      </c>
      <c r="AC130" s="38" t="s">
        <v>6741</v>
      </c>
      <c r="AD130" s="53" t="s">
        <v>6857</v>
      </c>
      <c r="AE130" s="1040" t="s">
        <v>6856</v>
      </c>
      <c r="AF130" s="256"/>
      <c r="AG130" s="270">
        <v>0</v>
      </c>
      <c r="AH130" s="163" t="str">
        <f ca="1">IF(ISBLANK(AB130),"",IF(AB130&gt;=TODAY(),"VIGENTE","MUERTO"))</f>
        <v>MUERTO</v>
      </c>
      <c r="AI130" s="39"/>
      <c r="AJ130" s="39"/>
      <c r="AK130" s="39"/>
      <c r="AL130" s="39"/>
      <c r="AM130" s="39"/>
      <c r="AN130" s="39"/>
      <c r="AO130" s="39"/>
      <c r="AP130" s="38" t="e">
        <f>VLOOKUP(I130,'[4] RFC'!A:B,2,0)</f>
        <v>#N/A</v>
      </c>
      <c r="AQ130" s="59">
        <v>45560</v>
      </c>
      <c r="AR130" s="59"/>
      <c r="AS130" s="59"/>
      <c r="AT130" s="59">
        <f>+Y130</f>
        <v>45293</v>
      </c>
      <c r="AU130" s="183"/>
      <c r="AV130" s="195">
        <v>45562</v>
      </c>
      <c r="AW130" s="185"/>
    </row>
    <row r="131" spans="1:49" ht="30" hidden="1" x14ac:dyDescent="0.25">
      <c r="A131" s="248" t="s">
        <v>6858</v>
      </c>
      <c r="B131" s="259">
        <v>39</v>
      </c>
      <c r="C131" s="167" t="s">
        <v>149</v>
      </c>
      <c r="D131" s="259" t="s">
        <v>163</v>
      </c>
      <c r="E131" s="287" t="s">
        <v>6859</v>
      </c>
      <c r="F131" s="287" t="s">
        <v>2237</v>
      </c>
      <c r="G131" s="309" t="s">
        <v>163</v>
      </c>
      <c r="H131" s="39" t="s">
        <v>6860</v>
      </c>
      <c r="I131" s="42" t="s">
        <v>6861</v>
      </c>
      <c r="J131" s="41"/>
      <c r="K131" s="41"/>
      <c r="L131" s="41"/>
      <c r="M131" s="1046" t="str">
        <f t="shared" si="22"/>
        <v xml:space="preserve">SCONTINUIDAD LATAM S.A. DE C.V  </v>
      </c>
      <c r="N131" s="991" t="s">
        <v>656</v>
      </c>
      <c r="O131" s="991" t="s">
        <v>209</v>
      </c>
      <c r="P131" s="1085" t="s">
        <v>6862</v>
      </c>
      <c r="Q131" s="719" t="s">
        <v>6863</v>
      </c>
      <c r="R131" s="1047">
        <v>30814830</v>
      </c>
      <c r="S131" s="270">
        <f t="shared" si="23"/>
        <v>4930372.8</v>
      </c>
      <c r="T131" s="1048">
        <f t="shared" si="20"/>
        <v>35745202.799999997</v>
      </c>
      <c r="U131" s="1047">
        <v>0</v>
      </c>
      <c r="V131" s="270">
        <f t="shared" si="25"/>
        <v>0</v>
      </c>
      <c r="W131" s="270">
        <f t="shared" si="4"/>
        <v>35745202.799999997</v>
      </c>
      <c r="X131" s="993" t="s">
        <v>156</v>
      </c>
      <c r="Y131" s="59">
        <v>45293</v>
      </c>
      <c r="Z131" s="39" t="s">
        <v>157</v>
      </c>
      <c r="AA131" s="59">
        <v>45292</v>
      </c>
      <c r="AB131" s="59">
        <v>45657</v>
      </c>
      <c r="AC131" s="38" t="s">
        <v>6741</v>
      </c>
      <c r="AD131" s="53"/>
      <c r="AE131" s="38"/>
      <c r="AF131" s="256"/>
      <c r="AG131" s="270">
        <v>0</v>
      </c>
      <c r="AH131" s="163" t="str">
        <f t="shared" ca="1" si="24"/>
        <v>MUERTO</v>
      </c>
      <c r="AI131" s="39" t="s">
        <v>6864</v>
      </c>
      <c r="AJ131" s="39"/>
      <c r="AK131" s="39" t="s">
        <v>6431</v>
      </c>
      <c r="AL131" s="39"/>
      <c r="AM131" s="39" t="s">
        <v>6431</v>
      </c>
      <c r="AN131" s="39"/>
      <c r="AO131" s="39"/>
      <c r="AP131" s="38" t="e">
        <f>VLOOKUP(I131,'[4] RFC'!A:B,2,0)</f>
        <v>#N/A</v>
      </c>
      <c r="AQ131" s="59">
        <v>45282</v>
      </c>
      <c r="AR131" s="59">
        <v>45287</v>
      </c>
      <c r="AS131" s="59">
        <v>45293</v>
      </c>
      <c r="AT131" s="59">
        <f t="shared" si="19"/>
        <v>45293</v>
      </c>
      <c r="AU131" s="183">
        <v>45315</v>
      </c>
      <c r="AV131" s="195">
        <v>45303</v>
      </c>
      <c r="AW131" s="185">
        <v>45295</v>
      </c>
    </row>
    <row r="132" spans="1:49" ht="30" hidden="1" x14ac:dyDescent="0.25">
      <c r="A132" s="248" t="s">
        <v>6865</v>
      </c>
      <c r="B132" s="259">
        <v>40</v>
      </c>
      <c r="C132" s="167" t="s">
        <v>149</v>
      </c>
      <c r="D132" s="259" t="s">
        <v>163</v>
      </c>
      <c r="E132" s="287" t="s">
        <v>6859</v>
      </c>
      <c r="F132" s="287" t="s">
        <v>2237</v>
      </c>
      <c r="G132" s="309" t="s">
        <v>163</v>
      </c>
      <c r="H132" s="39" t="s">
        <v>6860</v>
      </c>
      <c r="I132" s="42" t="s">
        <v>6866</v>
      </c>
      <c r="J132" s="41"/>
      <c r="K132" s="41"/>
      <c r="L132" s="41"/>
      <c r="M132" s="1046" t="str">
        <f t="shared" si="22"/>
        <v xml:space="preserve">SILENT4BUSINESS S.A. DE C.V.,   </v>
      </c>
      <c r="N132" s="991" t="s">
        <v>656</v>
      </c>
      <c r="O132" s="991" t="s">
        <v>209</v>
      </c>
      <c r="P132" s="1085" t="s">
        <v>6862</v>
      </c>
      <c r="Q132" s="1040" t="s">
        <v>4426</v>
      </c>
      <c r="R132" s="1047">
        <v>76014000.120000005</v>
      </c>
      <c r="S132" s="270">
        <f t="shared" si="23"/>
        <v>12162240.019200001</v>
      </c>
      <c r="T132" s="1048">
        <f t="shared" si="20"/>
        <v>88176240.139200002</v>
      </c>
      <c r="U132" s="1047">
        <v>0</v>
      </c>
      <c r="V132" s="270">
        <f t="shared" si="25"/>
        <v>0</v>
      </c>
      <c r="W132" s="270">
        <f t="shared" si="4"/>
        <v>88176240.139200002</v>
      </c>
      <c r="X132" s="993" t="s">
        <v>156</v>
      </c>
      <c r="Y132" s="59">
        <v>45293</v>
      </c>
      <c r="Z132" s="39" t="s">
        <v>157</v>
      </c>
      <c r="AA132" s="59">
        <v>45292</v>
      </c>
      <c r="AB132" s="59">
        <v>45657</v>
      </c>
      <c r="AC132" s="38" t="s">
        <v>6867</v>
      </c>
      <c r="AD132" s="53"/>
      <c r="AE132" s="38"/>
      <c r="AF132" s="256"/>
      <c r="AG132" s="270">
        <v>0</v>
      </c>
      <c r="AH132" s="163" t="str">
        <f t="shared" ca="1" si="24"/>
        <v>MUERTO</v>
      </c>
      <c r="AI132" s="39">
        <v>31904</v>
      </c>
      <c r="AJ132" s="39"/>
      <c r="AK132" s="39" t="s">
        <v>6431</v>
      </c>
      <c r="AL132" s="39"/>
      <c r="AM132" s="39" t="s">
        <v>6431</v>
      </c>
      <c r="AN132" s="39"/>
      <c r="AO132" s="39"/>
      <c r="AP132" s="38" t="e">
        <f>VLOOKUP(I132,'[4] RFC'!A:B,2,0)</f>
        <v>#N/A</v>
      </c>
      <c r="AQ132" s="59">
        <v>45282</v>
      </c>
      <c r="AR132" s="59">
        <v>45287</v>
      </c>
      <c r="AS132" s="59">
        <v>45293</v>
      </c>
      <c r="AT132" s="59">
        <f t="shared" si="19"/>
        <v>45293</v>
      </c>
      <c r="AU132" s="183">
        <v>45313</v>
      </c>
      <c r="AV132" s="195">
        <v>45303</v>
      </c>
      <c r="AW132" s="185">
        <v>45299</v>
      </c>
    </row>
    <row r="133" spans="1:49" ht="180" hidden="1" x14ac:dyDescent="0.25">
      <c r="A133" s="196" t="s">
        <v>6868</v>
      </c>
      <c r="B133" s="259">
        <v>40</v>
      </c>
      <c r="C133" s="167" t="s">
        <v>149</v>
      </c>
      <c r="D133" s="259" t="s">
        <v>6303</v>
      </c>
      <c r="E133" s="287" t="s">
        <v>6859</v>
      </c>
      <c r="F133" s="287" t="s">
        <v>6303</v>
      </c>
      <c r="G133" s="309" t="s">
        <v>163</v>
      </c>
      <c r="H133" s="39" t="s">
        <v>6860</v>
      </c>
      <c r="I133" s="42" t="s">
        <v>6866</v>
      </c>
      <c r="J133" s="41"/>
      <c r="K133" s="41"/>
      <c r="L133" s="41"/>
      <c r="M133" s="1046" t="str">
        <f t="shared" si="22"/>
        <v xml:space="preserve">SILENT4BUSINESS S.A. DE C.V.,   </v>
      </c>
      <c r="N133" s="991" t="s">
        <v>656</v>
      </c>
      <c r="O133" s="991" t="s">
        <v>209</v>
      </c>
      <c r="P133" s="991" t="s">
        <v>6862</v>
      </c>
      <c r="Q133" s="1040" t="s">
        <v>4426</v>
      </c>
      <c r="R133" s="1047">
        <v>70361016.180000007</v>
      </c>
      <c r="S133" s="270">
        <f t="shared" si="23"/>
        <v>11257762.588800002</v>
      </c>
      <c r="T133" s="1048">
        <f t="shared" si="20"/>
        <v>81618778.768800005</v>
      </c>
      <c r="U133" s="1047">
        <v>0</v>
      </c>
      <c r="V133" s="270">
        <f t="shared" si="25"/>
        <v>0</v>
      </c>
      <c r="W133" s="270">
        <f t="shared" si="4"/>
        <v>81618778.768800005</v>
      </c>
      <c r="X133" s="993" t="s">
        <v>156</v>
      </c>
      <c r="Y133" s="59"/>
      <c r="Z133" s="39" t="s">
        <v>881</v>
      </c>
      <c r="AA133" s="59">
        <v>45292</v>
      </c>
      <c r="AB133" s="59">
        <v>45657</v>
      </c>
      <c r="AC133" s="38" t="s">
        <v>6867</v>
      </c>
      <c r="AD133" s="53"/>
      <c r="AE133" s="38" t="s">
        <v>6869</v>
      </c>
      <c r="AF133" s="256">
        <v>45568</v>
      </c>
      <c r="AG133" s="270"/>
      <c r="AH133" s="163" t="s">
        <v>1388</v>
      </c>
      <c r="AI133" s="39">
        <v>31904</v>
      </c>
      <c r="AJ133" s="39"/>
      <c r="AK133" s="39"/>
      <c r="AL133" s="39"/>
      <c r="AM133" s="39"/>
      <c r="AN133" s="39"/>
      <c r="AO133" s="39"/>
      <c r="AP133" s="38" t="e">
        <f>VLOOKUP(I133,'[4] RFC'!A:B,2,0)</f>
        <v>#N/A</v>
      </c>
      <c r="AQ133" s="59">
        <v>45569</v>
      </c>
      <c r="AR133" s="59">
        <v>45575</v>
      </c>
      <c r="AS133" s="59">
        <v>45588</v>
      </c>
      <c r="AT133" s="59">
        <v>45588</v>
      </c>
      <c r="AU133" s="183"/>
      <c r="AV133" s="195">
        <v>45575</v>
      </c>
      <c r="AW133" s="185">
        <v>45582</v>
      </c>
    </row>
    <row r="134" spans="1:49" ht="45" hidden="1" x14ac:dyDescent="0.25">
      <c r="A134" s="196" t="s">
        <v>6870</v>
      </c>
      <c r="B134" s="259">
        <v>40</v>
      </c>
      <c r="C134" s="167" t="s">
        <v>149</v>
      </c>
      <c r="D134" s="259" t="s">
        <v>6303</v>
      </c>
      <c r="E134" s="287" t="s">
        <v>6871</v>
      </c>
      <c r="F134" s="287" t="s">
        <v>6303</v>
      </c>
      <c r="G134" s="309" t="s">
        <v>163</v>
      </c>
      <c r="H134" s="39" t="s">
        <v>6872</v>
      </c>
      <c r="I134" s="42" t="s">
        <v>6866</v>
      </c>
      <c r="J134" s="41"/>
      <c r="K134" s="41"/>
      <c r="L134" s="41"/>
      <c r="M134" s="1046" t="str">
        <f t="shared" si="22"/>
        <v xml:space="preserve">SILENT4BUSINESS S.A. DE C.V.,   </v>
      </c>
      <c r="N134" s="991" t="s">
        <v>656</v>
      </c>
      <c r="O134" s="991" t="s">
        <v>209</v>
      </c>
      <c r="P134" s="991" t="s">
        <v>6862</v>
      </c>
      <c r="Q134" s="1040" t="s">
        <v>4426</v>
      </c>
      <c r="R134" s="1047">
        <v>83711532.090000004</v>
      </c>
      <c r="S134" s="270">
        <f t="shared" si="23"/>
        <v>13393845.134400001</v>
      </c>
      <c r="T134" s="1048">
        <f t="shared" si="20"/>
        <v>97105377.224399999</v>
      </c>
      <c r="U134" s="1047">
        <v>0</v>
      </c>
      <c r="V134" s="270">
        <f t="shared" si="25"/>
        <v>0</v>
      </c>
      <c r="W134" s="270">
        <f t="shared" si="4"/>
        <v>102758361.1644</v>
      </c>
      <c r="X134" s="993" t="s">
        <v>156</v>
      </c>
      <c r="Y134" s="59">
        <v>45639</v>
      </c>
      <c r="Z134" s="39" t="s">
        <v>924</v>
      </c>
      <c r="AA134" s="59">
        <v>45292</v>
      </c>
      <c r="AB134" s="59">
        <v>45657</v>
      </c>
      <c r="AC134" s="38" t="s">
        <v>6867</v>
      </c>
      <c r="AD134" s="270" t="s">
        <v>6873</v>
      </c>
      <c r="AE134" s="38" t="s">
        <v>6874</v>
      </c>
      <c r="AF134" s="256">
        <v>45639</v>
      </c>
      <c r="AG134" s="270">
        <v>5652983.9400000004</v>
      </c>
      <c r="AH134" s="163" t="s">
        <v>1388</v>
      </c>
      <c r="AI134" s="39">
        <v>31904</v>
      </c>
      <c r="AJ134" s="39"/>
      <c r="AK134" s="39" t="s">
        <v>6875</v>
      </c>
      <c r="AL134" s="39"/>
      <c r="AM134" s="39" t="s">
        <v>6875</v>
      </c>
      <c r="AN134" s="39"/>
      <c r="AO134" s="39"/>
      <c r="AP134" s="38" t="e">
        <f>VLOOKUP(I134,'[4] RFC'!A:B,2,0)</f>
        <v>#N/A</v>
      </c>
      <c r="AQ134" s="59">
        <v>45568</v>
      </c>
      <c r="AR134" s="59">
        <v>45608</v>
      </c>
      <c r="AS134" s="59">
        <v>45639</v>
      </c>
      <c r="AT134" s="59">
        <v>45639</v>
      </c>
      <c r="AU134" s="183"/>
      <c r="AV134" s="195">
        <v>45639</v>
      </c>
      <c r="AW134" s="185">
        <v>45646</v>
      </c>
    </row>
    <row r="135" spans="1:49" ht="30" hidden="1" x14ac:dyDescent="0.25">
      <c r="A135" s="248" t="s">
        <v>6876</v>
      </c>
      <c r="B135" s="259">
        <v>41</v>
      </c>
      <c r="C135" s="167" t="s">
        <v>149</v>
      </c>
      <c r="D135" s="259" t="s">
        <v>163</v>
      </c>
      <c r="E135" s="287" t="s">
        <v>6859</v>
      </c>
      <c r="F135" s="287" t="s">
        <v>2237</v>
      </c>
      <c r="G135" s="309" t="s">
        <v>163</v>
      </c>
      <c r="H135" s="39" t="s">
        <v>6860</v>
      </c>
      <c r="I135" s="42" t="s">
        <v>6866</v>
      </c>
      <c r="J135" s="41"/>
      <c r="K135" s="41"/>
      <c r="L135" s="41"/>
      <c r="M135" s="1046" t="str">
        <f t="shared" si="22"/>
        <v xml:space="preserve">SILENT4BUSINESS S.A. DE C.V.,   </v>
      </c>
      <c r="N135" s="991" t="s">
        <v>656</v>
      </c>
      <c r="O135" s="991" t="s">
        <v>209</v>
      </c>
      <c r="P135" s="1085" t="s">
        <v>6862</v>
      </c>
      <c r="Q135" s="719" t="s">
        <v>6877</v>
      </c>
      <c r="R135" s="1047">
        <v>25749808.68</v>
      </c>
      <c r="S135" s="270">
        <f t="shared" si="23"/>
        <v>4119969.3887999998</v>
      </c>
      <c r="T135" s="1048">
        <f t="shared" si="20"/>
        <v>29869778.068799999</v>
      </c>
      <c r="U135" s="1047">
        <v>0</v>
      </c>
      <c r="V135" s="270">
        <f t="shared" si="25"/>
        <v>0</v>
      </c>
      <c r="W135" s="270">
        <f t="shared" si="4"/>
        <v>29869778.068799999</v>
      </c>
      <c r="X135" s="993" t="s">
        <v>156</v>
      </c>
      <c r="Y135" s="59">
        <v>45293</v>
      </c>
      <c r="Z135" s="39" t="s">
        <v>157</v>
      </c>
      <c r="AA135" s="59">
        <v>45292</v>
      </c>
      <c r="AB135" s="59">
        <v>45657</v>
      </c>
      <c r="AC135" s="38" t="s">
        <v>6867</v>
      </c>
      <c r="AD135" s="53"/>
      <c r="AE135" s="38"/>
      <c r="AF135" s="256"/>
      <c r="AG135" s="270">
        <v>0</v>
      </c>
      <c r="AH135" s="163" t="str">
        <f t="shared" ca="1" si="24"/>
        <v>MUERTO</v>
      </c>
      <c r="AI135" s="39">
        <v>33303</v>
      </c>
      <c r="AJ135" s="39"/>
      <c r="AK135" s="39" t="s">
        <v>6431</v>
      </c>
      <c r="AL135" s="39"/>
      <c r="AM135" s="39" t="s">
        <v>6431</v>
      </c>
      <c r="AN135" s="39"/>
      <c r="AO135" s="39"/>
      <c r="AP135" s="38" t="e">
        <f>VLOOKUP(I135,'[4] RFC'!A:B,2,0)</f>
        <v>#N/A</v>
      </c>
      <c r="AQ135" s="59">
        <v>45282</v>
      </c>
      <c r="AR135" s="59">
        <v>45287</v>
      </c>
      <c r="AS135" s="59">
        <v>45293</v>
      </c>
      <c r="AT135" s="59">
        <f t="shared" si="19"/>
        <v>45293</v>
      </c>
      <c r="AU135" s="183">
        <v>45313</v>
      </c>
      <c r="AV135" s="195">
        <v>45307</v>
      </c>
      <c r="AW135" s="185">
        <v>45299</v>
      </c>
    </row>
    <row r="136" spans="1:49" ht="195" hidden="1" x14ac:dyDescent="0.25">
      <c r="A136" s="196" t="s">
        <v>6878</v>
      </c>
      <c r="B136" s="259">
        <v>41</v>
      </c>
      <c r="C136" s="167" t="s">
        <v>149</v>
      </c>
      <c r="D136" s="259" t="s">
        <v>6303</v>
      </c>
      <c r="E136" s="287" t="s">
        <v>6859</v>
      </c>
      <c r="F136" s="287" t="s">
        <v>6303</v>
      </c>
      <c r="G136" s="309" t="s">
        <v>163</v>
      </c>
      <c r="H136" s="39" t="s">
        <v>6879</v>
      </c>
      <c r="I136" s="42" t="s">
        <v>6866</v>
      </c>
      <c r="J136" s="41"/>
      <c r="K136" s="41"/>
      <c r="L136" s="41"/>
      <c r="M136" s="1046" t="str">
        <f t="shared" si="22"/>
        <v xml:space="preserve">SILENT4BUSINESS S.A. DE C.V.,   </v>
      </c>
      <c r="N136" s="991" t="s">
        <v>656</v>
      </c>
      <c r="O136" s="991" t="s">
        <v>209</v>
      </c>
      <c r="P136" s="991" t="s">
        <v>6862</v>
      </c>
      <c r="Q136" s="719" t="s">
        <v>6877</v>
      </c>
      <c r="R136" s="1047">
        <v>22970819.550000001</v>
      </c>
      <c r="S136" s="270">
        <f t="shared" si="23"/>
        <v>3675331.128</v>
      </c>
      <c r="T136" s="1048">
        <f t="shared" si="20"/>
        <v>26646150.677999999</v>
      </c>
      <c r="U136" s="1047"/>
      <c r="V136" s="270"/>
      <c r="W136" s="270">
        <f t="shared" si="4"/>
        <v>26646150.677999999</v>
      </c>
      <c r="X136" s="993" t="s">
        <v>156</v>
      </c>
      <c r="Y136" s="59">
        <v>45575</v>
      </c>
      <c r="Z136" s="39" t="s">
        <v>881</v>
      </c>
      <c r="AA136" s="59">
        <v>45292</v>
      </c>
      <c r="AB136" s="59">
        <v>45657</v>
      </c>
      <c r="AC136" s="38" t="s">
        <v>6867</v>
      </c>
      <c r="AD136" s="53"/>
      <c r="AE136" s="38" t="s">
        <v>6880</v>
      </c>
      <c r="AF136" s="256">
        <v>45568</v>
      </c>
      <c r="AG136" s="270"/>
      <c r="AH136" s="163" t="s">
        <v>1388</v>
      </c>
      <c r="AI136" s="39">
        <v>33303</v>
      </c>
      <c r="AJ136" s="39"/>
      <c r="AK136" s="39"/>
      <c r="AL136" s="39"/>
      <c r="AM136" s="39"/>
      <c r="AN136" s="39"/>
      <c r="AO136" s="39"/>
      <c r="AP136" s="38" t="e">
        <f>VLOOKUP(I136,'[4] RFC'!A:B,2,0)</f>
        <v>#N/A</v>
      </c>
      <c r="AQ136" s="59">
        <v>45569</v>
      </c>
      <c r="AR136" s="59">
        <v>45575</v>
      </c>
      <c r="AS136" s="59">
        <v>45575</v>
      </c>
      <c r="AT136" s="59">
        <f t="shared" si="19"/>
        <v>45575</v>
      </c>
      <c r="AU136" s="183"/>
      <c r="AV136" s="195"/>
      <c r="AW136" s="185">
        <v>45582</v>
      </c>
    </row>
    <row r="137" spans="1:49" ht="30" hidden="1" x14ac:dyDescent="0.25">
      <c r="A137" s="248" t="s">
        <v>6881</v>
      </c>
      <c r="B137" s="259">
        <v>42</v>
      </c>
      <c r="C137" s="167" t="s">
        <v>149</v>
      </c>
      <c r="D137" s="259" t="s">
        <v>163</v>
      </c>
      <c r="E137" s="287" t="s">
        <v>6882</v>
      </c>
      <c r="F137" s="39" t="str">
        <f t="shared" si="21"/>
        <v>Adjudicación Directa</v>
      </c>
      <c r="G137" s="309" t="s">
        <v>163</v>
      </c>
      <c r="H137" s="39" t="s">
        <v>6883</v>
      </c>
      <c r="I137" s="81" t="s">
        <v>1305</v>
      </c>
      <c r="J137" s="41"/>
      <c r="K137" s="41"/>
      <c r="L137" s="41"/>
      <c r="M137" s="1046" t="str">
        <f t="shared" si="22"/>
        <v xml:space="preserve">Fonatur Infraestructura, S.A. de C.V.  </v>
      </c>
      <c r="N137" s="991" t="s">
        <v>198</v>
      </c>
      <c r="O137" s="991" t="s">
        <v>198</v>
      </c>
      <c r="P137" s="308" t="s">
        <v>6523</v>
      </c>
      <c r="Q137" s="1040" t="s">
        <v>6884</v>
      </c>
      <c r="R137" s="1047">
        <v>72053012.5</v>
      </c>
      <c r="S137" s="270">
        <f t="shared" si="23"/>
        <v>11528482</v>
      </c>
      <c r="T137" s="1048">
        <f t="shared" si="20"/>
        <v>83581494.5</v>
      </c>
      <c r="U137" s="1047">
        <v>35778698.119999997</v>
      </c>
      <c r="V137" s="270">
        <f t="shared" si="25"/>
        <v>41503289.819199994</v>
      </c>
      <c r="W137" s="270">
        <f t="shared" si="4"/>
        <v>83581494.5</v>
      </c>
      <c r="X137" s="993" t="s">
        <v>156</v>
      </c>
      <c r="Y137" s="59">
        <v>45293</v>
      </c>
      <c r="Z137" s="39" t="s">
        <v>157</v>
      </c>
      <c r="AA137" s="59">
        <v>45292</v>
      </c>
      <c r="AB137" s="59">
        <v>45657</v>
      </c>
      <c r="AC137" s="38" t="s">
        <v>159</v>
      </c>
      <c r="AD137" s="53"/>
      <c r="AE137" s="38"/>
      <c r="AF137" s="256"/>
      <c r="AG137" s="270">
        <v>0</v>
      </c>
      <c r="AH137" s="163" t="str">
        <f t="shared" ca="1" si="24"/>
        <v>MUERTO</v>
      </c>
      <c r="AI137" s="39">
        <v>35801</v>
      </c>
      <c r="AJ137" s="39"/>
      <c r="AK137" s="39" t="s">
        <v>6431</v>
      </c>
      <c r="AL137" s="39"/>
      <c r="AM137" s="39" t="s">
        <v>6431</v>
      </c>
      <c r="AN137" s="39"/>
      <c r="AO137" s="39"/>
      <c r="AP137" s="38" t="e">
        <f>VLOOKUP(I137,'[4] RFC'!A:B,2,0)</f>
        <v>#N/A</v>
      </c>
      <c r="AQ137" s="59">
        <v>45281</v>
      </c>
      <c r="AR137" s="59">
        <v>45286</v>
      </c>
      <c r="AS137" s="59">
        <v>45293</v>
      </c>
      <c r="AT137" s="59">
        <f t="shared" si="19"/>
        <v>45293</v>
      </c>
      <c r="AU137" s="183">
        <v>45306</v>
      </c>
      <c r="AV137" s="195">
        <v>45303</v>
      </c>
      <c r="AW137" s="185">
        <v>45300</v>
      </c>
    </row>
    <row r="138" spans="1:49" ht="160.5" hidden="1" customHeight="1" x14ac:dyDescent="0.25">
      <c r="A138" s="248" t="s">
        <v>6885</v>
      </c>
      <c r="B138" s="259">
        <v>43</v>
      </c>
      <c r="C138" s="167" t="s">
        <v>149</v>
      </c>
      <c r="D138" s="259" t="s">
        <v>163</v>
      </c>
      <c r="E138" s="287" t="s">
        <v>6886</v>
      </c>
      <c r="F138" s="39" t="str">
        <f t="shared" si="21"/>
        <v>Adjudicación Directa</v>
      </c>
      <c r="G138" s="309" t="s">
        <v>163</v>
      </c>
      <c r="H138" s="39" t="s">
        <v>6883</v>
      </c>
      <c r="I138" s="81" t="s">
        <v>1305</v>
      </c>
      <c r="J138" s="41"/>
      <c r="K138" s="41"/>
      <c r="L138" s="41"/>
      <c r="M138" s="1046" t="str">
        <f t="shared" si="22"/>
        <v xml:space="preserve">Fonatur Infraestructura, S.A. de C.V.  </v>
      </c>
      <c r="N138" s="991" t="s">
        <v>198</v>
      </c>
      <c r="O138" s="991" t="s">
        <v>198</v>
      </c>
      <c r="P138" s="308" t="s">
        <v>6523</v>
      </c>
      <c r="Q138" s="1040" t="s">
        <v>6887</v>
      </c>
      <c r="R138" s="1047">
        <v>86559704.030000001</v>
      </c>
      <c r="S138" s="270">
        <f t="shared" si="23"/>
        <v>13849552.6448</v>
      </c>
      <c r="T138" s="1048">
        <f t="shared" si="20"/>
        <v>100409256.67480001</v>
      </c>
      <c r="U138" s="1047">
        <v>50000000</v>
      </c>
      <c r="V138" s="270">
        <f t="shared" si="25"/>
        <v>58000000</v>
      </c>
      <c r="W138" s="270">
        <f t="shared" si="4"/>
        <v>100409256.67480001</v>
      </c>
      <c r="X138" s="993" t="s">
        <v>156</v>
      </c>
      <c r="Y138" s="59">
        <v>45293</v>
      </c>
      <c r="Z138" s="39" t="s">
        <v>157</v>
      </c>
      <c r="AA138" s="59">
        <v>45292</v>
      </c>
      <c r="AB138" s="59">
        <v>45657</v>
      </c>
      <c r="AC138" s="38" t="s">
        <v>159</v>
      </c>
      <c r="AD138" s="53"/>
      <c r="AE138" s="38"/>
      <c r="AF138" s="256"/>
      <c r="AG138" s="270">
        <v>0</v>
      </c>
      <c r="AH138" s="163" t="str">
        <f t="shared" ca="1" si="24"/>
        <v>MUERTO</v>
      </c>
      <c r="AI138" s="39">
        <v>35101</v>
      </c>
      <c r="AJ138" s="39"/>
      <c r="AK138" s="39" t="s">
        <v>6431</v>
      </c>
      <c r="AL138" s="39"/>
      <c r="AM138" s="39" t="s">
        <v>6431</v>
      </c>
      <c r="AN138" s="39"/>
      <c r="AO138" s="39"/>
      <c r="AP138" s="38" t="e">
        <f>VLOOKUP(I138,'[4] RFC'!A:B,2,0)</f>
        <v>#N/A</v>
      </c>
      <c r="AQ138" s="59">
        <v>45281</v>
      </c>
      <c r="AR138" s="59">
        <v>45286</v>
      </c>
      <c r="AS138" s="59">
        <v>45293</v>
      </c>
      <c r="AT138" s="59">
        <f t="shared" si="19"/>
        <v>45293</v>
      </c>
      <c r="AU138" s="183">
        <v>45306</v>
      </c>
      <c r="AV138" s="195">
        <v>45303</v>
      </c>
      <c r="AW138" s="185">
        <v>45300</v>
      </c>
    </row>
    <row r="139" spans="1:49" ht="75" hidden="1" x14ac:dyDescent="0.25">
      <c r="A139" s="248" t="s">
        <v>6888</v>
      </c>
      <c r="B139" s="259">
        <v>44</v>
      </c>
      <c r="C139" s="167" t="s">
        <v>149</v>
      </c>
      <c r="D139" s="259" t="s">
        <v>163</v>
      </c>
      <c r="E139" s="287" t="s">
        <v>6889</v>
      </c>
      <c r="F139" s="39" t="str">
        <f t="shared" si="21"/>
        <v>Adjudicación Directa</v>
      </c>
      <c r="G139" s="309" t="s">
        <v>163</v>
      </c>
      <c r="H139" s="39" t="s">
        <v>6890</v>
      </c>
      <c r="I139" s="81" t="s">
        <v>4485</v>
      </c>
      <c r="J139" s="41"/>
      <c r="K139" s="41"/>
      <c r="L139" s="41"/>
      <c r="M139" s="1046" t="str">
        <f t="shared" si="22"/>
        <v xml:space="preserve">Viajes Helvetia, S.A de C.V.  </v>
      </c>
      <c r="N139" s="991" t="s">
        <v>6891</v>
      </c>
      <c r="O139" s="991" t="s">
        <v>6891</v>
      </c>
      <c r="P139" s="991" t="s">
        <v>6892</v>
      </c>
      <c r="Q139" s="1040" t="s">
        <v>6893</v>
      </c>
      <c r="R139" s="1047" t="s">
        <v>6894</v>
      </c>
      <c r="S139" s="270">
        <v>0</v>
      </c>
      <c r="T139" s="1048">
        <v>0</v>
      </c>
      <c r="U139" s="1047">
        <v>0</v>
      </c>
      <c r="V139" s="270">
        <f t="shared" si="25"/>
        <v>0</v>
      </c>
      <c r="W139" s="270">
        <f t="shared" si="4"/>
        <v>0</v>
      </c>
      <c r="X139" s="993" t="s">
        <v>156</v>
      </c>
      <c r="Y139" s="59">
        <v>45293</v>
      </c>
      <c r="Z139" s="39" t="s">
        <v>157</v>
      </c>
      <c r="AA139" s="59">
        <v>45292</v>
      </c>
      <c r="AB139" s="59">
        <v>45657</v>
      </c>
      <c r="AC139" s="38" t="s">
        <v>4247</v>
      </c>
      <c r="AD139" s="53"/>
      <c r="AE139" s="38"/>
      <c r="AF139" s="256"/>
      <c r="AG139" s="270">
        <v>0</v>
      </c>
      <c r="AH139" s="163" t="str">
        <f t="shared" ca="1" si="24"/>
        <v>MUERTO</v>
      </c>
      <c r="AI139" s="39" t="s">
        <v>3772</v>
      </c>
      <c r="AJ139" s="39"/>
      <c r="AK139" s="39" t="s">
        <v>6431</v>
      </c>
      <c r="AL139" s="39"/>
      <c r="AM139" s="39" t="s">
        <v>6431</v>
      </c>
      <c r="AN139" s="39"/>
      <c r="AO139" s="39"/>
      <c r="AP139" s="38" t="e">
        <f>VLOOKUP(I139,'[4] RFC'!A:B,2,0)</f>
        <v>#N/A</v>
      </c>
      <c r="AQ139" s="59">
        <v>45282</v>
      </c>
      <c r="AR139" s="59">
        <v>45288</v>
      </c>
      <c r="AS139" s="59">
        <v>45326</v>
      </c>
      <c r="AT139" s="59">
        <f t="shared" si="19"/>
        <v>45293</v>
      </c>
      <c r="AU139" s="183">
        <v>45310</v>
      </c>
      <c r="AV139" s="195">
        <v>45308</v>
      </c>
      <c r="AW139" s="185">
        <v>45393</v>
      </c>
    </row>
    <row r="140" spans="1:49" ht="75" hidden="1" x14ac:dyDescent="0.25">
      <c r="A140" s="248" t="s">
        <v>6895</v>
      </c>
      <c r="B140" s="259">
        <v>45</v>
      </c>
      <c r="C140" s="167" t="s">
        <v>149</v>
      </c>
      <c r="D140" s="259" t="s">
        <v>163</v>
      </c>
      <c r="E140" s="287" t="s">
        <v>6889</v>
      </c>
      <c r="F140" s="39" t="str">
        <f t="shared" si="21"/>
        <v>Adjudicación Directa</v>
      </c>
      <c r="G140" s="309" t="s">
        <v>163</v>
      </c>
      <c r="H140" s="39" t="s">
        <v>6890</v>
      </c>
      <c r="I140" s="81" t="s">
        <v>6896</v>
      </c>
      <c r="J140" s="41"/>
      <c r="K140" s="41"/>
      <c r="L140" s="41"/>
      <c r="M140" s="1046" t="str">
        <f t="shared" si="22"/>
        <v xml:space="preserve">G-Travel S.A. de C.V.  </v>
      </c>
      <c r="N140" s="991" t="s">
        <v>6891</v>
      </c>
      <c r="O140" s="991" t="s">
        <v>6891</v>
      </c>
      <c r="P140" s="991" t="s">
        <v>6892</v>
      </c>
      <c r="Q140" s="1040" t="s">
        <v>6897</v>
      </c>
      <c r="R140" s="1047" t="s">
        <v>6894</v>
      </c>
      <c r="S140" s="270">
        <v>0</v>
      </c>
      <c r="T140" s="1048">
        <v>0</v>
      </c>
      <c r="U140" s="1047">
        <v>0</v>
      </c>
      <c r="V140" s="270">
        <f t="shared" si="25"/>
        <v>0</v>
      </c>
      <c r="W140" s="270">
        <f t="shared" si="4"/>
        <v>0</v>
      </c>
      <c r="X140" s="993" t="s">
        <v>156</v>
      </c>
      <c r="Y140" s="59">
        <v>45293</v>
      </c>
      <c r="Z140" s="39" t="s">
        <v>157</v>
      </c>
      <c r="AA140" s="59">
        <v>45292</v>
      </c>
      <c r="AB140" s="59">
        <v>45657</v>
      </c>
      <c r="AC140" s="38" t="s">
        <v>4247</v>
      </c>
      <c r="AD140" s="53"/>
      <c r="AE140" s="38"/>
      <c r="AF140" s="256"/>
      <c r="AG140" s="270">
        <v>0</v>
      </c>
      <c r="AH140" s="163" t="str">
        <f t="shared" ca="1" si="24"/>
        <v>MUERTO</v>
      </c>
      <c r="AI140" s="39" t="s">
        <v>3772</v>
      </c>
      <c r="AJ140" s="39"/>
      <c r="AK140" s="39" t="s">
        <v>6431</v>
      </c>
      <c r="AL140" s="39"/>
      <c r="AM140" s="39" t="s">
        <v>6431</v>
      </c>
      <c r="AN140" s="39"/>
      <c r="AO140" s="39"/>
      <c r="AP140" s="38" t="e">
        <f>VLOOKUP(I140,'[4] RFC'!A:B,2,0)</f>
        <v>#N/A</v>
      </c>
      <c r="AQ140" s="59">
        <v>45282</v>
      </c>
      <c r="AR140" s="59">
        <v>45288</v>
      </c>
      <c r="AS140" s="59">
        <v>45326</v>
      </c>
      <c r="AT140" s="59">
        <f t="shared" si="19"/>
        <v>45293</v>
      </c>
      <c r="AU140" s="183">
        <v>45310</v>
      </c>
      <c r="AV140" s="195">
        <v>45308</v>
      </c>
      <c r="AW140" s="185">
        <v>45302</v>
      </c>
    </row>
    <row r="141" spans="1:49" ht="75" hidden="1" x14ac:dyDescent="0.25">
      <c r="A141" s="248" t="s">
        <v>6898</v>
      </c>
      <c r="B141" s="259">
        <v>46</v>
      </c>
      <c r="C141" s="167" t="s">
        <v>149</v>
      </c>
      <c r="D141" s="259" t="s">
        <v>163</v>
      </c>
      <c r="E141" s="287" t="s">
        <v>6889</v>
      </c>
      <c r="F141" s="39" t="str">
        <f t="shared" si="21"/>
        <v>Adjudicación Directa</v>
      </c>
      <c r="G141" s="309" t="s">
        <v>163</v>
      </c>
      <c r="H141" s="39" t="s">
        <v>6890</v>
      </c>
      <c r="I141" s="81" t="s">
        <v>6899</v>
      </c>
      <c r="J141" s="41"/>
      <c r="K141" s="41"/>
      <c r="L141" s="41"/>
      <c r="M141" s="1046" t="str">
        <f t="shared" si="22"/>
        <v xml:space="preserve">Vieje Escalona S.A.  </v>
      </c>
      <c r="N141" s="991" t="s">
        <v>6891</v>
      </c>
      <c r="O141" s="991" t="s">
        <v>6891</v>
      </c>
      <c r="P141" s="991" t="s">
        <v>6892</v>
      </c>
      <c r="Q141" s="1040" t="s">
        <v>6900</v>
      </c>
      <c r="R141" s="1047" t="s">
        <v>6894</v>
      </c>
      <c r="S141" s="270">
        <v>0</v>
      </c>
      <c r="T141" s="1048">
        <v>0</v>
      </c>
      <c r="U141" s="1047">
        <v>0</v>
      </c>
      <c r="V141" s="270">
        <f t="shared" si="25"/>
        <v>0</v>
      </c>
      <c r="W141" s="270">
        <f t="shared" si="4"/>
        <v>0</v>
      </c>
      <c r="X141" s="993" t="s">
        <v>156</v>
      </c>
      <c r="Y141" s="59">
        <v>45293</v>
      </c>
      <c r="Z141" s="39" t="s">
        <v>157</v>
      </c>
      <c r="AA141" s="59">
        <v>45292</v>
      </c>
      <c r="AB141" s="59">
        <v>45657</v>
      </c>
      <c r="AC141" s="38" t="s">
        <v>4247</v>
      </c>
      <c r="AD141" s="53"/>
      <c r="AE141" s="38"/>
      <c r="AF141" s="256"/>
      <c r="AG141" s="270">
        <v>0</v>
      </c>
      <c r="AH141" s="163" t="str">
        <f t="shared" ca="1" si="24"/>
        <v>MUERTO</v>
      </c>
      <c r="AI141" s="39" t="s">
        <v>3772</v>
      </c>
      <c r="AJ141" s="39"/>
      <c r="AK141" s="39" t="s">
        <v>6431</v>
      </c>
      <c r="AL141" s="39"/>
      <c r="AM141" s="39" t="s">
        <v>6431</v>
      </c>
      <c r="AN141" s="39"/>
      <c r="AO141" s="39"/>
      <c r="AP141" s="38" t="e">
        <f>VLOOKUP(I141,'[4] RFC'!A:B,2,0)</f>
        <v>#N/A</v>
      </c>
      <c r="AQ141" s="59">
        <v>45282</v>
      </c>
      <c r="AR141" s="59">
        <v>45288</v>
      </c>
      <c r="AS141" s="59">
        <v>45326</v>
      </c>
      <c r="AT141" s="59">
        <f t="shared" si="19"/>
        <v>45293</v>
      </c>
      <c r="AU141" s="183">
        <v>45310</v>
      </c>
      <c r="AV141" s="195">
        <v>45308</v>
      </c>
      <c r="AW141" s="185">
        <v>45299</v>
      </c>
    </row>
    <row r="142" spans="1:49" ht="30" hidden="1" x14ac:dyDescent="0.25">
      <c r="A142" s="248" t="s">
        <v>6901</v>
      </c>
      <c r="B142" s="259">
        <v>47</v>
      </c>
      <c r="C142" s="167" t="s">
        <v>149</v>
      </c>
      <c r="D142" s="259" t="s">
        <v>173</v>
      </c>
      <c r="E142" s="287" t="s">
        <v>6902</v>
      </c>
      <c r="F142" s="39" t="str">
        <f t="shared" si="21"/>
        <v>Licitación Pública</v>
      </c>
      <c r="G142" s="39"/>
      <c r="H142" s="39" t="s">
        <v>3785</v>
      </c>
      <c r="I142" s="81" t="s">
        <v>6903</v>
      </c>
      <c r="J142" s="41"/>
      <c r="K142" s="41"/>
      <c r="L142" s="41"/>
      <c r="M142" s="1046" t="str">
        <f t="shared" si="22"/>
        <v xml:space="preserve">Guzdan Services, S.A de C.V.  </v>
      </c>
      <c r="N142" s="991" t="s">
        <v>656</v>
      </c>
      <c r="O142" s="991" t="s">
        <v>209</v>
      </c>
      <c r="P142" s="991" t="s">
        <v>6904</v>
      </c>
      <c r="Q142" s="1040" t="s">
        <v>6905</v>
      </c>
      <c r="R142" s="1047">
        <v>13600000</v>
      </c>
      <c r="S142" s="270">
        <f>+R142*0.16</f>
        <v>2176000</v>
      </c>
      <c r="T142" s="1048">
        <f>+R142+S142</f>
        <v>15776000</v>
      </c>
      <c r="U142" s="1047">
        <v>0</v>
      </c>
      <c r="V142" s="270">
        <f t="shared" si="25"/>
        <v>0</v>
      </c>
      <c r="W142" s="270">
        <f t="shared" si="4"/>
        <v>15776000</v>
      </c>
      <c r="X142" s="993" t="s">
        <v>156</v>
      </c>
      <c r="Y142" s="59">
        <v>45293</v>
      </c>
      <c r="Z142" s="39" t="s">
        <v>157</v>
      </c>
      <c r="AA142" s="59">
        <v>45292</v>
      </c>
      <c r="AB142" s="59">
        <v>45657</v>
      </c>
      <c r="AC142" s="38" t="s">
        <v>6906</v>
      </c>
      <c r="AD142" s="53"/>
      <c r="AE142" s="38"/>
      <c r="AF142" s="256"/>
      <c r="AG142" s="270">
        <v>0</v>
      </c>
      <c r="AH142" s="163" t="str">
        <f t="shared" ca="1" si="24"/>
        <v>MUERTO</v>
      </c>
      <c r="AI142" s="39" t="s">
        <v>6735</v>
      </c>
      <c r="AJ142" s="39"/>
      <c r="AK142" s="39" t="s">
        <v>6431</v>
      </c>
      <c r="AL142" s="39"/>
      <c r="AM142" s="39" t="s">
        <v>6431</v>
      </c>
      <c r="AN142" s="39"/>
      <c r="AO142" s="39"/>
      <c r="AP142" s="38" t="e">
        <f>VLOOKUP(I142,'[4] RFC'!A:B,2,0)</f>
        <v>#N/A</v>
      </c>
      <c r="AQ142" s="59">
        <v>45289</v>
      </c>
      <c r="AR142" s="59">
        <v>45289</v>
      </c>
      <c r="AS142" s="59">
        <v>45326</v>
      </c>
      <c r="AT142" s="59">
        <f t="shared" si="19"/>
        <v>45293</v>
      </c>
      <c r="AU142" s="183">
        <v>45292</v>
      </c>
      <c r="AV142" s="195">
        <v>45301</v>
      </c>
      <c r="AW142" s="185">
        <v>45299</v>
      </c>
    </row>
    <row r="143" spans="1:49" ht="75" hidden="1" x14ac:dyDescent="0.25">
      <c r="A143" s="248" t="s">
        <v>6907</v>
      </c>
      <c r="B143" s="259">
        <v>48</v>
      </c>
      <c r="C143" s="167" t="s">
        <v>149</v>
      </c>
      <c r="D143" s="259" t="s">
        <v>163</v>
      </c>
      <c r="E143" s="287" t="s">
        <v>6908</v>
      </c>
      <c r="F143" s="39" t="str">
        <f t="shared" si="21"/>
        <v>Adjudicación Directa</v>
      </c>
      <c r="G143" s="309" t="s">
        <v>163</v>
      </c>
      <c r="H143" s="39" t="s">
        <v>6815</v>
      </c>
      <c r="I143" s="81" t="s">
        <v>6909</v>
      </c>
      <c r="J143" s="41"/>
      <c r="K143" s="41"/>
      <c r="L143" s="41"/>
      <c r="M143" s="1046" t="str">
        <f t="shared" si="22"/>
        <v xml:space="preserve">Consultores Organizados para el Desarrollo Regional Incluyente, A. C.  </v>
      </c>
      <c r="N143" s="991" t="s">
        <v>5027</v>
      </c>
      <c r="O143" s="991" t="str">
        <f>+N143</f>
        <v>Unidad Técnica para la Igualdad de Género del Senado de la República</v>
      </c>
      <c r="P143" s="991" t="s">
        <v>6910</v>
      </c>
      <c r="Q143" s="1040" t="s">
        <v>6911</v>
      </c>
      <c r="R143" s="1047">
        <v>1044000</v>
      </c>
      <c r="S143" s="270">
        <f t="shared" ref="S143:S157" si="26">R143*0.16</f>
        <v>167040</v>
      </c>
      <c r="T143" s="1048">
        <f t="shared" ref="T143:T208" si="27">R143+S143</f>
        <v>1211040</v>
      </c>
      <c r="U143" s="1047">
        <v>0</v>
      </c>
      <c r="V143" s="270">
        <f t="shared" si="25"/>
        <v>0</v>
      </c>
      <c r="W143" s="270">
        <f t="shared" si="4"/>
        <v>1211040</v>
      </c>
      <c r="X143" s="993" t="s">
        <v>156</v>
      </c>
      <c r="Y143" s="59">
        <v>45307</v>
      </c>
      <c r="Z143" s="39" t="s">
        <v>157</v>
      </c>
      <c r="AA143" s="59">
        <v>45307</v>
      </c>
      <c r="AB143" s="59">
        <v>45412</v>
      </c>
      <c r="AC143" s="38" t="s">
        <v>4247</v>
      </c>
      <c r="AD143" s="53"/>
      <c r="AE143" s="38"/>
      <c r="AF143" s="256"/>
      <c r="AG143" s="270">
        <v>0</v>
      </c>
      <c r="AH143" s="163">
        <v>0</v>
      </c>
      <c r="AI143" s="39">
        <v>33401</v>
      </c>
      <c r="AJ143" s="39"/>
      <c r="AK143" s="39" t="s">
        <v>6431</v>
      </c>
      <c r="AL143" s="39"/>
      <c r="AM143" s="39" t="s">
        <v>6431</v>
      </c>
      <c r="AN143" s="39"/>
      <c r="AO143" s="39"/>
      <c r="AP143" s="38" t="e">
        <f>VLOOKUP(I143,'[4] RFC'!A:B,2,0)</f>
        <v>#N/A</v>
      </c>
      <c r="AQ143" s="59">
        <v>45306</v>
      </c>
      <c r="AR143" s="59">
        <v>45306</v>
      </c>
      <c r="AS143" s="59">
        <v>45307</v>
      </c>
      <c r="AT143" s="59">
        <f t="shared" si="19"/>
        <v>45307</v>
      </c>
      <c r="AU143" s="183">
        <v>45310</v>
      </c>
      <c r="AV143" s="195">
        <v>45308</v>
      </c>
      <c r="AW143" s="185">
        <v>45308</v>
      </c>
    </row>
    <row r="144" spans="1:49" ht="75" hidden="1" x14ac:dyDescent="0.25">
      <c r="A144" s="196" t="s">
        <v>6912</v>
      </c>
      <c r="B144" s="259">
        <v>48</v>
      </c>
      <c r="C144" s="167" t="s">
        <v>6303</v>
      </c>
      <c r="D144" s="259" t="s">
        <v>6303</v>
      </c>
      <c r="E144" s="287" t="s">
        <v>6913</v>
      </c>
      <c r="F144" s="287" t="s">
        <v>6307</v>
      </c>
      <c r="G144" s="39"/>
      <c r="H144" s="39"/>
      <c r="I144" s="81" t="s">
        <v>6909</v>
      </c>
      <c r="J144" s="41"/>
      <c r="K144" s="41"/>
      <c r="L144" s="41"/>
      <c r="M144" s="1046" t="str">
        <f>I144&amp;J144&amp;" "&amp;K144&amp;" "&amp;L144</f>
        <v xml:space="preserve">Consultores Organizados para el Desarrollo Regional Incluyente, A. C.  </v>
      </c>
      <c r="N144" s="991" t="s">
        <v>5027</v>
      </c>
      <c r="O144" s="991" t="str">
        <f>+N144</f>
        <v>Unidad Técnica para la Igualdad de Género del Senado de la República</v>
      </c>
      <c r="P144" s="991" t="s">
        <v>6910</v>
      </c>
      <c r="Q144" s="1040" t="s">
        <v>6911</v>
      </c>
      <c r="R144" s="1047"/>
      <c r="S144" s="270"/>
      <c r="T144" s="1048"/>
      <c r="U144" s="1047">
        <v>0</v>
      </c>
      <c r="V144" s="270">
        <f>(U144*0.16)+(U144)</f>
        <v>0</v>
      </c>
      <c r="W144" s="270">
        <f>T144+AG144</f>
        <v>0</v>
      </c>
      <c r="X144" s="993" t="s">
        <v>156</v>
      </c>
      <c r="Y144" s="59">
        <v>45384</v>
      </c>
      <c r="Z144" s="39" t="s">
        <v>333</v>
      </c>
      <c r="AA144" s="59">
        <v>45307</v>
      </c>
      <c r="AB144" s="59">
        <v>45412</v>
      </c>
      <c r="AC144" s="38" t="s">
        <v>4247</v>
      </c>
      <c r="AD144" s="53" t="s">
        <v>6914</v>
      </c>
      <c r="AE144" s="38"/>
      <c r="AF144" s="256"/>
      <c r="AG144" s="270">
        <v>0</v>
      </c>
      <c r="AH144" s="163">
        <v>0</v>
      </c>
      <c r="AI144" s="39">
        <v>33401</v>
      </c>
      <c r="AJ144" s="39"/>
      <c r="AK144" s="39" t="s">
        <v>6431</v>
      </c>
      <c r="AL144" s="39"/>
      <c r="AM144" s="39" t="s">
        <v>6431</v>
      </c>
      <c r="AN144" s="39"/>
      <c r="AO144" s="39"/>
      <c r="AP144" s="38" t="e">
        <f>VLOOKUP(I144,'[4] RFC'!A:B,2,0)</f>
        <v>#N/A</v>
      </c>
      <c r="AQ144" s="59">
        <v>45383</v>
      </c>
      <c r="AR144" s="59">
        <v>45384</v>
      </c>
      <c r="AS144" s="59">
        <v>45386</v>
      </c>
      <c r="AT144" s="59">
        <f t="shared" si="19"/>
        <v>45384</v>
      </c>
      <c r="AU144" s="183">
        <v>45392</v>
      </c>
      <c r="AV144" s="195">
        <v>45392</v>
      </c>
      <c r="AW144" s="185">
        <v>45397</v>
      </c>
    </row>
    <row r="145" spans="1:50" ht="45" hidden="1" x14ac:dyDescent="0.25">
      <c r="A145" s="248" t="s">
        <v>6915</v>
      </c>
      <c r="B145" s="259">
        <v>49</v>
      </c>
      <c r="C145" s="167" t="s">
        <v>149</v>
      </c>
      <c r="D145" s="259" t="s">
        <v>173</v>
      </c>
      <c r="E145" s="287" t="s">
        <v>6916</v>
      </c>
      <c r="F145" s="39" t="str">
        <f t="shared" si="21"/>
        <v>Licitación Pública</v>
      </c>
      <c r="G145" s="63"/>
      <c r="H145" s="63" t="s">
        <v>3785</v>
      </c>
      <c r="I145" s="375" t="s">
        <v>6420</v>
      </c>
      <c r="J145" s="320"/>
      <c r="K145" s="41"/>
      <c r="L145" s="41"/>
      <c r="M145" s="1046" t="str">
        <f t="shared" si="22"/>
        <v xml:space="preserve">Chilicloud, S.A. de C.V.    </v>
      </c>
      <c r="N145" s="991" t="s">
        <v>6552</v>
      </c>
      <c r="O145" s="991" t="s">
        <v>6622</v>
      </c>
      <c r="P145" s="991"/>
      <c r="Q145" s="1040" t="s">
        <v>6917</v>
      </c>
      <c r="R145" s="1047">
        <v>15041960</v>
      </c>
      <c r="S145" s="270">
        <f t="shared" si="26"/>
        <v>2406713.6</v>
      </c>
      <c r="T145" s="1048">
        <f t="shared" si="27"/>
        <v>17448673.600000001</v>
      </c>
      <c r="U145" s="1047">
        <v>0</v>
      </c>
      <c r="V145" s="270">
        <f t="shared" si="25"/>
        <v>0</v>
      </c>
      <c r="W145" s="270">
        <f t="shared" si="4"/>
        <v>17448673.600000001</v>
      </c>
      <c r="X145" s="993" t="s">
        <v>156</v>
      </c>
      <c r="Y145" s="59">
        <v>45323</v>
      </c>
      <c r="Z145" s="39" t="s">
        <v>193</v>
      </c>
      <c r="AA145" s="59">
        <v>45323</v>
      </c>
      <c r="AB145" s="59">
        <v>45657</v>
      </c>
      <c r="AC145" s="38" t="s">
        <v>6918</v>
      </c>
      <c r="AD145" s="53"/>
      <c r="AE145" s="38"/>
      <c r="AF145" s="256"/>
      <c r="AG145" s="270">
        <v>0</v>
      </c>
      <c r="AH145" s="163" t="str">
        <f t="shared" ref="AH145:AH210" ca="1" si="28">IF(ISBLANK(AB145),"",IF(AB145&gt;=TODAY(),"VIGENTE","MUERTO"))</f>
        <v>MUERTO</v>
      </c>
      <c r="AI145" s="39"/>
      <c r="AJ145" s="39"/>
      <c r="AK145" s="39" t="s">
        <v>3316</v>
      </c>
      <c r="AL145" s="39"/>
      <c r="AM145" s="39" t="s">
        <v>3316</v>
      </c>
      <c r="AN145" s="39"/>
      <c r="AO145" s="39"/>
      <c r="AP145" s="38" t="str">
        <f>VLOOKUP(I145,'[4] RFC'!A:B,2,0)</f>
        <v>CIL200217QC9</v>
      </c>
      <c r="AQ145" s="59">
        <v>45309</v>
      </c>
      <c r="AR145" s="59">
        <v>45313</v>
      </c>
      <c r="AS145" s="59">
        <v>45656</v>
      </c>
      <c r="AT145" s="59">
        <f t="shared" si="19"/>
        <v>45323</v>
      </c>
      <c r="AU145" s="183">
        <v>45334</v>
      </c>
      <c r="AV145" s="195">
        <v>45293</v>
      </c>
      <c r="AW145" s="185">
        <v>45323</v>
      </c>
    </row>
    <row r="146" spans="1:50" ht="45" hidden="1" x14ac:dyDescent="0.25">
      <c r="A146" s="196" t="s">
        <v>6919</v>
      </c>
      <c r="B146" s="259">
        <v>49</v>
      </c>
      <c r="C146" s="167" t="s">
        <v>6303</v>
      </c>
      <c r="D146" s="259" t="s">
        <v>173</v>
      </c>
      <c r="E146" s="287" t="s">
        <v>6920</v>
      </c>
      <c r="F146" s="39" t="s">
        <v>6303</v>
      </c>
      <c r="G146" s="63"/>
      <c r="H146" s="63" t="s">
        <v>6342</v>
      </c>
      <c r="I146" s="375" t="s">
        <v>6420</v>
      </c>
      <c r="J146" s="320"/>
      <c r="K146" s="41"/>
      <c r="L146" s="41"/>
      <c r="M146" s="1046" t="str">
        <f t="shared" si="22"/>
        <v xml:space="preserve">Chilicloud, S.A. de C.V.    </v>
      </c>
      <c r="N146" s="991" t="s">
        <v>6552</v>
      </c>
      <c r="O146" s="991" t="s">
        <v>6622</v>
      </c>
      <c r="P146" s="991"/>
      <c r="Q146" s="1040" t="s">
        <v>6921</v>
      </c>
      <c r="R146" s="1047">
        <v>16197135</v>
      </c>
      <c r="S146" s="270">
        <f t="shared" si="26"/>
        <v>2591541.6</v>
      </c>
      <c r="T146" s="1048">
        <f t="shared" si="27"/>
        <v>18788676.600000001</v>
      </c>
      <c r="U146" s="1047">
        <v>0</v>
      </c>
      <c r="V146" s="270">
        <f t="shared" si="25"/>
        <v>0</v>
      </c>
      <c r="W146" s="270">
        <f t="shared" ref="W146:W211" si="29">T146+AG146</f>
        <v>18788676.600000001</v>
      </c>
      <c r="X146" s="993" t="s">
        <v>156</v>
      </c>
      <c r="Y146" s="59">
        <v>45645</v>
      </c>
      <c r="Z146" s="39" t="s">
        <v>924</v>
      </c>
      <c r="AA146" s="59">
        <v>45323</v>
      </c>
      <c r="AB146" s="59">
        <v>45657</v>
      </c>
      <c r="AC146" s="38" t="s">
        <v>6918</v>
      </c>
      <c r="AD146" s="53" t="s">
        <v>6922</v>
      </c>
      <c r="AE146" s="38" t="s">
        <v>6923</v>
      </c>
      <c r="AF146" s="256"/>
      <c r="AG146" s="270"/>
      <c r="AH146" s="163" t="s">
        <v>1388</v>
      </c>
      <c r="AI146" s="39"/>
      <c r="AJ146" s="39"/>
      <c r="AK146" s="39" t="s">
        <v>924</v>
      </c>
      <c r="AL146" s="39"/>
      <c r="AM146" s="39" t="s">
        <v>924</v>
      </c>
      <c r="AN146" s="39"/>
      <c r="AO146" s="39"/>
      <c r="AP146" s="38"/>
      <c r="AQ146" s="59">
        <v>45635</v>
      </c>
      <c r="AR146" s="59">
        <v>45642</v>
      </c>
      <c r="AS146" s="59">
        <v>45649</v>
      </c>
      <c r="AT146" s="59">
        <f t="shared" si="19"/>
        <v>45645</v>
      </c>
      <c r="AU146" s="183"/>
      <c r="AV146" s="195">
        <v>45645</v>
      </c>
      <c r="AW146" s="185">
        <v>45656</v>
      </c>
    </row>
    <row r="147" spans="1:50" ht="45" hidden="1" x14ac:dyDescent="0.25">
      <c r="A147" s="248" t="s">
        <v>6924</v>
      </c>
      <c r="B147" s="259">
        <v>50</v>
      </c>
      <c r="C147" s="167" t="s">
        <v>149</v>
      </c>
      <c r="D147" s="259" t="s">
        <v>163</v>
      </c>
      <c r="E147" s="287" t="s">
        <v>6925</v>
      </c>
      <c r="F147" s="39" t="str">
        <f t="shared" si="21"/>
        <v>Adjudicación Directa</v>
      </c>
      <c r="G147" s="309" t="s">
        <v>163</v>
      </c>
      <c r="H147" s="39" t="s">
        <v>6926</v>
      </c>
      <c r="I147" s="81"/>
      <c r="J147" s="81" t="s">
        <v>6927</v>
      </c>
      <c r="K147" s="81" t="s">
        <v>493</v>
      </c>
      <c r="L147" s="81" t="s">
        <v>6928</v>
      </c>
      <c r="M147" s="81" t="str">
        <f t="shared" si="22"/>
        <v xml:space="preserve">Javier  Solórzano Zínser </v>
      </c>
      <c r="N147" s="991" t="s">
        <v>6552</v>
      </c>
      <c r="O147" s="991" t="s">
        <v>6929</v>
      </c>
      <c r="P147" s="991"/>
      <c r="Q147" s="1040" t="s">
        <v>6930</v>
      </c>
      <c r="R147" s="1047">
        <v>458800</v>
      </c>
      <c r="S147" s="270">
        <f t="shared" si="26"/>
        <v>73408</v>
      </c>
      <c r="T147" s="1048">
        <f t="shared" si="27"/>
        <v>532208</v>
      </c>
      <c r="U147" s="1047">
        <v>186000</v>
      </c>
      <c r="V147" s="270">
        <f t="shared" si="25"/>
        <v>215760</v>
      </c>
      <c r="W147" s="270">
        <f t="shared" si="29"/>
        <v>532208</v>
      </c>
      <c r="X147" s="993" t="s">
        <v>156</v>
      </c>
      <c r="Y147" s="59">
        <v>45323</v>
      </c>
      <c r="Z147" s="39" t="s">
        <v>193</v>
      </c>
      <c r="AA147" s="59">
        <v>45323</v>
      </c>
      <c r="AB147" s="59">
        <v>45641</v>
      </c>
      <c r="AC147" s="38" t="s">
        <v>159</v>
      </c>
      <c r="AD147" s="53"/>
      <c r="AE147" s="38"/>
      <c r="AF147" s="256"/>
      <c r="AG147" s="270">
        <v>0</v>
      </c>
      <c r="AH147" s="163" t="str">
        <f t="shared" ca="1" si="28"/>
        <v>MUERTO</v>
      </c>
      <c r="AI147" s="39"/>
      <c r="AJ147" s="39"/>
      <c r="AK147" s="39" t="s">
        <v>3316</v>
      </c>
      <c r="AL147" s="39"/>
      <c r="AM147" s="39" t="s">
        <v>3316</v>
      </c>
      <c r="AN147" s="39"/>
      <c r="AO147" s="39"/>
      <c r="AP147" s="38" t="e">
        <f>VLOOKUP(I147,'[4] RFC'!A:B,2,0)</f>
        <v>#N/A</v>
      </c>
      <c r="AQ147" s="59">
        <v>45316</v>
      </c>
      <c r="AR147" s="59">
        <v>45317</v>
      </c>
      <c r="AS147" s="59">
        <v>45656</v>
      </c>
      <c r="AT147" s="59">
        <f t="shared" si="19"/>
        <v>45323</v>
      </c>
      <c r="AU147" s="183">
        <v>45328</v>
      </c>
      <c r="AV147" s="195">
        <v>45293</v>
      </c>
      <c r="AW147" s="185">
        <v>45323</v>
      </c>
    </row>
    <row r="148" spans="1:50" ht="45" hidden="1" x14ac:dyDescent="0.25">
      <c r="A148" s="248" t="s">
        <v>6931</v>
      </c>
      <c r="B148" s="259">
        <v>51</v>
      </c>
      <c r="C148" s="167" t="s">
        <v>149</v>
      </c>
      <c r="D148" s="259" t="s">
        <v>163</v>
      </c>
      <c r="E148" s="287" t="s">
        <v>6932</v>
      </c>
      <c r="F148" s="287" t="s">
        <v>2237</v>
      </c>
      <c r="G148" s="685" t="s">
        <v>546</v>
      </c>
      <c r="H148" s="39" t="s">
        <v>6933</v>
      </c>
      <c r="I148" s="81" t="s">
        <v>6934</v>
      </c>
      <c r="J148" s="41"/>
      <c r="K148" s="41"/>
      <c r="L148" s="41"/>
      <c r="M148" s="1046" t="str">
        <f t="shared" si="22"/>
        <v xml:space="preserve">Programma Comunicación S.A. de C.V.  </v>
      </c>
      <c r="N148" s="991" t="s">
        <v>6552</v>
      </c>
      <c r="O148" s="991" t="s">
        <v>1946</v>
      </c>
      <c r="P148" s="991"/>
      <c r="Q148" s="1040" t="s">
        <v>6935</v>
      </c>
      <c r="R148" s="1047">
        <v>5985000</v>
      </c>
      <c r="S148" s="270">
        <f t="shared" si="26"/>
        <v>957600</v>
      </c>
      <c r="T148" s="1048">
        <f t="shared" si="27"/>
        <v>6942600</v>
      </c>
      <c r="U148" s="1047">
        <v>0</v>
      </c>
      <c r="V148" s="270">
        <f t="shared" si="25"/>
        <v>0</v>
      </c>
      <c r="W148" s="270">
        <f t="shared" si="29"/>
        <v>6942600</v>
      </c>
      <c r="X148" s="993" t="s">
        <v>156</v>
      </c>
      <c r="Y148" s="59">
        <v>45328</v>
      </c>
      <c r="Z148" s="39" t="s">
        <v>193</v>
      </c>
      <c r="AA148" s="59">
        <v>45328</v>
      </c>
      <c r="AB148" s="59">
        <v>45534</v>
      </c>
      <c r="AC148" s="38" t="s">
        <v>6936</v>
      </c>
      <c r="AD148" s="53"/>
      <c r="AE148" s="38"/>
      <c r="AF148" s="256"/>
      <c r="AG148" s="270">
        <v>0</v>
      </c>
      <c r="AH148" s="163" t="str">
        <f t="shared" ca="1" si="28"/>
        <v>MUERTO</v>
      </c>
      <c r="AI148" s="39"/>
      <c r="AJ148" s="39"/>
      <c r="AK148" s="39" t="s">
        <v>3316</v>
      </c>
      <c r="AL148" s="39"/>
      <c r="AM148" s="39" t="s">
        <v>3316</v>
      </c>
      <c r="AN148" s="39"/>
      <c r="AO148" s="39"/>
      <c r="AP148" s="38" t="e">
        <f>VLOOKUP(I148,'[4] RFC'!A:B,2,0)</f>
        <v>#N/A</v>
      </c>
      <c r="AQ148" s="59">
        <v>45317</v>
      </c>
      <c r="AR148" s="59">
        <v>45321</v>
      </c>
      <c r="AS148" s="59">
        <v>45293</v>
      </c>
      <c r="AT148" s="59">
        <f t="shared" si="19"/>
        <v>45328</v>
      </c>
      <c r="AU148" s="183">
        <v>45348</v>
      </c>
      <c r="AV148" s="195">
        <v>45329</v>
      </c>
      <c r="AW148" s="185">
        <v>45328</v>
      </c>
    </row>
    <row r="149" spans="1:50" ht="75" hidden="1" x14ac:dyDescent="0.25">
      <c r="A149" s="248" t="s">
        <v>6937</v>
      </c>
      <c r="B149" s="259">
        <v>52</v>
      </c>
      <c r="C149" s="167" t="s">
        <v>149</v>
      </c>
      <c r="D149" s="259" t="s">
        <v>163</v>
      </c>
      <c r="E149" s="287" t="s">
        <v>6938</v>
      </c>
      <c r="F149" s="39" t="str">
        <f t="shared" si="21"/>
        <v>Adjudicación Directa</v>
      </c>
      <c r="G149" s="309" t="s">
        <v>163</v>
      </c>
      <c r="H149" s="39" t="s">
        <v>6939</v>
      </c>
      <c r="I149" s="81" t="s">
        <v>1884</v>
      </c>
      <c r="J149" s="41"/>
      <c r="K149" s="41"/>
      <c r="L149" s="41"/>
      <c r="M149" s="1046" t="str">
        <f t="shared" si="22"/>
        <v xml:space="preserve">Idiomas de Iztapalapa, S.C.  </v>
      </c>
      <c r="N149" s="991" t="s">
        <v>370</v>
      </c>
      <c r="O149" s="324" t="s">
        <v>6615</v>
      </c>
      <c r="P149" s="324" t="s">
        <v>6940</v>
      </c>
      <c r="Q149" s="1040" t="s">
        <v>6941</v>
      </c>
      <c r="R149" s="1047">
        <v>853448.28</v>
      </c>
      <c r="S149" s="270">
        <f t="shared" si="26"/>
        <v>136551.7248</v>
      </c>
      <c r="T149" s="1048">
        <f t="shared" si="27"/>
        <v>990000.0048</v>
      </c>
      <c r="U149" s="1047">
        <v>0</v>
      </c>
      <c r="V149" s="270">
        <f t="shared" si="25"/>
        <v>0</v>
      </c>
      <c r="W149" s="1041">
        <f t="shared" si="29"/>
        <v>990000.0048</v>
      </c>
      <c r="X149" s="993" t="s">
        <v>156</v>
      </c>
      <c r="Y149" s="59">
        <v>45352</v>
      </c>
      <c r="Z149" s="39" t="s">
        <v>234</v>
      </c>
      <c r="AA149" s="59">
        <v>45352</v>
      </c>
      <c r="AB149" s="59">
        <v>45657</v>
      </c>
      <c r="AC149" s="38" t="s">
        <v>159</v>
      </c>
      <c r="AD149" s="53" t="s">
        <v>6942</v>
      </c>
      <c r="AE149" s="38"/>
      <c r="AF149" s="256"/>
      <c r="AG149" s="270">
        <v>0</v>
      </c>
      <c r="AH149" s="163" t="str">
        <f t="shared" ca="1" si="28"/>
        <v>MUERTO</v>
      </c>
      <c r="AI149" s="39"/>
      <c r="AJ149" s="39"/>
      <c r="AK149" s="39" t="s">
        <v>234</v>
      </c>
      <c r="AL149" s="39"/>
      <c r="AM149" s="39" t="s">
        <v>234</v>
      </c>
      <c r="AN149" s="39"/>
      <c r="AO149" s="39"/>
      <c r="AP149" s="38" t="e">
        <f>VLOOKUP(I149,'[4] RFC'!A:B,2,0)</f>
        <v>#N/A</v>
      </c>
      <c r="AQ149" s="59">
        <v>45315</v>
      </c>
      <c r="AR149" s="59">
        <v>45292</v>
      </c>
      <c r="AS149" s="59">
        <v>45350</v>
      </c>
      <c r="AT149" s="59">
        <f t="shared" si="19"/>
        <v>45352</v>
      </c>
      <c r="AU149" s="183">
        <v>45355</v>
      </c>
      <c r="AV149" s="195">
        <v>45351</v>
      </c>
      <c r="AW149" s="185">
        <v>45351</v>
      </c>
    </row>
    <row r="150" spans="1:50" ht="75" hidden="1" x14ac:dyDescent="0.25">
      <c r="A150" s="248" t="s">
        <v>6943</v>
      </c>
      <c r="B150" s="259">
        <v>53</v>
      </c>
      <c r="C150" s="167" t="s">
        <v>149</v>
      </c>
      <c r="D150" s="259" t="s">
        <v>173</v>
      </c>
      <c r="E150" s="287" t="s">
        <v>6944</v>
      </c>
      <c r="F150" s="39" t="s">
        <v>173</v>
      </c>
      <c r="G150" s="63"/>
      <c r="H150" s="63" t="s">
        <v>3785</v>
      </c>
      <c r="I150" s="275"/>
      <c r="J150" s="1086" t="s">
        <v>1469</v>
      </c>
      <c r="K150" s="1046" t="s">
        <v>453</v>
      </c>
      <c r="L150" s="1046" t="s">
        <v>454</v>
      </c>
      <c r="M150" s="1046" t="str">
        <f t="shared" si="22"/>
        <v>Claudia Angélica López Flores</v>
      </c>
      <c r="N150" s="991" t="s">
        <v>301</v>
      </c>
      <c r="O150" s="991" t="s">
        <v>301</v>
      </c>
      <c r="P150" s="991" t="s">
        <v>5772</v>
      </c>
      <c r="Q150" s="1040" t="s">
        <v>5979</v>
      </c>
      <c r="R150" s="1047">
        <v>3303646.98</v>
      </c>
      <c r="S150" s="270">
        <f t="shared" si="26"/>
        <v>528583.51679999998</v>
      </c>
      <c r="T150" s="1048">
        <f t="shared" si="27"/>
        <v>3832230.4967999998</v>
      </c>
      <c r="U150" s="1047">
        <v>1321458.79</v>
      </c>
      <c r="V150" s="270">
        <f t="shared" si="25"/>
        <v>1532892.1964</v>
      </c>
      <c r="W150" s="270">
        <f t="shared" si="29"/>
        <v>3832230.4967999998</v>
      </c>
      <c r="X150" s="993" t="s">
        <v>156</v>
      </c>
      <c r="Y150" s="59">
        <v>45352</v>
      </c>
      <c r="Z150" s="39" t="s">
        <v>234</v>
      </c>
      <c r="AA150" s="59">
        <v>45352</v>
      </c>
      <c r="AB150" s="59">
        <v>45657</v>
      </c>
      <c r="AC150" s="38" t="s">
        <v>3113</v>
      </c>
      <c r="AD150" s="53"/>
      <c r="AE150" s="38"/>
      <c r="AF150" s="256"/>
      <c r="AG150" s="270">
        <v>0</v>
      </c>
      <c r="AH150" s="163" t="str">
        <f t="shared" ca="1" si="28"/>
        <v>MUERTO</v>
      </c>
      <c r="AI150" s="39">
        <v>33603</v>
      </c>
      <c r="AJ150" s="39"/>
      <c r="AK150" s="39" t="s">
        <v>234</v>
      </c>
      <c r="AL150" s="39"/>
      <c r="AM150" s="39" t="s">
        <v>234</v>
      </c>
      <c r="AN150" s="39"/>
      <c r="AO150" s="39"/>
      <c r="AP150" s="38" t="e">
        <f>VLOOKUP(I150,'[4] RFC'!A:B,2,0)</f>
        <v>#N/A</v>
      </c>
      <c r="AQ150" s="59">
        <v>45349</v>
      </c>
      <c r="AR150" s="59">
        <v>45350</v>
      </c>
      <c r="AS150" s="59">
        <v>45351</v>
      </c>
      <c r="AT150" s="59">
        <f t="shared" si="19"/>
        <v>45352</v>
      </c>
      <c r="AU150" s="183">
        <v>45364</v>
      </c>
      <c r="AV150" s="195">
        <v>45358</v>
      </c>
      <c r="AW150" s="185">
        <v>45355</v>
      </c>
    </row>
    <row r="151" spans="1:50" ht="105" hidden="1" x14ac:dyDescent="0.25">
      <c r="A151" s="196" t="s">
        <v>6945</v>
      </c>
      <c r="B151" s="259">
        <v>53</v>
      </c>
      <c r="C151" s="167" t="s">
        <v>149</v>
      </c>
      <c r="D151" s="259" t="s">
        <v>6303</v>
      </c>
      <c r="E151" s="287" t="s">
        <v>6946</v>
      </c>
      <c r="F151" s="39" t="s">
        <v>6303</v>
      </c>
      <c r="G151" s="63"/>
      <c r="H151" s="63" t="s">
        <v>6342</v>
      </c>
      <c r="I151" s="275"/>
      <c r="J151" s="1086" t="s">
        <v>1469</v>
      </c>
      <c r="K151" s="1046" t="s">
        <v>453</v>
      </c>
      <c r="L151" s="1046" t="s">
        <v>454</v>
      </c>
      <c r="M151" s="1046" t="str">
        <f>I151&amp;J151&amp;" "&amp;K151&amp;" "&amp;L151</f>
        <v>Claudia Angélica López Flores</v>
      </c>
      <c r="N151" s="991" t="s">
        <v>301</v>
      </c>
      <c r="O151" s="991" t="s">
        <v>301</v>
      </c>
      <c r="P151" s="991" t="s">
        <v>5772</v>
      </c>
      <c r="Q151" s="1040" t="s">
        <v>5979</v>
      </c>
      <c r="R151" s="1047">
        <v>3303646.98</v>
      </c>
      <c r="S151" s="270">
        <f>R151*0.16</f>
        <v>528583.51679999998</v>
      </c>
      <c r="T151" s="1048">
        <f>R151+S151</f>
        <v>3832230.4967999998</v>
      </c>
      <c r="U151" s="1047">
        <v>1321458.79</v>
      </c>
      <c r="V151" s="270">
        <f>(U151*0.16)+(U151)</f>
        <v>1532892.1964</v>
      </c>
      <c r="W151" s="270">
        <f>T151+AG151</f>
        <v>3832230.4967999998</v>
      </c>
      <c r="X151" s="993" t="s">
        <v>156</v>
      </c>
      <c r="Y151" s="59">
        <v>45657</v>
      </c>
      <c r="Z151" s="39" t="s">
        <v>924</v>
      </c>
      <c r="AA151" s="59">
        <v>45352</v>
      </c>
      <c r="AB151" s="59" t="s">
        <v>6947</v>
      </c>
      <c r="AC151" s="38" t="s">
        <v>3113</v>
      </c>
      <c r="AD151" s="53" t="s">
        <v>6948</v>
      </c>
      <c r="AE151" s="38" t="s">
        <v>6949</v>
      </c>
      <c r="AF151" s="256" t="s">
        <v>6950</v>
      </c>
      <c r="AG151" s="270"/>
      <c r="AH151" s="163" t="s">
        <v>1388</v>
      </c>
      <c r="AI151" s="39">
        <v>33603</v>
      </c>
      <c r="AJ151" s="39" t="s">
        <v>6951</v>
      </c>
      <c r="AK151" s="39" t="s">
        <v>924</v>
      </c>
      <c r="AL151" s="39" t="s">
        <v>6952</v>
      </c>
      <c r="AM151" s="39" t="s">
        <v>924</v>
      </c>
      <c r="AN151" s="39" t="s">
        <v>6953</v>
      </c>
      <c r="AO151" s="39"/>
      <c r="AP151" s="38"/>
      <c r="AQ151" s="59">
        <v>45649</v>
      </c>
      <c r="AR151" s="59"/>
      <c r="AS151" s="59">
        <v>45665</v>
      </c>
      <c r="AT151" s="59">
        <f t="shared" si="19"/>
        <v>45657</v>
      </c>
      <c r="AU151" s="183"/>
      <c r="AV151" s="195">
        <v>45657</v>
      </c>
      <c r="AW151" s="185">
        <v>45671</v>
      </c>
      <c r="AX151" s="589" t="s">
        <v>6954</v>
      </c>
    </row>
    <row r="152" spans="1:50" ht="75" hidden="1" x14ac:dyDescent="0.25">
      <c r="A152" s="248" t="s">
        <v>6955</v>
      </c>
      <c r="B152" s="259">
        <v>54</v>
      </c>
      <c r="C152" s="167" t="s">
        <v>149</v>
      </c>
      <c r="D152" s="259" t="s">
        <v>173</v>
      </c>
      <c r="E152" s="287" t="s">
        <v>6944</v>
      </c>
      <c r="F152" s="39" t="s">
        <v>173</v>
      </c>
      <c r="G152" s="39"/>
      <c r="H152" s="39" t="s">
        <v>3785</v>
      </c>
      <c r="I152" s="275"/>
      <c r="J152" s="1046" t="s">
        <v>384</v>
      </c>
      <c r="K152" s="1046" t="s">
        <v>259</v>
      </c>
      <c r="L152" s="1046" t="s">
        <v>385</v>
      </c>
      <c r="M152" s="1046" t="str">
        <f t="shared" si="22"/>
        <v>Mario Alberto Contreras García</v>
      </c>
      <c r="N152" s="991" t="s">
        <v>301</v>
      </c>
      <c r="O152" s="991" t="s">
        <v>301</v>
      </c>
      <c r="P152" s="991" t="s">
        <v>5772</v>
      </c>
      <c r="Q152" s="1040" t="s">
        <v>6956</v>
      </c>
      <c r="R152" s="1047">
        <v>1982188.19</v>
      </c>
      <c r="S152" s="270">
        <f t="shared" si="26"/>
        <v>317150.11040000001</v>
      </c>
      <c r="T152" s="1048">
        <f t="shared" si="27"/>
        <v>2299338.3004000001</v>
      </c>
      <c r="U152" s="1047">
        <v>792875.28</v>
      </c>
      <c r="V152" s="270">
        <f t="shared" si="25"/>
        <v>919735.32480000006</v>
      </c>
      <c r="W152" s="270">
        <f t="shared" si="29"/>
        <v>2299338.3004000001</v>
      </c>
      <c r="X152" s="993" t="s">
        <v>156</v>
      </c>
      <c r="Y152" s="59">
        <v>45352</v>
      </c>
      <c r="Z152" s="39" t="s">
        <v>234</v>
      </c>
      <c r="AA152" s="59">
        <v>45352</v>
      </c>
      <c r="AB152" s="59">
        <v>45657</v>
      </c>
      <c r="AC152" s="38" t="s">
        <v>3113</v>
      </c>
      <c r="AD152" s="53"/>
      <c r="AE152" s="38"/>
      <c r="AF152" s="256"/>
      <c r="AG152" s="270">
        <v>0</v>
      </c>
      <c r="AH152" s="163" t="str">
        <f t="shared" ca="1" si="28"/>
        <v>MUERTO</v>
      </c>
      <c r="AI152" s="39">
        <v>33603</v>
      </c>
      <c r="AJ152" s="39"/>
      <c r="AK152" s="39" t="s">
        <v>234</v>
      </c>
      <c r="AL152" s="39"/>
      <c r="AM152" s="39" t="s">
        <v>234</v>
      </c>
      <c r="AN152" s="39"/>
      <c r="AO152" s="39"/>
      <c r="AP152" s="38" t="e">
        <f>VLOOKUP(I152,'[4] RFC'!A:B,2,0)</f>
        <v>#N/A</v>
      </c>
      <c r="AQ152" s="59">
        <v>45349</v>
      </c>
      <c r="AR152" s="59">
        <v>45350</v>
      </c>
      <c r="AS152" s="59">
        <v>45351</v>
      </c>
      <c r="AT152" s="59">
        <f t="shared" si="19"/>
        <v>45352</v>
      </c>
      <c r="AU152" s="183">
        <v>45364</v>
      </c>
      <c r="AV152" s="195">
        <v>45362</v>
      </c>
      <c r="AW152" s="185">
        <v>45356</v>
      </c>
    </row>
    <row r="153" spans="1:50" ht="90" hidden="1" x14ac:dyDescent="0.25">
      <c r="A153" s="196" t="s">
        <v>6957</v>
      </c>
      <c r="B153" s="259">
        <v>54</v>
      </c>
      <c r="C153" s="167" t="s">
        <v>149</v>
      </c>
      <c r="D153" s="259" t="s">
        <v>6303</v>
      </c>
      <c r="E153" s="287" t="s">
        <v>6958</v>
      </c>
      <c r="F153" s="39" t="s">
        <v>6303</v>
      </c>
      <c r="G153" s="39"/>
      <c r="H153" s="63" t="s">
        <v>6342</v>
      </c>
      <c r="I153" s="275"/>
      <c r="J153" s="1046" t="s">
        <v>384</v>
      </c>
      <c r="K153" s="1046" t="s">
        <v>259</v>
      </c>
      <c r="L153" s="1046" t="s">
        <v>385</v>
      </c>
      <c r="M153" s="1046" t="str">
        <f>I153&amp;J153&amp;" "&amp;K153&amp;" "&amp;L153</f>
        <v>Mario Alberto Contreras García</v>
      </c>
      <c r="N153" s="991" t="s">
        <v>301</v>
      </c>
      <c r="O153" s="991" t="s">
        <v>301</v>
      </c>
      <c r="P153" s="991" t="s">
        <v>5772</v>
      </c>
      <c r="Q153" s="1040" t="s">
        <v>6956</v>
      </c>
      <c r="R153" s="1047">
        <v>1982188.19</v>
      </c>
      <c r="S153" s="270">
        <f>R153*0.16</f>
        <v>317150.11040000001</v>
      </c>
      <c r="T153" s="1048">
        <f>R153+S153</f>
        <v>2299338.3004000001</v>
      </c>
      <c r="U153" s="1047">
        <v>792875.28</v>
      </c>
      <c r="V153" s="270">
        <f>(U153*0.16)+(U153)</f>
        <v>919735.32480000006</v>
      </c>
      <c r="W153" s="270">
        <f>T153+AG153</f>
        <v>2299338.3004000001</v>
      </c>
      <c r="X153" s="993" t="s">
        <v>156</v>
      </c>
      <c r="Y153" s="59">
        <v>45657</v>
      </c>
      <c r="Z153" s="39" t="s">
        <v>924</v>
      </c>
      <c r="AA153" s="59">
        <v>45352</v>
      </c>
      <c r="AB153" s="59">
        <v>45716</v>
      </c>
      <c r="AC153" s="38" t="s">
        <v>3113</v>
      </c>
      <c r="AD153" s="53" t="s">
        <v>6948</v>
      </c>
      <c r="AE153" s="38" t="s">
        <v>6959</v>
      </c>
      <c r="AF153" s="256" t="s">
        <v>6960</v>
      </c>
      <c r="AG153" s="270"/>
      <c r="AH153" s="163" t="str">
        <f t="shared" ca="1" si="28"/>
        <v>MUERTO</v>
      </c>
      <c r="AI153" s="39">
        <v>33603</v>
      </c>
      <c r="AJ153" s="39" t="s">
        <v>6961</v>
      </c>
      <c r="AK153" s="39" t="s">
        <v>1937</v>
      </c>
      <c r="AL153" s="39" t="s">
        <v>6952</v>
      </c>
      <c r="AM153" s="39" t="s">
        <v>1937</v>
      </c>
      <c r="AN153" s="39" t="s">
        <v>6962</v>
      </c>
      <c r="AO153" s="39"/>
      <c r="AP153" s="38"/>
      <c r="AQ153" s="59">
        <v>45649</v>
      </c>
      <c r="AR153" s="59"/>
      <c r="AS153" s="59">
        <v>45299</v>
      </c>
      <c r="AT153" s="59">
        <f t="shared" si="19"/>
        <v>45657</v>
      </c>
      <c r="AU153" s="183"/>
      <c r="AV153" s="195">
        <v>45657</v>
      </c>
      <c r="AW153" s="185"/>
    </row>
    <row r="154" spans="1:50" ht="75" hidden="1" x14ac:dyDescent="0.25">
      <c r="A154" s="248" t="s">
        <v>6963</v>
      </c>
      <c r="B154" s="259">
        <v>55</v>
      </c>
      <c r="C154" s="167" t="s">
        <v>149</v>
      </c>
      <c r="D154" s="259" t="s">
        <v>173</v>
      </c>
      <c r="E154" s="287" t="s">
        <v>6944</v>
      </c>
      <c r="F154" s="39" t="s">
        <v>173</v>
      </c>
      <c r="G154" s="39"/>
      <c r="H154" s="39" t="s">
        <v>3785</v>
      </c>
      <c r="I154" s="275"/>
      <c r="J154" s="1046" t="s">
        <v>6964</v>
      </c>
      <c r="K154" s="1046" t="s">
        <v>408</v>
      </c>
      <c r="L154" s="1046" t="s">
        <v>409</v>
      </c>
      <c r="M154" s="1046" t="str">
        <f t="shared" si="22"/>
        <v>Carolina  Maldonado Sánchez</v>
      </c>
      <c r="N154" s="991" t="s">
        <v>301</v>
      </c>
      <c r="O154" s="991" t="s">
        <v>301</v>
      </c>
      <c r="P154" s="991" t="s">
        <v>5772</v>
      </c>
      <c r="Q154" s="1040" t="s">
        <v>6965</v>
      </c>
      <c r="R154" s="1047">
        <v>1321458.79</v>
      </c>
      <c r="S154" s="270">
        <f t="shared" si="26"/>
        <v>211433.40640000001</v>
      </c>
      <c r="T154" s="1048">
        <f t="shared" si="27"/>
        <v>1532892.1964</v>
      </c>
      <c r="U154" s="1047">
        <v>528583.52</v>
      </c>
      <c r="V154" s="270">
        <f t="shared" si="25"/>
        <v>613156.88320000004</v>
      </c>
      <c r="W154" s="270">
        <f t="shared" si="29"/>
        <v>1532892.1964</v>
      </c>
      <c r="X154" s="993" t="s">
        <v>156</v>
      </c>
      <c r="Y154" s="59">
        <v>45352</v>
      </c>
      <c r="Z154" s="39" t="s">
        <v>234</v>
      </c>
      <c r="AA154" s="59">
        <v>45352</v>
      </c>
      <c r="AB154" s="59">
        <v>45657</v>
      </c>
      <c r="AC154" s="38" t="s">
        <v>3113</v>
      </c>
      <c r="AD154" s="53"/>
      <c r="AE154" s="38"/>
      <c r="AF154" s="256"/>
      <c r="AG154" s="270">
        <v>0</v>
      </c>
      <c r="AH154" s="163" t="str">
        <f t="shared" ca="1" si="28"/>
        <v>MUERTO</v>
      </c>
      <c r="AI154" s="39">
        <v>33603</v>
      </c>
      <c r="AJ154" s="39"/>
      <c r="AK154" s="39" t="s">
        <v>234</v>
      </c>
      <c r="AL154" s="39"/>
      <c r="AM154" s="39" t="s">
        <v>234</v>
      </c>
      <c r="AN154" s="39"/>
      <c r="AO154" s="39"/>
      <c r="AP154" s="38" t="e">
        <f>VLOOKUP(I154,'[4] RFC'!A:B,2,0)</f>
        <v>#N/A</v>
      </c>
      <c r="AQ154" s="59">
        <v>45349</v>
      </c>
      <c r="AR154" s="59">
        <v>45350</v>
      </c>
      <c r="AS154" s="59">
        <v>45351</v>
      </c>
      <c r="AT154" s="59">
        <f t="shared" si="19"/>
        <v>45352</v>
      </c>
      <c r="AU154" s="183">
        <v>45364</v>
      </c>
      <c r="AV154" s="195">
        <v>45362</v>
      </c>
      <c r="AW154" s="185">
        <v>45355</v>
      </c>
    </row>
    <row r="155" spans="1:50" ht="45" hidden="1" x14ac:dyDescent="0.25">
      <c r="A155" s="374" t="s">
        <v>6966</v>
      </c>
      <c r="B155" s="259">
        <v>56</v>
      </c>
      <c r="C155" s="167" t="s">
        <v>149</v>
      </c>
      <c r="D155" s="259" t="s">
        <v>163</v>
      </c>
      <c r="E155" s="287" t="s">
        <v>6967</v>
      </c>
      <c r="F155" s="287" t="s">
        <v>2237</v>
      </c>
      <c r="G155" s="685" t="s">
        <v>546</v>
      </c>
      <c r="H155" s="39" t="s">
        <v>6933</v>
      </c>
      <c r="I155" s="81" t="s">
        <v>6968</v>
      </c>
      <c r="J155" s="41"/>
      <c r="K155" s="41"/>
      <c r="L155" s="41"/>
      <c r="M155" s="1046" t="str">
        <f t="shared" si="22"/>
        <v xml:space="preserve">Editoras los Miércoles S.A. de C.V.  </v>
      </c>
      <c r="N155" s="991" t="s">
        <v>6552</v>
      </c>
      <c r="O155" s="991" t="s">
        <v>1946</v>
      </c>
      <c r="P155" s="991"/>
      <c r="Q155" s="1040" t="s">
        <v>6969</v>
      </c>
      <c r="R155" s="1047">
        <v>1800000</v>
      </c>
      <c r="S155" s="270">
        <f t="shared" si="26"/>
        <v>288000</v>
      </c>
      <c r="T155" s="1048">
        <f t="shared" si="27"/>
        <v>2088000</v>
      </c>
      <c r="U155" s="1047">
        <v>0</v>
      </c>
      <c r="V155" s="270">
        <f t="shared" si="25"/>
        <v>0</v>
      </c>
      <c r="W155" s="270">
        <f t="shared" si="29"/>
        <v>2088000</v>
      </c>
      <c r="X155" s="993" t="s">
        <v>156</v>
      </c>
      <c r="Y155" s="59">
        <v>45356</v>
      </c>
      <c r="Z155" s="39" t="s">
        <v>234</v>
      </c>
      <c r="AA155" s="59">
        <v>45356</v>
      </c>
      <c r="AB155" s="59">
        <v>45504</v>
      </c>
      <c r="AC155" s="38" t="s">
        <v>3113</v>
      </c>
      <c r="AD155" s="53"/>
      <c r="AE155" s="38"/>
      <c r="AF155" s="256"/>
      <c r="AG155" s="270">
        <v>0</v>
      </c>
      <c r="AH155" s="163" t="str">
        <f t="shared" ca="1" si="28"/>
        <v>MUERTO</v>
      </c>
      <c r="AI155" s="39">
        <v>36301</v>
      </c>
      <c r="AJ155" s="39"/>
      <c r="AK155" s="39" t="s">
        <v>234</v>
      </c>
      <c r="AL155" s="39"/>
      <c r="AM155" s="39" t="s">
        <v>234</v>
      </c>
      <c r="AN155" s="39"/>
      <c r="AO155" s="39"/>
      <c r="AP155" s="38" t="e">
        <f>VLOOKUP(I155,'[4] RFC'!A:B,2,0)</f>
        <v>#N/A</v>
      </c>
      <c r="AQ155" s="59">
        <v>45348</v>
      </c>
      <c r="AR155" s="59">
        <v>45349</v>
      </c>
      <c r="AS155" s="59">
        <v>45355</v>
      </c>
      <c r="AT155" s="59">
        <f t="shared" si="19"/>
        <v>45356</v>
      </c>
      <c r="AU155" s="183">
        <v>45364</v>
      </c>
      <c r="AV155" s="195">
        <v>45358</v>
      </c>
      <c r="AW155" s="185">
        <v>45356</v>
      </c>
    </row>
    <row r="156" spans="1:50" ht="45" hidden="1" x14ac:dyDescent="0.25">
      <c r="A156" s="248" t="s">
        <v>6970</v>
      </c>
      <c r="B156" s="259">
        <v>57</v>
      </c>
      <c r="C156" s="167" t="s">
        <v>149</v>
      </c>
      <c r="D156" s="259" t="s">
        <v>163</v>
      </c>
      <c r="E156" s="287" t="s">
        <v>6967</v>
      </c>
      <c r="F156" s="287" t="s">
        <v>2237</v>
      </c>
      <c r="G156" s="685" t="s">
        <v>546</v>
      </c>
      <c r="H156" s="39" t="s">
        <v>6933</v>
      </c>
      <c r="I156" s="81" t="s">
        <v>6971</v>
      </c>
      <c r="J156" s="41"/>
      <c r="K156" s="41"/>
      <c r="L156" s="41"/>
      <c r="M156" s="1046" t="str">
        <f t="shared" si="22"/>
        <v xml:space="preserve">Imaginación y Mass S. de R.L. de C.V.  </v>
      </c>
      <c r="N156" s="991" t="s">
        <v>6552</v>
      </c>
      <c r="O156" s="991" t="s">
        <v>1946</v>
      </c>
      <c r="P156" s="991"/>
      <c r="Q156" s="1040" t="s">
        <v>6972</v>
      </c>
      <c r="R156" s="1047">
        <v>1118000</v>
      </c>
      <c r="S156" s="270">
        <f t="shared" si="26"/>
        <v>178880</v>
      </c>
      <c r="T156" s="1048">
        <f t="shared" si="27"/>
        <v>1296880</v>
      </c>
      <c r="U156" s="1047">
        <v>0</v>
      </c>
      <c r="V156" s="270">
        <f t="shared" si="25"/>
        <v>0</v>
      </c>
      <c r="W156" s="270">
        <f t="shared" si="29"/>
        <v>1296880</v>
      </c>
      <c r="X156" s="993" t="s">
        <v>156</v>
      </c>
      <c r="Y156" s="59">
        <v>45356</v>
      </c>
      <c r="Z156" s="39" t="s">
        <v>234</v>
      </c>
      <c r="AA156" s="59">
        <v>45356</v>
      </c>
      <c r="AB156" s="59">
        <v>45520</v>
      </c>
      <c r="AC156" s="38" t="s">
        <v>3113</v>
      </c>
      <c r="AD156" s="53"/>
      <c r="AE156" s="38"/>
      <c r="AF156" s="256"/>
      <c r="AG156" s="270">
        <v>0</v>
      </c>
      <c r="AH156" s="163" t="str">
        <f t="shared" ca="1" si="28"/>
        <v>MUERTO</v>
      </c>
      <c r="AI156" s="39">
        <v>36301</v>
      </c>
      <c r="AJ156" s="39"/>
      <c r="AK156" s="39" t="s">
        <v>234</v>
      </c>
      <c r="AL156" s="39"/>
      <c r="AM156" s="39" t="s">
        <v>234</v>
      </c>
      <c r="AN156" s="39"/>
      <c r="AO156" s="39"/>
      <c r="AP156" s="38" t="e">
        <f>VLOOKUP(I156,'[4] RFC'!A:B,2,0)</f>
        <v>#N/A</v>
      </c>
      <c r="AQ156" s="59">
        <v>45348</v>
      </c>
      <c r="AR156" s="59">
        <v>45350</v>
      </c>
      <c r="AS156" s="59">
        <v>45355</v>
      </c>
      <c r="AT156" s="59">
        <f t="shared" si="19"/>
        <v>45356</v>
      </c>
      <c r="AU156" s="183">
        <v>45376</v>
      </c>
      <c r="AV156" s="195">
        <v>45358</v>
      </c>
      <c r="AW156" s="185">
        <v>45356</v>
      </c>
    </row>
    <row r="157" spans="1:50" ht="45" hidden="1" x14ac:dyDescent="0.25">
      <c r="A157" s="248" t="s">
        <v>6973</v>
      </c>
      <c r="B157" s="259">
        <v>58</v>
      </c>
      <c r="C157" s="167" t="s">
        <v>149</v>
      </c>
      <c r="D157" s="259" t="s">
        <v>163</v>
      </c>
      <c r="E157" s="287" t="s">
        <v>6967</v>
      </c>
      <c r="F157" s="287" t="s">
        <v>2237</v>
      </c>
      <c r="G157" s="685" t="s">
        <v>546</v>
      </c>
      <c r="H157" s="39" t="s">
        <v>6933</v>
      </c>
      <c r="I157" s="81" t="s">
        <v>6974</v>
      </c>
      <c r="J157" s="41"/>
      <c r="K157" s="41"/>
      <c r="L157" s="41"/>
      <c r="M157" s="1046" t="str">
        <f t="shared" si="22"/>
        <v xml:space="preserve">Rayuela Digital S.A. de C.V.  </v>
      </c>
      <c r="N157" s="991" t="s">
        <v>6552</v>
      </c>
      <c r="O157" s="991" t="s">
        <v>1946</v>
      </c>
      <c r="P157" s="991"/>
      <c r="Q157" s="1040" t="s">
        <v>6975</v>
      </c>
      <c r="R157" s="1047">
        <v>1300000</v>
      </c>
      <c r="S157" s="270">
        <f t="shared" si="26"/>
        <v>208000</v>
      </c>
      <c r="T157" s="1048">
        <f t="shared" si="27"/>
        <v>1508000</v>
      </c>
      <c r="U157" s="1047">
        <v>0</v>
      </c>
      <c r="V157" s="270">
        <f t="shared" si="25"/>
        <v>0</v>
      </c>
      <c r="W157" s="270">
        <f t="shared" si="29"/>
        <v>1508000</v>
      </c>
      <c r="X157" s="993" t="s">
        <v>156</v>
      </c>
      <c r="Y157" s="59">
        <v>45356</v>
      </c>
      <c r="Z157" s="39" t="s">
        <v>234</v>
      </c>
      <c r="AA157" s="59">
        <v>45356</v>
      </c>
      <c r="AB157" s="59">
        <v>45520</v>
      </c>
      <c r="AC157" s="38" t="s">
        <v>3113</v>
      </c>
      <c r="AD157" s="53"/>
      <c r="AE157" s="38"/>
      <c r="AF157" s="256"/>
      <c r="AG157" s="270">
        <v>0</v>
      </c>
      <c r="AH157" s="163" t="str">
        <f t="shared" ca="1" si="28"/>
        <v>MUERTO</v>
      </c>
      <c r="AI157" s="39">
        <v>36301</v>
      </c>
      <c r="AJ157" s="39"/>
      <c r="AK157" s="39" t="s">
        <v>234</v>
      </c>
      <c r="AL157" s="39"/>
      <c r="AM157" s="39" t="s">
        <v>234</v>
      </c>
      <c r="AN157" s="39"/>
      <c r="AO157" s="39"/>
      <c r="AP157" s="38" t="e">
        <f>VLOOKUP(I157,'[4] RFC'!A:B,2,0)</f>
        <v>#N/A</v>
      </c>
      <c r="AQ157" s="59">
        <v>45348</v>
      </c>
      <c r="AR157" s="59">
        <v>45349</v>
      </c>
      <c r="AS157" s="59">
        <v>45355</v>
      </c>
      <c r="AT157" s="59">
        <f t="shared" si="19"/>
        <v>45356</v>
      </c>
      <c r="AU157" s="183">
        <v>45383</v>
      </c>
      <c r="AV157" s="195">
        <v>45364</v>
      </c>
      <c r="AW157" s="185">
        <v>45359</v>
      </c>
    </row>
    <row r="158" spans="1:50" s="289" customFormat="1" ht="120" hidden="1" x14ac:dyDescent="0.25">
      <c r="A158" s="248" t="s">
        <v>6976</v>
      </c>
      <c r="B158" s="259">
        <v>59</v>
      </c>
      <c r="C158" s="428" t="s">
        <v>149</v>
      </c>
      <c r="D158" s="259" t="s">
        <v>163</v>
      </c>
      <c r="E158" s="287" t="s">
        <v>6977</v>
      </c>
      <c r="F158" s="695" t="s">
        <v>163</v>
      </c>
      <c r="G158" s="309" t="s">
        <v>163</v>
      </c>
      <c r="H158" s="8" t="s">
        <v>3986</v>
      </c>
      <c r="I158" s="300" t="s">
        <v>2417</v>
      </c>
      <c r="J158" s="287"/>
      <c r="K158" s="287"/>
      <c r="L158" s="287"/>
      <c r="M158" s="300" t="s">
        <v>6377</v>
      </c>
      <c r="N158" s="300" t="s">
        <v>301</v>
      </c>
      <c r="O158" s="300" t="s">
        <v>301</v>
      </c>
      <c r="P158" s="300" t="s">
        <v>302</v>
      </c>
      <c r="Q158" s="716" t="s">
        <v>6978</v>
      </c>
      <c r="R158" s="727">
        <v>4703966.4800000004</v>
      </c>
      <c r="S158" s="270">
        <f>+R158*0.16</f>
        <v>752634.63680000009</v>
      </c>
      <c r="T158" s="290">
        <f>+R158+S158</f>
        <v>5456601.1168000009</v>
      </c>
      <c r="U158" s="727">
        <v>1881586.59</v>
      </c>
      <c r="V158" s="270">
        <f t="shared" si="25"/>
        <v>2182640.4443999999</v>
      </c>
      <c r="W158" s="270">
        <f t="shared" si="29"/>
        <v>5456601.1168000009</v>
      </c>
      <c r="X158" s="287" t="s">
        <v>156</v>
      </c>
      <c r="Y158" s="288">
        <v>45383</v>
      </c>
      <c r="Z158" s="287" t="s">
        <v>333</v>
      </c>
      <c r="AA158" s="288">
        <v>45383</v>
      </c>
      <c r="AB158" s="288">
        <v>45657</v>
      </c>
      <c r="AC158" s="300" t="s">
        <v>4253</v>
      </c>
      <c r="AD158" s="287"/>
      <c r="AE158" s="287"/>
      <c r="AF158" s="288"/>
      <c r="AG158" s="290"/>
      <c r="AH158" s="163" t="str">
        <f t="shared" ca="1" si="28"/>
        <v>MUERTO</v>
      </c>
      <c r="AI158" s="287"/>
      <c r="AJ158" s="287"/>
      <c r="AK158" s="39" t="s">
        <v>6309</v>
      </c>
      <c r="AL158" s="287"/>
      <c r="AM158" s="39" t="s">
        <v>6309</v>
      </c>
      <c r="AN158" s="287"/>
      <c r="AO158" s="287"/>
      <c r="AP158" s="38" t="e">
        <f>VLOOKUP(I158,'[4] RFC'!A:B,2,0)</f>
        <v>#N/A</v>
      </c>
      <c r="AQ158" s="288">
        <v>45372</v>
      </c>
      <c r="AR158" s="288">
        <v>45373</v>
      </c>
      <c r="AS158" s="59">
        <v>45377</v>
      </c>
      <c r="AT158" s="59">
        <f t="shared" si="19"/>
        <v>45383</v>
      </c>
      <c r="AU158" s="183">
        <v>45406</v>
      </c>
      <c r="AV158" s="195">
        <v>45394</v>
      </c>
      <c r="AW158" s="185">
        <v>45391</v>
      </c>
    </row>
    <row r="159" spans="1:50" s="289" customFormat="1" ht="120" hidden="1" x14ac:dyDescent="0.25">
      <c r="A159" s="196" t="s">
        <v>6979</v>
      </c>
      <c r="B159" s="259">
        <v>59</v>
      </c>
      <c r="C159" s="428" t="s">
        <v>149</v>
      </c>
      <c r="D159" s="259" t="s">
        <v>6303</v>
      </c>
      <c r="E159" s="287" t="s">
        <v>6980</v>
      </c>
      <c r="F159" s="695" t="s">
        <v>6303</v>
      </c>
      <c r="G159" s="309" t="s">
        <v>163</v>
      </c>
      <c r="H159" s="39" t="s">
        <v>6933</v>
      </c>
      <c r="I159" s="300" t="s">
        <v>2417</v>
      </c>
      <c r="J159" s="287"/>
      <c r="K159" s="287"/>
      <c r="L159" s="287"/>
      <c r="M159" s="300" t="s">
        <v>6377</v>
      </c>
      <c r="N159" s="300" t="s">
        <v>301</v>
      </c>
      <c r="O159" s="300" t="s">
        <v>301</v>
      </c>
      <c r="P159" s="300" t="s">
        <v>302</v>
      </c>
      <c r="Q159" s="716" t="s">
        <v>6981</v>
      </c>
      <c r="R159" s="727">
        <v>5027242.34</v>
      </c>
      <c r="S159" s="270">
        <f>+R159*0.16</f>
        <v>804358.77439999999</v>
      </c>
      <c r="T159" s="290">
        <f>+R159+S159</f>
        <v>5831601.1143999994</v>
      </c>
      <c r="U159" s="727">
        <v>1881586.59</v>
      </c>
      <c r="V159" s="270">
        <f t="shared" si="25"/>
        <v>2182640.4443999999</v>
      </c>
      <c r="W159" s="270">
        <f t="shared" si="29"/>
        <v>5831601.1143999994</v>
      </c>
      <c r="X159" s="287" t="s">
        <v>156</v>
      </c>
      <c r="Y159" s="288">
        <v>45629</v>
      </c>
      <c r="Z159" s="287" t="s">
        <v>924</v>
      </c>
      <c r="AA159" s="288">
        <v>45383</v>
      </c>
      <c r="AB159" s="288">
        <v>45657</v>
      </c>
      <c r="AC159" s="300" t="s">
        <v>6982</v>
      </c>
      <c r="AD159" s="287" t="s">
        <v>6983</v>
      </c>
      <c r="AE159" s="287" t="s">
        <v>6984</v>
      </c>
      <c r="AF159" s="288"/>
      <c r="AG159" s="290"/>
      <c r="AH159" s="163" t="str">
        <f t="shared" ca="1" si="28"/>
        <v>MUERTO</v>
      </c>
      <c r="AI159" s="287"/>
      <c r="AJ159" s="287"/>
      <c r="AK159" s="39"/>
      <c r="AL159" s="287"/>
      <c r="AM159" s="39"/>
      <c r="AN159" s="287"/>
      <c r="AO159" s="287"/>
      <c r="AP159" s="38"/>
      <c r="AQ159" s="288">
        <v>45621</v>
      </c>
      <c r="AR159" s="288">
        <v>45625</v>
      </c>
      <c r="AS159" s="59"/>
      <c r="AT159" s="59">
        <f t="shared" si="19"/>
        <v>45629</v>
      </c>
      <c r="AU159" s="183"/>
      <c r="AV159" s="195">
        <v>45629</v>
      </c>
      <c r="AW159" s="185">
        <v>45606</v>
      </c>
    </row>
    <row r="160" spans="1:50" ht="75" hidden="1" x14ac:dyDescent="0.25">
      <c r="A160" s="248" t="s">
        <v>6985</v>
      </c>
      <c r="B160" s="259">
        <v>60</v>
      </c>
      <c r="C160" s="428" t="s">
        <v>149</v>
      </c>
      <c r="D160" s="259" t="s">
        <v>163</v>
      </c>
      <c r="E160" s="287" t="s">
        <v>6986</v>
      </c>
      <c r="F160" s="287" t="s">
        <v>2237</v>
      </c>
      <c r="G160" s="685" t="s">
        <v>546</v>
      </c>
      <c r="H160" s="8" t="s">
        <v>3764</v>
      </c>
      <c r="I160" s="81" t="s">
        <v>6788</v>
      </c>
      <c r="J160" s="41"/>
      <c r="K160" s="41"/>
      <c r="L160" s="41"/>
      <c r="M160" s="1046" t="str">
        <f t="shared" si="22"/>
        <v xml:space="preserve">Dhimex Ciudad de México, S.A de C.V  </v>
      </c>
      <c r="N160" s="991" t="s">
        <v>5099</v>
      </c>
      <c r="O160" s="991" t="s">
        <v>5099</v>
      </c>
      <c r="P160" s="991" t="s">
        <v>6987</v>
      </c>
      <c r="Q160" s="1040" t="s">
        <v>6988</v>
      </c>
      <c r="R160" s="1047">
        <v>2572425.4500000002</v>
      </c>
      <c r="S160" s="270">
        <f t="shared" ref="S160:S223" si="30">R160*0.16</f>
        <v>411588.07200000004</v>
      </c>
      <c r="T160" s="1048">
        <f t="shared" si="27"/>
        <v>2984013.5220000003</v>
      </c>
      <c r="U160" s="1047">
        <v>0</v>
      </c>
      <c r="V160" s="270">
        <f t="shared" si="25"/>
        <v>0</v>
      </c>
      <c r="W160" s="270">
        <f t="shared" si="29"/>
        <v>2984013.5220000003</v>
      </c>
      <c r="X160" s="993" t="s">
        <v>156</v>
      </c>
      <c r="Y160" s="59">
        <v>45383</v>
      </c>
      <c r="Z160" s="287" t="s">
        <v>333</v>
      </c>
      <c r="AA160" s="59">
        <v>45383</v>
      </c>
      <c r="AB160" s="59">
        <v>45657</v>
      </c>
      <c r="AC160" s="38" t="s">
        <v>6295</v>
      </c>
      <c r="AD160" s="53"/>
      <c r="AE160" s="38"/>
      <c r="AF160" s="256"/>
      <c r="AG160" s="270">
        <v>0</v>
      </c>
      <c r="AH160" s="163" t="str">
        <f t="shared" ca="1" si="28"/>
        <v>MUERTO</v>
      </c>
      <c r="AI160" s="39">
        <v>35701</v>
      </c>
      <c r="AJ160" s="39"/>
      <c r="AK160" s="39" t="s">
        <v>6309</v>
      </c>
      <c r="AL160" s="39"/>
      <c r="AM160" s="39" t="s">
        <v>6309</v>
      </c>
      <c r="AN160" s="39"/>
      <c r="AO160" s="39"/>
      <c r="AP160" s="38" t="e">
        <f>VLOOKUP(I160,'[4] RFC'!A:B,2,0)</f>
        <v>#N/A</v>
      </c>
      <c r="AQ160" s="59">
        <v>45377</v>
      </c>
      <c r="AR160" s="59">
        <v>45377</v>
      </c>
      <c r="AS160" s="59">
        <v>45383</v>
      </c>
      <c r="AT160" s="59">
        <f t="shared" si="19"/>
        <v>45383</v>
      </c>
      <c r="AU160" s="183">
        <v>45394</v>
      </c>
      <c r="AV160" s="195">
        <v>45390</v>
      </c>
      <c r="AW160" s="185">
        <v>45384</v>
      </c>
    </row>
    <row r="161" spans="1:49" ht="45" hidden="1" x14ac:dyDescent="0.25">
      <c r="A161" s="248" t="s">
        <v>6989</v>
      </c>
      <c r="B161" s="259">
        <v>61</v>
      </c>
      <c r="C161" s="167" t="s">
        <v>149</v>
      </c>
      <c r="D161" s="259" t="s">
        <v>173</v>
      </c>
      <c r="E161" s="287" t="s">
        <v>6990</v>
      </c>
      <c r="F161" s="39" t="str">
        <f t="shared" ref="F161:F224" si="31">D161</f>
        <v>Licitación Pública</v>
      </c>
      <c r="G161" s="39"/>
      <c r="H161" s="39" t="s">
        <v>3785</v>
      </c>
      <c r="I161" s="81" t="s">
        <v>5881</v>
      </c>
      <c r="J161" s="41"/>
      <c r="K161" s="41"/>
      <c r="L161" s="41"/>
      <c r="M161" s="1046" t="str">
        <f t="shared" si="22"/>
        <v xml:space="preserve">Operbes, S.A. de C.V.  </v>
      </c>
      <c r="N161" s="991" t="s">
        <v>656</v>
      </c>
      <c r="O161" s="300" t="s">
        <v>209</v>
      </c>
      <c r="P161" s="300" t="s">
        <v>5842</v>
      </c>
      <c r="Q161" s="716" t="s">
        <v>6991</v>
      </c>
      <c r="R161" s="1047">
        <v>4018500</v>
      </c>
      <c r="S161" s="270">
        <f t="shared" si="30"/>
        <v>642960</v>
      </c>
      <c r="T161" s="1048">
        <f t="shared" si="27"/>
        <v>4661460</v>
      </c>
      <c r="U161" s="1047" t="s">
        <v>161</v>
      </c>
      <c r="V161" s="270" t="s">
        <v>161</v>
      </c>
      <c r="W161" s="270">
        <f t="shared" si="29"/>
        <v>4661460</v>
      </c>
      <c r="X161" s="993" t="s">
        <v>156</v>
      </c>
      <c r="Y161" s="59">
        <v>45383</v>
      </c>
      <c r="Z161" s="39" t="s">
        <v>333</v>
      </c>
      <c r="AA161" s="59">
        <v>45383</v>
      </c>
      <c r="AB161" s="59">
        <v>45657</v>
      </c>
      <c r="AC161" s="300" t="s">
        <v>3787</v>
      </c>
      <c r="AD161" s="53"/>
      <c r="AE161" s="38"/>
      <c r="AF161" s="256"/>
      <c r="AG161" s="270">
        <v>0</v>
      </c>
      <c r="AH161" s="163" t="str">
        <f t="shared" ca="1" si="28"/>
        <v>MUERTO</v>
      </c>
      <c r="AI161" s="39">
        <v>31701</v>
      </c>
      <c r="AJ161" s="39"/>
      <c r="AK161" s="39" t="s">
        <v>6309</v>
      </c>
      <c r="AL161" s="39"/>
      <c r="AM161" s="39" t="s">
        <v>6309</v>
      </c>
      <c r="AN161" s="39"/>
      <c r="AO161" s="39"/>
      <c r="AP161" s="38" t="e">
        <f>VLOOKUP(I161,'[4] RFC'!A:B,2,0)</f>
        <v>#N/A</v>
      </c>
      <c r="AQ161" s="59">
        <v>45292</v>
      </c>
      <c r="AR161" s="59">
        <v>45292</v>
      </c>
      <c r="AS161" s="59">
        <v>45384</v>
      </c>
      <c r="AT161" s="59">
        <f t="shared" si="19"/>
        <v>45383</v>
      </c>
      <c r="AU161" s="183">
        <v>45399</v>
      </c>
      <c r="AV161" s="195">
        <v>45393</v>
      </c>
      <c r="AW161" s="185">
        <v>45386</v>
      </c>
    </row>
    <row r="162" spans="1:49" ht="75" hidden="1" x14ac:dyDescent="0.25">
      <c r="A162" s="248" t="s">
        <v>6992</v>
      </c>
      <c r="B162" s="259">
        <v>62</v>
      </c>
      <c r="C162" s="167" t="s">
        <v>149</v>
      </c>
      <c r="D162" s="259" t="s">
        <v>173</v>
      </c>
      <c r="E162" s="287" t="s">
        <v>6993</v>
      </c>
      <c r="F162" s="39" t="s">
        <v>173</v>
      </c>
      <c r="G162" s="39"/>
      <c r="H162" s="39" t="s">
        <v>3785</v>
      </c>
      <c r="I162" s="81" t="s">
        <v>1738</v>
      </c>
      <c r="J162" s="41"/>
      <c r="K162" s="41"/>
      <c r="L162" s="41"/>
      <c r="M162" s="1046" t="str">
        <f t="shared" si="22"/>
        <v xml:space="preserve">Equipos y Climas de México, S.A. de C.V.  </v>
      </c>
      <c r="N162" s="991" t="s">
        <v>198</v>
      </c>
      <c r="O162" s="300" t="s">
        <v>198</v>
      </c>
      <c r="P162" s="300" t="s">
        <v>5849</v>
      </c>
      <c r="Q162" s="716" t="s">
        <v>6994</v>
      </c>
      <c r="R162" s="1047">
        <v>8133761.71</v>
      </c>
      <c r="S162" s="270">
        <f t="shared" si="30"/>
        <v>1301401.8736</v>
      </c>
      <c r="T162" s="1048">
        <f t="shared" si="27"/>
        <v>9435163.5835999995</v>
      </c>
      <c r="U162" s="1047">
        <v>4869279.5</v>
      </c>
      <c r="V162" s="270">
        <f>(U162*0.16)+(U162)</f>
        <v>5648364.2199999997</v>
      </c>
      <c r="W162" s="270">
        <f t="shared" si="29"/>
        <v>9435163.5835999995</v>
      </c>
      <c r="X162" s="993" t="s">
        <v>156</v>
      </c>
      <c r="Y162" s="59">
        <v>45386</v>
      </c>
      <c r="Z162" s="39" t="s">
        <v>333</v>
      </c>
      <c r="AA162" s="59">
        <v>45386</v>
      </c>
      <c r="AB162" s="59">
        <v>45657</v>
      </c>
      <c r="AC162" s="300" t="s">
        <v>3787</v>
      </c>
      <c r="AD162" s="53"/>
      <c r="AE162" s="38"/>
      <c r="AF162" s="256"/>
      <c r="AG162" s="270"/>
      <c r="AH162" s="163" t="str">
        <f t="shared" ca="1" si="28"/>
        <v>MUERTO</v>
      </c>
      <c r="AI162" s="39">
        <v>35701</v>
      </c>
      <c r="AJ162" s="39"/>
      <c r="AK162" s="39" t="s">
        <v>6309</v>
      </c>
      <c r="AL162" s="39"/>
      <c r="AM162" s="39" t="s">
        <v>6309</v>
      </c>
      <c r="AN162" s="39"/>
      <c r="AO162" s="39"/>
      <c r="AP162" s="38" t="str">
        <f>VLOOKUP(I162,'[4] RFC'!A:B,2,0)</f>
        <v>ECM840330286</v>
      </c>
      <c r="AQ162" s="59">
        <v>45383</v>
      </c>
      <c r="AR162" s="59">
        <v>45324</v>
      </c>
      <c r="AS162" s="59">
        <v>45386</v>
      </c>
      <c r="AT162" s="59">
        <f t="shared" si="19"/>
        <v>45386</v>
      </c>
      <c r="AU162" s="183">
        <v>45401</v>
      </c>
      <c r="AV162" s="195">
        <v>45394</v>
      </c>
      <c r="AW162" s="185">
        <v>45391</v>
      </c>
    </row>
    <row r="163" spans="1:49" ht="105" hidden="1" x14ac:dyDescent="0.25">
      <c r="A163" s="196" t="s">
        <v>6995</v>
      </c>
      <c r="B163" s="259">
        <v>62</v>
      </c>
      <c r="C163" s="167" t="s">
        <v>149</v>
      </c>
      <c r="D163" s="259" t="s">
        <v>6303</v>
      </c>
      <c r="E163" s="287" t="s">
        <v>6996</v>
      </c>
      <c r="F163" s="39" t="s">
        <v>173</v>
      </c>
      <c r="G163" s="39"/>
      <c r="H163" s="39" t="s">
        <v>6342</v>
      </c>
      <c r="I163" s="81" t="s">
        <v>1738</v>
      </c>
      <c r="J163" s="41"/>
      <c r="K163" s="41"/>
      <c r="L163" s="41"/>
      <c r="M163" s="1046" t="str">
        <f t="shared" si="22"/>
        <v xml:space="preserve">Equipos y Climas de México, S.A. de C.V.  </v>
      </c>
      <c r="N163" s="991" t="s">
        <v>198</v>
      </c>
      <c r="O163" s="300" t="s">
        <v>198</v>
      </c>
      <c r="P163" s="300" t="s">
        <v>6997</v>
      </c>
      <c r="Q163" s="716" t="s">
        <v>6994</v>
      </c>
      <c r="R163" s="1047">
        <v>10167202.140000001</v>
      </c>
      <c r="S163" s="270">
        <f t="shared" si="30"/>
        <v>1626752.3424000002</v>
      </c>
      <c r="T163" s="1048">
        <f t="shared" si="27"/>
        <v>11793954.4824</v>
      </c>
      <c r="U163" s="1047">
        <v>4869279.5</v>
      </c>
      <c r="V163" s="270">
        <f>(U163*0.16)+(U163)</f>
        <v>5648364.2199999997</v>
      </c>
      <c r="W163" s="270">
        <f t="shared" si="29"/>
        <v>13827394.9124</v>
      </c>
      <c r="X163" s="993" t="s">
        <v>156</v>
      </c>
      <c r="Y163" s="59">
        <v>45623</v>
      </c>
      <c r="Z163" s="39" t="s">
        <v>892</v>
      </c>
      <c r="AA163" s="59">
        <v>45386</v>
      </c>
      <c r="AB163" s="59">
        <v>45657</v>
      </c>
      <c r="AC163" s="300" t="s">
        <v>3787</v>
      </c>
      <c r="AD163" s="270" t="s">
        <v>6998</v>
      </c>
      <c r="AE163" s="38" t="s">
        <v>6999</v>
      </c>
      <c r="AF163" s="256">
        <v>45623</v>
      </c>
      <c r="AG163" s="270">
        <v>2033440.43</v>
      </c>
      <c r="AH163" s="163" t="s">
        <v>1388</v>
      </c>
      <c r="AI163" s="39">
        <v>35701</v>
      </c>
      <c r="AJ163" s="39"/>
      <c r="AK163" s="39" t="s">
        <v>2728</v>
      </c>
      <c r="AL163" s="39"/>
      <c r="AM163" s="39" t="s">
        <v>2728</v>
      </c>
      <c r="AN163" s="39"/>
      <c r="AO163" s="39"/>
      <c r="AP163" s="38" t="str">
        <f>VLOOKUP(I163,'[4] RFC'!A:B,2,0)</f>
        <v>ECM840330286</v>
      </c>
      <c r="AQ163" s="59">
        <v>45618</v>
      </c>
      <c r="AR163" s="59">
        <v>45621</v>
      </c>
      <c r="AS163" s="59">
        <v>45624</v>
      </c>
      <c r="AT163" s="59">
        <f t="shared" si="19"/>
        <v>45623</v>
      </c>
      <c r="AU163" s="183"/>
      <c r="AV163" s="195">
        <v>45623</v>
      </c>
      <c r="AW163" s="185">
        <v>45625</v>
      </c>
    </row>
    <row r="164" spans="1:49" ht="60" hidden="1" x14ac:dyDescent="0.25">
      <c r="A164" s="248" t="s">
        <v>7000</v>
      </c>
      <c r="B164" s="259">
        <v>63</v>
      </c>
      <c r="C164" s="167" t="s">
        <v>149</v>
      </c>
      <c r="D164" s="259" t="s">
        <v>173</v>
      </c>
      <c r="E164" s="287" t="s">
        <v>7001</v>
      </c>
      <c r="F164" s="39" t="s">
        <v>173</v>
      </c>
      <c r="G164" s="39"/>
      <c r="H164" s="39" t="s">
        <v>3785</v>
      </c>
      <c r="I164" s="81" t="s">
        <v>4405</v>
      </c>
      <c r="J164" s="41"/>
      <c r="K164" s="41"/>
      <c r="L164" s="41"/>
      <c r="M164" s="1046" t="s">
        <v>6382</v>
      </c>
      <c r="N164" s="991" t="s">
        <v>179</v>
      </c>
      <c r="O164" s="300" t="s">
        <v>6365</v>
      </c>
      <c r="P164" s="300" t="s">
        <v>3510</v>
      </c>
      <c r="Q164" s="716" t="s">
        <v>7002</v>
      </c>
      <c r="R164" s="1047">
        <v>482130</v>
      </c>
      <c r="S164" s="270">
        <f t="shared" si="30"/>
        <v>77140.800000000003</v>
      </c>
      <c r="T164" s="1048">
        <f t="shared" si="27"/>
        <v>559270.80000000005</v>
      </c>
      <c r="U164" s="1047" t="s">
        <v>161</v>
      </c>
      <c r="V164" s="270" t="s">
        <v>161</v>
      </c>
      <c r="W164" s="270">
        <f t="shared" si="29"/>
        <v>559270.80000000005</v>
      </c>
      <c r="X164" s="993" t="s">
        <v>156</v>
      </c>
      <c r="Y164" s="59">
        <v>45386</v>
      </c>
      <c r="Z164" s="39" t="s">
        <v>333</v>
      </c>
      <c r="AA164" s="59">
        <v>45386</v>
      </c>
      <c r="AB164" s="59">
        <v>45657</v>
      </c>
      <c r="AC164" s="300" t="s">
        <v>3787</v>
      </c>
      <c r="AD164" s="53"/>
      <c r="AE164" s="38"/>
      <c r="AF164" s="256"/>
      <c r="AG164" s="270"/>
      <c r="AH164" s="163" t="str">
        <f t="shared" ca="1" si="28"/>
        <v>MUERTO</v>
      </c>
      <c r="AI164" s="39">
        <v>36901</v>
      </c>
      <c r="AJ164" s="39"/>
      <c r="AK164" s="39" t="s">
        <v>6309</v>
      </c>
      <c r="AL164" s="39"/>
      <c r="AM164" s="39" t="s">
        <v>6309</v>
      </c>
      <c r="AN164" s="39"/>
      <c r="AO164" s="39"/>
      <c r="AP164" s="38" t="e">
        <f>VLOOKUP(I164,'[4] RFC'!A:B,2,0)</f>
        <v>#N/A</v>
      </c>
      <c r="AQ164" s="59">
        <v>45383</v>
      </c>
      <c r="AR164" s="59">
        <v>45385</v>
      </c>
      <c r="AS164" s="59">
        <v>45386</v>
      </c>
      <c r="AT164" s="59">
        <f t="shared" si="19"/>
        <v>45386</v>
      </c>
      <c r="AU164" s="183">
        <v>45399</v>
      </c>
      <c r="AV164" s="195">
        <v>45394</v>
      </c>
      <c r="AW164" s="185">
        <v>45387</v>
      </c>
    </row>
    <row r="165" spans="1:49" ht="45" hidden="1" x14ac:dyDescent="0.25">
      <c r="A165" s="248" t="s">
        <v>7003</v>
      </c>
      <c r="B165" s="259">
        <v>64</v>
      </c>
      <c r="C165" s="428" t="s">
        <v>149</v>
      </c>
      <c r="D165" s="259" t="s">
        <v>173</v>
      </c>
      <c r="E165" s="287" t="s">
        <v>7004</v>
      </c>
      <c r="F165" s="287" t="s">
        <v>173</v>
      </c>
      <c r="G165" s="300"/>
      <c r="H165" s="287" t="s">
        <v>3785</v>
      </c>
      <c r="I165" s="42" t="s">
        <v>3802</v>
      </c>
      <c r="J165" s="82"/>
      <c r="K165" s="82"/>
      <c r="L165" s="82"/>
      <c r="M165" s="42" t="str">
        <f>I165&amp;J165&amp;" "&amp;K165&amp;" "&amp;L165</f>
        <v xml:space="preserve">Comercializadora de Medios Escritos, S.A. de C.V.  </v>
      </c>
      <c r="N165" s="991" t="s">
        <v>179</v>
      </c>
      <c r="O165" s="991" t="s">
        <v>6365</v>
      </c>
      <c r="P165" s="991" t="s">
        <v>7005</v>
      </c>
      <c r="Q165" s="1040" t="s">
        <v>7006</v>
      </c>
      <c r="R165" s="1034">
        <v>3730228</v>
      </c>
      <c r="S165" s="270">
        <v>0</v>
      </c>
      <c r="T165" s="45">
        <f>R165+S165</f>
        <v>3730228</v>
      </c>
      <c r="U165" s="224">
        <v>837135</v>
      </c>
      <c r="V165" s="423">
        <f>+U165</f>
        <v>837135</v>
      </c>
      <c r="W165" s="270">
        <f t="shared" si="29"/>
        <v>3730228</v>
      </c>
      <c r="X165" s="993" t="s">
        <v>156</v>
      </c>
      <c r="Y165" s="59">
        <v>45391</v>
      </c>
      <c r="Z165" s="985" t="s">
        <v>333</v>
      </c>
      <c r="AA165" s="994">
        <v>45391</v>
      </c>
      <c r="AB165" s="994">
        <v>45657</v>
      </c>
      <c r="AC165" s="991" t="s">
        <v>4413</v>
      </c>
      <c r="AD165" s="991"/>
      <c r="AE165" s="994"/>
      <c r="AF165" s="994"/>
      <c r="AG165" s="994"/>
      <c r="AH165" s="163" t="str">
        <f t="shared" ca="1" si="28"/>
        <v>MUERTO</v>
      </c>
      <c r="AI165" s="985">
        <v>21501</v>
      </c>
      <c r="AJ165" s="991"/>
      <c r="AK165" s="39" t="s">
        <v>6309</v>
      </c>
      <c r="AL165" s="1005"/>
      <c r="AM165" s="39" t="s">
        <v>6309</v>
      </c>
      <c r="AN165" s="985"/>
      <c r="AO165" s="985"/>
      <c r="AP165" s="38" t="e">
        <f>VLOOKUP(I165,'[4] RFC'!A:B,2,0)</f>
        <v>#N/A</v>
      </c>
      <c r="AQ165" s="994">
        <v>45386</v>
      </c>
      <c r="AR165" s="994">
        <v>45387</v>
      </c>
      <c r="AS165" s="994">
        <v>45390</v>
      </c>
      <c r="AT165" s="994">
        <f t="shared" si="19"/>
        <v>45391</v>
      </c>
      <c r="AU165" s="183">
        <v>45408</v>
      </c>
      <c r="AV165" s="195">
        <v>45394</v>
      </c>
      <c r="AW165" s="185">
        <v>45392</v>
      </c>
    </row>
    <row r="166" spans="1:49" ht="45" hidden="1" x14ac:dyDescent="0.25">
      <c r="A166" s="248" t="s">
        <v>7007</v>
      </c>
      <c r="B166" s="259">
        <v>65</v>
      </c>
      <c r="C166" s="167" t="s">
        <v>149</v>
      </c>
      <c r="D166" s="259" t="s">
        <v>163</v>
      </c>
      <c r="E166" s="287" t="s">
        <v>7008</v>
      </c>
      <c r="F166" s="39" t="str">
        <f t="shared" si="31"/>
        <v>Adjudicación Directa</v>
      </c>
      <c r="G166" s="309" t="s">
        <v>163</v>
      </c>
      <c r="H166" s="39" t="s">
        <v>7009</v>
      </c>
      <c r="I166" s="1046" t="s">
        <v>7010</v>
      </c>
      <c r="J166" s="41"/>
      <c r="K166" s="41"/>
      <c r="L166" s="41"/>
      <c r="M166" s="42" t="str">
        <f>I166&amp;J166&amp;" "&amp;K166&amp;" "&amp;L166</f>
        <v xml:space="preserve">Productora de Eventos Leganés, S.A de C.V.  </v>
      </c>
      <c r="N166" s="991" t="s">
        <v>190</v>
      </c>
      <c r="O166" s="991" t="s">
        <v>190</v>
      </c>
      <c r="P166" s="991"/>
      <c r="Q166" s="1040" t="s">
        <v>7011</v>
      </c>
      <c r="R166" s="1047">
        <v>3205000</v>
      </c>
      <c r="S166" s="270">
        <f t="shared" si="30"/>
        <v>512800</v>
      </c>
      <c r="T166" s="1048">
        <f t="shared" si="27"/>
        <v>3717800</v>
      </c>
      <c r="U166" s="1047">
        <v>1115340</v>
      </c>
      <c r="V166" s="270">
        <f>(U166*0.16)+(U166)</f>
        <v>1293794.3999999999</v>
      </c>
      <c r="W166" s="270">
        <f t="shared" si="29"/>
        <v>3717800</v>
      </c>
      <c r="X166" s="993" t="s">
        <v>156</v>
      </c>
      <c r="Y166" s="59">
        <v>45399</v>
      </c>
      <c r="Z166" s="39" t="s">
        <v>333</v>
      </c>
      <c r="AA166" s="59">
        <v>45399</v>
      </c>
      <c r="AB166" s="59">
        <v>45657</v>
      </c>
      <c r="AC166" s="38" t="s">
        <v>7012</v>
      </c>
      <c r="AD166" s="53"/>
      <c r="AE166" s="38"/>
      <c r="AF166" s="256"/>
      <c r="AG166" s="270">
        <v>0</v>
      </c>
      <c r="AH166" s="163" t="str">
        <f t="shared" ca="1" si="28"/>
        <v>MUERTO</v>
      </c>
      <c r="AI166" s="39"/>
      <c r="AJ166" s="39"/>
      <c r="AK166" s="39" t="s">
        <v>6309</v>
      </c>
      <c r="AL166" s="39"/>
      <c r="AM166" s="39" t="s">
        <v>6309</v>
      </c>
      <c r="AN166" s="39"/>
      <c r="AO166" s="39"/>
      <c r="AP166" s="38" t="e">
        <f>VLOOKUP(I166,'[4] RFC'!A:B,2,0)</f>
        <v>#N/A</v>
      </c>
      <c r="AQ166" s="59">
        <v>45395</v>
      </c>
      <c r="AR166" s="59">
        <v>45397</v>
      </c>
      <c r="AS166" s="59" t="s">
        <v>7013</v>
      </c>
      <c r="AT166" s="59">
        <f>+Y166</f>
        <v>45399</v>
      </c>
      <c r="AU166" s="183">
        <v>45418</v>
      </c>
      <c r="AV166" s="195" t="s">
        <v>7014</v>
      </c>
      <c r="AW166" s="185" t="s">
        <v>7015</v>
      </c>
    </row>
    <row r="167" spans="1:49" ht="60" hidden="1" x14ac:dyDescent="0.25">
      <c r="A167" s="248" t="s">
        <v>7016</v>
      </c>
      <c r="B167" s="259">
        <v>66</v>
      </c>
      <c r="C167" s="167" t="s">
        <v>149</v>
      </c>
      <c r="D167" s="259" t="s">
        <v>151</v>
      </c>
      <c r="E167" s="287" t="s">
        <v>7017</v>
      </c>
      <c r="F167" s="39" t="str">
        <f>D167</f>
        <v>Invitación</v>
      </c>
      <c r="G167" s="39"/>
      <c r="H167" s="287" t="s">
        <v>3793</v>
      </c>
      <c r="I167" s="81" t="s">
        <v>7018</v>
      </c>
      <c r="J167" s="1046"/>
      <c r="K167" s="1046"/>
      <c r="L167" s="1046"/>
      <c r="M167" s="1046" t="str">
        <f>I167&amp;J167&amp;" "&amp;K167&amp;" "&amp;L167</f>
        <v xml:space="preserve">Smart Proyectos y Tecnología,S.A. de C.V.  </v>
      </c>
      <c r="N167" s="991" t="s">
        <v>198</v>
      </c>
      <c r="O167" s="300" t="s">
        <v>198</v>
      </c>
      <c r="P167" s="300" t="s">
        <v>5719</v>
      </c>
      <c r="Q167" s="1040" t="s">
        <v>7019</v>
      </c>
      <c r="R167" s="1047">
        <v>769276.6</v>
      </c>
      <c r="S167" s="270">
        <f>R167*0.16</f>
        <v>123084.25599999999</v>
      </c>
      <c r="T167" s="1048">
        <f>R167+S167</f>
        <v>892360.85599999991</v>
      </c>
      <c r="U167" s="1047">
        <v>0</v>
      </c>
      <c r="V167" s="270">
        <f>(U167*0.16)+(U167)</f>
        <v>0</v>
      </c>
      <c r="W167" s="270">
        <f>T167+AG167</f>
        <v>892360.85599999991</v>
      </c>
      <c r="X167" s="993" t="s">
        <v>156</v>
      </c>
      <c r="Y167" s="59">
        <v>45415</v>
      </c>
      <c r="Z167" s="59" t="s">
        <v>559</v>
      </c>
      <c r="AA167" s="59">
        <v>45415</v>
      </c>
      <c r="AB167" s="59">
        <v>45492</v>
      </c>
      <c r="AC167" s="38" t="s">
        <v>7020</v>
      </c>
      <c r="AD167" s="53"/>
      <c r="AE167" s="38"/>
      <c r="AF167" s="256"/>
      <c r="AG167" s="270">
        <v>0</v>
      </c>
      <c r="AH167" s="163" t="str">
        <f t="shared" ca="1" si="28"/>
        <v>MUERTO</v>
      </c>
      <c r="AI167" s="39">
        <v>35101</v>
      </c>
      <c r="AJ167" s="39"/>
      <c r="AK167" s="39" t="s">
        <v>6572</v>
      </c>
      <c r="AL167" s="39"/>
      <c r="AM167" s="39" t="s">
        <v>6572</v>
      </c>
      <c r="AN167" s="39"/>
      <c r="AO167" s="39"/>
      <c r="AP167" s="38" t="e">
        <f>VLOOKUP(I167,'[4] RFC'!AJ123A:(B),2,0)</f>
        <v>#NAME?</v>
      </c>
      <c r="AQ167" s="59">
        <v>45411</v>
      </c>
      <c r="AR167" s="59">
        <v>45412</v>
      </c>
      <c r="AS167" s="59">
        <v>45414</v>
      </c>
      <c r="AT167" s="59">
        <f t="shared" ref="AT167:AT230" si="32">+Y167</f>
        <v>45415</v>
      </c>
      <c r="AU167" s="183" t="s">
        <v>7021</v>
      </c>
      <c r="AV167" s="195">
        <v>45421</v>
      </c>
      <c r="AW167" s="185">
        <v>45419</v>
      </c>
    </row>
    <row r="168" spans="1:49" ht="45" hidden="1" x14ac:dyDescent="0.25">
      <c r="A168" s="248" t="s">
        <v>7022</v>
      </c>
      <c r="B168" s="259">
        <v>67</v>
      </c>
      <c r="C168" s="167" t="s">
        <v>149</v>
      </c>
      <c r="D168" s="259" t="s">
        <v>163</v>
      </c>
      <c r="E168" s="287" t="s">
        <v>7023</v>
      </c>
      <c r="F168" s="287" t="s">
        <v>2237</v>
      </c>
      <c r="G168" s="685" t="s">
        <v>546</v>
      </c>
      <c r="H168" s="39" t="s">
        <v>7024</v>
      </c>
      <c r="I168" s="81"/>
      <c r="J168" s="1046" t="s">
        <v>7025</v>
      </c>
      <c r="K168" s="1046" t="s">
        <v>409</v>
      </c>
      <c r="L168" s="1046" t="s">
        <v>385</v>
      </c>
      <c r="M168" s="1046" t="str">
        <f t="shared" si="22"/>
        <v>Gilberto Sánchez García</v>
      </c>
      <c r="N168" s="991" t="s">
        <v>6552</v>
      </c>
      <c r="O168" s="991" t="s">
        <v>1946</v>
      </c>
      <c r="P168" s="991"/>
      <c r="Q168" s="1040" t="s">
        <v>7026</v>
      </c>
      <c r="R168" s="1047">
        <v>1365000</v>
      </c>
      <c r="S168" s="270">
        <f t="shared" si="30"/>
        <v>218400</v>
      </c>
      <c r="T168" s="1048">
        <f t="shared" si="27"/>
        <v>1583400</v>
      </c>
      <c r="U168" s="1047">
        <v>0</v>
      </c>
      <c r="V168" s="270">
        <f t="shared" si="25"/>
        <v>0</v>
      </c>
      <c r="W168" s="270">
        <f t="shared" si="29"/>
        <v>1583400</v>
      </c>
      <c r="X168" s="993" t="s">
        <v>156</v>
      </c>
      <c r="Y168" s="59">
        <v>45418</v>
      </c>
      <c r="Z168" s="39" t="s">
        <v>559</v>
      </c>
      <c r="AA168" s="59">
        <v>45418</v>
      </c>
      <c r="AB168" s="59">
        <v>45510</v>
      </c>
      <c r="AC168" s="38" t="s">
        <v>3113</v>
      </c>
      <c r="AD168" s="53"/>
      <c r="AE168" s="38"/>
      <c r="AF168" s="256"/>
      <c r="AG168" s="270">
        <v>0</v>
      </c>
      <c r="AH168" s="163" t="str">
        <f t="shared" ca="1" si="28"/>
        <v>MUERTO</v>
      </c>
      <c r="AI168" s="39">
        <v>36301</v>
      </c>
      <c r="AJ168" s="39"/>
      <c r="AK168" s="39" t="s">
        <v>6572</v>
      </c>
      <c r="AL168" s="39"/>
      <c r="AM168" s="39" t="s">
        <v>6572</v>
      </c>
      <c r="AN168" s="39"/>
      <c r="AO168" s="39"/>
      <c r="AP168" s="38" t="e">
        <f>VLOOKUP(I168,'[4] RFC'!A:B,2,0)</f>
        <v>#N/A</v>
      </c>
      <c r="AQ168" s="59">
        <v>45408</v>
      </c>
      <c r="AR168" s="59">
        <v>45411</v>
      </c>
      <c r="AS168" s="59">
        <v>45414</v>
      </c>
      <c r="AT168" s="59">
        <f t="shared" si="32"/>
        <v>45418</v>
      </c>
      <c r="AU168" s="183">
        <v>45433</v>
      </c>
      <c r="AV168" s="195">
        <v>45421</v>
      </c>
      <c r="AW168" s="185">
        <v>45419</v>
      </c>
    </row>
    <row r="169" spans="1:49" ht="45" hidden="1" x14ac:dyDescent="0.25">
      <c r="A169" s="248" t="s">
        <v>7027</v>
      </c>
      <c r="B169" s="259">
        <v>68</v>
      </c>
      <c r="C169" s="167" t="s">
        <v>149</v>
      </c>
      <c r="D169" s="259" t="s">
        <v>163</v>
      </c>
      <c r="E169" s="287" t="s">
        <v>7023</v>
      </c>
      <c r="F169" s="287" t="s">
        <v>2237</v>
      </c>
      <c r="G169" s="685" t="s">
        <v>546</v>
      </c>
      <c r="H169" s="39" t="s">
        <v>7024</v>
      </c>
      <c r="I169" s="81" t="s">
        <v>7028</v>
      </c>
      <c r="J169" s="1046"/>
      <c r="K169" s="1046"/>
      <c r="L169" s="1046"/>
      <c r="M169" s="1046" t="str">
        <f t="shared" si="22"/>
        <v xml:space="preserve">Instituto de Medios Educativos y de Investigación Audiovisual, S.A. de C.V.  </v>
      </c>
      <c r="N169" s="991" t="s">
        <v>6552</v>
      </c>
      <c r="O169" s="991" t="s">
        <v>1946</v>
      </c>
      <c r="P169" s="991"/>
      <c r="Q169" s="1040" t="s">
        <v>7029</v>
      </c>
      <c r="R169" s="1047">
        <v>1365000</v>
      </c>
      <c r="S169" s="270">
        <f t="shared" si="30"/>
        <v>218400</v>
      </c>
      <c r="T169" s="1048">
        <f t="shared" si="27"/>
        <v>1583400</v>
      </c>
      <c r="U169" s="1047">
        <v>0</v>
      </c>
      <c r="V169" s="270">
        <f t="shared" si="25"/>
        <v>0</v>
      </c>
      <c r="W169" s="270">
        <f t="shared" si="29"/>
        <v>1583400</v>
      </c>
      <c r="X169" s="993" t="s">
        <v>156</v>
      </c>
      <c r="Y169" s="59">
        <v>45418</v>
      </c>
      <c r="Z169" s="39" t="s">
        <v>559</v>
      </c>
      <c r="AA169" s="59">
        <v>45418</v>
      </c>
      <c r="AB169" s="59">
        <v>45541</v>
      </c>
      <c r="AC169" s="38" t="s">
        <v>3113</v>
      </c>
      <c r="AD169" s="53"/>
      <c r="AE169" s="38"/>
      <c r="AF169" s="256"/>
      <c r="AG169" s="270">
        <v>0</v>
      </c>
      <c r="AH169" s="163" t="str">
        <f t="shared" ca="1" si="28"/>
        <v>MUERTO</v>
      </c>
      <c r="AI169" s="39">
        <v>36301</v>
      </c>
      <c r="AJ169" s="39"/>
      <c r="AK169" s="39" t="s">
        <v>6572</v>
      </c>
      <c r="AL169" s="39"/>
      <c r="AM169" s="39" t="s">
        <v>6572</v>
      </c>
      <c r="AN169" s="39"/>
      <c r="AO169" s="39"/>
      <c r="AP169" s="38" t="e">
        <f>VLOOKUP(I169,'[4] RFC'!A:B,2,0)</f>
        <v>#N/A</v>
      </c>
      <c r="AQ169" s="59">
        <v>45408</v>
      </c>
      <c r="AR169" s="59">
        <v>45411</v>
      </c>
      <c r="AS169" s="59">
        <v>45417</v>
      </c>
      <c r="AT169" s="59">
        <f t="shared" si="32"/>
        <v>45418</v>
      </c>
      <c r="AU169" s="183">
        <v>45434</v>
      </c>
      <c r="AV169" s="195">
        <v>45421</v>
      </c>
      <c r="AW169" s="185">
        <v>45415</v>
      </c>
    </row>
    <row r="170" spans="1:49" ht="75" hidden="1" x14ac:dyDescent="0.25">
      <c r="A170" s="248" t="s">
        <v>7030</v>
      </c>
      <c r="B170" s="259">
        <v>69</v>
      </c>
      <c r="C170" s="167" t="s">
        <v>149</v>
      </c>
      <c r="D170" s="259" t="s">
        <v>151</v>
      </c>
      <c r="E170" s="287" t="s">
        <v>7031</v>
      </c>
      <c r="F170" s="39" t="str">
        <f t="shared" si="31"/>
        <v>Invitación</v>
      </c>
      <c r="G170" s="39"/>
      <c r="H170" s="287" t="s">
        <v>3793</v>
      </c>
      <c r="I170" s="81" t="s">
        <v>4537</v>
      </c>
      <c r="J170" s="1046"/>
      <c r="K170" s="1046"/>
      <c r="L170" s="1046"/>
      <c r="M170" s="1046" t="str">
        <f t="shared" si="22"/>
        <v xml:space="preserve">Escalator, Elevator &amp; Electromechanics Enterprise, S.A. de C.V.  </v>
      </c>
      <c r="N170" s="991" t="s">
        <v>198</v>
      </c>
      <c r="O170" s="300" t="s">
        <v>198</v>
      </c>
      <c r="P170" s="300" t="s">
        <v>6244</v>
      </c>
      <c r="Q170" s="1040" t="s">
        <v>7032</v>
      </c>
      <c r="R170" s="1047">
        <v>855600</v>
      </c>
      <c r="S170" s="270">
        <f t="shared" si="30"/>
        <v>136896</v>
      </c>
      <c r="T170" s="1048">
        <f t="shared" si="27"/>
        <v>992496</v>
      </c>
      <c r="U170" s="1047">
        <v>0</v>
      </c>
      <c r="V170" s="270">
        <f t="shared" si="25"/>
        <v>0</v>
      </c>
      <c r="W170" s="270">
        <f t="shared" si="29"/>
        <v>992496</v>
      </c>
      <c r="X170" s="993" t="s">
        <v>156</v>
      </c>
      <c r="Y170" s="59">
        <v>45426</v>
      </c>
      <c r="Z170" s="39" t="s">
        <v>559</v>
      </c>
      <c r="AA170" s="59">
        <v>45426</v>
      </c>
      <c r="AB170" s="59">
        <v>45657</v>
      </c>
      <c r="AC170" s="38" t="s">
        <v>6867</v>
      </c>
      <c r="AD170" s="53"/>
      <c r="AE170" s="38"/>
      <c r="AF170" s="256"/>
      <c r="AG170" s="270">
        <v>0</v>
      </c>
      <c r="AH170" s="163" t="str">
        <f t="shared" ca="1" si="28"/>
        <v>MUERTO</v>
      </c>
      <c r="AI170" s="39">
        <v>35701</v>
      </c>
      <c r="AJ170" s="39"/>
      <c r="AK170" s="39" t="s">
        <v>6572</v>
      </c>
      <c r="AL170" s="39"/>
      <c r="AM170" s="39" t="s">
        <v>6572</v>
      </c>
      <c r="AN170" s="39"/>
      <c r="AO170" s="39"/>
      <c r="AP170" s="38" t="str">
        <f>VLOOKUP(I170,'[4] RFC'!A:B,2,0)</f>
        <v>EEA1006077G5</v>
      </c>
      <c r="AQ170" s="59">
        <v>45422</v>
      </c>
      <c r="AR170" s="59">
        <v>45425</v>
      </c>
      <c r="AS170" s="59">
        <v>45426</v>
      </c>
      <c r="AT170" s="59">
        <f t="shared" si="32"/>
        <v>45426</v>
      </c>
      <c r="AU170" s="183">
        <v>45446</v>
      </c>
      <c r="AV170" s="195">
        <v>45432</v>
      </c>
      <c r="AW170" s="185">
        <v>45428</v>
      </c>
    </row>
    <row r="171" spans="1:49" ht="90" hidden="1" x14ac:dyDescent="0.25">
      <c r="A171" s="196" t="s">
        <v>7033</v>
      </c>
      <c r="B171" s="259">
        <v>69</v>
      </c>
      <c r="C171" s="167" t="s">
        <v>149</v>
      </c>
      <c r="D171" s="259" t="s">
        <v>6303</v>
      </c>
      <c r="E171" s="287" t="s">
        <v>7034</v>
      </c>
      <c r="F171" s="39" t="s">
        <v>6303</v>
      </c>
      <c r="G171" s="202"/>
      <c r="H171" s="287" t="s">
        <v>6342</v>
      </c>
      <c r="I171" s="81" t="s">
        <v>4537</v>
      </c>
      <c r="J171" s="1046"/>
      <c r="K171" s="1046"/>
      <c r="L171" s="1046"/>
      <c r="M171" s="1046" t="str">
        <f t="shared" si="22"/>
        <v xml:space="preserve">Escalator, Elevator &amp; Electromechanics Enterprise, S.A. de C.V.  </v>
      </c>
      <c r="N171" s="991" t="s">
        <v>198</v>
      </c>
      <c r="O171" s="300" t="s">
        <v>198</v>
      </c>
      <c r="P171" s="300" t="s">
        <v>6244</v>
      </c>
      <c r="Q171" s="1040" t="s">
        <v>7032</v>
      </c>
      <c r="R171" s="1047">
        <v>987000</v>
      </c>
      <c r="S171" s="270">
        <f t="shared" si="30"/>
        <v>157920</v>
      </c>
      <c r="T171" s="1048">
        <f t="shared" si="27"/>
        <v>1144920</v>
      </c>
      <c r="U171" s="1047">
        <v>0</v>
      </c>
      <c r="V171" s="270">
        <f t="shared" si="25"/>
        <v>0</v>
      </c>
      <c r="W171" s="270">
        <f t="shared" si="29"/>
        <v>1144920</v>
      </c>
      <c r="X171" s="993" t="s">
        <v>156</v>
      </c>
      <c r="Y171" s="59">
        <v>45652</v>
      </c>
      <c r="Z171" s="39" t="s">
        <v>924</v>
      </c>
      <c r="AA171" s="59">
        <v>45426</v>
      </c>
      <c r="AB171" s="59">
        <v>45715</v>
      </c>
      <c r="AC171" s="38" t="s">
        <v>6867</v>
      </c>
      <c r="AD171" s="53" t="s">
        <v>7035</v>
      </c>
      <c r="AE171" s="38" t="s">
        <v>7036</v>
      </c>
      <c r="AF171" s="256" t="s">
        <v>7037</v>
      </c>
      <c r="AG171" s="270"/>
      <c r="AH171" s="163" t="str">
        <f t="shared" ca="1" si="28"/>
        <v>MUERTO</v>
      </c>
      <c r="AI171" s="39">
        <v>35701</v>
      </c>
      <c r="AJ171" s="39"/>
      <c r="AK171" s="39" t="s">
        <v>6875</v>
      </c>
      <c r="AL171" s="39"/>
      <c r="AM171" s="39" t="s">
        <v>6875</v>
      </c>
      <c r="AN171" s="39"/>
      <c r="AO171" s="39"/>
      <c r="AP171" s="38" t="str">
        <f>VLOOKUP(I171,'[4] RFC'!A:B,2,0)</f>
        <v>EEA1006077G5</v>
      </c>
      <c r="AQ171" s="59">
        <v>45637</v>
      </c>
      <c r="AR171" s="59">
        <v>45639</v>
      </c>
      <c r="AS171" s="59">
        <v>45653</v>
      </c>
      <c r="AT171" s="59">
        <f t="shared" si="32"/>
        <v>45652</v>
      </c>
      <c r="AU171" s="183"/>
      <c r="AV171" s="195">
        <v>45652</v>
      </c>
      <c r="AW171" s="185"/>
    </row>
    <row r="172" spans="1:49" ht="60" hidden="1" x14ac:dyDescent="0.25">
      <c r="A172" s="248" t="s">
        <v>7038</v>
      </c>
      <c r="B172" s="259">
        <v>70</v>
      </c>
      <c r="C172" s="167" t="s">
        <v>149</v>
      </c>
      <c r="D172" s="259" t="s">
        <v>163</v>
      </c>
      <c r="E172" s="287" t="s">
        <v>7039</v>
      </c>
      <c r="F172" s="39" t="str">
        <f t="shared" si="31"/>
        <v>Adjudicación Directa</v>
      </c>
      <c r="G172" s="259" t="s">
        <v>163</v>
      </c>
      <c r="H172" s="39" t="s">
        <v>7040</v>
      </c>
      <c r="I172" s="81" t="s">
        <v>7041</v>
      </c>
      <c r="J172" s="1046"/>
      <c r="K172" s="1046"/>
      <c r="L172" s="1046"/>
      <c r="M172" s="1046" t="str">
        <f t="shared" si="22"/>
        <v xml:space="preserve">Sistema Integral de Mantenimiento Alfa, S.A. de C.V.  </v>
      </c>
      <c r="N172" s="991" t="s">
        <v>198</v>
      </c>
      <c r="O172" s="300" t="s">
        <v>198</v>
      </c>
      <c r="P172" s="300" t="s">
        <v>7042</v>
      </c>
      <c r="Q172" s="1040" t="s">
        <v>6059</v>
      </c>
      <c r="R172" s="1047">
        <v>515344.83</v>
      </c>
      <c r="S172" s="270">
        <f t="shared" si="30"/>
        <v>82455.1728</v>
      </c>
      <c r="T172" s="1048">
        <f t="shared" si="27"/>
        <v>597800.00280000002</v>
      </c>
      <c r="U172" s="1047">
        <v>206137.93</v>
      </c>
      <c r="V172" s="270">
        <f t="shared" si="25"/>
        <v>239119.9988</v>
      </c>
      <c r="W172" s="270">
        <f>T172+AG172</f>
        <v>597800.00280000002</v>
      </c>
      <c r="X172" s="993" t="s">
        <v>156</v>
      </c>
      <c r="Y172" s="59">
        <v>45428</v>
      </c>
      <c r="Z172" s="39" t="s">
        <v>559</v>
      </c>
      <c r="AA172" s="59">
        <v>45428</v>
      </c>
      <c r="AB172" s="59">
        <v>45626</v>
      </c>
      <c r="AC172" s="38" t="s">
        <v>6867</v>
      </c>
      <c r="AD172" s="53"/>
      <c r="AE172" s="38"/>
      <c r="AF172" s="256"/>
      <c r="AG172" s="270">
        <v>0</v>
      </c>
      <c r="AH172" s="163" t="str">
        <f t="shared" ca="1" si="28"/>
        <v>MUERTO</v>
      </c>
      <c r="AI172" s="39">
        <v>35201</v>
      </c>
      <c r="AJ172" s="39"/>
      <c r="AK172" s="39" t="s">
        <v>6572</v>
      </c>
      <c r="AL172" s="39"/>
      <c r="AM172" s="39" t="s">
        <v>6572</v>
      </c>
      <c r="AN172" s="39"/>
      <c r="AO172" s="39"/>
      <c r="AP172" s="38" t="e">
        <f>VLOOKUP(I172,'[4] RFC'!A:B,2,0)</f>
        <v>#N/A</v>
      </c>
      <c r="AQ172" s="59">
        <v>45425</v>
      </c>
      <c r="AR172" s="59">
        <v>45426</v>
      </c>
      <c r="AS172" s="59">
        <v>45428</v>
      </c>
      <c r="AT172" s="59">
        <f t="shared" si="32"/>
        <v>45428</v>
      </c>
      <c r="AU172" s="183">
        <v>45455</v>
      </c>
      <c r="AV172" s="195">
        <v>45434</v>
      </c>
      <c r="AW172" s="185">
        <v>45429</v>
      </c>
    </row>
    <row r="173" spans="1:49" ht="45" hidden="1" x14ac:dyDescent="0.25">
      <c r="A173" s="248" t="s">
        <v>7043</v>
      </c>
      <c r="B173" s="259">
        <v>71</v>
      </c>
      <c r="C173" s="167" t="s">
        <v>149</v>
      </c>
      <c r="D173" s="259" t="s">
        <v>163</v>
      </c>
      <c r="E173" s="287" t="s">
        <v>7044</v>
      </c>
      <c r="F173" s="39" t="s">
        <v>7045</v>
      </c>
      <c r="G173" s="309" t="s">
        <v>163</v>
      </c>
      <c r="H173" s="39" t="s">
        <v>7046</v>
      </c>
      <c r="I173" s="1046" t="s">
        <v>7047</v>
      </c>
      <c r="J173" s="1046"/>
      <c r="K173" s="1046"/>
      <c r="L173" s="1046"/>
      <c r="M173" s="1046" t="str">
        <f t="shared" si="22"/>
        <v xml:space="preserve">Kertec Corporatión, S.A. de C.V.  </v>
      </c>
      <c r="N173" s="991" t="s">
        <v>656</v>
      </c>
      <c r="O173" s="300" t="s">
        <v>209</v>
      </c>
      <c r="P173" s="991" t="s">
        <v>6598</v>
      </c>
      <c r="Q173" s="1040" t="s">
        <v>7048</v>
      </c>
      <c r="R173" s="1047">
        <v>6465517.2400000002</v>
      </c>
      <c r="S173" s="270">
        <f t="shared" si="30"/>
        <v>1034482.7584</v>
      </c>
      <c r="T173" s="1048">
        <f t="shared" si="27"/>
        <v>7499999.9983999999</v>
      </c>
      <c r="U173" s="1047">
        <v>2586206.9</v>
      </c>
      <c r="V173" s="270">
        <f t="shared" si="25"/>
        <v>3000000.0039999997</v>
      </c>
      <c r="W173" s="270">
        <f t="shared" si="29"/>
        <v>7499999.9983999999</v>
      </c>
      <c r="X173" s="993" t="s">
        <v>156</v>
      </c>
      <c r="Y173" s="59">
        <v>45448</v>
      </c>
      <c r="Z173" s="39" t="s">
        <v>496</v>
      </c>
      <c r="AA173" s="59">
        <v>45448</v>
      </c>
      <c r="AB173" s="59">
        <v>45657</v>
      </c>
      <c r="AC173" s="38" t="s">
        <v>6867</v>
      </c>
      <c r="AD173" s="53"/>
      <c r="AE173" s="38"/>
      <c r="AF173" s="256"/>
      <c r="AG173" s="270">
        <v>0</v>
      </c>
      <c r="AH173" s="163" t="str">
        <f t="shared" ca="1" si="28"/>
        <v>MUERTO</v>
      </c>
      <c r="AI173" s="466" t="s">
        <v>7049</v>
      </c>
      <c r="AJ173" s="39"/>
      <c r="AK173" s="39" t="s">
        <v>3797</v>
      </c>
      <c r="AL173" s="39"/>
      <c r="AM173" s="39" t="s">
        <v>3797</v>
      </c>
      <c r="AN173" s="39"/>
      <c r="AO173" s="39"/>
      <c r="AP173" s="38" t="e">
        <f>VLOOKUP(I173,'[4] RFC'!A:B,2,0)</f>
        <v>#N/A</v>
      </c>
      <c r="AQ173" s="59">
        <v>45440</v>
      </c>
      <c r="AR173" s="59">
        <v>45442</v>
      </c>
      <c r="AS173" s="59">
        <v>45446</v>
      </c>
      <c r="AT173" s="59">
        <f t="shared" si="32"/>
        <v>45448</v>
      </c>
      <c r="AU173" s="183">
        <v>45462</v>
      </c>
      <c r="AV173" s="195">
        <v>45449</v>
      </c>
      <c r="AW173" s="185">
        <v>45448</v>
      </c>
    </row>
    <row r="174" spans="1:49" ht="45" hidden="1" x14ac:dyDescent="0.25">
      <c r="A174" s="248" t="s">
        <v>7050</v>
      </c>
      <c r="B174" s="259">
        <v>72</v>
      </c>
      <c r="C174" s="167" t="s">
        <v>149</v>
      </c>
      <c r="D174" s="259" t="s">
        <v>163</v>
      </c>
      <c r="E174" s="287" t="s">
        <v>7051</v>
      </c>
      <c r="F174" s="287" t="s">
        <v>2237</v>
      </c>
      <c r="G174" s="685" t="s">
        <v>546</v>
      </c>
      <c r="H174" s="39" t="s">
        <v>7024</v>
      </c>
      <c r="I174" s="81" t="s">
        <v>7052</v>
      </c>
      <c r="J174" s="1046"/>
      <c r="K174" s="1046"/>
      <c r="L174" s="1046"/>
      <c r="M174" s="1046" t="str">
        <f t="shared" si="22"/>
        <v xml:space="preserve">Meteoro Studios, S.C.  </v>
      </c>
      <c r="N174" s="991" t="s">
        <v>6552</v>
      </c>
      <c r="O174" s="991" t="s">
        <v>1946</v>
      </c>
      <c r="P174" s="991"/>
      <c r="Q174" s="1040" t="s">
        <v>7053</v>
      </c>
      <c r="R174" s="1047">
        <v>1625000</v>
      </c>
      <c r="S174" s="270">
        <f t="shared" si="30"/>
        <v>260000</v>
      </c>
      <c r="T174" s="1048">
        <f t="shared" si="27"/>
        <v>1885000</v>
      </c>
      <c r="U174" s="1047">
        <v>0</v>
      </c>
      <c r="V174" s="270">
        <f t="shared" si="25"/>
        <v>0</v>
      </c>
      <c r="W174" s="270">
        <f t="shared" si="29"/>
        <v>1885000</v>
      </c>
      <c r="X174" s="993" t="s">
        <v>156</v>
      </c>
      <c r="Y174" s="59">
        <v>45453</v>
      </c>
      <c r="Z174" s="39" t="s">
        <v>496</v>
      </c>
      <c r="AA174" s="59">
        <v>45453</v>
      </c>
      <c r="AB174" s="59">
        <v>45575</v>
      </c>
      <c r="AC174" s="38" t="s">
        <v>3113</v>
      </c>
      <c r="AD174" s="53"/>
      <c r="AE174" s="38"/>
      <c r="AF174" s="256"/>
      <c r="AG174" s="270">
        <v>0</v>
      </c>
      <c r="AH174" s="163" t="str">
        <f t="shared" ca="1" si="28"/>
        <v>MUERTO</v>
      </c>
      <c r="AI174" s="39">
        <v>36301</v>
      </c>
      <c r="AJ174" s="39"/>
      <c r="AK174" s="39" t="s">
        <v>3797</v>
      </c>
      <c r="AL174" s="39"/>
      <c r="AM174" s="39" t="s">
        <v>3797</v>
      </c>
      <c r="AN174" s="39"/>
      <c r="AO174" s="39"/>
      <c r="AP174" s="38" t="e">
        <f>VLOOKUP(I174,'[4] RFC'!A:B,2,0)</f>
        <v>#N/A</v>
      </c>
      <c r="AQ174" s="59">
        <v>45443</v>
      </c>
      <c r="AR174" s="59">
        <v>45446</v>
      </c>
      <c r="AS174" s="59">
        <v>45448</v>
      </c>
      <c r="AT174" s="59">
        <f t="shared" si="32"/>
        <v>45453</v>
      </c>
      <c r="AU174" s="183">
        <v>45464</v>
      </c>
      <c r="AV174" s="195">
        <v>45456</v>
      </c>
      <c r="AW174" s="185">
        <v>45453</v>
      </c>
    </row>
    <row r="175" spans="1:49" ht="45" hidden="1" x14ac:dyDescent="0.25">
      <c r="A175" s="248" t="s">
        <v>7054</v>
      </c>
      <c r="B175" s="259">
        <v>73</v>
      </c>
      <c r="C175" s="167" t="s">
        <v>149</v>
      </c>
      <c r="D175" s="259" t="s">
        <v>163</v>
      </c>
      <c r="E175" s="287" t="s">
        <v>7051</v>
      </c>
      <c r="F175" s="287" t="s">
        <v>2237</v>
      </c>
      <c r="G175" s="685" t="s">
        <v>546</v>
      </c>
      <c r="H175" s="39" t="s">
        <v>7024</v>
      </c>
      <c r="I175" s="81"/>
      <c r="J175" s="1046" t="s">
        <v>7055</v>
      </c>
      <c r="K175" s="1046" t="s">
        <v>7056</v>
      </c>
      <c r="L175" s="1046" t="s">
        <v>7057</v>
      </c>
      <c r="M175" s="1046" t="str">
        <f t="shared" si="22"/>
        <v xml:space="preserve">Luis Manuel  Ortiz  Gómez </v>
      </c>
      <c r="N175" s="991" t="s">
        <v>6552</v>
      </c>
      <c r="O175" s="991" t="s">
        <v>1946</v>
      </c>
      <c r="P175" s="991"/>
      <c r="Q175" s="1040" t="s">
        <v>7058</v>
      </c>
      <c r="R175" s="1047">
        <v>392000</v>
      </c>
      <c r="S175" s="270">
        <f t="shared" si="30"/>
        <v>62720</v>
      </c>
      <c r="T175" s="1048">
        <f t="shared" si="27"/>
        <v>454720</v>
      </c>
      <c r="U175" s="1047">
        <v>0</v>
      </c>
      <c r="V175" s="270">
        <f t="shared" si="25"/>
        <v>0</v>
      </c>
      <c r="W175" s="270">
        <f t="shared" si="29"/>
        <v>454720</v>
      </c>
      <c r="X175" s="993" t="s">
        <v>156</v>
      </c>
      <c r="Y175" s="59">
        <v>45453</v>
      </c>
      <c r="Z175" s="39" t="s">
        <v>496</v>
      </c>
      <c r="AA175" s="59">
        <v>45453</v>
      </c>
      <c r="AB175" s="59">
        <v>45580</v>
      </c>
      <c r="AC175" s="38" t="s">
        <v>3113</v>
      </c>
      <c r="AD175" s="53"/>
      <c r="AE175" s="38"/>
      <c r="AF175" s="256"/>
      <c r="AG175" s="270">
        <v>0</v>
      </c>
      <c r="AH175" s="163" t="str">
        <f t="shared" ca="1" si="28"/>
        <v>MUERTO</v>
      </c>
      <c r="AI175" s="39">
        <v>36301</v>
      </c>
      <c r="AJ175" s="39"/>
      <c r="AK175" s="39" t="s">
        <v>3797</v>
      </c>
      <c r="AL175" s="39"/>
      <c r="AM175" s="39" t="s">
        <v>3797</v>
      </c>
      <c r="AN175" s="39"/>
      <c r="AO175" s="39"/>
      <c r="AP175" s="38" t="e">
        <f>VLOOKUP(I175,'[4] RFC'!A:B,2,0)</f>
        <v>#N/A</v>
      </c>
      <c r="AQ175" s="59">
        <v>45443</v>
      </c>
      <c r="AR175" s="59">
        <v>45446</v>
      </c>
      <c r="AS175" s="59">
        <v>45448</v>
      </c>
      <c r="AT175" s="59">
        <f t="shared" si="32"/>
        <v>45453</v>
      </c>
      <c r="AU175" s="183">
        <v>45468</v>
      </c>
      <c r="AV175" s="195">
        <v>45456</v>
      </c>
      <c r="AW175" s="185">
        <v>45453</v>
      </c>
    </row>
    <row r="176" spans="1:49" ht="45" hidden="1" x14ac:dyDescent="0.25">
      <c r="A176" s="248" t="s">
        <v>7059</v>
      </c>
      <c r="B176" s="259">
        <v>74</v>
      </c>
      <c r="C176" s="167" t="s">
        <v>149</v>
      </c>
      <c r="D176" s="259" t="s">
        <v>163</v>
      </c>
      <c r="E176" s="287" t="s">
        <v>7051</v>
      </c>
      <c r="F176" s="287" t="s">
        <v>2237</v>
      </c>
      <c r="G176" s="685" t="s">
        <v>546</v>
      </c>
      <c r="H176" s="39" t="s">
        <v>7024</v>
      </c>
      <c r="I176" s="81"/>
      <c r="J176" s="1046" t="s">
        <v>5103</v>
      </c>
      <c r="K176" s="1046" t="s">
        <v>5942</v>
      </c>
      <c r="L176" s="1046" t="s">
        <v>393</v>
      </c>
      <c r="M176" s="1046" t="str">
        <f>I176&amp;J176&amp;" "&amp;K176&amp;" "&amp;L176</f>
        <v>Griselda Romero Martínez</v>
      </c>
      <c r="N176" s="991" t="s">
        <v>6552</v>
      </c>
      <c r="O176" s="991" t="s">
        <v>1946</v>
      </c>
      <c r="P176" s="991"/>
      <c r="Q176" s="1040" t="s">
        <v>7060</v>
      </c>
      <c r="R176" s="1047">
        <v>600000</v>
      </c>
      <c r="S176" s="270">
        <f t="shared" si="30"/>
        <v>96000</v>
      </c>
      <c r="T176" s="1048">
        <f t="shared" si="27"/>
        <v>696000</v>
      </c>
      <c r="U176" s="1047">
        <v>0</v>
      </c>
      <c r="V176" s="270">
        <f t="shared" si="25"/>
        <v>0</v>
      </c>
      <c r="W176" s="270">
        <f t="shared" si="29"/>
        <v>696000</v>
      </c>
      <c r="X176" s="993" t="s">
        <v>156</v>
      </c>
      <c r="Y176" s="59">
        <v>45453</v>
      </c>
      <c r="Z176" s="39" t="s">
        <v>496</v>
      </c>
      <c r="AA176" s="59">
        <v>45453</v>
      </c>
      <c r="AB176" s="59">
        <v>45625</v>
      </c>
      <c r="AC176" s="38" t="s">
        <v>3113</v>
      </c>
      <c r="AD176" s="53"/>
      <c r="AE176" s="38"/>
      <c r="AF176" s="256"/>
      <c r="AG176" s="270">
        <v>0</v>
      </c>
      <c r="AH176" s="163" t="str">
        <f t="shared" ca="1" si="28"/>
        <v>MUERTO</v>
      </c>
      <c r="AI176" s="39">
        <v>36301</v>
      </c>
      <c r="AJ176" s="39"/>
      <c r="AK176" s="39" t="s">
        <v>3797</v>
      </c>
      <c r="AL176" s="39"/>
      <c r="AM176" s="39" t="s">
        <v>3797</v>
      </c>
      <c r="AN176" s="39"/>
      <c r="AO176" s="39"/>
      <c r="AP176" s="38" t="e">
        <f>VLOOKUP(I176,'[4] RFC'!A:B,2,0)</f>
        <v>#N/A</v>
      </c>
      <c r="AQ176" s="59">
        <v>45443</v>
      </c>
      <c r="AR176" s="59">
        <v>45448</v>
      </c>
      <c r="AS176" s="59">
        <v>45449</v>
      </c>
      <c r="AT176" s="59">
        <f t="shared" si="32"/>
        <v>45453</v>
      </c>
      <c r="AU176" s="183">
        <v>45464</v>
      </c>
      <c r="AV176" s="195">
        <v>45456</v>
      </c>
      <c r="AW176" s="185">
        <v>45453</v>
      </c>
    </row>
    <row r="177" spans="1:49" ht="75" hidden="1" x14ac:dyDescent="0.25">
      <c r="A177" s="248" t="s">
        <v>7061</v>
      </c>
      <c r="B177" s="259">
        <v>75</v>
      </c>
      <c r="C177" s="167" t="s">
        <v>149</v>
      </c>
      <c r="D177" s="259" t="s">
        <v>163</v>
      </c>
      <c r="E177" s="287" t="s">
        <v>7062</v>
      </c>
      <c r="F177" s="39" t="str">
        <f t="shared" si="31"/>
        <v>Adjudicación Directa</v>
      </c>
      <c r="G177" s="259" t="s">
        <v>163</v>
      </c>
      <c r="H177" s="39" t="s">
        <v>7063</v>
      </c>
      <c r="I177" s="81" t="s">
        <v>6750</v>
      </c>
      <c r="J177" s="1046"/>
      <c r="K177" s="1046"/>
      <c r="L177" s="1046"/>
      <c r="M177" s="1046" t="str">
        <f t="shared" si="22"/>
        <v xml:space="preserve">Full Service de México, S.A. de C.V  </v>
      </c>
      <c r="N177" s="991" t="s">
        <v>656</v>
      </c>
      <c r="O177" s="991" t="s">
        <v>656</v>
      </c>
      <c r="P177" s="991" t="s">
        <v>7064</v>
      </c>
      <c r="Q177" s="1040" t="s">
        <v>7065</v>
      </c>
      <c r="R177" s="1047">
        <v>2764754.31</v>
      </c>
      <c r="S177" s="270">
        <f t="shared" si="30"/>
        <v>442360.68960000004</v>
      </c>
      <c r="T177" s="1048">
        <f t="shared" si="27"/>
        <v>3207114.9996000002</v>
      </c>
      <c r="U177" s="1047">
        <v>1429668.53</v>
      </c>
      <c r="V177" s="270">
        <f t="shared" si="25"/>
        <v>1658415.4948</v>
      </c>
      <c r="W177" s="1041">
        <f t="shared" si="29"/>
        <v>3207114.9996000002</v>
      </c>
      <c r="X177" s="993" t="s">
        <v>156</v>
      </c>
      <c r="Y177" s="59">
        <v>45481</v>
      </c>
      <c r="Z177" s="39" t="s">
        <v>696</v>
      </c>
      <c r="AA177" s="59">
        <v>45481</v>
      </c>
      <c r="AB177" s="59">
        <v>45657</v>
      </c>
      <c r="AC177" s="38" t="s">
        <v>7066</v>
      </c>
      <c r="AD177" s="53"/>
      <c r="AE177" s="38"/>
      <c r="AF177" s="256"/>
      <c r="AG177" s="270">
        <v>0</v>
      </c>
      <c r="AH177" s="163" t="str">
        <f t="shared" ca="1" si="28"/>
        <v>MUERTO</v>
      </c>
      <c r="AI177" s="39" t="s">
        <v>7067</v>
      </c>
      <c r="AJ177" s="39"/>
      <c r="AK177" s="39" t="s">
        <v>3813</v>
      </c>
      <c r="AL177" s="39"/>
      <c r="AM177" s="39" t="s">
        <v>3813</v>
      </c>
      <c r="AN177" s="39"/>
      <c r="AO177" s="39"/>
      <c r="AP177" s="38" t="e">
        <f>VLOOKUP(I177,'[4] RFC'!A:B,2,0)</f>
        <v>#N/A</v>
      </c>
      <c r="AQ177" s="59">
        <v>45476</v>
      </c>
      <c r="AR177" s="59">
        <v>45477</v>
      </c>
      <c r="AS177" s="59">
        <v>45481</v>
      </c>
      <c r="AT177" s="59">
        <f t="shared" si="32"/>
        <v>45481</v>
      </c>
      <c r="AU177" s="183">
        <v>45512</v>
      </c>
      <c r="AV177" s="195">
        <v>45491</v>
      </c>
      <c r="AW177" s="185">
        <v>45488</v>
      </c>
    </row>
    <row r="178" spans="1:49" ht="75" hidden="1" x14ac:dyDescent="0.25">
      <c r="A178" s="196" t="s">
        <v>7068</v>
      </c>
      <c r="B178" s="259">
        <v>75</v>
      </c>
      <c r="C178" s="167" t="s">
        <v>149</v>
      </c>
      <c r="D178" s="259" t="s">
        <v>6303</v>
      </c>
      <c r="E178" s="287" t="s">
        <v>7062</v>
      </c>
      <c r="F178" s="39" t="str">
        <f t="shared" si="31"/>
        <v>Modificatorio</v>
      </c>
      <c r="G178" s="259" t="s">
        <v>163</v>
      </c>
      <c r="H178" s="39" t="s">
        <v>7063</v>
      </c>
      <c r="I178" s="81" t="s">
        <v>6750</v>
      </c>
      <c r="J178" s="1046"/>
      <c r="K178" s="1046"/>
      <c r="L178" s="1046"/>
      <c r="M178" s="1046" t="str">
        <f t="shared" si="22"/>
        <v xml:space="preserve">Full Service de México, S.A. de C.V  </v>
      </c>
      <c r="N178" s="991" t="s">
        <v>656</v>
      </c>
      <c r="O178" s="991" t="s">
        <v>656</v>
      </c>
      <c r="P178" s="991" t="s">
        <v>7064</v>
      </c>
      <c r="Q178" s="1040" t="s">
        <v>7065</v>
      </c>
      <c r="R178" s="1047">
        <v>2764754.31</v>
      </c>
      <c r="S178" s="270">
        <f t="shared" si="30"/>
        <v>442360.68960000004</v>
      </c>
      <c r="T178" s="1048">
        <f t="shared" si="27"/>
        <v>3207114.9996000002</v>
      </c>
      <c r="U178" s="1047">
        <v>1429668.53</v>
      </c>
      <c r="V178" s="270">
        <f t="shared" si="25"/>
        <v>1658415.4948</v>
      </c>
      <c r="W178" s="1041">
        <f t="shared" si="29"/>
        <v>3207114.9996000002</v>
      </c>
      <c r="X178" s="993" t="s">
        <v>156</v>
      </c>
      <c r="Y178" s="59">
        <v>45481</v>
      </c>
      <c r="Z178" s="39" t="s">
        <v>881</v>
      </c>
      <c r="AA178" s="59">
        <v>45481</v>
      </c>
      <c r="AB178" s="59">
        <v>45657</v>
      </c>
      <c r="AC178" s="38" t="s">
        <v>7066</v>
      </c>
      <c r="AD178" s="53" t="s">
        <v>7069</v>
      </c>
      <c r="AE178" s="38"/>
      <c r="AF178" s="256"/>
      <c r="AG178" s="270"/>
      <c r="AH178" s="163" t="s">
        <v>1388</v>
      </c>
      <c r="AI178" s="39" t="s">
        <v>7067</v>
      </c>
      <c r="AJ178" s="39"/>
      <c r="AK178" s="39"/>
      <c r="AL178" s="39"/>
      <c r="AM178" s="39"/>
      <c r="AN178" s="39"/>
      <c r="AO178" s="39"/>
      <c r="AP178" s="38"/>
      <c r="AQ178" s="59">
        <v>45575</v>
      </c>
      <c r="AR178" s="59">
        <v>45581</v>
      </c>
      <c r="AS178" s="59">
        <v>45588</v>
      </c>
      <c r="AT178" s="59">
        <f t="shared" si="32"/>
        <v>45481</v>
      </c>
      <c r="AU178" s="183">
        <v>45646</v>
      </c>
      <c r="AV178" s="195">
        <v>45583</v>
      </c>
      <c r="AW178" s="185">
        <v>45594</v>
      </c>
    </row>
    <row r="179" spans="1:49" ht="150" hidden="1" x14ac:dyDescent="0.25">
      <c r="A179" s="248" t="s">
        <v>7070</v>
      </c>
      <c r="B179" s="259">
        <v>76</v>
      </c>
      <c r="C179" s="167" t="s">
        <v>149</v>
      </c>
      <c r="D179" s="259" t="s">
        <v>151</v>
      </c>
      <c r="E179" s="287" t="s">
        <v>7071</v>
      </c>
      <c r="F179" s="39" t="str">
        <f t="shared" si="31"/>
        <v>Invitación</v>
      </c>
      <c r="G179" s="39"/>
      <c r="H179" s="39" t="s">
        <v>3793</v>
      </c>
      <c r="I179" s="81" t="s">
        <v>4537</v>
      </c>
      <c r="J179" s="1046"/>
      <c r="K179" s="1046"/>
      <c r="L179" s="1046"/>
      <c r="M179" s="1046" t="str">
        <f>I179&amp;J179&amp;" "&amp;K179&amp;" "&amp;L179</f>
        <v xml:space="preserve">Escalator, Elevator &amp; Electromechanics Enterprise, S.A. de C.V.  </v>
      </c>
      <c r="N179" s="991" t="s">
        <v>198</v>
      </c>
      <c r="O179" s="300" t="s">
        <v>198</v>
      </c>
      <c r="P179" s="300" t="s">
        <v>6244</v>
      </c>
      <c r="Q179" s="1040" t="s">
        <v>7072</v>
      </c>
      <c r="R179" s="1047">
        <v>943082.08</v>
      </c>
      <c r="S179" s="270">
        <f t="shared" si="30"/>
        <v>150893.13279999999</v>
      </c>
      <c r="T179" s="1048">
        <f t="shared" si="27"/>
        <v>1093975.2127999999</v>
      </c>
      <c r="U179" s="1047">
        <v>0</v>
      </c>
      <c r="V179" s="270">
        <f t="shared" si="25"/>
        <v>0</v>
      </c>
      <c r="W179" s="1041">
        <f t="shared" si="29"/>
        <v>1093975.2127999999</v>
      </c>
      <c r="X179" s="993" t="s">
        <v>156</v>
      </c>
      <c r="Y179" s="59">
        <v>45483</v>
      </c>
      <c r="Z179" s="39" t="s">
        <v>696</v>
      </c>
      <c r="AA179" s="59">
        <v>45483</v>
      </c>
      <c r="AB179" s="59">
        <v>45656</v>
      </c>
      <c r="AC179" s="38" t="s">
        <v>6867</v>
      </c>
      <c r="AD179" s="53"/>
      <c r="AE179" s="38"/>
      <c r="AF179" s="256"/>
      <c r="AG179" s="270">
        <v>0</v>
      </c>
      <c r="AH179" s="163" t="str">
        <f t="shared" ca="1" si="28"/>
        <v>MUERTO</v>
      </c>
      <c r="AI179" s="39">
        <v>35701</v>
      </c>
      <c r="AJ179" s="39"/>
      <c r="AK179" s="39" t="s">
        <v>3813</v>
      </c>
      <c r="AL179" s="39"/>
      <c r="AM179" s="39" t="s">
        <v>3813</v>
      </c>
      <c r="AN179" s="39"/>
      <c r="AO179" s="39"/>
      <c r="AP179" s="38" t="str">
        <f>VLOOKUP(I179,'[4] RFC'!A:B,2,0)</f>
        <v>EEA1006077G5</v>
      </c>
      <c r="AQ179" s="59">
        <v>45448</v>
      </c>
      <c r="AR179" s="59">
        <v>45481</v>
      </c>
      <c r="AS179" s="59">
        <v>45483</v>
      </c>
      <c r="AT179" s="59">
        <f t="shared" si="32"/>
        <v>45483</v>
      </c>
      <c r="AU179" s="183">
        <v>45505</v>
      </c>
      <c r="AV179" s="195">
        <v>45488</v>
      </c>
      <c r="AW179" s="185">
        <v>45484</v>
      </c>
    </row>
    <row r="180" spans="1:49" ht="135" hidden="1" x14ac:dyDescent="0.25">
      <c r="A180" s="248" t="s">
        <v>7073</v>
      </c>
      <c r="B180" s="259">
        <v>77</v>
      </c>
      <c r="C180" s="167" t="s">
        <v>149</v>
      </c>
      <c r="D180" s="259" t="s">
        <v>163</v>
      </c>
      <c r="E180" s="287" t="s">
        <v>7074</v>
      </c>
      <c r="F180" s="39" t="str">
        <f>D180</f>
        <v>Adjudicación Directa</v>
      </c>
      <c r="G180" s="259" t="s">
        <v>163</v>
      </c>
      <c r="H180" s="39" t="s">
        <v>7063</v>
      </c>
      <c r="I180" s="81" t="s">
        <v>6788</v>
      </c>
      <c r="J180" s="1046"/>
      <c r="K180" s="1046"/>
      <c r="L180" s="1046"/>
      <c r="M180" s="1046" t="str">
        <f>I180&amp;J180&amp;" "&amp;K180&amp;" "&amp;L180</f>
        <v xml:space="preserve">Dhimex Ciudad de México, S.A de C.V  </v>
      </c>
      <c r="N180" s="991" t="s">
        <v>5099</v>
      </c>
      <c r="O180" s="991" t="s">
        <v>5099</v>
      </c>
      <c r="P180" s="991" t="s">
        <v>5668</v>
      </c>
      <c r="Q180" s="1040" t="s">
        <v>7075</v>
      </c>
      <c r="R180" s="1047">
        <v>2668713.96</v>
      </c>
      <c r="S180" s="270">
        <f>R180*0.16</f>
        <v>426994.23359999998</v>
      </c>
      <c r="T180" s="1048">
        <f>R180+S180</f>
        <v>3095708.1935999999</v>
      </c>
      <c r="U180" s="1047">
        <v>0</v>
      </c>
      <c r="V180" s="270">
        <f>(U180*0.16)+(U180)</f>
        <v>0</v>
      </c>
      <c r="W180" s="1041">
        <f>T180+AG180</f>
        <v>3095708.1935999999</v>
      </c>
      <c r="X180" s="993" t="s">
        <v>156</v>
      </c>
      <c r="Y180" s="59">
        <v>45490</v>
      </c>
      <c r="Z180" s="39" t="s">
        <v>696</v>
      </c>
      <c r="AA180" s="59">
        <v>45490</v>
      </c>
      <c r="AB180" s="59">
        <v>45657</v>
      </c>
      <c r="AC180" s="38" t="s">
        <v>6867</v>
      </c>
      <c r="AD180" s="53"/>
      <c r="AE180" s="38"/>
      <c r="AF180" s="256"/>
      <c r="AG180" s="270">
        <v>0</v>
      </c>
      <c r="AH180" s="163" t="str">
        <f t="shared" ca="1" si="28"/>
        <v>MUERTO</v>
      </c>
      <c r="AI180" s="39"/>
      <c r="AJ180" s="39"/>
      <c r="AK180" s="39" t="s">
        <v>3813</v>
      </c>
      <c r="AL180" s="39"/>
      <c r="AM180" s="39" t="s">
        <v>3813</v>
      </c>
      <c r="AN180" s="39"/>
      <c r="AO180" s="39"/>
      <c r="AP180" s="38" t="e">
        <f>VLOOKUP(I180,'[4] RFC'!A:B,2,0)</f>
        <v>#N/A</v>
      </c>
      <c r="AQ180" s="59">
        <v>45484</v>
      </c>
      <c r="AR180" s="59">
        <v>45488</v>
      </c>
      <c r="AS180" s="59">
        <v>45489</v>
      </c>
      <c r="AT180" s="59">
        <f>+Y180</f>
        <v>45490</v>
      </c>
      <c r="AU180" s="183">
        <v>45505</v>
      </c>
      <c r="AV180" s="195">
        <v>45495</v>
      </c>
      <c r="AW180" s="185">
        <v>45490</v>
      </c>
    </row>
    <row r="181" spans="1:49" ht="75" hidden="1" x14ac:dyDescent="0.25">
      <c r="A181" s="248" t="s">
        <v>7076</v>
      </c>
      <c r="B181" s="259">
        <v>78</v>
      </c>
      <c r="C181" s="167" t="s">
        <v>149</v>
      </c>
      <c r="D181" s="259" t="s">
        <v>163</v>
      </c>
      <c r="E181" s="287" t="s">
        <v>7074</v>
      </c>
      <c r="F181" s="39" t="str">
        <f t="shared" si="31"/>
        <v>Adjudicación Directa</v>
      </c>
      <c r="G181" s="259" t="s">
        <v>163</v>
      </c>
      <c r="H181" s="39" t="s">
        <v>7024</v>
      </c>
      <c r="I181" s="81" t="s">
        <v>7077</v>
      </c>
      <c r="J181" s="1046"/>
      <c r="K181" s="1046"/>
      <c r="L181" s="1046"/>
      <c r="M181" s="1046" t="str">
        <f>I181&amp;J181&amp;" "&amp;K181&amp;" "&amp;L181</f>
        <v xml:space="preserve">Recursos, Sistemas y Conocimiento, S.A. de C.V.  </v>
      </c>
      <c r="N181" s="991" t="s">
        <v>656</v>
      </c>
      <c r="O181" s="991" t="s">
        <v>7078</v>
      </c>
      <c r="P181" s="991" t="s">
        <v>6361</v>
      </c>
      <c r="Q181" s="1040" t="s">
        <v>7079</v>
      </c>
      <c r="R181" s="1047">
        <v>2980000</v>
      </c>
      <c r="S181" s="270">
        <f t="shared" si="30"/>
        <v>476800</v>
      </c>
      <c r="T181" s="1048">
        <f t="shared" si="27"/>
        <v>3456800</v>
      </c>
      <c r="U181" s="1047">
        <v>0</v>
      </c>
      <c r="V181" s="270">
        <f t="shared" si="25"/>
        <v>0</v>
      </c>
      <c r="W181" s="1041">
        <f t="shared" si="29"/>
        <v>3456800</v>
      </c>
      <c r="X181" s="993" t="s">
        <v>156</v>
      </c>
      <c r="Y181" s="59">
        <v>45491</v>
      </c>
      <c r="Z181" s="39" t="s">
        <v>696</v>
      </c>
      <c r="AA181" s="59">
        <v>45491</v>
      </c>
      <c r="AB181" s="59">
        <v>45657</v>
      </c>
      <c r="AC181" s="38" t="s">
        <v>7066</v>
      </c>
      <c r="AD181" s="53"/>
      <c r="AE181" s="38"/>
      <c r="AF181" s="256"/>
      <c r="AG181" s="270">
        <v>0</v>
      </c>
      <c r="AH181" s="163" t="str">
        <f t="shared" ca="1" si="28"/>
        <v>MUERTO</v>
      </c>
      <c r="AI181" s="39">
        <v>33304</v>
      </c>
      <c r="AJ181" s="39"/>
      <c r="AK181" s="39" t="s">
        <v>3813</v>
      </c>
      <c r="AL181" s="39"/>
      <c r="AM181" s="39" t="s">
        <v>3813</v>
      </c>
      <c r="AN181" s="39"/>
      <c r="AO181" s="39"/>
      <c r="AP181" s="38" t="e">
        <f>VLOOKUP(I181,'[4] RFC'!A:B,2,0)</f>
        <v>#N/A</v>
      </c>
      <c r="AQ181" s="59">
        <v>45484</v>
      </c>
      <c r="AR181" s="59">
        <v>45485</v>
      </c>
      <c r="AS181" s="59">
        <v>45490</v>
      </c>
      <c r="AT181" s="59">
        <f t="shared" si="32"/>
        <v>45491</v>
      </c>
      <c r="AU181" s="183">
        <v>45513</v>
      </c>
      <c r="AV181" s="195">
        <v>45498</v>
      </c>
      <c r="AW181" s="185">
        <v>45491</v>
      </c>
    </row>
    <row r="182" spans="1:49" ht="45" hidden="1" x14ac:dyDescent="0.25">
      <c r="A182" s="248" t="s">
        <v>7080</v>
      </c>
      <c r="B182" s="259">
        <v>79</v>
      </c>
      <c r="C182" s="167" t="s">
        <v>149</v>
      </c>
      <c r="D182" s="259" t="s">
        <v>173</v>
      </c>
      <c r="E182" s="287" t="s">
        <v>7081</v>
      </c>
      <c r="F182" s="39" t="str">
        <f t="shared" si="31"/>
        <v>Licitación Pública</v>
      </c>
      <c r="G182" s="39"/>
      <c r="H182" s="39" t="s">
        <v>3785</v>
      </c>
      <c r="I182" s="81" t="s">
        <v>7082</v>
      </c>
      <c r="J182" s="1046"/>
      <c r="K182" s="1046"/>
      <c r="L182" s="1046"/>
      <c r="M182" s="1046" t="str">
        <f t="shared" ref="M182:M245" si="33">I182&amp;J182&amp;" "&amp;K182&amp;" "&amp;L182</f>
        <v xml:space="preserve">Tagsec Group, S.A. de C.V.  </v>
      </c>
      <c r="N182" s="991" t="s">
        <v>656</v>
      </c>
      <c r="O182" s="991" t="s">
        <v>6597</v>
      </c>
      <c r="P182" s="991" t="s">
        <v>6598</v>
      </c>
      <c r="Q182" s="1040" t="s">
        <v>7083</v>
      </c>
      <c r="R182" s="1047">
        <v>14927280.67</v>
      </c>
      <c r="S182" s="270">
        <f t="shared" si="30"/>
        <v>2388364.9072000002</v>
      </c>
      <c r="T182" s="1048">
        <f t="shared" si="27"/>
        <v>17315645.577199999</v>
      </c>
      <c r="U182" s="1047">
        <v>0</v>
      </c>
      <c r="V182" s="270">
        <f t="shared" si="25"/>
        <v>0</v>
      </c>
      <c r="W182" s="1041">
        <f t="shared" si="29"/>
        <v>17315645.577199999</v>
      </c>
      <c r="X182" s="993" t="s">
        <v>156</v>
      </c>
      <c r="Y182" s="59">
        <v>45491</v>
      </c>
      <c r="Z182" s="39" t="s">
        <v>696</v>
      </c>
      <c r="AA182" s="59">
        <v>45491</v>
      </c>
      <c r="AB182" s="59">
        <v>45596</v>
      </c>
      <c r="AC182" s="38" t="s">
        <v>3113</v>
      </c>
      <c r="AD182" s="53"/>
      <c r="AE182" s="38"/>
      <c r="AF182" s="256"/>
      <c r="AG182" s="270">
        <v>0</v>
      </c>
      <c r="AH182" s="163" t="str">
        <f t="shared" ca="1" si="28"/>
        <v>MUERTO</v>
      </c>
      <c r="AI182" s="39" t="s">
        <v>7084</v>
      </c>
      <c r="AJ182" s="39"/>
      <c r="AK182" s="39" t="s">
        <v>3813</v>
      </c>
      <c r="AL182" s="39"/>
      <c r="AM182" s="39" t="s">
        <v>3813</v>
      </c>
      <c r="AN182" s="39"/>
      <c r="AO182" s="39"/>
      <c r="AP182" s="38" t="e">
        <f>VLOOKUP(I182,'[4] RFC'!A:B,2,0)</f>
        <v>#N/A</v>
      </c>
      <c r="AQ182" s="59">
        <v>45488</v>
      </c>
      <c r="AR182" s="59">
        <v>45489</v>
      </c>
      <c r="AS182" s="59">
        <v>45491</v>
      </c>
      <c r="AT182" s="59">
        <f t="shared" si="32"/>
        <v>45491</v>
      </c>
      <c r="AU182" s="183">
        <v>45505</v>
      </c>
      <c r="AV182" s="195">
        <v>45496</v>
      </c>
      <c r="AW182" s="185">
        <v>45491</v>
      </c>
    </row>
    <row r="183" spans="1:49" ht="60" hidden="1" x14ac:dyDescent="0.25">
      <c r="A183" s="248" t="s">
        <v>7085</v>
      </c>
      <c r="B183" s="259">
        <v>80</v>
      </c>
      <c r="C183" s="167" t="s">
        <v>149</v>
      </c>
      <c r="D183" s="259" t="s">
        <v>163</v>
      </c>
      <c r="E183" s="287" t="s">
        <v>7086</v>
      </c>
      <c r="F183" s="39" t="str">
        <f t="shared" si="31"/>
        <v>Adjudicación Directa</v>
      </c>
      <c r="G183" s="259" t="s">
        <v>163</v>
      </c>
      <c r="H183" s="39" t="s">
        <v>7087</v>
      </c>
      <c r="I183" s="81" t="s">
        <v>6151</v>
      </c>
      <c r="J183" s="1046"/>
      <c r="K183" s="1046"/>
      <c r="L183" s="1046"/>
      <c r="M183" s="1046" t="str">
        <f t="shared" si="33"/>
        <v xml:space="preserve">Tecnolurik, S.A. de C.V.  </v>
      </c>
      <c r="N183" s="991" t="s">
        <v>7088</v>
      </c>
      <c r="O183" s="991" t="s">
        <v>7089</v>
      </c>
      <c r="P183" s="991" t="s">
        <v>7090</v>
      </c>
      <c r="Q183" s="1040" t="s">
        <v>7091</v>
      </c>
      <c r="R183" s="1047">
        <v>2870689.65</v>
      </c>
      <c r="S183" s="270">
        <f t="shared" si="30"/>
        <v>459310.34399999998</v>
      </c>
      <c r="T183" s="1048">
        <f t="shared" si="27"/>
        <v>3329999.9939999999</v>
      </c>
      <c r="U183" s="1047">
        <v>0</v>
      </c>
      <c r="V183" s="270">
        <f t="shared" si="25"/>
        <v>0</v>
      </c>
      <c r="W183" s="1041">
        <f t="shared" si="29"/>
        <v>3329999.9939999999</v>
      </c>
      <c r="X183" s="993" t="s">
        <v>156</v>
      </c>
      <c r="Y183" s="59">
        <v>45509</v>
      </c>
      <c r="Z183" s="39" t="s">
        <v>815</v>
      </c>
      <c r="AA183" s="59">
        <v>45509</v>
      </c>
      <c r="AB183" s="59">
        <v>45534</v>
      </c>
      <c r="AC183" s="38" t="s">
        <v>6600</v>
      </c>
      <c r="AD183" s="53"/>
      <c r="AE183" s="38"/>
      <c r="AF183" s="256"/>
      <c r="AG183" s="270">
        <v>0</v>
      </c>
      <c r="AH183" s="163" t="str">
        <f t="shared" ca="1" si="28"/>
        <v>MUERTO</v>
      </c>
      <c r="AI183" s="39"/>
      <c r="AJ183" s="39"/>
      <c r="AK183" s="39"/>
      <c r="AL183" s="39"/>
      <c r="AM183" s="39" t="s">
        <v>815</v>
      </c>
      <c r="AN183" s="39"/>
      <c r="AO183" s="39"/>
      <c r="AP183" s="38" t="e">
        <f>VLOOKUP(I183,'[4] RFC'!A:B,2,0)</f>
        <v>#N/A</v>
      </c>
      <c r="AQ183" s="59">
        <v>45503</v>
      </c>
      <c r="AR183" s="59">
        <v>45503</v>
      </c>
      <c r="AS183" s="59">
        <v>45504</v>
      </c>
      <c r="AT183" s="59">
        <f t="shared" si="32"/>
        <v>45509</v>
      </c>
      <c r="AU183" s="183">
        <v>45526</v>
      </c>
      <c r="AV183" s="195">
        <v>45512</v>
      </c>
      <c r="AW183" s="185">
        <v>45505</v>
      </c>
    </row>
    <row r="184" spans="1:49" ht="90" hidden="1" x14ac:dyDescent="0.25">
      <c r="A184" s="248" t="s">
        <v>7092</v>
      </c>
      <c r="B184" s="259">
        <v>81</v>
      </c>
      <c r="C184" s="167" t="s">
        <v>149</v>
      </c>
      <c r="D184" s="259" t="s">
        <v>151</v>
      </c>
      <c r="E184" s="287" t="s">
        <v>7093</v>
      </c>
      <c r="F184" s="39" t="str">
        <f t="shared" si="31"/>
        <v>Invitación</v>
      </c>
      <c r="G184" s="39"/>
      <c r="H184" s="39" t="s">
        <v>3793</v>
      </c>
      <c r="I184" s="81" t="s">
        <v>4537</v>
      </c>
      <c r="J184" s="1046"/>
      <c r="K184" s="1046"/>
      <c r="L184" s="1046"/>
      <c r="M184" s="1046" t="str">
        <f t="shared" si="33"/>
        <v xml:space="preserve">Escalator, Elevator &amp; Electromechanics Enterprise, S.A. de C.V.  </v>
      </c>
      <c r="N184" s="991" t="s">
        <v>198</v>
      </c>
      <c r="O184" s="300" t="s">
        <v>198</v>
      </c>
      <c r="P184" s="300" t="s">
        <v>7094</v>
      </c>
      <c r="Q184" s="1040" t="s">
        <v>7095</v>
      </c>
      <c r="R184" s="1047">
        <v>1180733.0209999999</v>
      </c>
      <c r="S184" s="270">
        <f t="shared" si="30"/>
        <v>188917.28336</v>
      </c>
      <c r="T184" s="1048">
        <f t="shared" si="27"/>
        <v>1369650.30436</v>
      </c>
      <c r="U184" s="1047">
        <v>0</v>
      </c>
      <c r="V184" s="270">
        <f t="shared" si="25"/>
        <v>0</v>
      </c>
      <c r="W184" s="1041">
        <f t="shared" si="29"/>
        <v>1369650.30436</v>
      </c>
      <c r="X184" s="993" t="s">
        <v>156</v>
      </c>
      <c r="Y184" s="59">
        <v>45530</v>
      </c>
      <c r="Z184" s="39" t="s">
        <v>815</v>
      </c>
      <c r="AA184" s="59">
        <v>45589</v>
      </c>
      <c r="AB184" s="59">
        <v>45620</v>
      </c>
      <c r="AC184" s="38" t="s">
        <v>7096</v>
      </c>
      <c r="AD184" s="53"/>
      <c r="AE184" s="38"/>
      <c r="AF184" s="256"/>
      <c r="AG184" s="270">
        <v>0</v>
      </c>
      <c r="AH184" s="163" t="str">
        <f t="shared" ca="1" si="28"/>
        <v>MUERTO</v>
      </c>
      <c r="AI184" s="39">
        <v>35701</v>
      </c>
      <c r="AJ184" s="39"/>
      <c r="AK184" s="39"/>
      <c r="AL184" s="39"/>
      <c r="AM184" s="39" t="s">
        <v>815</v>
      </c>
      <c r="AN184" s="39"/>
      <c r="AO184" s="39"/>
      <c r="AP184" s="38" t="str">
        <f>VLOOKUP(I184,'[4] RFC'!A:B,2,0)</f>
        <v>EEA1006077G5</v>
      </c>
      <c r="AQ184" s="59">
        <v>45523</v>
      </c>
      <c r="AR184" s="59">
        <v>45525</v>
      </c>
      <c r="AS184" s="59">
        <v>45530</v>
      </c>
      <c r="AT184" s="59">
        <f t="shared" si="32"/>
        <v>45530</v>
      </c>
      <c r="AU184" s="183"/>
      <c r="AV184" s="195">
        <v>45532</v>
      </c>
      <c r="AW184" s="185">
        <v>45531</v>
      </c>
    </row>
    <row r="185" spans="1:49" ht="45" hidden="1" x14ac:dyDescent="0.25">
      <c r="A185" s="248" t="s">
        <v>7097</v>
      </c>
      <c r="B185" s="259">
        <v>82</v>
      </c>
      <c r="C185" s="167" t="s">
        <v>149</v>
      </c>
      <c r="D185" s="259" t="s">
        <v>163</v>
      </c>
      <c r="E185" s="287" t="s">
        <v>7098</v>
      </c>
      <c r="F185" s="39" t="str">
        <f>D185</f>
        <v>Adjudicación Directa</v>
      </c>
      <c r="G185" s="259" t="s">
        <v>163</v>
      </c>
      <c r="H185" s="39" t="s">
        <v>7099</v>
      </c>
      <c r="I185" s="81" t="s">
        <v>6934</v>
      </c>
      <c r="J185" s="1046"/>
      <c r="K185" s="1046"/>
      <c r="L185" s="1046"/>
      <c r="M185" s="1046" t="str">
        <f>I185&amp;J185&amp;" "&amp;K185&amp;" "&amp;L185</f>
        <v xml:space="preserve">Programma Comunicación S.A. de C.V.  </v>
      </c>
      <c r="N185" s="991" t="s">
        <v>6621</v>
      </c>
      <c r="O185" s="991" t="s">
        <v>7100</v>
      </c>
      <c r="P185" s="991"/>
      <c r="Q185" s="1040" t="s">
        <v>3962</v>
      </c>
      <c r="R185" s="1047">
        <v>2992500</v>
      </c>
      <c r="S185" s="270">
        <f>R185*0.16</f>
        <v>478800</v>
      </c>
      <c r="T185" s="1048">
        <f>R185+S185</f>
        <v>3471300</v>
      </c>
      <c r="U185" s="1047">
        <v>0</v>
      </c>
      <c r="V185" s="270">
        <f>(U185*0.16)+(U185)</f>
        <v>0</v>
      </c>
      <c r="W185" s="1041">
        <f>T185+AG185</f>
        <v>3471300</v>
      </c>
      <c r="X185" s="993" t="s">
        <v>156</v>
      </c>
      <c r="Y185" s="59">
        <v>45539</v>
      </c>
      <c r="Z185" s="39" t="s">
        <v>863</v>
      </c>
      <c r="AA185" s="59">
        <v>45539</v>
      </c>
      <c r="AB185" s="59">
        <v>45642</v>
      </c>
      <c r="AC185" s="38" t="s">
        <v>3113</v>
      </c>
      <c r="AD185" s="53"/>
      <c r="AE185" s="38"/>
      <c r="AF185" s="256"/>
      <c r="AG185" s="270">
        <v>0</v>
      </c>
      <c r="AH185" s="163" t="str">
        <f ca="1">IF(ISBLANK(AB185),"",IF(AB185&gt;=TODAY(),"VIGENTE","MUERTO"))</f>
        <v>MUERTO</v>
      </c>
      <c r="AI185" s="39">
        <v>36301</v>
      </c>
      <c r="AJ185" s="39"/>
      <c r="AK185" s="39"/>
      <c r="AL185" s="39"/>
      <c r="AM185" s="39" t="s">
        <v>863</v>
      </c>
      <c r="AN185" s="39"/>
      <c r="AO185" s="39"/>
      <c r="AP185" s="38" t="e">
        <f>VLOOKUP(I185,'[4] RFC'!A:B,2,0)</f>
        <v>#N/A</v>
      </c>
      <c r="AQ185" s="59">
        <v>45519</v>
      </c>
      <c r="AR185" s="59">
        <v>45537</v>
      </c>
      <c r="AS185" s="59">
        <v>45538</v>
      </c>
      <c r="AT185" s="59">
        <f>+Y185</f>
        <v>45539</v>
      </c>
      <c r="AU185" s="183">
        <v>45567</v>
      </c>
      <c r="AV185" s="195">
        <v>45539</v>
      </c>
      <c r="AW185" s="185"/>
    </row>
    <row r="186" spans="1:49" ht="75" hidden="1" x14ac:dyDescent="0.25">
      <c r="A186" s="248" t="s">
        <v>7101</v>
      </c>
      <c r="B186" s="259">
        <v>84</v>
      </c>
      <c r="C186" s="167" t="s">
        <v>225</v>
      </c>
      <c r="D186" s="259" t="s">
        <v>151</v>
      </c>
      <c r="E186" s="287" t="s">
        <v>7102</v>
      </c>
      <c r="F186" s="39" t="str">
        <f t="shared" si="31"/>
        <v>Invitación</v>
      </c>
      <c r="G186" s="39"/>
      <c r="H186" s="39" t="s">
        <v>3793</v>
      </c>
      <c r="I186" s="81" t="s">
        <v>7103</v>
      </c>
      <c r="J186" s="1046"/>
      <c r="K186" s="1046"/>
      <c r="L186" s="1046"/>
      <c r="M186" s="1046" t="str">
        <f t="shared" si="33"/>
        <v xml:space="preserve">Medi Royal, S.A de C.V.  </v>
      </c>
      <c r="N186" s="991" t="s">
        <v>763</v>
      </c>
      <c r="O186" s="991" t="s">
        <v>763</v>
      </c>
      <c r="P186" s="991" t="s">
        <v>7104</v>
      </c>
      <c r="Q186" s="723" t="s">
        <v>7105</v>
      </c>
      <c r="R186" s="1047">
        <v>1480000</v>
      </c>
      <c r="S186" s="270">
        <f t="shared" si="30"/>
        <v>236800</v>
      </c>
      <c r="T186" s="1048">
        <f t="shared" si="27"/>
        <v>1716800</v>
      </c>
      <c r="U186" s="1047">
        <v>0</v>
      </c>
      <c r="V186" s="270">
        <f t="shared" ref="V186:V249" si="34">(U186*0.16)+(U186)</f>
        <v>0</v>
      </c>
      <c r="W186" s="1041">
        <f t="shared" si="29"/>
        <v>1716800</v>
      </c>
      <c r="X186" s="993" t="s">
        <v>156</v>
      </c>
      <c r="Y186" s="59">
        <v>45539</v>
      </c>
      <c r="Z186" s="39" t="s">
        <v>863</v>
      </c>
      <c r="AA186" s="59">
        <v>45539</v>
      </c>
      <c r="AB186" s="59">
        <v>45565</v>
      </c>
      <c r="AC186" s="38" t="s">
        <v>3113</v>
      </c>
      <c r="AD186" s="53"/>
      <c r="AE186" s="38"/>
      <c r="AF186" s="256"/>
      <c r="AG186" s="270">
        <v>0</v>
      </c>
      <c r="AH186" s="163" t="str">
        <f t="shared" ca="1" si="28"/>
        <v>MUERTO</v>
      </c>
      <c r="AI186" s="39" t="s">
        <v>7106</v>
      </c>
      <c r="AJ186" s="39"/>
      <c r="AK186" s="39"/>
      <c r="AL186" s="39"/>
      <c r="AM186" s="39" t="s">
        <v>863</v>
      </c>
      <c r="AN186" s="39"/>
      <c r="AO186" s="39"/>
      <c r="AP186" s="38" t="e">
        <f>VLOOKUP(I186,'[4] RFC'!A:B,2,0)</f>
        <v>#N/A</v>
      </c>
      <c r="AQ186" s="59">
        <v>45534</v>
      </c>
      <c r="AR186" s="59">
        <v>45537</v>
      </c>
      <c r="AS186" s="59">
        <v>45544</v>
      </c>
      <c r="AT186" s="59">
        <f>+Y186</f>
        <v>45539</v>
      </c>
      <c r="AU186" s="183">
        <v>45553</v>
      </c>
      <c r="AV186" s="195">
        <v>45539</v>
      </c>
      <c r="AW186" s="185">
        <v>45544</v>
      </c>
    </row>
    <row r="187" spans="1:49" ht="65.25" hidden="1" customHeight="1" x14ac:dyDescent="0.25">
      <c r="A187" s="248" t="s">
        <v>7107</v>
      </c>
      <c r="B187" s="259">
        <v>86</v>
      </c>
      <c r="C187" s="167" t="s">
        <v>225</v>
      </c>
      <c r="D187" s="39" t="s">
        <v>151</v>
      </c>
      <c r="E187" s="287" t="s">
        <v>7108</v>
      </c>
      <c r="F187" s="39" t="str">
        <f t="shared" si="31"/>
        <v>Invitación</v>
      </c>
      <c r="G187" s="39"/>
      <c r="H187" s="39" t="s">
        <v>3793</v>
      </c>
      <c r="I187" s="81" t="s">
        <v>7109</v>
      </c>
      <c r="J187" s="1046"/>
      <c r="K187" s="1046"/>
      <c r="L187" s="1046"/>
      <c r="M187" s="1046" t="str">
        <f t="shared" si="33"/>
        <v xml:space="preserve">AM Tecnología, S.A. de C.V.  </v>
      </c>
      <c r="N187" s="991" t="s">
        <v>860</v>
      </c>
      <c r="O187" s="991" t="s">
        <v>5152</v>
      </c>
      <c r="P187" s="991"/>
      <c r="Q187" s="1040" t="s">
        <v>7110</v>
      </c>
      <c r="R187" s="1047">
        <v>430600</v>
      </c>
      <c r="S187" s="270">
        <f t="shared" si="30"/>
        <v>68896</v>
      </c>
      <c r="T187" s="1048">
        <f t="shared" si="27"/>
        <v>499496</v>
      </c>
      <c r="U187" s="1047">
        <v>0</v>
      </c>
      <c r="V187" s="270">
        <f t="shared" si="34"/>
        <v>0</v>
      </c>
      <c r="W187" s="1041">
        <f t="shared" si="29"/>
        <v>499496</v>
      </c>
      <c r="X187" s="993" t="s">
        <v>156</v>
      </c>
      <c r="Y187" s="59">
        <v>45560</v>
      </c>
      <c r="Z187" s="39" t="s">
        <v>863</v>
      </c>
      <c r="AA187" s="59">
        <f t="shared" ref="AA187:AA250" si="35">Y187</f>
        <v>45560</v>
      </c>
      <c r="AB187" s="59">
        <v>45604</v>
      </c>
      <c r="AC187" s="38" t="s">
        <v>3113</v>
      </c>
      <c r="AD187" s="53"/>
      <c r="AE187" s="38"/>
      <c r="AF187" s="256"/>
      <c r="AG187" s="270">
        <v>0</v>
      </c>
      <c r="AH187" s="163" t="str">
        <f t="shared" ca="1" si="28"/>
        <v>MUERTO</v>
      </c>
      <c r="AI187" s="39" t="s">
        <v>7111</v>
      </c>
      <c r="AJ187" s="39"/>
      <c r="AK187" s="39"/>
      <c r="AL187" s="39"/>
      <c r="AM187" s="39" t="s">
        <v>863</v>
      </c>
      <c r="AN187" s="39"/>
      <c r="AO187" s="39"/>
      <c r="AP187" s="38" t="e">
        <f>VLOOKUP(I187,'[4] RFC'!A:B,2,0)</f>
        <v>#N/A</v>
      </c>
      <c r="AQ187" s="59">
        <v>45467</v>
      </c>
      <c r="AR187" s="59">
        <v>45558</v>
      </c>
      <c r="AS187" s="59">
        <v>45560</v>
      </c>
      <c r="AT187" s="59">
        <f t="shared" si="32"/>
        <v>45560</v>
      </c>
      <c r="AU187" s="183">
        <v>45582</v>
      </c>
      <c r="AV187" s="195">
        <v>45560</v>
      </c>
      <c r="AW187" s="185"/>
    </row>
    <row r="188" spans="1:49" ht="76.5" hidden="1" customHeight="1" x14ac:dyDescent="0.25">
      <c r="A188" s="248" t="s">
        <v>7112</v>
      </c>
      <c r="B188" s="259">
        <v>87</v>
      </c>
      <c r="C188" s="167" t="s">
        <v>225</v>
      </c>
      <c r="D188" s="39" t="s">
        <v>151</v>
      </c>
      <c r="E188" s="287" t="s">
        <v>7108</v>
      </c>
      <c r="F188" s="39" t="str">
        <f t="shared" si="31"/>
        <v>Invitación</v>
      </c>
      <c r="G188" s="39"/>
      <c r="H188" s="39" t="s">
        <v>3793</v>
      </c>
      <c r="I188" s="81" t="s">
        <v>6695</v>
      </c>
      <c r="J188" s="1046"/>
      <c r="K188" s="1046"/>
      <c r="L188" s="1046"/>
      <c r="M188" s="1046" t="str">
        <f t="shared" si="33"/>
        <v xml:space="preserve">Teletec De México, S.A.P.I. de C.V.  </v>
      </c>
      <c r="N188" s="991" t="s">
        <v>860</v>
      </c>
      <c r="O188" s="991" t="s">
        <v>5152</v>
      </c>
      <c r="P188" s="991"/>
      <c r="Q188" s="1040" t="s">
        <v>7113</v>
      </c>
      <c r="R188" s="1047">
        <v>132816</v>
      </c>
      <c r="S188" s="270">
        <f t="shared" si="30"/>
        <v>21250.560000000001</v>
      </c>
      <c r="T188" s="1048">
        <f t="shared" si="27"/>
        <v>154066.56</v>
      </c>
      <c r="U188" s="1047">
        <v>0</v>
      </c>
      <c r="V188" s="270">
        <f t="shared" si="34"/>
        <v>0</v>
      </c>
      <c r="W188" s="1041">
        <f t="shared" si="29"/>
        <v>154066.56</v>
      </c>
      <c r="X188" s="993" t="s">
        <v>156</v>
      </c>
      <c r="Y188" s="59">
        <v>45560</v>
      </c>
      <c r="Z188" s="39" t="s">
        <v>863</v>
      </c>
      <c r="AA188" s="59">
        <v>45560</v>
      </c>
      <c r="AB188" s="59">
        <v>45604</v>
      </c>
      <c r="AC188" s="38" t="s">
        <v>7096</v>
      </c>
      <c r="AD188" s="53"/>
      <c r="AE188" s="38"/>
      <c r="AF188" s="256"/>
      <c r="AG188" s="270">
        <v>0</v>
      </c>
      <c r="AH188" s="163" t="str">
        <f t="shared" ca="1" si="28"/>
        <v>MUERTO</v>
      </c>
      <c r="AI188" s="39" t="s">
        <v>7111</v>
      </c>
      <c r="AJ188" s="39"/>
      <c r="AK188" s="39"/>
      <c r="AL188" s="39"/>
      <c r="AM188" s="39" t="s">
        <v>863</v>
      </c>
      <c r="AN188" s="39"/>
      <c r="AO188" s="39"/>
      <c r="AP188" s="38" t="str">
        <f>VLOOKUP(I188,'[4] RFC'!A:B,2,0)</f>
        <v>TME910924TL5</v>
      </c>
      <c r="AQ188" s="59">
        <v>45467</v>
      </c>
      <c r="AR188" s="59">
        <v>45558</v>
      </c>
      <c r="AS188" s="59">
        <v>45560</v>
      </c>
      <c r="AT188" s="59">
        <f t="shared" si="32"/>
        <v>45560</v>
      </c>
      <c r="AU188" s="183">
        <v>45589</v>
      </c>
      <c r="AV188" s="195">
        <v>45560</v>
      </c>
      <c r="AW188" s="185"/>
    </row>
    <row r="189" spans="1:49" ht="45" hidden="1" x14ac:dyDescent="0.25">
      <c r="A189" s="248" t="s">
        <v>7114</v>
      </c>
      <c r="B189" s="259">
        <v>88</v>
      </c>
      <c r="C189" s="167" t="s">
        <v>225</v>
      </c>
      <c r="D189" s="39" t="s">
        <v>151</v>
      </c>
      <c r="E189" s="287" t="s">
        <v>7115</v>
      </c>
      <c r="F189" s="39" t="str">
        <f t="shared" si="31"/>
        <v>Invitación</v>
      </c>
      <c r="G189" s="39"/>
      <c r="H189" s="39" t="s">
        <v>3793</v>
      </c>
      <c r="I189" s="81" t="s">
        <v>4199</v>
      </c>
      <c r="J189" s="1046"/>
      <c r="K189" s="1046"/>
      <c r="L189" s="1046"/>
      <c r="M189" s="1046" t="str">
        <f t="shared" si="33"/>
        <v xml:space="preserve">TVMDIGITAL, S. DE R.L. DE C.V.  </v>
      </c>
      <c r="N189" s="991" t="s">
        <v>5152</v>
      </c>
      <c r="O189" s="991" t="s">
        <v>5152</v>
      </c>
      <c r="P189" s="991"/>
      <c r="Q189" s="1040" t="s">
        <v>7116</v>
      </c>
      <c r="R189" s="1047">
        <v>970818</v>
      </c>
      <c r="S189" s="270">
        <f t="shared" si="30"/>
        <v>155330.88</v>
      </c>
      <c r="T189" s="1048">
        <f t="shared" si="27"/>
        <v>1126148.8799999999</v>
      </c>
      <c r="U189" s="1047">
        <v>0</v>
      </c>
      <c r="V189" s="270">
        <f t="shared" si="34"/>
        <v>0</v>
      </c>
      <c r="W189" s="270">
        <f t="shared" si="29"/>
        <v>1126148.8799999999</v>
      </c>
      <c r="X189" s="993" t="s">
        <v>156</v>
      </c>
      <c r="Y189" s="59">
        <v>45573</v>
      </c>
      <c r="Z189" s="39" t="s">
        <v>881</v>
      </c>
      <c r="AA189" s="59">
        <f t="shared" si="35"/>
        <v>45573</v>
      </c>
      <c r="AB189" s="59">
        <v>45625</v>
      </c>
      <c r="AC189" s="38" t="s">
        <v>3113</v>
      </c>
      <c r="AD189" s="53"/>
      <c r="AE189" s="38"/>
      <c r="AF189" s="256"/>
      <c r="AG189" s="270">
        <v>0</v>
      </c>
      <c r="AH189" s="163" t="str">
        <f t="shared" ca="1" si="28"/>
        <v>MUERTO</v>
      </c>
      <c r="AI189" s="39" t="s">
        <v>7117</v>
      </c>
      <c r="AJ189" s="39"/>
      <c r="AK189" s="39"/>
      <c r="AL189" s="39"/>
      <c r="AM189" s="39" t="s">
        <v>7118</v>
      </c>
      <c r="AN189" s="39"/>
      <c r="AO189" s="39"/>
      <c r="AP189" s="38" t="e">
        <f>VLOOKUP(I189,'[4] RFC'!A:B,2,0)</f>
        <v>#N/A</v>
      </c>
      <c r="AQ189" s="59">
        <v>45568</v>
      </c>
      <c r="AR189" s="59">
        <v>45573</v>
      </c>
      <c r="AS189" s="59">
        <v>45574</v>
      </c>
      <c r="AT189" s="59">
        <f t="shared" si="32"/>
        <v>45573</v>
      </c>
      <c r="AU189" s="183"/>
      <c r="AV189" s="195">
        <v>45573</v>
      </c>
      <c r="AW189" s="185">
        <v>45582</v>
      </c>
    </row>
    <row r="190" spans="1:49" ht="392.25" hidden="1" customHeight="1" x14ac:dyDescent="0.25">
      <c r="A190" s="248" t="s">
        <v>7119</v>
      </c>
      <c r="B190" s="259">
        <v>91</v>
      </c>
      <c r="C190" s="167" t="s">
        <v>149</v>
      </c>
      <c r="D190" s="39" t="s">
        <v>163</v>
      </c>
      <c r="E190" s="287" t="s">
        <v>7120</v>
      </c>
      <c r="F190" s="39" t="str">
        <f t="shared" si="31"/>
        <v>Adjudicación Directa</v>
      </c>
      <c r="G190" s="39"/>
      <c r="H190" s="39" t="s">
        <v>7121</v>
      </c>
      <c r="I190" s="81" t="s">
        <v>7122</v>
      </c>
      <c r="J190" s="1046"/>
      <c r="K190" s="1046"/>
      <c r="L190" s="1046"/>
      <c r="M190" s="1046" t="str">
        <f t="shared" si="33"/>
        <v xml:space="preserve">Construcciones y Acabados Mohusa, S.A. de C.V.  </v>
      </c>
      <c r="N190" s="991" t="s">
        <v>270</v>
      </c>
      <c r="O190" s="991" t="s">
        <v>270</v>
      </c>
      <c r="P190" s="991" t="s">
        <v>1077</v>
      </c>
      <c r="Q190" s="732" t="s">
        <v>7123</v>
      </c>
      <c r="R190" s="1047">
        <v>1594508.42</v>
      </c>
      <c r="S190" s="270">
        <f t="shared" si="30"/>
        <v>255121.34719999999</v>
      </c>
      <c r="T190" s="1048">
        <f t="shared" si="27"/>
        <v>1849629.7671999999</v>
      </c>
      <c r="U190" s="1047">
        <v>0</v>
      </c>
      <c r="V190" s="270">
        <f t="shared" si="34"/>
        <v>0</v>
      </c>
      <c r="W190" s="270">
        <f t="shared" si="29"/>
        <v>1849629.7671999999</v>
      </c>
      <c r="X190" s="993" t="s">
        <v>156</v>
      </c>
      <c r="Y190" s="59">
        <v>45623</v>
      </c>
      <c r="Z190" s="39" t="s">
        <v>892</v>
      </c>
      <c r="AA190" s="59">
        <f t="shared" si="35"/>
        <v>45623</v>
      </c>
      <c r="AB190" s="59">
        <v>45652</v>
      </c>
      <c r="AC190" s="38" t="s">
        <v>7124</v>
      </c>
      <c r="AD190" s="53"/>
      <c r="AE190" s="38"/>
      <c r="AF190" s="256"/>
      <c r="AG190" s="270">
        <v>0</v>
      </c>
      <c r="AH190" s="163" t="str">
        <f t="shared" ca="1" si="28"/>
        <v>MUERTO</v>
      </c>
      <c r="AI190" s="39">
        <v>33201</v>
      </c>
      <c r="AJ190" s="39"/>
      <c r="AK190" s="39"/>
      <c r="AL190" s="39"/>
      <c r="AM190" s="39" t="s">
        <v>2728</v>
      </c>
      <c r="AN190" s="39"/>
      <c r="AO190" s="39"/>
      <c r="AP190" s="38" t="e">
        <f>VLOOKUP(I190,'[4] RFC'!A:B,2,0)</f>
        <v>#N/A</v>
      </c>
      <c r="AQ190" s="59">
        <v>45618</v>
      </c>
      <c r="AR190" s="59">
        <v>45622</v>
      </c>
      <c r="AS190" s="59">
        <v>45624</v>
      </c>
      <c r="AT190" s="59">
        <f t="shared" si="32"/>
        <v>45623</v>
      </c>
      <c r="AU190" s="183">
        <v>45646</v>
      </c>
      <c r="AV190" s="195">
        <v>45623</v>
      </c>
      <c r="AW190" s="185">
        <v>45625</v>
      </c>
    </row>
    <row r="191" spans="1:49" ht="60" hidden="1" x14ac:dyDescent="0.25">
      <c r="A191" s="248" t="s">
        <v>7125</v>
      </c>
      <c r="B191" s="259">
        <v>92</v>
      </c>
      <c r="C191" s="167" t="s">
        <v>225</v>
      </c>
      <c r="D191" s="39" t="s">
        <v>173</v>
      </c>
      <c r="E191" s="287" t="s">
        <v>7126</v>
      </c>
      <c r="F191" s="39" t="str">
        <f t="shared" si="31"/>
        <v>Licitación Pública</v>
      </c>
      <c r="G191" s="39"/>
      <c r="H191" s="39" t="s">
        <v>3785</v>
      </c>
      <c r="I191" s="81" t="s">
        <v>7127</v>
      </c>
      <c r="J191" s="1046"/>
      <c r="K191" s="1046"/>
      <c r="L191" s="1046"/>
      <c r="M191" s="1046" t="str">
        <f t="shared" si="33"/>
        <v xml:space="preserve">PROMEXAR, S.A. DE C.V.  </v>
      </c>
      <c r="N191" s="991" t="s">
        <v>5152</v>
      </c>
      <c r="O191" s="991" t="s">
        <v>860</v>
      </c>
      <c r="P191" s="991" t="s">
        <v>5152</v>
      </c>
      <c r="Q191" s="1040" t="s">
        <v>7128</v>
      </c>
      <c r="R191" s="1047">
        <v>5438888</v>
      </c>
      <c r="S191" s="270">
        <f t="shared" si="30"/>
        <v>870222.08000000007</v>
      </c>
      <c r="T191" s="1048">
        <f t="shared" si="27"/>
        <v>6309110.0800000001</v>
      </c>
      <c r="U191" s="1047">
        <v>0</v>
      </c>
      <c r="V191" s="270">
        <f t="shared" si="34"/>
        <v>0</v>
      </c>
      <c r="W191" s="270">
        <f t="shared" si="29"/>
        <v>6309110.0800000001</v>
      </c>
      <c r="X191" s="993" t="s">
        <v>156</v>
      </c>
      <c r="Y191" s="59">
        <v>45628</v>
      </c>
      <c r="Z191" s="39" t="s">
        <v>924</v>
      </c>
      <c r="AA191" s="59">
        <f t="shared" si="35"/>
        <v>45628</v>
      </c>
      <c r="AB191" s="59">
        <v>45657</v>
      </c>
      <c r="AC191" s="38" t="s">
        <v>7096</v>
      </c>
      <c r="AD191" s="53"/>
      <c r="AE191" s="38"/>
      <c r="AF191" s="256"/>
      <c r="AG191" s="270">
        <v>0</v>
      </c>
      <c r="AH191" s="163" t="str">
        <f t="shared" ca="1" si="28"/>
        <v>MUERTO</v>
      </c>
      <c r="AI191" s="39" t="s">
        <v>7129</v>
      </c>
      <c r="AJ191" s="39"/>
      <c r="AK191" s="39"/>
      <c r="AL191" s="39"/>
      <c r="AM191" s="39" t="s">
        <v>2728</v>
      </c>
      <c r="AN191" s="39"/>
      <c r="AO191" s="39"/>
      <c r="AP191" s="38" t="str">
        <f>VLOOKUP(I191,'[4] RFC'!A:B,2,0)</f>
        <v>PRO0804072R0</v>
      </c>
      <c r="AQ191" s="59">
        <v>45623</v>
      </c>
      <c r="AR191" s="59">
        <v>45624</v>
      </c>
      <c r="AS191" s="59">
        <v>45629</v>
      </c>
      <c r="AT191" s="59">
        <f t="shared" si="32"/>
        <v>45628</v>
      </c>
      <c r="AU191" s="183"/>
      <c r="AV191" s="195">
        <v>45628</v>
      </c>
      <c r="AW191" s="185">
        <v>45630</v>
      </c>
    </row>
    <row r="192" spans="1:49" ht="90" hidden="1" x14ac:dyDescent="0.25">
      <c r="A192" s="248" t="s">
        <v>7130</v>
      </c>
      <c r="B192" s="259">
        <v>93</v>
      </c>
      <c r="C192" s="167" t="s">
        <v>149</v>
      </c>
      <c r="D192" s="39" t="s">
        <v>151</v>
      </c>
      <c r="E192" s="287" t="s">
        <v>7131</v>
      </c>
      <c r="F192" s="39" t="str">
        <f t="shared" si="31"/>
        <v>Invitación</v>
      </c>
      <c r="G192" s="39"/>
      <c r="H192" s="39" t="s">
        <v>7132</v>
      </c>
      <c r="I192" s="81" t="s">
        <v>7133</v>
      </c>
      <c r="J192" s="1046"/>
      <c r="K192" s="1046"/>
      <c r="L192" s="1046"/>
      <c r="M192" s="1046" t="str">
        <f t="shared" si="33"/>
        <v xml:space="preserve">CONSORCIO ROCA TICS DE MÉXICO, S.A. DE C.V.  </v>
      </c>
      <c r="N192" s="991" t="s">
        <v>198</v>
      </c>
      <c r="O192" s="991" t="str">
        <f>N192</f>
        <v>Dirección de Mantenimiento de Bienes Muebles e Inmuebles</v>
      </c>
      <c r="P192" s="991" t="s">
        <v>7134</v>
      </c>
      <c r="Q192" s="1040" t="s">
        <v>7135</v>
      </c>
      <c r="R192" s="1047">
        <v>775862.07</v>
      </c>
      <c r="S192" s="270">
        <f t="shared" si="30"/>
        <v>124137.93119999999</v>
      </c>
      <c r="T192" s="1048">
        <f t="shared" si="27"/>
        <v>900000.00119999994</v>
      </c>
      <c r="U192" s="1047">
        <v>332808.84000000003</v>
      </c>
      <c r="V192" s="270">
        <f t="shared" si="34"/>
        <v>386058.25440000003</v>
      </c>
      <c r="W192" s="270">
        <f t="shared" si="29"/>
        <v>900000.00119999994</v>
      </c>
      <c r="X192" s="993" t="s">
        <v>156</v>
      </c>
      <c r="Y192" s="59">
        <v>45622</v>
      </c>
      <c r="Z192" s="39" t="s">
        <v>924</v>
      </c>
      <c r="AA192" s="59">
        <f t="shared" si="35"/>
        <v>45622</v>
      </c>
      <c r="AB192" s="59">
        <v>45657</v>
      </c>
      <c r="AC192" s="38" t="s">
        <v>7096</v>
      </c>
      <c r="AD192" s="53"/>
      <c r="AE192" s="38"/>
      <c r="AF192" s="256"/>
      <c r="AG192" s="270">
        <v>0</v>
      </c>
      <c r="AH192" s="163" t="str">
        <f t="shared" ca="1" si="28"/>
        <v>MUERTO</v>
      </c>
      <c r="AI192" s="39"/>
      <c r="AJ192" s="39"/>
      <c r="AK192" s="39" t="s">
        <v>6875</v>
      </c>
      <c r="AL192" s="39"/>
      <c r="AM192" s="39" t="s">
        <v>7136</v>
      </c>
      <c r="AN192" s="39"/>
      <c r="AO192" s="39"/>
      <c r="AP192" s="38" t="e">
        <f>VLOOKUP(I192,'[4] RFC'!A:B,2,0)</f>
        <v>#N/A</v>
      </c>
      <c r="AQ192" s="59">
        <v>45621</v>
      </c>
      <c r="AR192" s="59">
        <v>45621</v>
      </c>
      <c r="AS192" s="59">
        <v>45643</v>
      </c>
      <c r="AT192" s="59">
        <f t="shared" si="32"/>
        <v>45622</v>
      </c>
      <c r="AU192" s="183"/>
      <c r="AV192" s="195">
        <v>45622</v>
      </c>
      <c r="AW192" s="185">
        <v>45644</v>
      </c>
    </row>
    <row r="193" spans="1:50" ht="45" hidden="1" x14ac:dyDescent="0.25">
      <c r="A193" s="248" t="s">
        <v>7137</v>
      </c>
      <c r="B193" s="259">
        <v>94</v>
      </c>
      <c r="C193" s="167" t="s">
        <v>149</v>
      </c>
      <c r="D193" s="39" t="s">
        <v>163</v>
      </c>
      <c r="E193" s="287" t="s">
        <v>7138</v>
      </c>
      <c r="F193" s="39" t="str">
        <f t="shared" si="31"/>
        <v>Adjudicación Directa</v>
      </c>
      <c r="G193" s="39"/>
      <c r="H193" s="39" t="s">
        <v>7139</v>
      </c>
      <c r="I193" s="81" t="s">
        <v>7140</v>
      </c>
      <c r="J193" s="1046"/>
      <c r="K193" s="1046"/>
      <c r="L193" s="1046"/>
      <c r="M193" s="1046" t="str">
        <f t="shared" si="33"/>
        <v xml:space="preserve">Programas y aplicaciones certificadas, S.A. de C.V.  </v>
      </c>
      <c r="N193" s="991" t="s">
        <v>656</v>
      </c>
      <c r="O193" s="991" t="s">
        <v>6446</v>
      </c>
      <c r="P193" s="991" t="s">
        <v>7141</v>
      </c>
      <c r="Q193" s="1040" t="s">
        <v>7142</v>
      </c>
      <c r="R193" s="1047">
        <v>11827500</v>
      </c>
      <c r="S193" s="270">
        <f t="shared" si="30"/>
        <v>1892400</v>
      </c>
      <c r="T193" s="1048">
        <f t="shared" si="27"/>
        <v>13719900</v>
      </c>
      <c r="U193" s="1047">
        <v>4731000</v>
      </c>
      <c r="V193" s="270">
        <f t="shared" si="34"/>
        <v>5487960</v>
      </c>
      <c r="W193" s="270">
        <f t="shared" si="29"/>
        <v>13719900</v>
      </c>
      <c r="X193" s="993" t="s">
        <v>156</v>
      </c>
      <c r="Y193" s="59">
        <v>45632</v>
      </c>
      <c r="Z193" s="39" t="s">
        <v>924</v>
      </c>
      <c r="AA193" s="59">
        <f t="shared" si="35"/>
        <v>45632</v>
      </c>
      <c r="AB193" s="59">
        <v>45657</v>
      </c>
      <c r="AC193" s="38" t="s">
        <v>7124</v>
      </c>
      <c r="AD193" s="53"/>
      <c r="AE193" s="38"/>
      <c r="AF193" s="256"/>
      <c r="AG193" s="270">
        <v>0</v>
      </c>
      <c r="AH193" s="163" t="str">
        <f t="shared" ca="1" si="28"/>
        <v>MUERTO</v>
      </c>
      <c r="AI193" s="39"/>
      <c r="AJ193" s="39"/>
      <c r="AK193" s="39" t="s">
        <v>6875</v>
      </c>
      <c r="AL193" s="39"/>
      <c r="AM193" s="39" t="s">
        <v>7136</v>
      </c>
      <c r="AN193" s="39"/>
      <c r="AO193" s="39"/>
      <c r="AP193" s="38" t="e">
        <f>VLOOKUP(I193,'[4] RFC'!A:B,2,0)</f>
        <v>#N/A</v>
      </c>
      <c r="AQ193" s="59">
        <v>45622</v>
      </c>
      <c r="AR193" s="59">
        <v>45631</v>
      </c>
      <c r="AS193" s="59">
        <v>45643</v>
      </c>
      <c r="AT193" s="59">
        <f t="shared" si="32"/>
        <v>45632</v>
      </c>
      <c r="AU193" s="183"/>
      <c r="AV193" s="195">
        <v>45632</v>
      </c>
      <c r="AW193" s="185">
        <v>45653</v>
      </c>
      <c r="AX193" t="s">
        <v>7143</v>
      </c>
    </row>
    <row r="194" spans="1:50" ht="75" hidden="1" x14ac:dyDescent="0.25">
      <c r="A194" s="248" t="s">
        <v>7144</v>
      </c>
      <c r="B194" s="259">
        <v>95</v>
      </c>
      <c r="C194" s="167" t="s">
        <v>149</v>
      </c>
      <c r="D194" s="39" t="s">
        <v>163</v>
      </c>
      <c r="E194" s="39" t="s">
        <v>7145</v>
      </c>
      <c r="F194" s="39" t="str">
        <f t="shared" si="31"/>
        <v>Adjudicación Directa</v>
      </c>
      <c r="G194" s="39"/>
      <c r="H194" s="39" t="s">
        <v>7146</v>
      </c>
      <c r="I194" s="81" t="s">
        <v>7147</v>
      </c>
      <c r="J194" s="1046"/>
      <c r="K194" s="1046"/>
      <c r="L194" s="1046"/>
      <c r="M194" s="1046" t="str">
        <f t="shared" si="33"/>
        <v xml:space="preserve">Tecnologías Digítales Alternas de México, S.A. de C.V.   </v>
      </c>
      <c r="N194" s="991" t="s">
        <v>656</v>
      </c>
      <c r="O194" s="991" t="s">
        <v>6446</v>
      </c>
      <c r="P194" s="991" t="s">
        <v>7141</v>
      </c>
      <c r="Q194" s="1040" t="s">
        <v>7148</v>
      </c>
      <c r="R194" s="1047">
        <v>2250000</v>
      </c>
      <c r="S194" s="270">
        <f t="shared" si="30"/>
        <v>360000</v>
      </c>
      <c r="T194" s="1048">
        <f t="shared" si="27"/>
        <v>2610000</v>
      </c>
      <c r="U194" s="1047">
        <v>900000</v>
      </c>
      <c r="V194" s="270">
        <f t="shared" si="34"/>
        <v>1044000</v>
      </c>
      <c r="W194" s="270">
        <f t="shared" si="29"/>
        <v>2610000</v>
      </c>
      <c r="X194" s="993" t="s">
        <v>156</v>
      </c>
      <c r="Y194" s="59">
        <v>45632</v>
      </c>
      <c r="Z194" s="39" t="s">
        <v>924</v>
      </c>
      <c r="AA194" s="59">
        <f t="shared" si="35"/>
        <v>45632</v>
      </c>
      <c r="AB194" s="59">
        <v>45657</v>
      </c>
      <c r="AC194" s="38" t="s">
        <v>7096</v>
      </c>
      <c r="AD194" s="53"/>
      <c r="AE194" s="38"/>
      <c r="AF194" s="256"/>
      <c r="AG194" s="270">
        <v>0</v>
      </c>
      <c r="AH194" s="163" t="str">
        <f t="shared" ca="1" si="28"/>
        <v>MUERTO</v>
      </c>
      <c r="AI194" s="39"/>
      <c r="AJ194" s="39"/>
      <c r="AK194" s="39" t="s">
        <v>6875</v>
      </c>
      <c r="AL194" s="39"/>
      <c r="AM194" s="39" t="s">
        <v>7136</v>
      </c>
      <c r="AN194" s="39"/>
      <c r="AO194" s="39"/>
      <c r="AP194" s="38" t="e">
        <f>VLOOKUP(I194,'[4] RFC'!A:B,2,0)</f>
        <v>#N/A</v>
      </c>
      <c r="AQ194" s="59">
        <v>45621</v>
      </c>
      <c r="AR194" s="59">
        <v>45622</v>
      </c>
      <c r="AS194" s="59">
        <v>45643</v>
      </c>
      <c r="AT194" s="59">
        <f t="shared" si="32"/>
        <v>45632</v>
      </c>
      <c r="AU194" s="183"/>
      <c r="AV194" s="195">
        <v>45632</v>
      </c>
      <c r="AW194" s="185">
        <v>45644</v>
      </c>
    </row>
    <row r="195" spans="1:50" ht="60" hidden="1" x14ac:dyDescent="0.25">
      <c r="A195" s="248" t="s">
        <v>7149</v>
      </c>
      <c r="B195" s="259">
        <v>96</v>
      </c>
      <c r="C195" s="167" t="s">
        <v>149</v>
      </c>
      <c r="D195" s="39" t="s">
        <v>163</v>
      </c>
      <c r="E195" s="39" t="s">
        <v>7145</v>
      </c>
      <c r="F195" s="39" t="str">
        <f t="shared" si="31"/>
        <v>Adjudicación Directa</v>
      </c>
      <c r="G195" s="39"/>
      <c r="H195" s="39" t="s">
        <v>7146</v>
      </c>
      <c r="I195" s="81" t="s">
        <v>7147</v>
      </c>
      <c r="J195" s="1046"/>
      <c r="K195" s="1046"/>
      <c r="L195" s="1046"/>
      <c r="M195" s="1046" t="str">
        <f>I195</f>
        <v xml:space="preserve">Tecnologías Digítales Alternas de México, S.A. de C.V. </v>
      </c>
      <c r="N195" s="991" t="s">
        <v>656</v>
      </c>
      <c r="O195" s="991" t="s">
        <v>6446</v>
      </c>
      <c r="P195" s="991" t="s">
        <v>7141</v>
      </c>
      <c r="Q195" s="1040" t="s">
        <v>7150</v>
      </c>
      <c r="R195" s="1047">
        <v>2650000</v>
      </c>
      <c r="S195" s="270">
        <f t="shared" si="30"/>
        <v>424000</v>
      </c>
      <c r="T195" s="1048">
        <f t="shared" si="27"/>
        <v>3074000</v>
      </c>
      <c r="U195" s="1047">
        <v>1060000</v>
      </c>
      <c r="V195" s="270">
        <f t="shared" si="34"/>
        <v>1229600</v>
      </c>
      <c r="W195" s="270">
        <f t="shared" si="29"/>
        <v>3074000</v>
      </c>
      <c r="X195" s="993" t="s">
        <v>156</v>
      </c>
      <c r="Y195" s="59">
        <v>45632</v>
      </c>
      <c r="Z195" s="39" t="s">
        <v>924</v>
      </c>
      <c r="AA195" s="59">
        <f t="shared" si="35"/>
        <v>45632</v>
      </c>
      <c r="AB195" s="59">
        <v>45657</v>
      </c>
      <c r="AC195" s="38" t="s">
        <v>7096</v>
      </c>
      <c r="AD195" s="53"/>
      <c r="AE195" s="38"/>
      <c r="AF195" s="256"/>
      <c r="AG195" s="270">
        <v>0</v>
      </c>
      <c r="AH195" s="163" t="str">
        <f t="shared" ca="1" si="28"/>
        <v>MUERTO</v>
      </c>
      <c r="AI195" s="39"/>
      <c r="AJ195" s="39"/>
      <c r="AK195" s="39" t="s">
        <v>6875</v>
      </c>
      <c r="AL195" s="39"/>
      <c r="AM195" s="39" t="s">
        <v>7136</v>
      </c>
      <c r="AN195" s="39"/>
      <c r="AO195" s="39"/>
      <c r="AP195" s="38" t="e">
        <f>VLOOKUP(I195,'[4] RFC'!A:B,2,0)</f>
        <v>#N/A</v>
      </c>
      <c r="AQ195" s="59">
        <v>45631</v>
      </c>
      <c r="AR195" s="59">
        <v>45631</v>
      </c>
      <c r="AS195" s="59">
        <v>45643</v>
      </c>
      <c r="AT195" s="59">
        <f t="shared" si="32"/>
        <v>45632</v>
      </c>
      <c r="AU195" s="183"/>
      <c r="AV195" s="195">
        <v>45632</v>
      </c>
      <c r="AW195" s="185">
        <v>45644</v>
      </c>
    </row>
    <row r="196" spans="1:50" ht="60" hidden="1" x14ac:dyDescent="0.25">
      <c r="A196" s="248" t="s">
        <v>7151</v>
      </c>
      <c r="B196" s="259">
        <v>97</v>
      </c>
      <c r="C196" s="167" t="s">
        <v>149</v>
      </c>
      <c r="D196" s="39" t="s">
        <v>163</v>
      </c>
      <c r="E196" s="39" t="s">
        <v>7145</v>
      </c>
      <c r="F196" s="39" t="str">
        <f t="shared" si="31"/>
        <v>Adjudicación Directa</v>
      </c>
      <c r="G196" s="39"/>
      <c r="H196" s="39" t="s">
        <v>7146</v>
      </c>
      <c r="I196" s="81" t="s">
        <v>7140</v>
      </c>
      <c r="J196" s="1046"/>
      <c r="K196" s="1046"/>
      <c r="L196" s="1046"/>
      <c r="M196" s="1046" t="str">
        <f>I196</f>
        <v>Programas y aplicaciones certificadas, S.A. de C.V.</v>
      </c>
      <c r="N196" s="991" t="s">
        <v>656</v>
      </c>
      <c r="O196" s="991" t="s">
        <v>6446</v>
      </c>
      <c r="P196" s="991" t="s">
        <v>7141</v>
      </c>
      <c r="Q196" s="1040" t="s">
        <v>7152</v>
      </c>
      <c r="R196" s="1047">
        <v>3100000</v>
      </c>
      <c r="S196" s="270">
        <f t="shared" si="30"/>
        <v>496000</v>
      </c>
      <c r="T196" s="1048">
        <f t="shared" si="27"/>
        <v>3596000</v>
      </c>
      <c r="U196" s="1047">
        <v>1240000</v>
      </c>
      <c r="V196" s="270">
        <f t="shared" si="34"/>
        <v>1438400</v>
      </c>
      <c r="W196" s="270">
        <f t="shared" si="29"/>
        <v>3596000</v>
      </c>
      <c r="X196" s="993" t="s">
        <v>156</v>
      </c>
      <c r="Y196" s="59">
        <v>45632</v>
      </c>
      <c r="Z196" s="39" t="s">
        <v>924</v>
      </c>
      <c r="AA196" s="59">
        <f t="shared" si="35"/>
        <v>45632</v>
      </c>
      <c r="AB196" s="59">
        <v>45657</v>
      </c>
      <c r="AC196" s="38" t="s">
        <v>7124</v>
      </c>
      <c r="AD196" s="53"/>
      <c r="AE196" s="38"/>
      <c r="AF196" s="256"/>
      <c r="AG196" s="270">
        <v>0</v>
      </c>
      <c r="AH196" s="163" t="str">
        <f t="shared" ca="1" si="28"/>
        <v>MUERTO</v>
      </c>
      <c r="AI196" s="39"/>
      <c r="AJ196" s="39"/>
      <c r="AK196" s="39" t="s">
        <v>6875</v>
      </c>
      <c r="AL196" s="39"/>
      <c r="AM196" s="39" t="s">
        <v>7136</v>
      </c>
      <c r="AN196" s="39"/>
      <c r="AO196" s="39"/>
      <c r="AP196" s="38" t="e">
        <f>VLOOKUP(I196,'[4] RFC'!A:B,2,0)</f>
        <v>#N/A</v>
      </c>
      <c r="AQ196" s="59">
        <v>45631</v>
      </c>
      <c r="AR196" s="59">
        <v>45631</v>
      </c>
      <c r="AS196" s="59">
        <v>45643</v>
      </c>
      <c r="AT196" s="59">
        <f t="shared" si="32"/>
        <v>45632</v>
      </c>
      <c r="AU196" s="183"/>
      <c r="AV196" s="195">
        <v>45632</v>
      </c>
      <c r="AW196" s="185">
        <v>45653</v>
      </c>
      <c r="AX196" t="s">
        <v>7143</v>
      </c>
    </row>
    <row r="197" spans="1:50" ht="60" hidden="1" x14ac:dyDescent="0.25">
      <c r="A197" s="248" t="s">
        <v>7153</v>
      </c>
      <c r="B197" s="259">
        <v>98</v>
      </c>
      <c r="C197" s="167" t="s">
        <v>225</v>
      </c>
      <c r="D197" s="39" t="s">
        <v>163</v>
      </c>
      <c r="E197" s="287" t="s">
        <v>7154</v>
      </c>
      <c r="F197" s="39" t="str">
        <f t="shared" si="31"/>
        <v>Adjudicación Directa</v>
      </c>
      <c r="G197" s="39"/>
      <c r="H197" s="39" t="s">
        <v>7155</v>
      </c>
      <c r="I197" s="81" t="s">
        <v>1850</v>
      </c>
      <c r="J197" s="1046"/>
      <c r="K197" s="1046"/>
      <c r="L197" s="1046"/>
      <c r="M197" s="1046" t="str">
        <f t="shared" si="33"/>
        <v xml:space="preserve">Medingenium, S.A. de C.V.  </v>
      </c>
      <c r="N197" s="991" t="s">
        <v>763</v>
      </c>
      <c r="O197" s="991" t="s">
        <v>763</v>
      </c>
      <c r="P197" s="991" t="s">
        <v>7156</v>
      </c>
      <c r="Q197" s="1040" t="s">
        <v>7157</v>
      </c>
      <c r="R197" s="1047">
        <v>537000</v>
      </c>
      <c r="S197" s="270">
        <f t="shared" si="30"/>
        <v>85920</v>
      </c>
      <c r="T197" s="1048">
        <f t="shared" si="27"/>
        <v>622920</v>
      </c>
      <c r="U197" s="1047">
        <v>0</v>
      </c>
      <c r="V197" s="270">
        <f t="shared" si="34"/>
        <v>0</v>
      </c>
      <c r="W197" s="270">
        <f t="shared" si="29"/>
        <v>622920</v>
      </c>
      <c r="X197" s="993" t="s">
        <v>156</v>
      </c>
      <c r="Y197" s="59">
        <v>45639</v>
      </c>
      <c r="Z197" s="39" t="s">
        <v>924</v>
      </c>
      <c r="AA197" s="59">
        <f t="shared" si="35"/>
        <v>45639</v>
      </c>
      <c r="AB197" s="59">
        <v>45657</v>
      </c>
      <c r="AC197" s="38" t="s">
        <v>3113</v>
      </c>
      <c r="AD197" s="53"/>
      <c r="AE197" s="38"/>
      <c r="AF197" s="256"/>
      <c r="AG197" s="270">
        <v>0</v>
      </c>
      <c r="AH197" s="163" t="str">
        <f t="shared" ca="1" si="28"/>
        <v>MUERTO</v>
      </c>
      <c r="AI197" s="39"/>
      <c r="AJ197" s="39"/>
      <c r="AK197" s="39" t="s">
        <v>6875</v>
      </c>
      <c r="AL197" s="39"/>
      <c r="AM197" s="39" t="s">
        <v>7136</v>
      </c>
      <c r="AN197" s="39"/>
      <c r="AO197" s="39"/>
      <c r="AP197" s="38" t="str">
        <f>VLOOKUP(I197,'[4] RFC'!A:B,2,0)</f>
        <v>MED090630739</v>
      </c>
      <c r="AQ197" s="59"/>
      <c r="AR197" s="59">
        <v>45638</v>
      </c>
      <c r="AS197" s="59">
        <v>45643</v>
      </c>
      <c r="AT197" s="59">
        <f t="shared" si="32"/>
        <v>45639</v>
      </c>
      <c r="AU197" s="183">
        <v>45664</v>
      </c>
      <c r="AV197" s="195">
        <v>45639</v>
      </c>
      <c r="AW197" s="185">
        <v>45646</v>
      </c>
      <c r="AX197" t="s">
        <v>7158</v>
      </c>
    </row>
    <row r="198" spans="1:50" ht="30" hidden="1" x14ac:dyDescent="0.25">
      <c r="A198" s="248" t="s">
        <v>7159</v>
      </c>
      <c r="B198" s="259">
        <v>99</v>
      </c>
      <c r="C198" s="167" t="s">
        <v>149</v>
      </c>
      <c r="D198" s="39" t="s">
        <v>163</v>
      </c>
      <c r="E198" s="287" t="s">
        <v>7160</v>
      </c>
      <c r="F198" s="39" t="str">
        <f t="shared" si="31"/>
        <v>Adjudicación Directa</v>
      </c>
      <c r="G198" s="39"/>
      <c r="H198" s="39" t="s">
        <v>7161</v>
      </c>
      <c r="I198" s="920"/>
      <c r="J198" s="1046" t="s">
        <v>1997</v>
      </c>
      <c r="K198" s="1046" t="s">
        <v>1837</v>
      </c>
      <c r="L198" s="1046" t="s">
        <v>7162</v>
      </c>
      <c r="M198" s="1046" t="str">
        <f t="shared" si="33"/>
        <v>Alejandro Hernández Jacinto</v>
      </c>
      <c r="N198" s="991" t="s">
        <v>190</v>
      </c>
      <c r="O198" s="991" t="s">
        <v>190</v>
      </c>
      <c r="P198" s="991" t="s">
        <v>7163</v>
      </c>
      <c r="Q198" s="1040" t="s">
        <v>7011</v>
      </c>
      <c r="R198" s="1047">
        <v>13702196.550000001</v>
      </c>
      <c r="S198" s="270">
        <f t="shared" si="30"/>
        <v>2192351.4480000003</v>
      </c>
      <c r="T198" s="1048">
        <f t="shared" si="27"/>
        <v>15894547.998000002</v>
      </c>
      <c r="U198" s="1047">
        <v>0</v>
      </c>
      <c r="V198" s="270">
        <f t="shared" si="34"/>
        <v>0</v>
      </c>
      <c r="W198" s="270">
        <f t="shared" si="29"/>
        <v>15894547.998000002</v>
      </c>
      <c r="X198" s="993" t="s">
        <v>156</v>
      </c>
      <c r="Y198" s="59">
        <v>45621</v>
      </c>
      <c r="Z198" s="39" t="s">
        <v>924</v>
      </c>
      <c r="AA198" s="59">
        <f t="shared" si="35"/>
        <v>45621</v>
      </c>
      <c r="AB198" s="59">
        <v>45657</v>
      </c>
      <c r="AC198" s="38" t="s">
        <v>3113</v>
      </c>
      <c r="AD198" s="53"/>
      <c r="AE198" s="38"/>
      <c r="AF198" s="256"/>
      <c r="AG198" s="270">
        <v>0</v>
      </c>
      <c r="AH198" s="163" t="str">
        <f t="shared" ca="1" si="28"/>
        <v>MUERTO</v>
      </c>
      <c r="AI198" s="39"/>
      <c r="AJ198" s="39"/>
      <c r="AK198" s="39" t="s">
        <v>6875</v>
      </c>
      <c r="AL198" s="39"/>
      <c r="AM198" s="39" t="s">
        <v>7136</v>
      </c>
      <c r="AN198" s="39"/>
      <c r="AO198" s="39"/>
      <c r="AP198" s="38" t="e">
        <f>VLOOKUP(I198,'[4] RFC'!A:B,2,0)</f>
        <v>#N/A</v>
      </c>
      <c r="AQ198" s="59" t="s">
        <v>7164</v>
      </c>
      <c r="AR198" s="59">
        <v>45621</v>
      </c>
      <c r="AS198" s="59">
        <v>45649</v>
      </c>
      <c r="AT198" s="59">
        <f t="shared" si="32"/>
        <v>45621</v>
      </c>
      <c r="AU198" s="183"/>
      <c r="AV198" s="195">
        <v>45621</v>
      </c>
      <c r="AW198" s="185">
        <v>45653</v>
      </c>
    </row>
    <row r="199" spans="1:50" ht="45" x14ac:dyDescent="0.25">
      <c r="A199" s="248" t="s">
        <v>7165</v>
      </c>
      <c r="B199" s="259">
        <v>100</v>
      </c>
      <c r="C199" s="167" t="s">
        <v>149</v>
      </c>
      <c r="D199" s="39" t="s">
        <v>163</v>
      </c>
      <c r="E199" s="287" t="s">
        <v>7166</v>
      </c>
      <c r="F199" s="39" t="str">
        <f t="shared" si="31"/>
        <v>Adjudicación Directa</v>
      </c>
      <c r="G199" s="39"/>
      <c r="H199" s="39" t="s">
        <v>7167</v>
      </c>
      <c r="I199" s="920" t="s">
        <v>7168</v>
      </c>
      <c r="J199" s="1046"/>
      <c r="K199" s="1046"/>
      <c r="L199" s="1046"/>
      <c r="M199" s="1046" t="str">
        <f t="shared" si="33"/>
        <v xml:space="preserve">Construcciones y Servicios Vidda Jireh, S.A. de C.V.  </v>
      </c>
      <c r="N199" s="991" t="s">
        <v>198</v>
      </c>
      <c r="O199" s="991" t="s">
        <v>3941</v>
      </c>
      <c r="P199" s="991" t="s">
        <v>7169</v>
      </c>
      <c r="Q199" s="1040" t="s">
        <v>7170</v>
      </c>
      <c r="R199" s="1047">
        <v>794720</v>
      </c>
      <c r="S199" s="270">
        <f t="shared" si="30"/>
        <v>127155.2</v>
      </c>
      <c r="T199" s="1048">
        <f t="shared" si="27"/>
        <v>921875.2</v>
      </c>
      <c r="U199" s="1047">
        <v>0</v>
      </c>
      <c r="V199" s="270">
        <f t="shared" si="34"/>
        <v>0</v>
      </c>
      <c r="W199" s="270">
        <f t="shared" si="29"/>
        <v>921875.2</v>
      </c>
      <c r="X199" s="993" t="s">
        <v>156</v>
      </c>
      <c r="Y199" s="59">
        <v>45645</v>
      </c>
      <c r="Z199" s="39" t="s">
        <v>924</v>
      </c>
      <c r="AA199" s="59">
        <f t="shared" si="35"/>
        <v>45645</v>
      </c>
      <c r="AB199" s="59">
        <v>45657</v>
      </c>
      <c r="AC199" s="38" t="s">
        <v>7124</v>
      </c>
      <c r="AD199" s="53"/>
      <c r="AE199" s="38"/>
      <c r="AF199" s="256"/>
      <c r="AG199" s="270">
        <v>0</v>
      </c>
      <c r="AH199" s="163" t="str">
        <f t="shared" ca="1" si="28"/>
        <v>MUERTO</v>
      </c>
      <c r="AI199" s="39"/>
      <c r="AJ199" s="39"/>
      <c r="AK199" s="39" t="s">
        <v>6875</v>
      </c>
      <c r="AL199" s="39"/>
      <c r="AM199" s="39" t="s">
        <v>7136</v>
      </c>
      <c r="AN199" s="39"/>
      <c r="AO199" s="39"/>
      <c r="AP199" s="38" t="e">
        <f>VLOOKUP(I199,'[4] RFC'!A:B,2,0)</f>
        <v>#N/A</v>
      </c>
      <c r="AQ199" s="59">
        <v>45996</v>
      </c>
      <c r="AR199" s="59">
        <v>45643</v>
      </c>
      <c r="AS199" s="59">
        <v>45649</v>
      </c>
      <c r="AT199" s="59">
        <f t="shared" si="32"/>
        <v>45645</v>
      </c>
      <c r="AU199" s="183"/>
      <c r="AV199" s="195">
        <v>45645</v>
      </c>
      <c r="AW199" s="185">
        <v>45653</v>
      </c>
      <c r="AX199" t="s">
        <v>7143</v>
      </c>
    </row>
    <row r="200" spans="1:50" hidden="1" x14ac:dyDescent="0.25">
      <c r="A200" s="188"/>
      <c r="B200" s="259">
        <v>101</v>
      </c>
      <c r="C200" s="167"/>
      <c r="D200" s="39"/>
      <c r="E200" s="287"/>
      <c r="F200" s="39">
        <f t="shared" si="31"/>
        <v>0</v>
      </c>
      <c r="G200" s="39"/>
      <c r="H200" s="39"/>
      <c r="I200" s="81"/>
      <c r="J200" s="1046"/>
      <c r="K200" s="1046"/>
      <c r="L200" s="1046"/>
      <c r="M200" s="1046" t="str">
        <f t="shared" si="33"/>
        <v xml:space="preserve">  </v>
      </c>
      <c r="N200" s="991"/>
      <c r="O200" s="991"/>
      <c r="P200" s="991"/>
      <c r="Q200" s="1040"/>
      <c r="R200" s="1047"/>
      <c r="S200" s="270">
        <f t="shared" si="30"/>
        <v>0</v>
      </c>
      <c r="T200" s="1048">
        <f t="shared" si="27"/>
        <v>0</v>
      </c>
      <c r="U200" s="1047">
        <v>0</v>
      </c>
      <c r="V200" s="270">
        <f t="shared" si="34"/>
        <v>0</v>
      </c>
      <c r="W200" s="270">
        <f t="shared" si="29"/>
        <v>0</v>
      </c>
      <c r="X200" s="993" t="s">
        <v>156</v>
      </c>
      <c r="Y200" s="59"/>
      <c r="Z200" s="39"/>
      <c r="AA200" s="59">
        <f t="shared" si="35"/>
        <v>0</v>
      </c>
      <c r="AB200" s="59"/>
      <c r="AC200" s="38"/>
      <c r="AD200" s="53"/>
      <c r="AE200" s="38"/>
      <c r="AF200" s="256"/>
      <c r="AG200" s="270">
        <v>0</v>
      </c>
      <c r="AH200" s="163" t="str">
        <f t="shared" ca="1" si="28"/>
        <v/>
      </c>
      <c r="AI200" s="39"/>
      <c r="AJ200" s="39"/>
      <c r="AK200" s="39"/>
      <c r="AL200" s="39"/>
      <c r="AM200" s="39"/>
      <c r="AN200" s="39"/>
      <c r="AO200" s="39"/>
      <c r="AP200" s="38" t="e">
        <f>VLOOKUP(I200,'[4] RFC'!A:B,2,0)</f>
        <v>#N/A</v>
      </c>
      <c r="AQ200" s="59"/>
      <c r="AR200" s="59"/>
      <c r="AS200" s="59"/>
      <c r="AT200" s="59">
        <f t="shared" si="32"/>
        <v>0</v>
      </c>
      <c r="AU200" s="183"/>
      <c r="AV200" s="195"/>
      <c r="AW200" s="185"/>
    </row>
    <row r="201" spans="1:50" hidden="1" x14ac:dyDescent="0.25">
      <c r="A201" s="188"/>
      <c r="B201" s="259">
        <v>102</v>
      </c>
      <c r="C201" s="167"/>
      <c r="D201" s="39"/>
      <c r="E201" s="287"/>
      <c r="F201" s="39">
        <f t="shared" si="31"/>
        <v>0</v>
      </c>
      <c r="G201" s="39"/>
      <c r="H201" s="39"/>
      <c r="I201" s="81"/>
      <c r="J201" s="1046"/>
      <c r="K201" s="1046"/>
      <c r="L201" s="1046"/>
      <c r="M201" s="1046" t="str">
        <f t="shared" si="33"/>
        <v xml:space="preserve">  </v>
      </c>
      <c r="N201" s="991"/>
      <c r="O201" s="991"/>
      <c r="P201" s="991"/>
      <c r="Q201" s="1040"/>
      <c r="R201" s="1047"/>
      <c r="S201" s="270">
        <f t="shared" si="30"/>
        <v>0</v>
      </c>
      <c r="T201" s="1048">
        <f t="shared" si="27"/>
        <v>0</v>
      </c>
      <c r="U201" s="1047">
        <v>0</v>
      </c>
      <c r="V201" s="270">
        <f t="shared" si="34"/>
        <v>0</v>
      </c>
      <c r="W201" s="270">
        <f t="shared" si="29"/>
        <v>0</v>
      </c>
      <c r="X201" s="993" t="s">
        <v>156</v>
      </c>
      <c r="Y201" s="59"/>
      <c r="Z201" s="39"/>
      <c r="AA201" s="59">
        <f t="shared" si="35"/>
        <v>0</v>
      </c>
      <c r="AB201" s="59"/>
      <c r="AC201" s="38"/>
      <c r="AD201" s="53"/>
      <c r="AE201" s="38"/>
      <c r="AF201" s="256"/>
      <c r="AG201" s="270">
        <v>0</v>
      </c>
      <c r="AH201" s="163" t="str">
        <f t="shared" ca="1" si="28"/>
        <v/>
      </c>
      <c r="AI201" s="39"/>
      <c r="AJ201" s="39"/>
      <c r="AK201" s="39"/>
      <c r="AL201" s="39"/>
      <c r="AM201" s="39"/>
      <c r="AN201" s="39"/>
      <c r="AO201" s="39"/>
      <c r="AP201" s="38" t="e">
        <f>VLOOKUP(I201,'[4] RFC'!A:B,2,0)</f>
        <v>#N/A</v>
      </c>
      <c r="AQ201" s="59"/>
      <c r="AR201" s="59"/>
      <c r="AS201" s="59"/>
      <c r="AT201" s="59">
        <f t="shared" si="32"/>
        <v>0</v>
      </c>
      <c r="AU201" s="183"/>
      <c r="AV201" s="195"/>
      <c r="AW201" s="185"/>
    </row>
    <row r="202" spans="1:50" hidden="1" x14ac:dyDescent="0.25">
      <c r="A202" s="188"/>
      <c r="B202" s="259">
        <v>103</v>
      </c>
      <c r="C202" s="167"/>
      <c r="D202" s="39"/>
      <c r="E202" s="287"/>
      <c r="F202" s="39">
        <f t="shared" si="31"/>
        <v>0</v>
      </c>
      <c r="G202" s="39"/>
      <c r="H202" s="39"/>
      <c r="I202" s="81"/>
      <c r="J202" s="1046"/>
      <c r="K202" s="1046"/>
      <c r="L202" s="1046"/>
      <c r="M202" s="1046" t="str">
        <f t="shared" si="33"/>
        <v xml:space="preserve">  </v>
      </c>
      <c r="N202" s="991"/>
      <c r="O202" s="991"/>
      <c r="P202" s="991"/>
      <c r="Q202" s="1040"/>
      <c r="R202" s="1047"/>
      <c r="S202" s="270">
        <f t="shared" si="30"/>
        <v>0</v>
      </c>
      <c r="T202" s="1048">
        <f t="shared" si="27"/>
        <v>0</v>
      </c>
      <c r="U202" s="1047">
        <v>0</v>
      </c>
      <c r="V202" s="270">
        <f t="shared" si="34"/>
        <v>0</v>
      </c>
      <c r="W202" s="270">
        <f t="shared" si="29"/>
        <v>0</v>
      </c>
      <c r="X202" s="993" t="s">
        <v>156</v>
      </c>
      <c r="Y202" s="59"/>
      <c r="Z202" s="39"/>
      <c r="AA202" s="59">
        <f t="shared" si="35"/>
        <v>0</v>
      </c>
      <c r="AB202" s="59"/>
      <c r="AC202" s="38"/>
      <c r="AD202" s="53"/>
      <c r="AE202" s="38"/>
      <c r="AF202" s="256"/>
      <c r="AG202" s="270">
        <v>0</v>
      </c>
      <c r="AH202" s="163" t="str">
        <f t="shared" ca="1" si="28"/>
        <v/>
      </c>
      <c r="AI202" s="39"/>
      <c r="AJ202" s="39"/>
      <c r="AK202" s="39"/>
      <c r="AL202" s="39"/>
      <c r="AM202" s="39"/>
      <c r="AN202" s="39"/>
      <c r="AO202" s="39"/>
      <c r="AP202" s="38" t="e">
        <f>VLOOKUP(I202,'[4] RFC'!A:B,2,0)</f>
        <v>#N/A</v>
      </c>
      <c r="AQ202" s="59"/>
      <c r="AR202" s="59"/>
      <c r="AS202" s="59"/>
      <c r="AT202" s="59">
        <f t="shared" si="32"/>
        <v>0</v>
      </c>
      <c r="AU202" s="183"/>
      <c r="AV202" s="195"/>
      <c r="AW202" s="185"/>
    </row>
    <row r="203" spans="1:50" hidden="1" x14ac:dyDescent="0.25">
      <c r="A203" s="188"/>
      <c r="B203" s="259">
        <v>104</v>
      </c>
      <c r="C203" s="167"/>
      <c r="D203" s="39"/>
      <c r="E203" s="287"/>
      <c r="F203" s="39">
        <f t="shared" si="31"/>
        <v>0</v>
      </c>
      <c r="G203" s="39"/>
      <c r="H203" s="39"/>
      <c r="I203" s="81"/>
      <c r="J203" s="1046"/>
      <c r="K203" s="1046"/>
      <c r="L203" s="1046"/>
      <c r="M203" s="1046" t="str">
        <f t="shared" si="33"/>
        <v xml:space="preserve">  </v>
      </c>
      <c r="N203" s="991"/>
      <c r="O203" s="991"/>
      <c r="P203" s="991"/>
      <c r="Q203" s="1040"/>
      <c r="R203" s="1047"/>
      <c r="S203" s="270">
        <f t="shared" si="30"/>
        <v>0</v>
      </c>
      <c r="T203" s="1048">
        <f t="shared" si="27"/>
        <v>0</v>
      </c>
      <c r="U203" s="1047">
        <v>0</v>
      </c>
      <c r="V203" s="270">
        <f t="shared" si="34"/>
        <v>0</v>
      </c>
      <c r="W203" s="270">
        <f t="shared" si="29"/>
        <v>0</v>
      </c>
      <c r="X203" s="993" t="s">
        <v>156</v>
      </c>
      <c r="Y203" s="59"/>
      <c r="Z203" s="39"/>
      <c r="AA203" s="59">
        <f t="shared" si="35"/>
        <v>0</v>
      </c>
      <c r="AB203" s="59"/>
      <c r="AC203" s="38"/>
      <c r="AD203" s="53"/>
      <c r="AE203" s="38"/>
      <c r="AF203" s="256"/>
      <c r="AG203" s="270">
        <v>0</v>
      </c>
      <c r="AH203" s="163" t="str">
        <f t="shared" ca="1" si="28"/>
        <v/>
      </c>
      <c r="AI203" s="39"/>
      <c r="AJ203" s="39"/>
      <c r="AK203" s="39"/>
      <c r="AL203" s="39"/>
      <c r="AM203" s="39"/>
      <c r="AN203" s="39"/>
      <c r="AO203" s="39"/>
      <c r="AP203" s="38" t="e">
        <f>VLOOKUP(I203,'[4] RFC'!A:B,2,0)</f>
        <v>#N/A</v>
      </c>
      <c r="AQ203" s="59"/>
      <c r="AR203" s="59"/>
      <c r="AS203" s="59"/>
      <c r="AT203" s="59">
        <f t="shared" si="32"/>
        <v>0</v>
      </c>
      <c r="AU203" s="183"/>
      <c r="AV203" s="195"/>
      <c r="AW203" s="185"/>
    </row>
    <row r="204" spans="1:50" hidden="1" x14ac:dyDescent="0.25">
      <c r="A204" s="188"/>
      <c r="B204" s="259">
        <v>105</v>
      </c>
      <c r="C204" s="167"/>
      <c r="D204" s="39"/>
      <c r="E204" s="287"/>
      <c r="F204" s="39">
        <f t="shared" si="31"/>
        <v>0</v>
      </c>
      <c r="G204" s="39"/>
      <c r="H204" s="39"/>
      <c r="I204" s="81"/>
      <c r="J204" s="1046"/>
      <c r="K204" s="1046"/>
      <c r="L204" s="1046"/>
      <c r="M204" s="1046" t="str">
        <f t="shared" si="33"/>
        <v xml:space="preserve">  </v>
      </c>
      <c r="N204" s="991"/>
      <c r="O204" s="991"/>
      <c r="P204" s="991"/>
      <c r="Q204" s="1040"/>
      <c r="R204" s="1047"/>
      <c r="S204" s="270">
        <f t="shared" si="30"/>
        <v>0</v>
      </c>
      <c r="T204" s="1048">
        <f t="shared" si="27"/>
        <v>0</v>
      </c>
      <c r="U204" s="1047">
        <v>0</v>
      </c>
      <c r="V204" s="270">
        <f t="shared" si="34"/>
        <v>0</v>
      </c>
      <c r="W204" s="270">
        <f t="shared" si="29"/>
        <v>0</v>
      </c>
      <c r="X204" s="993" t="s">
        <v>156</v>
      </c>
      <c r="Y204" s="59"/>
      <c r="Z204" s="39"/>
      <c r="AA204" s="59">
        <f t="shared" si="35"/>
        <v>0</v>
      </c>
      <c r="AB204" s="59"/>
      <c r="AC204" s="38"/>
      <c r="AD204" s="53"/>
      <c r="AE204" s="38"/>
      <c r="AF204" s="256"/>
      <c r="AG204" s="270">
        <v>0</v>
      </c>
      <c r="AH204" s="163" t="str">
        <f t="shared" ca="1" si="28"/>
        <v/>
      </c>
      <c r="AI204" s="39"/>
      <c r="AJ204" s="39"/>
      <c r="AK204" s="39"/>
      <c r="AL204" s="39"/>
      <c r="AM204" s="39"/>
      <c r="AN204" s="39"/>
      <c r="AO204" s="39"/>
      <c r="AP204" s="38" t="e">
        <f>VLOOKUP(I204,'[4] RFC'!A:B,2,0)</f>
        <v>#N/A</v>
      </c>
      <c r="AQ204" s="59"/>
      <c r="AR204" s="59"/>
      <c r="AS204" s="59"/>
      <c r="AT204" s="59">
        <f t="shared" si="32"/>
        <v>0</v>
      </c>
      <c r="AU204" s="183"/>
      <c r="AV204" s="195"/>
      <c r="AW204" s="185"/>
    </row>
    <row r="205" spans="1:50" hidden="1" x14ac:dyDescent="0.25">
      <c r="A205" s="188"/>
      <c r="B205" s="259">
        <v>106</v>
      </c>
      <c r="C205" s="167"/>
      <c r="D205" s="39"/>
      <c r="E205" s="287"/>
      <c r="F205" s="39">
        <f t="shared" si="31"/>
        <v>0</v>
      </c>
      <c r="G205" s="39"/>
      <c r="H205" s="39"/>
      <c r="I205" s="81"/>
      <c r="J205" s="1046"/>
      <c r="K205" s="1046"/>
      <c r="L205" s="1046"/>
      <c r="M205" s="1046" t="str">
        <f t="shared" si="33"/>
        <v xml:space="preserve">  </v>
      </c>
      <c r="N205" s="991"/>
      <c r="O205" s="991"/>
      <c r="P205" s="991"/>
      <c r="Q205" s="1040"/>
      <c r="R205" s="1047"/>
      <c r="S205" s="270">
        <f t="shared" si="30"/>
        <v>0</v>
      </c>
      <c r="T205" s="1048">
        <f t="shared" si="27"/>
        <v>0</v>
      </c>
      <c r="U205" s="1047">
        <v>0</v>
      </c>
      <c r="V205" s="270">
        <f t="shared" si="34"/>
        <v>0</v>
      </c>
      <c r="W205" s="270">
        <f t="shared" si="29"/>
        <v>0</v>
      </c>
      <c r="X205" s="993" t="s">
        <v>156</v>
      </c>
      <c r="Y205" s="59"/>
      <c r="Z205" s="39"/>
      <c r="AA205" s="59">
        <f t="shared" si="35"/>
        <v>0</v>
      </c>
      <c r="AB205" s="59"/>
      <c r="AC205" s="38"/>
      <c r="AD205" s="53"/>
      <c r="AE205" s="38"/>
      <c r="AF205" s="256"/>
      <c r="AG205" s="270">
        <v>0</v>
      </c>
      <c r="AH205" s="163" t="str">
        <f t="shared" ca="1" si="28"/>
        <v/>
      </c>
      <c r="AI205" s="39"/>
      <c r="AJ205" s="39"/>
      <c r="AK205" s="39"/>
      <c r="AL205" s="39"/>
      <c r="AM205" s="39"/>
      <c r="AN205" s="39"/>
      <c r="AO205" s="39"/>
      <c r="AP205" s="38" t="e">
        <f>VLOOKUP(I205,'[4] RFC'!A:B,2,0)</f>
        <v>#N/A</v>
      </c>
      <c r="AQ205" s="59"/>
      <c r="AR205" s="59"/>
      <c r="AS205" s="59"/>
      <c r="AT205" s="59">
        <f t="shared" si="32"/>
        <v>0</v>
      </c>
      <c r="AU205" s="183"/>
      <c r="AV205" s="195"/>
      <c r="AW205" s="185"/>
    </row>
    <row r="206" spans="1:50" hidden="1" x14ac:dyDescent="0.25">
      <c r="A206" s="188"/>
      <c r="B206" s="259">
        <v>107</v>
      </c>
      <c r="C206" s="167"/>
      <c r="D206" s="39"/>
      <c r="E206" s="287"/>
      <c r="F206" s="39">
        <f t="shared" si="31"/>
        <v>0</v>
      </c>
      <c r="G206" s="39"/>
      <c r="H206" s="39"/>
      <c r="I206" s="81"/>
      <c r="J206" s="1046"/>
      <c r="K206" s="1046"/>
      <c r="L206" s="1046"/>
      <c r="M206" s="1046" t="str">
        <f t="shared" si="33"/>
        <v xml:space="preserve">  </v>
      </c>
      <c r="N206" s="991"/>
      <c r="O206" s="991"/>
      <c r="P206" s="991"/>
      <c r="Q206" s="1040"/>
      <c r="R206" s="1047"/>
      <c r="S206" s="270">
        <f t="shared" si="30"/>
        <v>0</v>
      </c>
      <c r="T206" s="1048">
        <f t="shared" si="27"/>
        <v>0</v>
      </c>
      <c r="U206" s="1047">
        <v>0</v>
      </c>
      <c r="V206" s="270">
        <f t="shared" si="34"/>
        <v>0</v>
      </c>
      <c r="W206" s="270">
        <f t="shared" si="29"/>
        <v>0</v>
      </c>
      <c r="X206" s="993" t="s">
        <v>156</v>
      </c>
      <c r="Y206" s="59"/>
      <c r="Z206" s="39"/>
      <c r="AA206" s="59">
        <f t="shared" si="35"/>
        <v>0</v>
      </c>
      <c r="AB206" s="59"/>
      <c r="AC206" s="38"/>
      <c r="AD206" s="53"/>
      <c r="AE206" s="38"/>
      <c r="AF206" s="256"/>
      <c r="AG206" s="270">
        <v>0</v>
      </c>
      <c r="AH206" s="163" t="str">
        <f t="shared" ca="1" si="28"/>
        <v/>
      </c>
      <c r="AI206" s="39"/>
      <c r="AJ206" s="39"/>
      <c r="AK206" s="39"/>
      <c r="AL206" s="39"/>
      <c r="AM206" s="39"/>
      <c r="AN206" s="39"/>
      <c r="AO206" s="39"/>
      <c r="AP206" s="38" t="e">
        <f>VLOOKUP(I206,'[4] RFC'!A:B,2,0)</f>
        <v>#N/A</v>
      </c>
      <c r="AQ206" s="59"/>
      <c r="AR206" s="59"/>
      <c r="AS206" s="59"/>
      <c r="AT206" s="59">
        <f t="shared" si="32"/>
        <v>0</v>
      </c>
      <c r="AU206" s="183"/>
      <c r="AV206" s="195"/>
      <c r="AW206" s="185"/>
    </row>
    <row r="207" spans="1:50" hidden="1" x14ac:dyDescent="0.25">
      <c r="A207" s="188"/>
      <c r="B207" s="259">
        <v>108</v>
      </c>
      <c r="C207" s="167"/>
      <c r="D207" s="39"/>
      <c r="E207" s="287"/>
      <c r="F207" s="39">
        <f t="shared" si="31"/>
        <v>0</v>
      </c>
      <c r="G207" s="39"/>
      <c r="H207" s="39"/>
      <c r="I207" s="81"/>
      <c r="J207" s="1046"/>
      <c r="K207" s="1046"/>
      <c r="L207" s="1046"/>
      <c r="M207" s="1046" t="str">
        <f t="shared" si="33"/>
        <v xml:space="preserve">  </v>
      </c>
      <c r="N207" s="991"/>
      <c r="O207" s="991"/>
      <c r="P207" s="991"/>
      <c r="Q207" s="1040"/>
      <c r="R207" s="1047"/>
      <c r="S207" s="270">
        <f t="shared" si="30"/>
        <v>0</v>
      </c>
      <c r="T207" s="1048">
        <f t="shared" si="27"/>
        <v>0</v>
      </c>
      <c r="U207" s="1047">
        <v>0</v>
      </c>
      <c r="V207" s="270">
        <f t="shared" si="34"/>
        <v>0</v>
      </c>
      <c r="W207" s="270">
        <f t="shared" si="29"/>
        <v>0</v>
      </c>
      <c r="X207" s="993" t="s">
        <v>156</v>
      </c>
      <c r="Y207" s="59"/>
      <c r="Z207" s="39"/>
      <c r="AA207" s="59">
        <f t="shared" si="35"/>
        <v>0</v>
      </c>
      <c r="AB207" s="59"/>
      <c r="AC207" s="38"/>
      <c r="AD207" s="53"/>
      <c r="AE207" s="38"/>
      <c r="AF207" s="256"/>
      <c r="AG207" s="270">
        <v>0</v>
      </c>
      <c r="AH207" s="163" t="str">
        <f t="shared" ca="1" si="28"/>
        <v/>
      </c>
      <c r="AI207" s="39"/>
      <c r="AJ207" s="39"/>
      <c r="AK207" s="39"/>
      <c r="AL207" s="39"/>
      <c r="AM207" s="39"/>
      <c r="AN207" s="39"/>
      <c r="AO207" s="39"/>
      <c r="AP207" s="38" t="e">
        <f>VLOOKUP(I207,'[4] RFC'!A:B,2,0)</f>
        <v>#N/A</v>
      </c>
      <c r="AQ207" s="59"/>
      <c r="AR207" s="59"/>
      <c r="AS207" s="59"/>
      <c r="AT207" s="59">
        <f t="shared" si="32"/>
        <v>0</v>
      </c>
      <c r="AU207" s="183"/>
      <c r="AV207" s="195"/>
      <c r="AW207" s="185"/>
    </row>
    <row r="208" spans="1:50" hidden="1" x14ac:dyDescent="0.25">
      <c r="A208" s="188"/>
      <c r="B208" s="259">
        <v>109</v>
      </c>
      <c r="C208" s="167"/>
      <c r="D208" s="39"/>
      <c r="E208" s="287"/>
      <c r="F208" s="39">
        <f t="shared" si="31"/>
        <v>0</v>
      </c>
      <c r="G208" s="39"/>
      <c r="H208" s="39"/>
      <c r="I208" s="81"/>
      <c r="J208" s="1046"/>
      <c r="K208" s="1046"/>
      <c r="L208" s="1046"/>
      <c r="M208" s="1046" t="str">
        <f t="shared" si="33"/>
        <v xml:space="preserve">  </v>
      </c>
      <c r="N208" s="991"/>
      <c r="O208" s="991"/>
      <c r="P208" s="991"/>
      <c r="Q208" s="1040"/>
      <c r="R208" s="1047"/>
      <c r="S208" s="270">
        <f t="shared" si="30"/>
        <v>0</v>
      </c>
      <c r="T208" s="1048">
        <f t="shared" si="27"/>
        <v>0</v>
      </c>
      <c r="U208" s="1047">
        <v>0</v>
      </c>
      <c r="V208" s="270">
        <f t="shared" si="34"/>
        <v>0</v>
      </c>
      <c r="W208" s="270">
        <f t="shared" si="29"/>
        <v>0</v>
      </c>
      <c r="X208" s="993" t="s">
        <v>156</v>
      </c>
      <c r="Y208" s="59"/>
      <c r="Z208" s="39"/>
      <c r="AA208" s="59">
        <f t="shared" si="35"/>
        <v>0</v>
      </c>
      <c r="AB208" s="59"/>
      <c r="AC208" s="38"/>
      <c r="AD208" s="53"/>
      <c r="AE208" s="38"/>
      <c r="AF208" s="256"/>
      <c r="AG208" s="270">
        <v>0</v>
      </c>
      <c r="AH208" s="163" t="str">
        <f t="shared" ca="1" si="28"/>
        <v/>
      </c>
      <c r="AI208" s="39"/>
      <c r="AJ208" s="39"/>
      <c r="AK208" s="39"/>
      <c r="AL208" s="39"/>
      <c r="AM208" s="39"/>
      <c r="AN208" s="39"/>
      <c r="AO208" s="39"/>
      <c r="AP208" s="38" t="e">
        <f>VLOOKUP(I208,'[4] RFC'!A:B,2,0)</f>
        <v>#N/A</v>
      </c>
      <c r="AQ208" s="59"/>
      <c r="AR208" s="59"/>
      <c r="AS208" s="59"/>
      <c r="AT208" s="59">
        <f t="shared" si="32"/>
        <v>0</v>
      </c>
      <c r="AU208" s="183"/>
      <c r="AV208" s="195"/>
      <c r="AW208" s="185"/>
    </row>
    <row r="209" spans="1:49" hidden="1" x14ac:dyDescent="0.25">
      <c r="A209" s="188"/>
      <c r="B209" s="259">
        <v>110</v>
      </c>
      <c r="C209" s="167"/>
      <c r="D209" s="39"/>
      <c r="E209" s="40"/>
      <c r="F209" s="39">
        <f t="shared" si="31"/>
        <v>0</v>
      </c>
      <c r="G209" s="39"/>
      <c r="H209" s="39"/>
      <c r="I209" s="81"/>
      <c r="J209" s="1046"/>
      <c r="K209" s="1046"/>
      <c r="L209" s="1046"/>
      <c r="M209" s="1046" t="str">
        <f t="shared" si="33"/>
        <v xml:space="preserve">  </v>
      </c>
      <c r="N209" s="991"/>
      <c r="O209" s="991"/>
      <c r="P209" s="991"/>
      <c r="Q209" s="1040"/>
      <c r="R209" s="1047"/>
      <c r="S209" s="270">
        <f t="shared" si="30"/>
        <v>0</v>
      </c>
      <c r="T209" s="1048">
        <f t="shared" ref="T209:T272" si="36">R209+S209</f>
        <v>0</v>
      </c>
      <c r="U209" s="1047">
        <v>0</v>
      </c>
      <c r="V209" s="270">
        <f t="shared" si="34"/>
        <v>0</v>
      </c>
      <c r="W209" s="270">
        <f t="shared" si="29"/>
        <v>0</v>
      </c>
      <c r="X209" s="993" t="s">
        <v>156</v>
      </c>
      <c r="Y209" s="59"/>
      <c r="Z209" s="39"/>
      <c r="AA209" s="59">
        <f t="shared" si="35"/>
        <v>0</v>
      </c>
      <c r="AB209" s="59"/>
      <c r="AC209" s="38"/>
      <c r="AD209" s="53"/>
      <c r="AE209" s="38"/>
      <c r="AF209" s="256"/>
      <c r="AG209" s="270">
        <v>0</v>
      </c>
      <c r="AH209" s="163" t="str">
        <f t="shared" ca="1" si="28"/>
        <v/>
      </c>
      <c r="AI209" s="39"/>
      <c r="AJ209" s="39"/>
      <c r="AK209" s="39"/>
      <c r="AL209" s="39"/>
      <c r="AM209" s="39"/>
      <c r="AN209" s="39"/>
      <c r="AO209" s="39"/>
      <c r="AP209" s="38" t="e">
        <f>VLOOKUP(I209,'[4] RFC'!A:B,2,0)</f>
        <v>#N/A</v>
      </c>
      <c r="AQ209" s="59"/>
      <c r="AR209" s="59"/>
      <c r="AS209" s="59"/>
      <c r="AT209" s="59">
        <f t="shared" si="32"/>
        <v>0</v>
      </c>
      <c r="AU209" s="183"/>
      <c r="AV209" s="195"/>
      <c r="AW209" s="185"/>
    </row>
    <row r="210" spans="1:49" hidden="1" x14ac:dyDescent="0.25">
      <c r="A210" s="188"/>
      <c r="B210" s="259">
        <v>111</v>
      </c>
      <c r="C210" s="167"/>
      <c r="D210" s="39"/>
      <c r="E210" s="40"/>
      <c r="F210" s="39">
        <f t="shared" si="31"/>
        <v>0</v>
      </c>
      <c r="G210" s="39"/>
      <c r="H210" s="39"/>
      <c r="I210" s="81"/>
      <c r="J210" s="1046"/>
      <c r="K210" s="1046"/>
      <c r="L210" s="1046"/>
      <c r="M210" s="1046" t="str">
        <f t="shared" si="33"/>
        <v xml:space="preserve">  </v>
      </c>
      <c r="N210" s="991"/>
      <c r="O210" s="991"/>
      <c r="P210" s="991"/>
      <c r="Q210" s="1040"/>
      <c r="R210" s="1047"/>
      <c r="S210" s="270">
        <f t="shared" si="30"/>
        <v>0</v>
      </c>
      <c r="T210" s="1048">
        <f t="shared" si="36"/>
        <v>0</v>
      </c>
      <c r="U210" s="1047">
        <v>0</v>
      </c>
      <c r="V210" s="270">
        <f t="shared" si="34"/>
        <v>0</v>
      </c>
      <c r="W210" s="270">
        <f t="shared" si="29"/>
        <v>0</v>
      </c>
      <c r="X210" s="993" t="s">
        <v>156</v>
      </c>
      <c r="Y210" s="59"/>
      <c r="Z210" s="39"/>
      <c r="AA210" s="59">
        <f t="shared" si="35"/>
        <v>0</v>
      </c>
      <c r="AB210" s="59"/>
      <c r="AC210" s="38"/>
      <c r="AD210" s="53"/>
      <c r="AE210" s="38"/>
      <c r="AF210" s="256"/>
      <c r="AG210" s="270">
        <v>0</v>
      </c>
      <c r="AH210" s="163" t="str">
        <f t="shared" ca="1" si="28"/>
        <v/>
      </c>
      <c r="AI210" s="39"/>
      <c r="AJ210" s="39"/>
      <c r="AK210" s="39"/>
      <c r="AL210" s="39"/>
      <c r="AM210" s="39"/>
      <c r="AN210" s="39"/>
      <c r="AO210" s="39"/>
      <c r="AP210" s="38" t="e">
        <f>VLOOKUP(I210,'[4] RFC'!A:B,2,0)</f>
        <v>#N/A</v>
      </c>
      <c r="AQ210" s="59"/>
      <c r="AR210" s="59"/>
      <c r="AS210" s="59"/>
      <c r="AT210" s="59">
        <f t="shared" si="32"/>
        <v>0</v>
      </c>
      <c r="AU210" s="183"/>
      <c r="AV210" s="195"/>
      <c r="AW210" s="185"/>
    </row>
    <row r="211" spans="1:49" hidden="1" x14ac:dyDescent="0.25">
      <c r="A211" s="188"/>
      <c r="B211" s="259">
        <v>112</v>
      </c>
      <c r="C211" s="167"/>
      <c r="D211" s="39"/>
      <c r="E211" s="40"/>
      <c r="F211" s="39">
        <f t="shared" si="31"/>
        <v>0</v>
      </c>
      <c r="G211" s="39"/>
      <c r="H211" s="39"/>
      <c r="I211" s="81"/>
      <c r="J211" s="1046"/>
      <c r="K211" s="1046"/>
      <c r="L211" s="1046"/>
      <c r="M211" s="1046" t="str">
        <f t="shared" si="33"/>
        <v xml:space="preserve">  </v>
      </c>
      <c r="N211" s="991"/>
      <c r="O211" s="991"/>
      <c r="P211" s="991"/>
      <c r="Q211" s="1040"/>
      <c r="R211" s="1047"/>
      <c r="S211" s="270">
        <f t="shared" si="30"/>
        <v>0</v>
      </c>
      <c r="T211" s="1048">
        <f t="shared" si="36"/>
        <v>0</v>
      </c>
      <c r="U211" s="1047">
        <v>0</v>
      </c>
      <c r="V211" s="270">
        <f t="shared" si="34"/>
        <v>0</v>
      </c>
      <c r="W211" s="270">
        <f t="shared" si="29"/>
        <v>0</v>
      </c>
      <c r="X211" s="993" t="s">
        <v>156</v>
      </c>
      <c r="Y211" s="59"/>
      <c r="Z211" s="39"/>
      <c r="AA211" s="59">
        <f t="shared" si="35"/>
        <v>0</v>
      </c>
      <c r="AB211" s="59"/>
      <c r="AC211" s="38"/>
      <c r="AD211" s="53"/>
      <c r="AE211" s="38"/>
      <c r="AF211" s="256"/>
      <c r="AG211" s="270">
        <v>0</v>
      </c>
      <c r="AH211" s="163" t="str">
        <f t="shared" ref="AH211:AH274" ca="1" si="37">IF(ISBLANK(AB211),"",IF(AB211&gt;=TODAY(),"VIGENTE","MUERTO"))</f>
        <v/>
      </c>
      <c r="AI211" s="39"/>
      <c r="AJ211" s="39"/>
      <c r="AK211" s="39"/>
      <c r="AL211" s="39"/>
      <c r="AM211" s="39"/>
      <c r="AN211" s="39"/>
      <c r="AO211" s="39"/>
      <c r="AP211" s="38" t="e">
        <f>VLOOKUP(I211,'[4] RFC'!A:B,2,0)</f>
        <v>#N/A</v>
      </c>
      <c r="AQ211" s="59"/>
      <c r="AR211" s="59"/>
      <c r="AS211" s="59"/>
      <c r="AT211" s="59">
        <f t="shared" si="32"/>
        <v>0</v>
      </c>
      <c r="AU211" s="183"/>
      <c r="AV211" s="195"/>
      <c r="AW211" s="185"/>
    </row>
    <row r="212" spans="1:49" hidden="1" x14ac:dyDescent="0.25">
      <c r="A212" s="188"/>
      <c r="B212" s="259">
        <v>113</v>
      </c>
      <c r="C212" s="167"/>
      <c r="D212" s="39"/>
      <c r="E212" s="40"/>
      <c r="F212" s="39">
        <f t="shared" si="31"/>
        <v>0</v>
      </c>
      <c r="G212" s="39"/>
      <c r="H212" s="39"/>
      <c r="I212" s="81"/>
      <c r="J212" s="1046"/>
      <c r="K212" s="1046"/>
      <c r="L212" s="1046"/>
      <c r="M212" s="1046" t="str">
        <f t="shared" si="33"/>
        <v xml:space="preserve">  </v>
      </c>
      <c r="N212" s="991"/>
      <c r="O212" s="991"/>
      <c r="P212" s="991"/>
      <c r="Q212" s="1040"/>
      <c r="R212" s="1047"/>
      <c r="S212" s="270">
        <f t="shared" si="30"/>
        <v>0</v>
      </c>
      <c r="T212" s="1048">
        <f t="shared" si="36"/>
        <v>0</v>
      </c>
      <c r="U212" s="1047">
        <v>0</v>
      </c>
      <c r="V212" s="270">
        <f t="shared" si="34"/>
        <v>0</v>
      </c>
      <c r="W212" s="270">
        <f t="shared" ref="W212:W275" si="38">T212+AG212</f>
        <v>0</v>
      </c>
      <c r="X212" s="993" t="s">
        <v>156</v>
      </c>
      <c r="Y212" s="59"/>
      <c r="Z212" s="39"/>
      <c r="AA212" s="59">
        <f t="shared" si="35"/>
        <v>0</v>
      </c>
      <c r="AB212" s="59"/>
      <c r="AC212" s="38"/>
      <c r="AD212" s="53"/>
      <c r="AE212" s="38"/>
      <c r="AF212" s="256"/>
      <c r="AG212" s="270">
        <v>0</v>
      </c>
      <c r="AH212" s="163" t="str">
        <f t="shared" ca="1" si="37"/>
        <v/>
      </c>
      <c r="AI212" s="39"/>
      <c r="AJ212" s="39"/>
      <c r="AK212" s="39"/>
      <c r="AL212" s="39"/>
      <c r="AM212" s="39"/>
      <c r="AN212" s="39"/>
      <c r="AO212" s="39"/>
      <c r="AP212" s="38" t="e">
        <f>VLOOKUP(I212,'[4] RFC'!A:B,2,0)</f>
        <v>#N/A</v>
      </c>
      <c r="AQ212" s="59"/>
      <c r="AR212" s="59"/>
      <c r="AS212" s="59"/>
      <c r="AT212" s="59">
        <f t="shared" si="32"/>
        <v>0</v>
      </c>
      <c r="AU212" s="183"/>
      <c r="AV212" s="195"/>
      <c r="AW212" s="185"/>
    </row>
    <row r="213" spans="1:49" hidden="1" x14ac:dyDescent="0.25">
      <c r="A213" s="188"/>
      <c r="B213" s="259">
        <v>114</v>
      </c>
      <c r="C213" s="167"/>
      <c r="D213" s="39"/>
      <c r="E213" s="40"/>
      <c r="F213" s="39">
        <f t="shared" si="31"/>
        <v>0</v>
      </c>
      <c r="G213" s="39"/>
      <c r="H213" s="39"/>
      <c r="I213" s="81"/>
      <c r="J213" s="1046"/>
      <c r="K213" s="1046"/>
      <c r="L213" s="1046"/>
      <c r="M213" s="1046" t="str">
        <f t="shared" si="33"/>
        <v xml:space="preserve">  </v>
      </c>
      <c r="N213" s="991"/>
      <c r="O213" s="991"/>
      <c r="P213" s="991"/>
      <c r="Q213" s="1040"/>
      <c r="R213" s="1047"/>
      <c r="S213" s="270">
        <f t="shared" si="30"/>
        <v>0</v>
      </c>
      <c r="T213" s="1048">
        <f t="shared" si="36"/>
        <v>0</v>
      </c>
      <c r="U213" s="1047">
        <v>0</v>
      </c>
      <c r="V213" s="270">
        <f t="shared" si="34"/>
        <v>0</v>
      </c>
      <c r="W213" s="270">
        <f t="shared" si="38"/>
        <v>0</v>
      </c>
      <c r="X213" s="993" t="s">
        <v>156</v>
      </c>
      <c r="Y213" s="59"/>
      <c r="Z213" s="39"/>
      <c r="AA213" s="59">
        <f t="shared" si="35"/>
        <v>0</v>
      </c>
      <c r="AB213" s="59"/>
      <c r="AC213" s="38"/>
      <c r="AD213" s="53"/>
      <c r="AE213" s="38"/>
      <c r="AF213" s="256"/>
      <c r="AG213" s="270">
        <v>0</v>
      </c>
      <c r="AH213" s="163" t="str">
        <f t="shared" ca="1" si="37"/>
        <v/>
      </c>
      <c r="AI213" s="39"/>
      <c r="AJ213" s="39"/>
      <c r="AK213" s="39"/>
      <c r="AL213" s="39"/>
      <c r="AM213" s="39"/>
      <c r="AN213" s="39"/>
      <c r="AO213" s="39"/>
      <c r="AP213" s="38" t="e">
        <f>VLOOKUP(I213,'[4] RFC'!A:B,2,0)</f>
        <v>#N/A</v>
      </c>
      <c r="AQ213" s="59"/>
      <c r="AR213" s="59"/>
      <c r="AS213" s="59"/>
      <c r="AT213" s="59">
        <f t="shared" si="32"/>
        <v>0</v>
      </c>
      <c r="AU213" s="183"/>
      <c r="AV213" s="195"/>
      <c r="AW213" s="185"/>
    </row>
    <row r="214" spans="1:49" hidden="1" x14ac:dyDescent="0.25">
      <c r="A214" s="188"/>
      <c r="B214" s="259">
        <v>115</v>
      </c>
      <c r="C214" s="167"/>
      <c r="D214" s="39"/>
      <c r="E214" s="40"/>
      <c r="F214" s="39">
        <f t="shared" si="31"/>
        <v>0</v>
      </c>
      <c r="G214" s="39"/>
      <c r="H214" s="39"/>
      <c r="I214" s="81"/>
      <c r="J214" s="1046"/>
      <c r="K214" s="1046"/>
      <c r="L214" s="1046"/>
      <c r="M214" s="1046" t="str">
        <f t="shared" si="33"/>
        <v xml:space="preserve">  </v>
      </c>
      <c r="N214" s="991"/>
      <c r="O214" s="991"/>
      <c r="P214" s="991"/>
      <c r="Q214" s="1040"/>
      <c r="R214" s="1047"/>
      <c r="S214" s="270">
        <f t="shared" si="30"/>
        <v>0</v>
      </c>
      <c r="T214" s="1048">
        <f t="shared" si="36"/>
        <v>0</v>
      </c>
      <c r="U214" s="1047">
        <v>0</v>
      </c>
      <c r="V214" s="270">
        <f t="shared" si="34"/>
        <v>0</v>
      </c>
      <c r="W214" s="270">
        <f t="shared" si="38"/>
        <v>0</v>
      </c>
      <c r="X214" s="993" t="s">
        <v>156</v>
      </c>
      <c r="Y214" s="59"/>
      <c r="Z214" s="39"/>
      <c r="AA214" s="59">
        <f t="shared" si="35"/>
        <v>0</v>
      </c>
      <c r="AB214" s="59"/>
      <c r="AC214" s="38"/>
      <c r="AD214" s="53"/>
      <c r="AE214" s="38"/>
      <c r="AF214" s="256"/>
      <c r="AG214" s="270">
        <v>0</v>
      </c>
      <c r="AH214" s="163" t="str">
        <f t="shared" ca="1" si="37"/>
        <v/>
      </c>
      <c r="AI214" s="39"/>
      <c r="AJ214" s="39"/>
      <c r="AK214" s="39"/>
      <c r="AL214" s="39"/>
      <c r="AM214" s="39"/>
      <c r="AN214" s="39"/>
      <c r="AO214" s="39"/>
      <c r="AP214" s="38" t="e">
        <f>VLOOKUP(I214,'[4] RFC'!A:B,2,0)</f>
        <v>#N/A</v>
      </c>
      <c r="AQ214" s="59"/>
      <c r="AR214" s="59"/>
      <c r="AS214" s="59"/>
      <c r="AT214" s="59">
        <f t="shared" si="32"/>
        <v>0</v>
      </c>
      <c r="AU214" s="183"/>
      <c r="AV214" s="195"/>
      <c r="AW214" s="185"/>
    </row>
    <row r="215" spans="1:49" hidden="1" x14ac:dyDescent="0.25">
      <c r="A215" s="188"/>
      <c r="B215" s="259">
        <v>116</v>
      </c>
      <c r="C215" s="167"/>
      <c r="D215" s="39"/>
      <c r="E215" s="40"/>
      <c r="F215" s="39">
        <f t="shared" si="31"/>
        <v>0</v>
      </c>
      <c r="G215" s="39"/>
      <c r="H215" s="39"/>
      <c r="I215" s="81"/>
      <c r="J215" s="1046"/>
      <c r="K215" s="1046"/>
      <c r="L215" s="1046"/>
      <c r="M215" s="1046" t="str">
        <f t="shared" si="33"/>
        <v xml:space="preserve">  </v>
      </c>
      <c r="N215" s="991"/>
      <c r="O215" s="991"/>
      <c r="P215" s="991"/>
      <c r="Q215" s="1040"/>
      <c r="R215" s="1047"/>
      <c r="S215" s="270">
        <f t="shared" si="30"/>
        <v>0</v>
      </c>
      <c r="T215" s="1048">
        <f t="shared" si="36"/>
        <v>0</v>
      </c>
      <c r="U215" s="1047">
        <v>0</v>
      </c>
      <c r="V215" s="270">
        <f t="shared" si="34"/>
        <v>0</v>
      </c>
      <c r="W215" s="270">
        <f t="shared" si="38"/>
        <v>0</v>
      </c>
      <c r="X215" s="993" t="s">
        <v>156</v>
      </c>
      <c r="Y215" s="59"/>
      <c r="Z215" s="39"/>
      <c r="AA215" s="59">
        <f t="shared" si="35"/>
        <v>0</v>
      </c>
      <c r="AB215" s="59"/>
      <c r="AC215" s="38"/>
      <c r="AD215" s="53"/>
      <c r="AE215" s="38"/>
      <c r="AF215" s="256"/>
      <c r="AG215" s="270">
        <v>0</v>
      </c>
      <c r="AH215" s="163" t="str">
        <f t="shared" ca="1" si="37"/>
        <v/>
      </c>
      <c r="AI215" s="39"/>
      <c r="AJ215" s="39"/>
      <c r="AK215" s="39"/>
      <c r="AL215" s="39"/>
      <c r="AM215" s="39"/>
      <c r="AN215" s="39"/>
      <c r="AO215" s="39"/>
      <c r="AP215" s="38" t="e">
        <f>VLOOKUP(I215,'[4] RFC'!A:B,2,0)</f>
        <v>#N/A</v>
      </c>
      <c r="AQ215" s="59"/>
      <c r="AR215" s="59"/>
      <c r="AS215" s="59"/>
      <c r="AT215" s="59">
        <f t="shared" si="32"/>
        <v>0</v>
      </c>
      <c r="AU215" s="183"/>
      <c r="AV215" s="195"/>
      <c r="AW215" s="185"/>
    </row>
    <row r="216" spans="1:49" hidden="1" x14ac:dyDescent="0.25">
      <c r="A216" s="188"/>
      <c r="B216" s="259">
        <v>117</v>
      </c>
      <c r="C216" s="167"/>
      <c r="D216" s="39"/>
      <c r="E216" s="40"/>
      <c r="F216" s="39">
        <f t="shared" si="31"/>
        <v>0</v>
      </c>
      <c r="G216" s="39"/>
      <c r="H216" s="39"/>
      <c r="I216" s="81"/>
      <c r="J216" s="1046"/>
      <c r="K216" s="1046"/>
      <c r="L216" s="1046"/>
      <c r="M216" s="1046" t="str">
        <f t="shared" si="33"/>
        <v xml:space="preserve">  </v>
      </c>
      <c r="N216" s="991"/>
      <c r="O216" s="991"/>
      <c r="P216" s="991"/>
      <c r="Q216" s="1040"/>
      <c r="R216" s="1047"/>
      <c r="S216" s="270">
        <f t="shared" si="30"/>
        <v>0</v>
      </c>
      <c r="T216" s="1048">
        <f t="shared" si="36"/>
        <v>0</v>
      </c>
      <c r="U216" s="1047">
        <v>0</v>
      </c>
      <c r="V216" s="270">
        <f t="shared" si="34"/>
        <v>0</v>
      </c>
      <c r="W216" s="270">
        <f t="shared" si="38"/>
        <v>0</v>
      </c>
      <c r="X216" s="993" t="s">
        <v>156</v>
      </c>
      <c r="Y216" s="59"/>
      <c r="Z216" s="39"/>
      <c r="AA216" s="59">
        <f t="shared" si="35"/>
        <v>0</v>
      </c>
      <c r="AB216" s="59"/>
      <c r="AC216" s="38"/>
      <c r="AD216" s="53"/>
      <c r="AE216" s="38"/>
      <c r="AF216" s="256"/>
      <c r="AG216" s="270">
        <v>0</v>
      </c>
      <c r="AH216" s="163" t="str">
        <f t="shared" ca="1" si="37"/>
        <v/>
      </c>
      <c r="AI216" s="39"/>
      <c r="AJ216" s="39"/>
      <c r="AK216" s="39"/>
      <c r="AL216" s="39"/>
      <c r="AM216" s="39"/>
      <c r="AN216" s="39"/>
      <c r="AO216" s="39"/>
      <c r="AP216" s="38" t="e">
        <f>VLOOKUP(I216,'[4] RFC'!A:B,2,0)</f>
        <v>#N/A</v>
      </c>
      <c r="AQ216" s="59"/>
      <c r="AR216" s="59"/>
      <c r="AS216" s="59"/>
      <c r="AT216" s="59">
        <f t="shared" si="32"/>
        <v>0</v>
      </c>
      <c r="AU216" s="183"/>
      <c r="AV216" s="195"/>
      <c r="AW216" s="185"/>
    </row>
    <row r="217" spans="1:49" hidden="1" x14ac:dyDescent="0.25">
      <c r="A217" s="188"/>
      <c r="B217" s="259">
        <v>118</v>
      </c>
      <c r="C217" s="167"/>
      <c r="D217" s="39"/>
      <c r="E217" s="40"/>
      <c r="F217" s="39">
        <f t="shared" si="31"/>
        <v>0</v>
      </c>
      <c r="G217" s="39"/>
      <c r="H217" s="39"/>
      <c r="I217" s="81"/>
      <c r="J217" s="1046"/>
      <c r="K217" s="1046"/>
      <c r="L217" s="1046"/>
      <c r="M217" s="1046" t="str">
        <f t="shared" si="33"/>
        <v xml:space="preserve">  </v>
      </c>
      <c r="N217" s="991"/>
      <c r="O217" s="991"/>
      <c r="P217" s="991"/>
      <c r="Q217" s="1040"/>
      <c r="R217" s="1047"/>
      <c r="S217" s="270">
        <f t="shared" si="30"/>
        <v>0</v>
      </c>
      <c r="T217" s="1048">
        <f t="shared" si="36"/>
        <v>0</v>
      </c>
      <c r="U217" s="1047">
        <v>0</v>
      </c>
      <c r="V217" s="270">
        <f t="shared" si="34"/>
        <v>0</v>
      </c>
      <c r="W217" s="270">
        <f t="shared" si="38"/>
        <v>0</v>
      </c>
      <c r="X217" s="993" t="s">
        <v>156</v>
      </c>
      <c r="Y217" s="59"/>
      <c r="Z217" s="39"/>
      <c r="AA217" s="59">
        <f t="shared" si="35"/>
        <v>0</v>
      </c>
      <c r="AB217" s="59"/>
      <c r="AC217" s="38"/>
      <c r="AD217" s="53"/>
      <c r="AE217" s="38"/>
      <c r="AF217" s="256"/>
      <c r="AG217" s="270">
        <v>0</v>
      </c>
      <c r="AH217" s="163" t="str">
        <f t="shared" ca="1" si="37"/>
        <v/>
      </c>
      <c r="AI217" s="39"/>
      <c r="AJ217" s="39"/>
      <c r="AK217" s="39"/>
      <c r="AL217" s="39"/>
      <c r="AM217" s="39"/>
      <c r="AN217" s="39"/>
      <c r="AO217" s="39"/>
      <c r="AP217" s="38" t="e">
        <f>VLOOKUP(I217,'[4] RFC'!A:B,2,0)</f>
        <v>#N/A</v>
      </c>
      <c r="AQ217" s="59"/>
      <c r="AR217" s="59"/>
      <c r="AS217" s="59"/>
      <c r="AT217" s="59">
        <f t="shared" si="32"/>
        <v>0</v>
      </c>
      <c r="AU217" s="183"/>
      <c r="AV217" s="195"/>
      <c r="AW217" s="185"/>
    </row>
    <row r="218" spans="1:49" hidden="1" x14ac:dyDescent="0.25">
      <c r="A218" s="188"/>
      <c r="B218" s="259">
        <v>119</v>
      </c>
      <c r="C218" s="167"/>
      <c r="D218" s="39"/>
      <c r="E218" s="40"/>
      <c r="F218" s="39">
        <f t="shared" si="31"/>
        <v>0</v>
      </c>
      <c r="G218" s="39"/>
      <c r="H218" s="39"/>
      <c r="I218" s="81"/>
      <c r="J218" s="1046"/>
      <c r="K218" s="1046"/>
      <c r="L218" s="1046"/>
      <c r="M218" s="1046" t="str">
        <f t="shared" si="33"/>
        <v xml:space="preserve">  </v>
      </c>
      <c r="N218" s="991"/>
      <c r="O218" s="991"/>
      <c r="P218" s="991"/>
      <c r="Q218" s="1040"/>
      <c r="R218" s="1047"/>
      <c r="S218" s="270">
        <f t="shared" si="30"/>
        <v>0</v>
      </c>
      <c r="T218" s="1048">
        <f t="shared" si="36"/>
        <v>0</v>
      </c>
      <c r="U218" s="1047">
        <v>0</v>
      </c>
      <c r="V218" s="270">
        <f t="shared" si="34"/>
        <v>0</v>
      </c>
      <c r="W218" s="270">
        <f t="shared" si="38"/>
        <v>0</v>
      </c>
      <c r="X218" s="993" t="s">
        <v>156</v>
      </c>
      <c r="Y218" s="59"/>
      <c r="Z218" s="39"/>
      <c r="AA218" s="59">
        <f t="shared" si="35"/>
        <v>0</v>
      </c>
      <c r="AB218" s="59"/>
      <c r="AC218" s="38"/>
      <c r="AD218" s="53"/>
      <c r="AE218" s="38"/>
      <c r="AF218" s="256"/>
      <c r="AG218" s="270">
        <v>0</v>
      </c>
      <c r="AH218" s="163" t="str">
        <f t="shared" ca="1" si="37"/>
        <v/>
      </c>
      <c r="AI218" s="39"/>
      <c r="AJ218" s="39"/>
      <c r="AK218" s="39"/>
      <c r="AL218" s="39"/>
      <c r="AM218" s="39"/>
      <c r="AN218" s="39"/>
      <c r="AO218" s="39"/>
      <c r="AP218" s="38" t="e">
        <f>VLOOKUP(I218,'[4] RFC'!A:B,2,0)</f>
        <v>#N/A</v>
      </c>
      <c r="AQ218" s="59"/>
      <c r="AR218" s="59"/>
      <c r="AS218" s="59"/>
      <c r="AT218" s="59">
        <f t="shared" si="32"/>
        <v>0</v>
      </c>
      <c r="AU218" s="183"/>
      <c r="AV218" s="195"/>
      <c r="AW218" s="185"/>
    </row>
    <row r="219" spans="1:49" hidden="1" x14ac:dyDescent="0.25">
      <c r="A219" s="188"/>
      <c r="B219" s="259">
        <v>120</v>
      </c>
      <c r="C219" s="167"/>
      <c r="D219" s="39"/>
      <c r="E219" s="40"/>
      <c r="F219" s="39">
        <f t="shared" si="31"/>
        <v>0</v>
      </c>
      <c r="G219" s="39"/>
      <c r="H219" s="39"/>
      <c r="I219" s="81"/>
      <c r="J219" s="1046"/>
      <c r="K219" s="1046"/>
      <c r="L219" s="1046"/>
      <c r="M219" s="1046" t="str">
        <f t="shared" si="33"/>
        <v xml:space="preserve">  </v>
      </c>
      <c r="N219" s="991"/>
      <c r="O219" s="991"/>
      <c r="P219" s="991"/>
      <c r="Q219" s="1040"/>
      <c r="R219" s="1047"/>
      <c r="S219" s="270">
        <f t="shared" si="30"/>
        <v>0</v>
      </c>
      <c r="T219" s="1048">
        <f t="shared" si="36"/>
        <v>0</v>
      </c>
      <c r="U219" s="1047">
        <v>0</v>
      </c>
      <c r="V219" s="270">
        <f t="shared" si="34"/>
        <v>0</v>
      </c>
      <c r="W219" s="270">
        <f t="shared" si="38"/>
        <v>0</v>
      </c>
      <c r="X219" s="993" t="s">
        <v>156</v>
      </c>
      <c r="Y219" s="59"/>
      <c r="Z219" s="39"/>
      <c r="AA219" s="59">
        <f t="shared" si="35"/>
        <v>0</v>
      </c>
      <c r="AB219" s="59"/>
      <c r="AC219" s="38"/>
      <c r="AD219" s="53"/>
      <c r="AE219" s="38"/>
      <c r="AF219" s="256"/>
      <c r="AG219" s="270">
        <v>0</v>
      </c>
      <c r="AH219" s="163" t="str">
        <f t="shared" ca="1" si="37"/>
        <v/>
      </c>
      <c r="AI219" s="39"/>
      <c r="AJ219" s="39"/>
      <c r="AK219" s="39"/>
      <c r="AL219" s="39"/>
      <c r="AM219" s="39"/>
      <c r="AN219" s="39"/>
      <c r="AO219" s="39"/>
      <c r="AP219" s="38" t="e">
        <f>VLOOKUP(I219,'[4] RFC'!A:B,2,0)</f>
        <v>#N/A</v>
      </c>
      <c r="AQ219" s="59"/>
      <c r="AR219" s="59"/>
      <c r="AS219" s="59"/>
      <c r="AT219" s="59">
        <f t="shared" si="32"/>
        <v>0</v>
      </c>
      <c r="AU219" s="183"/>
      <c r="AV219" s="195"/>
      <c r="AW219" s="185"/>
    </row>
    <row r="220" spans="1:49" hidden="1" x14ac:dyDescent="0.25">
      <c r="A220" s="188"/>
      <c r="B220" s="259">
        <v>121</v>
      </c>
      <c r="C220" s="167"/>
      <c r="D220" s="39"/>
      <c r="E220" s="40"/>
      <c r="F220" s="39">
        <f t="shared" si="31"/>
        <v>0</v>
      </c>
      <c r="G220" s="39"/>
      <c r="H220" s="39"/>
      <c r="I220" s="81"/>
      <c r="J220" s="1046"/>
      <c r="K220" s="1046"/>
      <c r="L220" s="1046"/>
      <c r="M220" s="1046" t="str">
        <f t="shared" si="33"/>
        <v xml:space="preserve">  </v>
      </c>
      <c r="N220" s="991"/>
      <c r="O220" s="991"/>
      <c r="P220" s="991"/>
      <c r="Q220" s="1040"/>
      <c r="R220" s="1047"/>
      <c r="S220" s="270">
        <f t="shared" si="30"/>
        <v>0</v>
      </c>
      <c r="T220" s="1048">
        <f t="shared" si="36"/>
        <v>0</v>
      </c>
      <c r="U220" s="1047">
        <v>0</v>
      </c>
      <c r="V220" s="270">
        <f t="shared" si="34"/>
        <v>0</v>
      </c>
      <c r="W220" s="270">
        <f t="shared" si="38"/>
        <v>0</v>
      </c>
      <c r="X220" s="993" t="s">
        <v>156</v>
      </c>
      <c r="Y220" s="59"/>
      <c r="Z220" s="39"/>
      <c r="AA220" s="59">
        <f t="shared" si="35"/>
        <v>0</v>
      </c>
      <c r="AB220" s="59"/>
      <c r="AC220" s="38"/>
      <c r="AD220" s="53"/>
      <c r="AE220" s="38"/>
      <c r="AF220" s="256"/>
      <c r="AG220" s="270">
        <v>0</v>
      </c>
      <c r="AH220" s="163" t="str">
        <f t="shared" ca="1" si="37"/>
        <v/>
      </c>
      <c r="AI220" s="39"/>
      <c r="AJ220" s="39"/>
      <c r="AK220" s="39"/>
      <c r="AL220" s="39"/>
      <c r="AM220" s="39"/>
      <c r="AN220" s="39"/>
      <c r="AO220" s="39"/>
      <c r="AP220" s="38" t="e">
        <f>VLOOKUP(I220,'[4] RFC'!A:B,2,0)</f>
        <v>#N/A</v>
      </c>
      <c r="AQ220" s="59"/>
      <c r="AR220" s="59"/>
      <c r="AS220" s="59"/>
      <c r="AT220" s="59">
        <f t="shared" si="32"/>
        <v>0</v>
      </c>
      <c r="AU220" s="183"/>
      <c r="AV220" s="195"/>
      <c r="AW220" s="185"/>
    </row>
    <row r="221" spans="1:49" hidden="1" x14ac:dyDescent="0.25">
      <c r="A221" s="188"/>
      <c r="B221" s="259">
        <v>122</v>
      </c>
      <c r="C221" s="167"/>
      <c r="D221" s="39"/>
      <c r="E221" s="40"/>
      <c r="F221" s="39">
        <f t="shared" si="31"/>
        <v>0</v>
      </c>
      <c r="G221" s="39"/>
      <c r="H221" s="39"/>
      <c r="I221" s="81"/>
      <c r="J221" s="1046"/>
      <c r="K221" s="1046"/>
      <c r="L221" s="1046"/>
      <c r="M221" s="1046" t="str">
        <f t="shared" si="33"/>
        <v xml:space="preserve">  </v>
      </c>
      <c r="N221" s="991"/>
      <c r="O221" s="991"/>
      <c r="P221" s="991"/>
      <c r="Q221" s="1040"/>
      <c r="R221" s="1047"/>
      <c r="S221" s="270">
        <f t="shared" si="30"/>
        <v>0</v>
      </c>
      <c r="T221" s="1048">
        <f t="shared" si="36"/>
        <v>0</v>
      </c>
      <c r="U221" s="1047">
        <v>0</v>
      </c>
      <c r="V221" s="270">
        <f t="shared" si="34"/>
        <v>0</v>
      </c>
      <c r="W221" s="270">
        <f t="shared" si="38"/>
        <v>0</v>
      </c>
      <c r="X221" s="993" t="s">
        <v>156</v>
      </c>
      <c r="Y221" s="59"/>
      <c r="Z221" s="39"/>
      <c r="AA221" s="59">
        <f t="shared" si="35"/>
        <v>0</v>
      </c>
      <c r="AB221" s="59"/>
      <c r="AC221" s="38"/>
      <c r="AD221" s="53"/>
      <c r="AE221" s="38"/>
      <c r="AF221" s="256"/>
      <c r="AG221" s="270">
        <v>0</v>
      </c>
      <c r="AH221" s="163" t="str">
        <f t="shared" ca="1" si="37"/>
        <v/>
      </c>
      <c r="AI221" s="39"/>
      <c r="AJ221" s="39"/>
      <c r="AK221" s="39"/>
      <c r="AL221" s="39"/>
      <c r="AM221" s="39"/>
      <c r="AN221" s="39"/>
      <c r="AO221" s="39"/>
      <c r="AP221" s="38" t="e">
        <f>VLOOKUP(I221,'[4] RFC'!A:B,2,0)</f>
        <v>#N/A</v>
      </c>
      <c r="AQ221" s="59"/>
      <c r="AR221" s="59"/>
      <c r="AS221" s="59"/>
      <c r="AT221" s="59">
        <f t="shared" si="32"/>
        <v>0</v>
      </c>
      <c r="AU221" s="183"/>
      <c r="AV221" s="195"/>
      <c r="AW221" s="185"/>
    </row>
    <row r="222" spans="1:49" hidden="1" x14ac:dyDescent="0.25">
      <c r="A222" s="188"/>
      <c r="B222" s="259">
        <v>123</v>
      </c>
      <c r="C222" s="167"/>
      <c r="D222" s="39"/>
      <c r="E222" s="40"/>
      <c r="F222" s="39">
        <f t="shared" si="31"/>
        <v>0</v>
      </c>
      <c r="G222" s="39"/>
      <c r="H222" s="39"/>
      <c r="I222" s="81"/>
      <c r="J222" s="1046"/>
      <c r="K222" s="1046"/>
      <c r="L222" s="1046"/>
      <c r="M222" s="1046" t="str">
        <f t="shared" si="33"/>
        <v xml:space="preserve">  </v>
      </c>
      <c r="N222" s="991"/>
      <c r="O222" s="991"/>
      <c r="P222" s="991"/>
      <c r="Q222" s="1040"/>
      <c r="R222" s="1047"/>
      <c r="S222" s="270">
        <f t="shared" si="30"/>
        <v>0</v>
      </c>
      <c r="T222" s="1048">
        <f t="shared" si="36"/>
        <v>0</v>
      </c>
      <c r="U222" s="1047">
        <v>0</v>
      </c>
      <c r="V222" s="270">
        <f t="shared" si="34"/>
        <v>0</v>
      </c>
      <c r="W222" s="270">
        <f t="shared" si="38"/>
        <v>0</v>
      </c>
      <c r="X222" s="993" t="s">
        <v>156</v>
      </c>
      <c r="Y222" s="59"/>
      <c r="Z222" s="39"/>
      <c r="AA222" s="59">
        <f t="shared" si="35"/>
        <v>0</v>
      </c>
      <c r="AB222" s="59"/>
      <c r="AC222" s="38"/>
      <c r="AD222" s="53"/>
      <c r="AE222" s="38"/>
      <c r="AF222" s="256"/>
      <c r="AG222" s="270">
        <v>0</v>
      </c>
      <c r="AH222" s="163" t="str">
        <f t="shared" ca="1" si="37"/>
        <v/>
      </c>
      <c r="AI222" s="39"/>
      <c r="AJ222" s="39"/>
      <c r="AK222" s="39"/>
      <c r="AL222" s="39"/>
      <c r="AM222" s="39"/>
      <c r="AN222" s="39"/>
      <c r="AO222" s="39"/>
      <c r="AP222" s="38" t="e">
        <f>VLOOKUP(I222,'[4] RFC'!A:B,2,0)</f>
        <v>#N/A</v>
      </c>
      <c r="AQ222" s="59"/>
      <c r="AR222" s="59"/>
      <c r="AS222" s="59"/>
      <c r="AT222" s="59">
        <f t="shared" si="32"/>
        <v>0</v>
      </c>
      <c r="AU222" s="183"/>
      <c r="AV222" s="195"/>
      <c r="AW222" s="185"/>
    </row>
    <row r="223" spans="1:49" hidden="1" x14ac:dyDescent="0.25">
      <c r="A223" s="188"/>
      <c r="B223" s="259">
        <v>124</v>
      </c>
      <c r="C223" s="167"/>
      <c r="D223" s="39"/>
      <c r="E223" s="40"/>
      <c r="F223" s="39">
        <f t="shared" si="31"/>
        <v>0</v>
      </c>
      <c r="G223" s="39"/>
      <c r="H223" s="39"/>
      <c r="I223" s="81"/>
      <c r="J223" s="1046"/>
      <c r="K223" s="1046"/>
      <c r="L223" s="1046"/>
      <c r="M223" s="1046" t="str">
        <f t="shared" si="33"/>
        <v xml:space="preserve">  </v>
      </c>
      <c r="N223" s="991"/>
      <c r="O223" s="991"/>
      <c r="P223" s="991"/>
      <c r="Q223" s="1040"/>
      <c r="R223" s="1047"/>
      <c r="S223" s="270">
        <f t="shared" si="30"/>
        <v>0</v>
      </c>
      <c r="T223" s="1048">
        <f t="shared" si="36"/>
        <v>0</v>
      </c>
      <c r="U223" s="1047">
        <v>0</v>
      </c>
      <c r="V223" s="270">
        <f t="shared" si="34"/>
        <v>0</v>
      </c>
      <c r="W223" s="270">
        <f t="shared" si="38"/>
        <v>0</v>
      </c>
      <c r="X223" s="993" t="s">
        <v>156</v>
      </c>
      <c r="Y223" s="59"/>
      <c r="Z223" s="39"/>
      <c r="AA223" s="59">
        <f t="shared" si="35"/>
        <v>0</v>
      </c>
      <c r="AB223" s="59"/>
      <c r="AC223" s="38"/>
      <c r="AD223" s="53"/>
      <c r="AE223" s="38"/>
      <c r="AF223" s="256"/>
      <c r="AG223" s="270">
        <v>0</v>
      </c>
      <c r="AH223" s="163" t="str">
        <f t="shared" ca="1" si="37"/>
        <v/>
      </c>
      <c r="AI223" s="39"/>
      <c r="AJ223" s="39"/>
      <c r="AK223" s="39"/>
      <c r="AL223" s="39"/>
      <c r="AM223" s="39"/>
      <c r="AN223" s="39"/>
      <c r="AO223" s="39"/>
      <c r="AP223" s="38" t="e">
        <f>VLOOKUP(I223,'[4] RFC'!A:B,2,0)</f>
        <v>#N/A</v>
      </c>
      <c r="AQ223" s="59"/>
      <c r="AR223" s="59"/>
      <c r="AS223" s="59"/>
      <c r="AT223" s="59">
        <f t="shared" si="32"/>
        <v>0</v>
      </c>
      <c r="AU223" s="183"/>
      <c r="AV223" s="195"/>
      <c r="AW223" s="185"/>
    </row>
    <row r="224" spans="1:49" hidden="1" x14ac:dyDescent="0.25">
      <c r="A224" s="188"/>
      <c r="B224" s="259">
        <v>125</v>
      </c>
      <c r="C224" s="167"/>
      <c r="D224" s="39"/>
      <c r="E224" s="40"/>
      <c r="F224" s="39">
        <f t="shared" si="31"/>
        <v>0</v>
      </c>
      <c r="G224" s="39"/>
      <c r="H224" s="39"/>
      <c r="I224" s="81"/>
      <c r="J224" s="1046"/>
      <c r="K224" s="1046"/>
      <c r="L224" s="1046"/>
      <c r="M224" s="1046" t="str">
        <f t="shared" si="33"/>
        <v xml:space="preserve">  </v>
      </c>
      <c r="N224" s="991"/>
      <c r="O224" s="991"/>
      <c r="P224" s="991"/>
      <c r="Q224" s="1040"/>
      <c r="R224" s="1047"/>
      <c r="S224" s="270">
        <f t="shared" ref="S224:S282" si="39">R224*0.16</f>
        <v>0</v>
      </c>
      <c r="T224" s="1048">
        <f t="shared" si="36"/>
        <v>0</v>
      </c>
      <c r="U224" s="1047">
        <v>0</v>
      </c>
      <c r="V224" s="270">
        <f t="shared" si="34"/>
        <v>0</v>
      </c>
      <c r="W224" s="270">
        <f t="shared" si="38"/>
        <v>0</v>
      </c>
      <c r="X224" s="993" t="s">
        <v>156</v>
      </c>
      <c r="Y224" s="59"/>
      <c r="Z224" s="39"/>
      <c r="AA224" s="59">
        <f t="shared" si="35"/>
        <v>0</v>
      </c>
      <c r="AB224" s="59"/>
      <c r="AC224" s="38"/>
      <c r="AD224" s="53"/>
      <c r="AE224" s="38"/>
      <c r="AF224" s="256"/>
      <c r="AG224" s="270">
        <v>0</v>
      </c>
      <c r="AH224" s="163" t="str">
        <f t="shared" ca="1" si="37"/>
        <v/>
      </c>
      <c r="AI224" s="39"/>
      <c r="AJ224" s="39"/>
      <c r="AK224" s="39"/>
      <c r="AL224" s="39"/>
      <c r="AM224" s="39"/>
      <c r="AN224" s="39"/>
      <c r="AO224" s="39"/>
      <c r="AP224" s="38" t="e">
        <f>VLOOKUP(I224,'[4] RFC'!A:B,2,0)</f>
        <v>#N/A</v>
      </c>
      <c r="AQ224" s="59"/>
      <c r="AR224" s="59"/>
      <c r="AS224" s="59"/>
      <c r="AT224" s="59">
        <f t="shared" si="32"/>
        <v>0</v>
      </c>
      <c r="AU224" s="183"/>
      <c r="AV224" s="195"/>
      <c r="AW224" s="185"/>
    </row>
    <row r="225" spans="1:49" hidden="1" x14ac:dyDescent="0.25">
      <c r="A225" s="188"/>
      <c r="B225" s="259">
        <v>126</v>
      </c>
      <c r="C225" s="167"/>
      <c r="D225" s="39"/>
      <c r="E225" s="40"/>
      <c r="F225" s="39">
        <f t="shared" ref="F225:F282" si="40">D225</f>
        <v>0</v>
      </c>
      <c r="G225" s="39"/>
      <c r="H225" s="39"/>
      <c r="I225" s="81"/>
      <c r="J225" s="1046"/>
      <c r="K225" s="1046"/>
      <c r="L225" s="1046"/>
      <c r="M225" s="1046" t="str">
        <f t="shared" si="33"/>
        <v xml:space="preserve">  </v>
      </c>
      <c r="N225" s="991"/>
      <c r="O225" s="991"/>
      <c r="P225" s="991"/>
      <c r="Q225" s="1040"/>
      <c r="R225" s="1047"/>
      <c r="S225" s="270">
        <f t="shared" si="39"/>
        <v>0</v>
      </c>
      <c r="T225" s="1048">
        <f t="shared" si="36"/>
        <v>0</v>
      </c>
      <c r="U225" s="1047">
        <v>0</v>
      </c>
      <c r="V225" s="270">
        <f t="shared" si="34"/>
        <v>0</v>
      </c>
      <c r="W225" s="270">
        <f t="shared" si="38"/>
        <v>0</v>
      </c>
      <c r="X225" s="993" t="s">
        <v>156</v>
      </c>
      <c r="Y225" s="59"/>
      <c r="Z225" s="39"/>
      <c r="AA225" s="59">
        <f t="shared" si="35"/>
        <v>0</v>
      </c>
      <c r="AB225" s="59"/>
      <c r="AC225" s="38"/>
      <c r="AD225" s="53"/>
      <c r="AE225" s="38"/>
      <c r="AF225" s="256"/>
      <c r="AG225" s="270">
        <v>0</v>
      </c>
      <c r="AH225" s="163" t="str">
        <f t="shared" ca="1" si="37"/>
        <v/>
      </c>
      <c r="AI225" s="39"/>
      <c r="AJ225" s="39"/>
      <c r="AK225" s="39"/>
      <c r="AL225" s="39"/>
      <c r="AM225" s="39"/>
      <c r="AN225" s="39"/>
      <c r="AO225" s="39"/>
      <c r="AP225" s="38" t="e">
        <f>VLOOKUP(I225,'[4] RFC'!A:B,2,0)</f>
        <v>#N/A</v>
      </c>
      <c r="AQ225" s="59"/>
      <c r="AR225" s="59"/>
      <c r="AS225" s="59"/>
      <c r="AT225" s="59">
        <f t="shared" si="32"/>
        <v>0</v>
      </c>
      <c r="AU225" s="183"/>
      <c r="AV225" s="195"/>
      <c r="AW225" s="185"/>
    </row>
    <row r="226" spans="1:49" hidden="1" x14ac:dyDescent="0.25">
      <c r="A226" s="188"/>
      <c r="B226" s="259">
        <v>127</v>
      </c>
      <c r="C226" s="167"/>
      <c r="D226" s="39"/>
      <c r="E226" s="40"/>
      <c r="F226" s="39">
        <f t="shared" si="40"/>
        <v>0</v>
      </c>
      <c r="G226" s="39"/>
      <c r="H226" s="39"/>
      <c r="I226" s="81"/>
      <c r="J226" s="1046"/>
      <c r="K226" s="1046"/>
      <c r="L226" s="1046"/>
      <c r="M226" s="1046" t="str">
        <f t="shared" si="33"/>
        <v xml:space="preserve">  </v>
      </c>
      <c r="N226" s="991"/>
      <c r="O226" s="991"/>
      <c r="P226" s="991"/>
      <c r="Q226" s="1040"/>
      <c r="R226" s="1047"/>
      <c r="S226" s="270">
        <f t="shared" si="39"/>
        <v>0</v>
      </c>
      <c r="T226" s="1048">
        <f t="shared" si="36"/>
        <v>0</v>
      </c>
      <c r="U226" s="1047">
        <v>0</v>
      </c>
      <c r="V226" s="270">
        <f t="shared" si="34"/>
        <v>0</v>
      </c>
      <c r="W226" s="270">
        <f t="shared" si="38"/>
        <v>0</v>
      </c>
      <c r="X226" s="993" t="s">
        <v>156</v>
      </c>
      <c r="Y226" s="59"/>
      <c r="Z226" s="39"/>
      <c r="AA226" s="59">
        <f t="shared" si="35"/>
        <v>0</v>
      </c>
      <c r="AB226" s="59"/>
      <c r="AC226" s="38"/>
      <c r="AD226" s="53"/>
      <c r="AE226" s="38"/>
      <c r="AF226" s="256"/>
      <c r="AG226" s="270">
        <v>0</v>
      </c>
      <c r="AH226" s="163" t="str">
        <f t="shared" ca="1" si="37"/>
        <v/>
      </c>
      <c r="AI226" s="39"/>
      <c r="AJ226" s="39"/>
      <c r="AK226" s="39"/>
      <c r="AL226" s="39"/>
      <c r="AM226" s="39"/>
      <c r="AN226" s="39"/>
      <c r="AO226" s="39"/>
      <c r="AP226" s="38" t="e">
        <f>VLOOKUP(I226,'[4] RFC'!A:B,2,0)</f>
        <v>#N/A</v>
      </c>
      <c r="AQ226" s="59"/>
      <c r="AR226" s="59"/>
      <c r="AS226" s="59"/>
      <c r="AT226" s="59">
        <f t="shared" si="32"/>
        <v>0</v>
      </c>
      <c r="AU226" s="183"/>
      <c r="AV226" s="195"/>
      <c r="AW226" s="185"/>
    </row>
    <row r="227" spans="1:49" hidden="1" x14ac:dyDescent="0.25">
      <c r="A227" s="188"/>
      <c r="B227" s="259">
        <v>128</v>
      </c>
      <c r="C227" s="167"/>
      <c r="D227" s="39"/>
      <c r="E227" s="40"/>
      <c r="F227" s="39">
        <f t="shared" si="40"/>
        <v>0</v>
      </c>
      <c r="G227" s="39"/>
      <c r="H227" s="39"/>
      <c r="I227" s="81"/>
      <c r="J227" s="1046"/>
      <c r="K227" s="1046"/>
      <c r="L227" s="1046"/>
      <c r="M227" s="1046" t="str">
        <f t="shared" si="33"/>
        <v xml:space="preserve">  </v>
      </c>
      <c r="N227" s="991"/>
      <c r="O227" s="991"/>
      <c r="P227" s="991"/>
      <c r="Q227" s="1040"/>
      <c r="R227" s="1047"/>
      <c r="S227" s="270">
        <f t="shared" si="39"/>
        <v>0</v>
      </c>
      <c r="T227" s="1048">
        <f t="shared" si="36"/>
        <v>0</v>
      </c>
      <c r="U227" s="1047">
        <v>0</v>
      </c>
      <c r="V227" s="270">
        <f t="shared" si="34"/>
        <v>0</v>
      </c>
      <c r="W227" s="270">
        <f t="shared" si="38"/>
        <v>0</v>
      </c>
      <c r="X227" s="993" t="s">
        <v>156</v>
      </c>
      <c r="Y227" s="59"/>
      <c r="Z227" s="39"/>
      <c r="AA227" s="59">
        <f t="shared" si="35"/>
        <v>0</v>
      </c>
      <c r="AB227" s="59"/>
      <c r="AC227" s="38"/>
      <c r="AD227" s="53"/>
      <c r="AE227" s="38"/>
      <c r="AF227" s="256"/>
      <c r="AG227" s="270">
        <v>0</v>
      </c>
      <c r="AH227" s="163" t="str">
        <f t="shared" ca="1" si="37"/>
        <v/>
      </c>
      <c r="AI227" s="39"/>
      <c r="AJ227" s="39"/>
      <c r="AK227" s="39"/>
      <c r="AL227" s="39"/>
      <c r="AM227" s="39"/>
      <c r="AN227" s="39"/>
      <c r="AO227" s="39"/>
      <c r="AP227" s="38" t="e">
        <f>VLOOKUP(I227,'[4] RFC'!A:B,2,0)</f>
        <v>#N/A</v>
      </c>
      <c r="AQ227" s="59"/>
      <c r="AR227" s="59"/>
      <c r="AS227" s="59"/>
      <c r="AT227" s="59">
        <f t="shared" si="32"/>
        <v>0</v>
      </c>
      <c r="AU227" s="183"/>
      <c r="AV227" s="195"/>
      <c r="AW227" s="185"/>
    </row>
    <row r="228" spans="1:49" hidden="1" x14ac:dyDescent="0.25">
      <c r="A228" s="188"/>
      <c r="B228" s="259">
        <v>129</v>
      </c>
      <c r="C228" s="167"/>
      <c r="D228" s="39"/>
      <c r="E228" s="40"/>
      <c r="F228" s="39">
        <f t="shared" si="40"/>
        <v>0</v>
      </c>
      <c r="G228" s="39"/>
      <c r="H228" s="39"/>
      <c r="I228" s="81"/>
      <c r="J228" s="1046"/>
      <c r="K228" s="1046"/>
      <c r="L228" s="1046"/>
      <c r="M228" s="1046" t="str">
        <f t="shared" si="33"/>
        <v xml:space="preserve">  </v>
      </c>
      <c r="N228" s="991"/>
      <c r="O228" s="991"/>
      <c r="P228" s="991"/>
      <c r="Q228" s="1040"/>
      <c r="R228" s="1047"/>
      <c r="S228" s="270">
        <f t="shared" si="39"/>
        <v>0</v>
      </c>
      <c r="T228" s="1048">
        <f t="shared" si="36"/>
        <v>0</v>
      </c>
      <c r="U228" s="1047">
        <v>0</v>
      </c>
      <c r="V228" s="270">
        <f t="shared" si="34"/>
        <v>0</v>
      </c>
      <c r="W228" s="270">
        <f t="shared" si="38"/>
        <v>0</v>
      </c>
      <c r="X228" s="993" t="s">
        <v>156</v>
      </c>
      <c r="Y228" s="59"/>
      <c r="Z228" s="39"/>
      <c r="AA228" s="59">
        <f t="shared" si="35"/>
        <v>0</v>
      </c>
      <c r="AB228" s="59"/>
      <c r="AC228" s="38"/>
      <c r="AD228" s="53"/>
      <c r="AE228" s="38"/>
      <c r="AF228" s="256"/>
      <c r="AG228" s="270">
        <v>0</v>
      </c>
      <c r="AH228" s="163" t="str">
        <f t="shared" ca="1" si="37"/>
        <v/>
      </c>
      <c r="AI228" s="39"/>
      <c r="AJ228" s="39"/>
      <c r="AK228" s="39"/>
      <c r="AL228" s="39"/>
      <c r="AM228" s="39"/>
      <c r="AN228" s="39"/>
      <c r="AO228" s="39"/>
      <c r="AP228" s="38" t="e">
        <f>VLOOKUP(I228,'[4] RFC'!A:B,2,0)</f>
        <v>#N/A</v>
      </c>
      <c r="AQ228" s="59"/>
      <c r="AR228" s="59"/>
      <c r="AS228" s="59"/>
      <c r="AT228" s="59">
        <f t="shared" si="32"/>
        <v>0</v>
      </c>
      <c r="AU228" s="183"/>
      <c r="AV228" s="195"/>
      <c r="AW228" s="185"/>
    </row>
    <row r="229" spans="1:49" hidden="1" x14ac:dyDescent="0.25">
      <c r="A229" s="188"/>
      <c r="B229" s="259">
        <v>130</v>
      </c>
      <c r="C229" s="167"/>
      <c r="D229" s="39"/>
      <c r="E229" s="40"/>
      <c r="F229" s="39">
        <f t="shared" si="40"/>
        <v>0</v>
      </c>
      <c r="G229" s="39"/>
      <c r="H229" s="39"/>
      <c r="I229" s="81"/>
      <c r="J229" s="1046"/>
      <c r="K229" s="1046"/>
      <c r="L229" s="1046"/>
      <c r="M229" s="1046" t="str">
        <f t="shared" si="33"/>
        <v xml:space="preserve">  </v>
      </c>
      <c r="N229" s="991"/>
      <c r="O229" s="991"/>
      <c r="P229" s="991"/>
      <c r="Q229" s="1040"/>
      <c r="R229" s="1047"/>
      <c r="S229" s="270">
        <f t="shared" si="39"/>
        <v>0</v>
      </c>
      <c r="T229" s="1048">
        <f t="shared" si="36"/>
        <v>0</v>
      </c>
      <c r="U229" s="1047">
        <v>0</v>
      </c>
      <c r="V229" s="270">
        <f t="shared" si="34"/>
        <v>0</v>
      </c>
      <c r="W229" s="270">
        <f t="shared" si="38"/>
        <v>0</v>
      </c>
      <c r="X229" s="993" t="s">
        <v>156</v>
      </c>
      <c r="Y229" s="59"/>
      <c r="Z229" s="39"/>
      <c r="AA229" s="59">
        <f t="shared" si="35"/>
        <v>0</v>
      </c>
      <c r="AB229" s="59"/>
      <c r="AC229" s="38"/>
      <c r="AD229" s="53"/>
      <c r="AE229" s="38"/>
      <c r="AF229" s="256"/>
      <c r="AG229" s="270">
        <v>0</v>
      </c>
      <c r="AH229" s="163" t="str">
        <f t="shared" ca="1" si="37"/>
        <v/>
      </c>
      <c r="AI229" s="39"/>
      <c r="AJ229" s="39"/>
      <c r="AK229" s="39"/>
      <c r="AL229" s="39"/>
      <c r="AM229" s="39"/>
      <c r="AN229" s="39"/>
      <c r="AO229" s="39"/>
      <c r="AP229" s="38" t="e">
        <f>VLOOKUP(I229,'[4] RFC'!A:B,2,0)</f>
        <v>#N/A</v>
      </c>
      <c r="AQ229" s="59"/>
      <c r="AR229" s="59"/>
      <c r="AS229" s="59"/>
      <c r="AT229" s="59">
        <f t="shared" si="32"/>
        <v>0</v>
      </c>
      <c r="AU229" s="183"/>
      <c r="AV229" s="195"/>
      <c r="AW229" s="185"/>
    </row>
    <row r="230" spans="1:49" hidden="1" x14ac:dyDescent="0.25">
      <c r="A230" s="188"/>
      <c r="B230" s="259">
        <v>131</v>
      </c>
      <c r="C230" s="167"/>
      <c r="D230" s="39"/>
      <c r="E230" s="40"/>
      <c r="F230" s="39">
        <f t="shared" si="40"/>
        <v>0</v>
      </c>
      <c r="G230" s="39"/>
      <c r="H230" s="39"/>
      <c r="I230" s="81"/>
      <c r="J230" s="1046"/>
      <c r="K230" s="1046"/>
      <c r="L230" s="1046"/>
      <c r="M230" s="1046" t="str">
        <f t="shared" si="33"/>
        <v xml:space="preserve">  </v>
      </c>
      <c r="N230" s="991"/>
      <c r="O230" s="991"/>
      <c r="P230" s="991"/>
      <c r="Q230" s="1040"/>
      <c r="R230" s="1047"/>
      <c r="S230" s="270">
        <f t="shared" si="39"/>
        <v>0</v>
      </c>
      <c r="T230" s="1048">
        <f t="shared" si="36"/>
        <v>0</v>
      </c>
      <c r="U230" s="1047">
        <v>0</v>
      </c>
      <c r="V230" s="270">
        <f t="shared" si="34"/>
        <v>0</v>
      </c>
      <c r="W230" s="270">
        <f t="shared" si="38"/>
        <v>0</v>
      </c>
      <c r="X230" s="993" t="s">
        <v>156</v>
      </c>
      <c r="Y230" s="59"/>
      <c r="Z230" s="39"/>
      <c r="AA230" s="59">
        <f t="shared" si="35"/>
        <v>0</v>
      </c>
      <c r="AB230" s="59"/>
      <c r="AC230" s="38"/>
      <c r="AD230" s="53"/>
      <c r="AE230" s="38"/>
      <c r="AF230" s="256"/>
      <c r="AG230" s="270">
        <v>0</v>
      </c>
      <c r="AH230" s="163" t="str">
        <f t="shared" ca="1" si="37"/>
        <v/>
      </c>
      <c r="AI230" s="39"/>
      <c r="AJ230" s="39"/>
      <c r="AK230" s="39"/>
      <c r="AL230" s="39"/>
      <c r="AM230" s="39"/>
      <c r="AN230" s="39"/>
      <c r="AO230" s="39"/>
      <c r="AP230" s="38" t="e">
        <f>VLOOKUP(I230,'[4] RFC'!A:B,2,0)</f>
        <v>#N/A</v>
      </c>
      <c r="AQ230" s="59"/>
      <c r="AR230" s="59"/>
      <c r="AS230" s="59"/>
      <c r="AT230" s="59">
        <f t="shared" si="32"/>
        <v>0</v>
      </c>
      <c r="AU230" s="183"/>
      <c r="AV230" s="195"/>
      <c r="AW230" s="185"/>
    </row>
    <row r="231" spans="1:49" hidden="1" x14ac:dyDescent="0.25">
      <c r="A231" s="188"/>
      <c r="B231" s="259">
        <v>132</v>
      </c>
      <c r="C231" s="167"/>
      <c r="D231" s="39"/>
      <c r="E231" s="40"/>
      <c r="F231" s="39">
        <f t="shared" si="40"/>
        <v>0</v>
      </c>
      <c r="G231" s="39"/>
      <c r="H231" s="39"/>
      <c r="I231" s="81"/>
      <c r="J231" s="1046"/>
      <c r="K231" s="1046"/>
      <c r="L231" s="1046"/>
      <c r="M231" s="1046" t="str">
        <f t="shared" si="33"/>
        <v xml:space="preserve">  </v>
      </c>
      <c r="N231" s="991"/>
      <c r="O231" s="991"/>
      <c r="P231" s="991"/>
      <c r="Q231" s="1040"/>
      <c r="R231" s="1047"/>
      <c r="S231" s="270">
        <f t="shared" si="39"/>
        <v>0</v>
      </c>
      <c r="T231" s="1048">
        <f t="shared" si="36"/>
        <v>0</v>
      </c>
      <c r="U231" s="1047">
        <v>0</v>
      </c>
      <c r="V231" s="270">
        <f t="shared" si="34"/>
        <v>0</v>
      </c>
      <c r="W231" s="270">
        <f t="shared" si="38"/>
        <v>0</v>
      </c>
      <c r="X231" s="993" t="s">
        <v>156</v>
      </c>
      <c r="Y231" s="59"/>
      <c r="Z231" s="39"/>
      <c r="AA231" s="59">
        <f t="shared" si="35"/>
        <v>0</v>
      </c>
      <c r="AB231" s="59"/>
      <c r="AC231" s="38"/>
      <c r="AD231" s="53"/>
      <c r="AE231" s="38"/>
      <c r="AF231" s="256"/>
      <c r="AG231" s="270">
        <v>0</v>
      </c>
      <c r="AH231" s="163" t="str">
        <f t="shared" ca="1" si="37"/>
        <v/>
      </c>
      <c r="AI231" s="39"/>
      <c r="AJ231" s="39"/>
      <c r="AK231" s="39"/>
      <c r="AL231" s="39"/>
      <c r="AM231" s="39"/>
      <c r="AN231" s="39"/>
      <c r="AO231" s="39"/>
      <c r="AP231" s="38" t="e">
        <f>VLOOKUP(I231,'[4] RFC'!A:B,2,0)</f>
        <v>#N/A</v>
      </c>
      <c r="AQ231" s="59"/>
      <c r="AR231" s="59"/>
      <c r="AS231" s="59"/>
      <c r="AT231" s="59">
        <f t="shared" ref="AT231:AT282" si="41">+Y231</f>
        <v>0</v>
      </c>
      <c r="AU231" s="183"/>
      <c r="AV231" s="195"/>
      <c r="AW231" s="185"/>
    </row>
    <row r="232" spans="1:49" hidden="1" x14ac:dyDescent="0.25">
      <c r="A232" s="188"/>
      <c r="B232" s="259">
        <v>133</v>
      </c>
      <c r="C232" s="167"/>
      <c r="D232" s="39"/>
      <c r="E232" s="40"/>
      <c r="F232" s="39">
        <f t="shared" si="40"/>
        <v>0</v>
      </c>
      <c r="G232" s="39"/>
      <c r="H232" s="39"/>
      <c r="I232" s="81"/>
      <c r="J232" s="1046"/>
      <c r="K232" s="1046"/>
      <c r="L232" s="1046"/>
      <c r="M232" s="1046" t="str">
        <f t="shared" si="33"/>
        <v xml:space="preserve">  </v>
      </c>
      <c r="N232" s="991"/>
      <c r="O232" s="991"/>
      <c r="P232" s="991"/>
      <c r="Q232" s="1040"/>
      <c r="R232" s="1047"/>
      <c r="S232" s="270">
        <f t="shared" si="39"/>
        <v>0</v>
      </c>
      <c r="T232" s="1048">
        <f t="shared" si="36"/>
        <v>0</v>
      </c>
      <c r="U232" s="1047">
        <v>0</v>
      </c>
      <c r="V232" s="270">
        <f t="shared" si="34"/>
        <v>0</v>
      </c>
      <c r="W232" s="270">
        <f t="shared" si="38"/>
        <v>0</v>
      </c>
      <c r="X232" s="993" t="s">
        <v>156</v>
      </c>
      <c r="Y232" s="59"/>
      <c r="Z232" s="39"/>
      <c r="AA232" s="59">
        <f t="shared" si="35"/>
        <v>0</v>
      </c>
      <c r="AB232" s="59"/>
      <c r="AC232" s="38"/>
      <c r="AD232" s="53"/>
      <c r="AE232" s="38"/>
      <c r="AF232" s="256"/>
      <c r="AG232" s="270">
        <v>0</v>
      </c>
      <c r="AH232" s="163" t="str">
        <f t="shared" ca="1" si="37"/>
        <v/>
      </c>
      <c r="AI232" s="39"/>
      <c r="AJ232" s="39"/>
      <c r="AK232" s="39"/>
      <c r="AL232" s="39"/>
      <c r="AM232" s="39"/>
      <c r="AN232" s="39"/>
      <c r="AO232" s="39"/>
      <c r="AP232" s="38" t="e">
        <f>VLOOKUP(I232,'[4] RFC'!A:B,2,0)</f>
        <v>#N/A</v>
      </c>
      <c r="AQ232" s="59"/>
      <c r="AR232" s="59"/>
      <c r="AS232" s="59"/>
      <c r="AT232" s="59">
        <f t="shared" si="41"/>
        <v>0</v>
      </c>
      <c r="AU232" s="183"/>
      <c r="AV232" s="195"/>
      <c r="AW232" s="185"/>
    </row>
    <row r="233" spans="1:49" hidden="1" x14ac:dyDescent="0.25">
      <c r="A233" s="188"/>
      <c r="B233" s="259">
        <v>134</v>
      </c>
      <c r="C233" s="167"/>
      <c r="D233" s="39"/>
      <c r="E233" s="40"/>
      <c r="F233" s="39">
        <f t="shared" si="40"/>
        <v>0</v>
      </c>
      <c r="G233" s="39"/>
      <c r="H233" s="39"/>
      <c r="I233" s="81"/>
      <c r="J233" s="1046"/>
      <c r="K233" s="1046"/>
      <c r="L233" s="1046"/>
      <c r="M233" s="1046" t="str">
        <f t="shared" si="33"/>
        <v xml:space="preserve">  </v>
      </c>
      <c r="N233" s="991"/>
      <c r="O233" s="991"/>
      <c r="P233" s="991"/>
      <c r="Q233" s="1040"/>
      <c r="R233" s="1047"/>
      <c r="S233" s="270">
        <f t="shared" si="39"/>
        <v>0</v>
      </c>
      <c r="T233" s="1048">
        <f t="shared" si="36"/>
        <v>0</v>
      </c>
      <c r="U233" s="1047">
        <v>0</v>
      </c>
      <c r="V233" s="270">
        <f t="shared" si="34"/>
        <v>0</v>
      </c>
      <c r="W233" s="270">
        <f t="shared" si="38"/>
        <v>0</v>
      </c>
      <c r="X233" s="993" t="s">
        <v>156</v>
      </c>
      <c r="Y233" s="59"/>
      <c r="Z233" s="39"/>
      <c r="AA233" s="59">
        <f t="shared" si="35"/>
        <v>0</v>
      </c>
      <c r="AB233" s="59"/>
      <c r="AC233" s="38"/>
      <c r="AD233" s="53"/>
      <c r="AE233" s="38"/>
      <c r="AF233" s="256"/>
      <c r="AG233" s="270">
        <v>0</v>
      </c>
      <c r="AH233" s="163" t="str">
        <f t="shared" ca="1" si="37"/>
        <v/>
      </c>
      <c r="AI233" s="39"/>
      <c r="AJ233" s="39"/>
      <c r="AK233" s="39"/>
      <c r="AL233" s="39"/>
      <c r="AM233" s="39"/>
      <c r="AN233" s="39"/>
      <c r="AO233" s="39"/>
      <c r="AP233" s="38" t="e">
        <f>VLOOKUP(I233,'[4] RFC'!A:B,2,0)</f>
        <v>#N/A</v>
      </c>
      <c r="AQ233" s="59"/>
      <c r="AR233" s="59"/>
      <c r="AS233" s="59"/>
      <c r="AT233" s="59">
        <f t="shared" si="41"/>
        <v>0</v>
      </c>
      <c r="AU233" s="183"/>
      <c r="AV233" s="195"/>
      <c r="AW233" s="185"/>
    </row>
    <row r="234" spans="1:49" hidden="1" x14ac:dyDescent="0.25">
      <c r="A234" s="188"/>
      <c r="B234" s="259">
        <v>135</v>
      </c>
      <c r="C234" s="167"/>
      <c r="D234" s="39"/>
      <c r="E234" s="40"/>
      <c r="F234" s="39">
        <f t="shared" si="40"/>
        <v>0</v>
      </c>
      <c r="G234" s="39"/>
      <c r="H234" s="39"/>
      <c r="I234" s="81"/>
      <c r="J234" s="1046"/>
      <c r="K234" s="1046"/>
      <c r="L234" s="1046"/>
      <c r="M234" s="1046" t="str">
        <f t="shared" si="33"/>
        <v xml:space="preserve">  </v>
      </c>
      <c r="N234" s="991"/>
      <c r="O234" s="991"/>
      <c r="P234" s="991"/>
      <c r="Q234" s="1040"/>
      <c r="R234" s="1047"/>
      <c r="S234" s="270">
        <f t="shared" si="39"/>
        <v>0</v>
      </c>
      <c r="T234" s="1048">
        <f t="shared" si="36"/>
        <v>0</v>
      </c>
      <c r="U234" s="1047">
        <v>0</v>
      </c>
      <c r="V234" s="270">
        <f t="shared" si="34"/>
        <v>0</v>
      </c>
      <c r="W234" s="270">
        <f t="shared" si="38"/>
        <v>0</v>
      </c>
      <c r="X234" s="993" t="s">
        <v>156</v>
      </c>
      <c r="Y234" s="59"/>
      <c r="Z234" s="39"/>
      <c r="AA234" s="59">
        <f t="shared" si="35"/>
        <v>0</v>
      </c>
      <c r="AB234" s="59"/>
      <c r="AC234" s="38"/>
      <c r="AD234" s="53"/>
      <c r="AE234" s="38"/>
      <c r="AF234" s="256"/>
      <c r="AG234" s="270">
        <v>0</v>
      </c>
      <c r="AH234" s="163" t="str">
        <f t="shared" ca="1" si="37"/>
        <v/>
      </c>
      <c r="AI234" s="39"/>
      <c r="AJ234" s="39"/>
      <c r="AK234" s="39"/>
      <c r="AL234" s="39"/>
      <c r="AM234" s="39"/>
      <c r="AN234" s="39"/>
      <c r="AO234" s="39"/>
      <c r="AP234" s="38" t="e">
        <f>VLOOKUP(I234,'[4] RFC'!A:B,2,0)</f>
        <v>#N/A</v>
      </c>
      <c r="AQ234" s="59"/>
      <c r="AR234" s="59"/>
      <c r="AS234" s="59"/>
      <c r="AT234" s="59">
        <f t="shared" si="41"/>
        <v>0</v>
      </c>
      <c r="AU234" s="183"/>
      <c r="AV234" s="195"/>
      <c r="AW234" s="185"/>
    </row>
    <row r="235" spans="1:49" hidden="1" x14ac:dyDescent="0.25">
      <c r="A235" s="188"/>
      <c r="B235" s="259">
        <v>136</v>
      </c>
      <c r="C235" s="167"/>
      <c r="D235" s="39"/>
      <c r="E235" s="40"/>
      <c r="F235" s="39">
        <f t="shared" si="40"/>
        <v>0</v>
      </c>
      <c r="G235" s="39"/>
      <c r="H235" s="39"/>
      <c r="I235" s="81"/>
      <c r="J235" s="1046"/>
      <c r="K235" s="1046"/>
      <c r="L235" s="1046"/>
      <c r="M235" s="1046" t="str">
        <f t="shared" si="33"/>
        <v xml:space="preserve">  </v>
      </c>
      <c r="N235" s="991"/>
      <c r="O235" s="991"/>
      <c r="P235" s="991"/>
      <c r="Q235" s="1040"/>
      <c r="R235" s="1047"/>
      <c r="S235" s="270">
        <f t="shared" si="39"/>
        <v>0</v>
      </c>
      <c r="T235" s="1048">
        <f t="shared" si="36"/>
        <v>0</v>
      </c>
      <c r="U235" s="1047">
        <v>0</v>
      </c>
      <c r="V235" s="270">
        <f t="shared" si="34"/>
        <v>0</v>
      </c>
      <c r="W235" s="270">
        <f t="shared" si="38"/>
        <v>0</v>
      </c>
      <c r="X235" s="993" t="s">
        <v>156</v>
      </c>
      <c r="Y235" s="59"/>
      <c r="Z235" s="39"/>
      <c r="AA235" s="59">
        <f t="shared" si="35"/>
        <v>0</v>
      </c>
      <c r="AB235" s="59"/>
      <c r="AC235" s="38"/>
      <c r="AD235" s="53"/>
      <c r="AE235" s="38"/>
      <c r="AF235" s="256"/>
      <c r="AG235" s="270">
        <v>0</v>
      </c>
      <c r="AH235" s="163" t="str">
        <f t="shared" ca="1" si="37"/>
        <v/>
      </c>
      <c r="AI235" s="39"/>
      <c r="AJ235" s="39"/>
      <c r="AK235" s="39"/>
      <c r="AL235" s="39"/>
      <c r="AM235" s="39"/>
      <c r="AN235" s="39"/>
      <c r="AO235" s="39"/>
      <c r="AP235" s="38" t="e">
        <f>VLOOKUP(I235,'[4] RFC'!A:B,2,0)</f>
        <v>#N/A</v>
      </c>
      <c r="AQ235" s="59"/>
      <c r="AR235" s="59"/>
      <c r="AS235" s="59"/>
      <c r="AT235" s="59">
        <f t="shared" si="41"/>
        <v>0</v>
      </c>
      <c r="AU235" s="183"/>
      <c r="AV235" s="195"/>
      <c r="AW235" s="185"/>
    </row>
    <row r="236" spans="1:49" hidden="1" x14ac:dyDescent="0.25">
      <c r="A236" s="188"/>
      <c r="B236" s="259">
        <v>137</v>
      </c>
      <c r="C236" s="167"/>
      <c r="D236" s="39"/>
      <c r="E236" s="40"/>
      <c r="F236" s="39">
        <f t="shared" si="40"/>
        <v>0</v>
      </c>
      <c r="G236" s="39"/>
      <c r="H236" s="39"/>
      <c r="I236" s="81"/>
      <c r="J236" s="1046"/>
      <c r="K236" s="1046"/>
      <c r="L236" s="1046"/>
      <c r="M236" s="1046" t="str">
        <f t="shared" si="33"/>
        <v xml:space="preserve">  </v>
      </c>
      <c r="N236" s="991"/>
      <c r="O236" s="991"/>
      <c r="P236" s="991"/>
      <c r="Q236" s="1040"/>
      <c r="R236" s="1047"/>
      <c r="S236" s="270">
        <f t="shared" si="39"/>
        <v>0</v>
      </c>
      <c r="T236" s="1048">
        <f t="shared" si="36"/>
        <v>0</v>
      </c>
      <c r="U236" s="1047">
        <v>0</v>
      </c>
      <c r="V236" s="270">
        <f t="shared" si="34"/>
        <v>0</v>
      </c>
      <c r="W236" s="270">
        <f t="shared" si="38"/>
        <v>0</v>
      </c>
      <c r="X236" s="993" t="s">
        <v>156</v>
      </c>
      <c r="Y236" s="59"/>
      <c r="Z236" s="39"/>
      <c r="AA236" s="59">
        <f t="shared" si="35"/>
        <v>0</v>
      </c>
      <c r="AB236" s="59"/>
      <c r="AC236" s="38"/>
      <c r="AD236" s="53"/>
      <c r="AE236" s="38"/>
      <c r="AF236" s="256"/>
      <c r="AG236" s="270">
        <v>0</v>
      </c>
      <c r="AH236" s="163" t="str">
        <f t="shared" ca="1" si="37"/>
        <v/>
      </c>
      <c r="AI236" s="39"/>
      <c r="AJ236" s="39"/>
      <c r="AK236" s="39"/>
      <c r="AL236" s="39"/>
      <c r="AM236" s="39"/>
      <c r="AN236" s="39"/>
      <c r="AO236" s="39"/>
      <c r="AP236" s="38" t="e">
        <f>VLOOKUP(I236,'[4] RFC'!A:B,2,0)</f>
        <v>#N/A</v>
      </c>
      <c r="AQ236" s="59"/>
      <c r="AR236" s="59"/>
      <c r="AS236" s="59"/>
      <c r="AT236" s="59">
        <f t="shared" si="41"/>
        <v>0</v>
      </c>
      <c r="AU236" s="183"/>
      <c r="AV236" s="195"/>
      <c r="AW236" s="185"/>
    </row>
    <row r="237" spans="1:49" hidden="1" x14ac:dyDescent="0.25">
      <c r="A237" s="188"/>
      <c r="B237" s="259">
        <v>138</v>
      </c>
      <c r="C237" s="167"/>
      <c r="D237" s="39"/>
      <c r="E237" s="40"/>
      <c r="F237" s="39">
        <f t="shared" si="40"/>
        <v>0</v>
      </c>
      <c r="G237" s="39"/>
      <c r="H237" s="39"/>
      <c r="I237" s="81"/>
      <c r="J237" s="1046"/>
      <c r="K237" s="1046"/>
      <c r="L237" s="1046"/>
      <c r="M237" s="1046" t="str">
        <f t="shared" si="33"/>
        <v xml:space="preserve">  </v>
      </c>
      <c r="N237" s="991"/>
      <c r="O237" s="991"/>
      <c r="P237" s="991"/>
      <c r="Q237" s="1040"/>
      <c r="R237" s="1047"/>
      <c r="S237" s="270">
        <f t="shared" si="39"/>
        <v>0</v>
      </c>
      <c r="T237" s="1048">
        <f t="shared" si="36"/>
        <v>0</v>
      </c>
      <c r="U237" s="1047">
        <v>0</v>
      </c>
      <c r="V237" s="270">
        <f t="shared" si="34"/>
        <v>0</v>
      </c>
      <c r="W237" s="270">
        <f t="shared" si="38"/>
        <v>0</v>
      </c>
      <c r="X237" s="993" t="s">
        <v>156</v>
      </c>
      <c r="Y237" s="59"/>
      <c r="Z237" s="39"/>
      <c r="AA237" s="59">
        <f t="shared" si="35"/>
        <v>0</v>
      </c>
      <c r="AB237" s="59"/>
      <c r="AC237" s="38"/>
      <c r="AD237" s="53"/>
      <c r="AE237" s="38"/>
      <c r="AF237" s="256"/>
      <c r="AG237" s="270">
        <v>0</v>
      </c>
      <c r="AH237" s="163" t="str">
        <f t="shared" ca="1" si="37"/>
        <v/>
      </c>
      <c r="AI237" s="39"/>
      <c r="AJ237" s="39"/>
      <c r="AK237" s="39"/>
      <c r="AL237" s="39"/>
      <c r="AM237" s="39"/>
      <c r="AN237" s="39"/>
      <c r="AO237" s="39"/>
      <c r="AP237" s="38" t="e">
        <f>VLOOKUP(I237,'[4] RFC'!A:B,2,0)</f>
        <v>#N/A</v>
      </c>
      <c r="AQ237" s="59"/>
      <c r="AR237" s="59"/>
      <c r="AS237" s="59"/>
      <c r="AT237" s="59">
        <f t="shared" si="41"/>
        <v>0</v>
      </c>
      <c r="AU237" s="183"/>
      <c r="AV237" s="195"/>
      <c r="AW237" s="185"/>
    </row>
    <row r="238" spans="1:49" hidden="1" x14ac:dyDescent="0.25">
      <c r="A238" s="188"/>
      <c r="B238" s="259">
        <v>139</v>
      </c>
      <c r="C238" s="167"/>
      <c r="D238" s="39"/>
      <c r="E238" s="40"/>
      <c r="F238" s="39">
        <f t="shared" si="40"/>
        <v>0</v>
      </c>
      <c r="G238" s="39"/>
      <c r="H238" s="39"/>
      <c r="I238" s="81"/>
      <c r="J238" s="1046"/>
      <c r="K238" s="1046"/>
      <c r="L238" s="1046"/>
      <c r="M238" s="1046" t="str">
        <f t="shared" si="33"/>
        <v xml:space="preserve">  </v>
      </c>
      <c r="N238" s="991"/>
      <c r="O238" s="991"/>
      <c r="P238" s="991"/>
      <c r="Q238" s="1040"/>
      <c r="R238" s="1047"/>
      <c r="S238" s="270">
        <f t="shared" si="39"/>
        <v>0</v>
      </c>
      <c r="T238" s="1048">
        <f t="shared" si="36"/>
        <v>0</v>
      </c>
      <c r="U238" s="1047">
        <v>0</v>
      </c>
      <c r="V238" s="270">
        <f t="shared" si="34"/>
        <v>0</v>
      </c>
      <c r="W238" s="270">
        <f t="shared" si="38"/>
        <v>0</v>
      </c>
      <c r="X238" s="993" t="s">
        <v>156</v>
      </c>
      <c r="Y238" s="59"/>
      <c r="Z238" s="39"/>
      <c r="AA238" s="59">
        <f t="shared" si="35"/>
        <v>0</v>
      </c>
      <c r="AB238" s="59"/>
      <c r="AC238" s="38"/>
      <c r="AD238" s="53"/>
      <c r="AE238" s="38"/>
      <c r="AF238" s="256"/>
      <c r="AG238" s="270">
        <v>0</v>
      </c>
      <c r="AH238" s="163" t="str">
        <f t="shared" ca="1" si="37"/>
        <v/>
      </c>
      <c r="AI238" s="39"/>
      <c r="AJ238" s="39"/>
      <c r="AK238" s="39"/>
      <c r="AL238" s="39"/>
      <c r="AM238" s="39"/>
      <c r="AN238" s="39"/>
      <c r="AO238" s="39"/>
      <c r="AP238" s="38" t="e">
        <f>VLOOKUP(I238,'[4] RFC'!A:B,2,0)</f>
        <v>#N/A</v>
      </c>
      <c r="AQ238" s="59"/>
      <c r="AR238" s="59"/>
      <c r="AS238" s="59"/>
      <c r="AT238" s="59">
        <f t="shared" si="41"/>
        <v>0</v>
      </c>
      <c r="AU238" s="183"/>
      <c r="AV238" s="195"/>
      <c r="AW238" s="185"/>
    </row>
    <row r="239" spans="1:49" hidden="1" x14ac:dyDescent="0.25">
      <c r="A239" s="188"/>
      <c r="B239" s="259">
        <v>140</v>
      </c>
      <c r="C239" s="167"/>
      <c r="D239" s="39"/>
      <c r="E239" s="40"/>
      <c r="F239" s="39">
        <f t="shared" si="40"/>
        <v>0</v>
      </c>
      <c r="G239" s="39"/>
      <c r="H239" s="39"/>
      <c r="I239" s="81"/>
      <c r="J239" s="1046"/>
      <c r="K239" s="1046"/>
      <c r="L239" s="1046"/>
      <c r="M239" s="1046" t="str">
        <f t="shared" si="33"/>
        <v xml:space="preserve">  </v>
      </c>
      <c r="N239" s="991"/>
      <c r="O239" s="991"/>
      <c r="P239" s="991"/>
      <c r="Q239" s="1040"/>
      <c r="R239" s="1047"/>
      <c r="S239" s="270">
        <f t="shared" si="39"/>
        <v>0</v>
      </c>
      <c r="T239" s="1048">
        <f t="shared" si="36"/>
        <v>0</v>
      </c>
      <c r="U239" s="1047">
        <v>0</v>
      </c>
      <c r="V239" s="270">
        <f t="shared" si="34"/>
        <v>0</v>
      </c>
      <c r="W239" s="270">
        <f t="shared" si="38"/>
        <v>0</v>
      </c>
      <c r="X239" s="993" t="s">
        <v>156</v>
      </c>
      <c r="Y239" s="59"/>
      <c r="Z239" s="39"/>
      <c r="AA239" s="59">
        <f t="shared" si="35"/>
        <v>0</v>
      </c>
      <c r="AB239" s="59"/>
      <c r="AC239" s="38"/>
      <c r="AD239" s="53"/>
      <c r="AE239" s="38"/>
      <c r="AF239" s="256"/>
      <c r="AG239" s="270">
        <v>0</v>
      </c>
      <c r="AH239" s="163" t="str">
        <f t="shared" ca="1" si="37"/>
        <v/>
      </c>
      <c r="AI239" s="39"/>
      <c r="AJ239" s="39"/>
      <c r="AK239" s="39"/>
      <c r="AL239" s="39"/>
      <c r="AM239" s="39"/>
      <c r="AN239" s="39"/>
      <c r="AO239" s="39"/>
      <c r="AP239" s="38" t="e">
        <f>VLOOKUP(I239,'[4] RFC'!A:B,2,0)</f>
        <v>#N/A</v>
      </c>
      <c r="AQ239" s="59"/>
      <c r="AR239" s="59"/>
      <c r="AS239" s="59"/>
      <c r="AT239" s="59">
        <f t="shared" si="41"/>
        <v>0</v>
      </c>
      <c r="AU239" s="183"/>
      <c r="AV239" s="195"/>
      <c r="AW239" s="185"/>
    </row>
    <row r="240" spans="1:49" hidden="1" x14ac:dyDescent="0.25">
      <c r="A240" s="188"/>
      <c r="B240" s="259">
        <v>141</v>
      </c>
      <c r="C240" s="167"/>
      <c r="D240" s="39"/>
      <c r="E240" s="40"/>
      <c r="F240" s="39">
        <f t="shared" si="40"/>
        <v>0</v>
      </c>
      <c r="G240" s="39"/>
      <c r="H240" s="39"/>
      <c r="I240" s="81"/>
      <c r="J240" s="1046"/>
      <c r="K240" s="1046"/>
      <c r="L240" s="1046"/>
      <c r="M240" s="1046" t="str">
        <f t="shared" si="33"/>
        <v xml:space="preserve">  </v>
      </c>
      <c r="N240" s="991"/>
      <c r="O240" s="991"/>
      <c r="P240" s="991"/>
      <c r="Q240" s="1040"/>
      <c r="R240" s="1047"/>
      <c r="S240" s="270">
        <f t="shared" si="39"/>
        <v>0</v>
      </c>
      <c r="T240" s="1048">
        <f t="shared" si="36"/>
        <v>0</v>
      </c>
      <c r="U240" s="1047">
        <v>0</v>
      </c>
      <c r="V240" s="270">
        <f t="shared" si="34"/>
        <v>0</v>
      </c>
      <c r="W240" s="270">
        <f t="shared" si="38"/>
        <v>0</v>
      </c>
      <c r="X240" s="993" t="s">
        <v>156</v>
      </c>
      <c r="Y240" s="59"/>
      <c r="Z240" s="39"/>
      <c r="AA240" s="59">
        <f t="shared" si="35"/>
        <v>0</v>
      </c>
      <c r="AB240" s="59"/>
      <c r="AC240" s="38"/>
      <c r="AD240" s="53"/>
      <c r="AE240" s="38"/>
      <c r="AF240" s="256"/>
      <c r="AG240" s="270">
        <v>0</v>
      </c>
      <c r="AH240" s="163" t="str">
        <f t="shared" ca="1" si="37"/>
        <v/>
      </c>
      <c r="AI240" s="39"/>
      <c r="AJ240" s="39"/>
      <c r="AK240" s="39"/>
      <c r="AL240" s="39"/>
      <c r="AM240" s="39"/>
      <c r="AN240" s="39"/>
      <c r="AO240" s="39"/>
      <c r="AP240" s="38" t="e">
        <f>VLOOKUP(I240,'[4] RFC'!A:B,2,0)</f>
        <v>#N/A</v>
      </c>
      <c r="AQ240" s="59"/>
      <c r="AR240" s="59"/>
      <c r="AS240" s="59"/>
      <c r="AT240" s="59">
        <f t="shared" si="41"/>
        <v>0</v>
      </c>
      <c r="AU240" s="183"/>
      <c r="AV240" s="195"/>
      <c r="AW240" s="185"/>
    </row>
    <row r="241" spans="1:49" hidden="1" x14ac:dyDescent="0.25">
      <c r="A241" s="188"/>
      <c r="B241" s="259">
        <v>142</v>
      </c>
      <c r="C241" s="167"/>
      <c r="D241" s="39"/>
      <c r="E241" s="40"/>
      <c r="F241" s="39">
        <f t="shared" si="40"/>
        <v>0</v>
      </c>
      <c r="G241" s="39"/>
      <c r="H241" s="39"/>
      <c r="I241" s="81"/>
      <c r="J241" s="1046"/>
      <c r="K241" s="1046"/>
      <c r="L241" s="1046"/>
      <c r="M241" s="1046" t="str">
        <f t="shared" si="33"/>
        <v xml:space="preserve">  </v>
      </c>
      <c r="N241" s="991"/>
      <c r="O241" s="991"/>
      <c r="P241" s="991"/>
      <c r="Q241" s="1040"/>
      <c r="R241" s="1047"/>
      <c r="S241" s="270">
        <f t="shared" si="39"/>
        <v>0</v>
      </c>
      <c r="T241" s="1048">
        <f t="shared" si="36"/>
        <v>0</v>
      </c>
      <c r="U241" s="1047">
        <v>0</v>
      </c>
      <c r="V241" s="270">
        <f t="shared" si="34"/>
        <v>0</v>
      </c>
      <c r="W241" s="270">
        <f t="shared" si="38"/>
        <v>0</v>
      </c>
      <c r="X241" s="993" t="s">
        <v>156</v>
      </c>
      <c r="Y241" s="59"/>
      <c r="Z241" s="39"/>
      <c r="AA241" s="59">
        <f t="shared" si="35"/>
        <v>0</v>
      </c>
      <c r="AB241" s="59"/>
      <c r="AC241" s="38"/>
      <c r="AD241" s="53"/>
      <c r="AE241" s="38"/>
      <c r="AF241" s="256"/>
      <c r="AG241" s="270">
        <v>0</v>
      </c>
      <c r="AH241" s="163" t="str">
        <f t="shared" ca="1" si="37"/>
        <v/>
      </c>
      <c r="AI241" s="39"/>
      <c r="AJ241" s="39"/>
      <c r="AK241" s="39"/>
      <c r="AL241" s="39"/>
      <c r="AM241" s="39"/>
      <c r="AN241" s="39"/>
      <c r="AO241" s="39"/>
      <c r="AP241" s="38" t="e">
        <f>VLOOKUP(I241,'[4] RFC'!A:B,2,0)</f>
        <v>#N/A</v>
      </c>
      <c r="AQ241" s="59"/>
      <c r="AR241" s="59"/>
      <c r="AS241" s="59"/>
      <c r="AT241" s="59">
        <f t="shared" si="41"/>
        <v>0</v>
      </c>
      <c r="AU241" s="183"/>
      <c r="AV241" s="195"/>
      <c r="AW241" s="185"/>
    </row>
    <row r="242" spans="1:49" hidden="1" x14ac:dyDescent="0.25">
      <c r="A242" s="188"/>
      <c r="B242" s="259">
        <v>143</v>
      </c>
      <c r="C242" s="167"/>
      <c r="D242" s="39"/>
      <c r="E242" s="40"/>
      <c r="F242" s="39">
        <f t="shared" si="40"/>
        <v>0</v>
      </c>
      <c r="G242" s="39"/>
      <c r="H242" s="39"/>
      <c r="I242" s="81"/>
      <c r="J242" s="1046"/>
      <c r="K242" s="1046"/>
      <c r="L242" s="1046"/>
      <c r="M242" s="1046" t="str">
        <f t="shared" si="33"/>
        <v xml:space="preserve">  </v>
      </c>
      <c r="N242" s="991"/>
      <c r="O242" s="991"/>
      <c r="P242" s="991"/>
      <c r="Q242" s="1040"/>
      <c r="R242" s="1047"/>
      <c r="S242" s="270">
        <f t="shared" si="39"/>
        <v>0</v>
      </c>
      <c r="T242" s="1048">
        <f t="shared" si="36"/>
        <v>0</v>
      </c>
      <c r="U242" s="1047">
        <v>0</v>
      </c>
      <c r="V242" s="270">
        <f t="shared" si="34"/>
        <v>0</v>
      </c>
      <c r="W242" s="270">
        <f t="shared" si="38"/>
        <v>0</v>
      </c>
      <c r="X242" s="993" t="s">
        <v>156</v>
      </c>
      <c r="Y242" s="59"/>
      <c r="Z242" s="39"/>
      <c r="AA242" s="59">
        <f t="shared" si="35"/>
        <v>0</v>
      </c>
      <c r="AB242" s="59"/>
      <c r="AC242" s="38"/>
      <c r="AD242" s="53"/>
      <c r="AE242" s="38"/>
      <c r="AF242" s="256"/>
      <c r="AG242" s="270">
        <v>0</v>
      </c>
      <c r="AH242" s="163" t="str">
        <f t="shared" ca="1" si="37"/>
        <v/>
      </c>
      <c r="AI242" s="39"/>
      <c r="AJ242" s="39"/>
      <c r="AK242" s="39"/>
      <c r="AL242" s="39"/>
      <c r="AM242" s="39"/>
      <c r="AN242" s="39"/>
      <c r="AO242" s="39"/>
      <c r="AP242" s="38" t="e">
        <f>VLOOKUP(I242,'[4] RFC'!A:B,2,0)</f>
        <v>#N/A</v>
      </c>
      <c r="AQ242" s="59"/>
      <c r="AR242" s="59"/>
      <c r="AS242" s="59"/>
      <c r="AT242" s="59">
        <f t="shared" si="41"/>
        <v>0</v>
      </c>
      <c r="AU242" s="183"/>
      <c r="AV242" s="195"/>
      <c r="AW242" s="185"/>
    </row>
    <row r="243" spans="1:49" hidden="1" x14ac:dyDescent="0.25">
      <c r="A243" s="188"/>
      <c r="B243" s="259">
        <v>144</v>
      </c>
      <c r="C243" s="167"/>
      <c r="D243" s="39"/>
      <c r="E243" s="40"/>
      <c r="F243" s="39">
        <f t="shared" si="40"/>
        <v>0</v>
      </c>
      <c r="G243" s="39"/>
      <c r="H243" s="39"/>
      <c r="I243" s="81"/>
      <c r="J243" s="1046"/>
      <c r="K243" s="1046"/>
      <c r="L243" s="1046"/>
      <c r="M243" s="1046" t="str">
        <f t="shared" si="33"/>
        <v xml:space="preserve">  </v>
      </c>
      <c r="N243" s="991"/>
      <c r="O243" s="991"/>
      <c r="P243" s="991"/>
      <c r="Q243" s="1040"/>
      <c r="R243" s="1047"/>
      <c r="S243" s="270">
        <f t="shared" si="39"/>
        <v>0</v>
      </c>
      <c r="T243" s="1048">
        <f t="shared" si="36"/>
        <v>0</v>
      </c>
      <c r="U243" s="1047">
        <v>0</v>
      </c>
      <c r="V243" s="270">
        <f t="shared" si="34"/>
        <v>0</v>
      </c>
      <c r="W243" s="270">
        <f t="shared" si="38"/>
        <v>0</v>
      </c>
      <c r="X243" s="993" t="s">
        <v>156</v>
      </c>
      <c r="Y243" s="59"/>
      <c r="Z243" s="39"/>
      <c r="AA243" s="59">
        <f t="shared" si="35"/>
        <v>0</v>
      </c>
      <c r="AB243" s="59"/>
      <c r="AC243" s="38"/>
      <c r="AD243" s="53"/>
      <c r="AE243" s="38"/>
      <c r="AF243" s="256"/>
      <c r="AG243" s="270">
        <v>0</v>
      </c>
      <c r="AH243" s="163" t="str">
        <f t="shared" ca="1" si="37"/>
        <v/>
      </c>
      <c r="AI243" s="39"/>
      <c r="AJ243" s="39"/>
      <c r="AK243" s="39"/>
      <c r="AL243" s="39"/>
      <c r="AM243" s="39"/>
      <c r="AN243" s="39"/>
      <c r="AO243" s="39"/>
      <c r="AP243" s="38" t="e">
        <f>VLOOKUP(I243,'[4] RFC'!A:B,2,0)</f>
        <v>#N/A</v>
      </c>
      <c r="AQ243" s="59"/>
      <c r="AR243" s="59"/>
      <c r="AS243" s="59"/>
      <c r="AT243" s="59">
        <f t="shared" si="41"/>
        <v>0</v>
      </c>
      <c r="AU243" s="183"/>
      <c r="AV243" s="195"/>
      <c r="AW243" s="185"/>
    </row>
    <row r="244" spans="1:49" hidden="1" x14ac:dyDescent="0.25">
      <c r="A244" s="188"/>
      <c r="B244" s="259">
        <v>145</v>
      </c>
      <c r="C244" s="167"/>
      <c r="D244" s="39"/>
      <c r="E244" s="40"/>
      <c r="F244" s="39">
        <f t="shared" si="40"/>
        <v>0</v>
      </c>
      <c r="G244" s="39"/>
      <c r="H244" s="39"/>
      <c r="I244" s="81"/>
      <c r="J244" s="1046"/>
      <c r="K244" s="1046"/>
      <c r="L244" s="1046"/>
      <c r="M244" s="1046" t="str">
        <f t="shared" si="33"/>
        <v xml:space="preserve">  </v>
      </c>
      <c r="N244" s="991"/>
      <c r="O244" s="991"/>
      <c r="P244" s="991"/>
      <c r="Q244" s="1040"/>
      <c r="R244" s="1047"/>
      <c r="S244" s="270">
        <f t="shared" si="39"/>
        <v>0</v>
      </c>
      <c r="T244" s="1048">
        <f t="shared" si="36"/>
        <v>0</v>
      </c>
      <c r="U244" s="1047">
        <v>0</v>
      </c>
      <c r="V244" s="270">
        <f t="shared" si="34"/>
        <v>0</v>
      </c>
      <c r="W244" s="270">
        <f t="shared" si="38"/>
        <v>0</v>
      </c>
      <c r="X244" s="993" t="s">
        <v>156</v>
      </c>
      <c r="Y244" s="59"/>
      <c r="Z244" s="39"/>
      <c r="AA244" s="59">
        <f t="shared" si="35"/>
        <v>0</v>
      </c>
      <c r="AB244" s="59"/>
      <c r="AC244" s="38"/>
      <c r="AD244" s="53"/>
      <c r="AE244" s="38"/>
      <c r="AF244" s="256"/>
      <c r="AG244" s="270">
        <v>0</v>
      </c>
      <c r="AH244" s="163" t="str">
        <f t="shared" ca="1" si="37"/>
        <v/>
      </c>
      <c r="AI244" s="39"/>
      <c r="AJ244" s="39"/>
      <c r="AK244" s="39"/>
      <c r="AL244" s="39"/>
      <c r="AM244" s="39"/>
      <c r="AN244" s="39"/>
      <c r="AO244" s="39"/>
      <c r="AP244" s="38" t="e">
        <f>VLOOKUP(I244,'[4] RFC'!A:B,2,0)</f>
        <v>#N/A</v>
      </c>
      <c r="AQ244" s="59"/>
      <c r="AR244" s="59"/>
      <c r="AS244" s="59"/>
      <c r="AT244" s="59">
        <f t="shared" si="41"/>
        <v>0</v>
      </c>
      <c r="AU244" s="183"/>
      <c r="AV244" s="195"/>
      <c r="AW244" s="185"/>
    </row>
    <row r="245" spans="1:49" hidden="1" x14ac:dyDescent="0.25">
      <c r="A245" s="188"/>
      <c r="B245" s="259">
        <v>146</v>
      </c>
      <c r="C245" s="167"/>
      <c r="D245" s="39"/>
      <c r="E245" s="40"/>
      <c r="F245" s="39">
        <f t="shared" si="40"/>
        <v>0</v>
      </c>
      <c r="G245" s="39"/>
      <c r="H245" s="39"/>
      <c r="I245" s="81"/>
      <c r="J245" s="1046"/>
      <c r="K245" s="1046"/>
      <c r="L245" s="1046"/>
      <c r="M245" s="1046" t="str">
        <f t="shared" si="33"/>
        <v xml:space="preserve">  </v>
      </c>
      <c r="N245" s="991"/>
      <c r="O245" s="991"/>
      <c r="P245" s="991"/>
      <c r="Q245" s="1040"/>
      <c r="R245" s="1047"/>
      <c r="S245" s="270">
        <f t="shared" si="39"/>
        <v>0</v>
      </c>
      <c r="T245" s="1048">
        <f t="shared" si="36"/>
        <v>0</v>
      </c>
      <c r="U245" s="1047">
        <v>0</v>
      </c>
      <c r="V245" s="270">
        <f t="shared" si="34"/>
        <v>0</v>
      </c>
      <c r="W245" s="270">
        <f t="shared" si="38"/>
        <v>0</v>
      </c>
      <c r="X245" s="993" t="s">
        <v>156</v>
      </c>
      <c r="Y245" s="59"/>
      <c r="Z245" s="39"/>
      <c r="AA245" s="59">
        <f t="shared" si="35"/>
        <v>0</v>
      </c>
      <c r="AB245" s="59"/>
      <c r="AC245" s="38"/>
      <c r="AD245" s="53"/>
      <c r="AE245" s="38"/>
      <c r="AF245" s="256"/>
      <c r="AG245" s="270">
        <v>0</v>
      </c>
      <c r="AH245" s="163" t="str">
        <f t="shared" ca="1" si="37"/>
        <v/>
      </c>
      <c r="AI245" s="39"/>
      <c r="AJ245" s="39"/>
      <c r="AK245" s="39"/>
      <c r="AL245" s="39"/>
      <c r="AM245" s="39"/>
      <c r="AN245" s="39"/>
      <c r="AO245" s="39"/>
      <c r="AP245" s="38" t="e">
        <f>VLOOKUP(I245,'[4] RFC'!A:B,2,0)</f>
        <v>#N/A</v>
      </c>
      <c r="AQ245" s="59"/>
      <c r="AR245" s="59"/>
      <c r="AS245" s="59"/>
      <c r="AT245" s="59">
        <f t="shared" si="41"/>
        <v>0</v>
      </c>
      <c r="AU245" s="183"/>
      <c r="AV245" s="195"/>
      <c r="AW245" s="185"/>
    </row>
    <row r="246" spans="1:49" hidden="1" x14ac:dyDescent="0.25">
      <c r="A246" s="188"/>
      <c r="B246" s="259">
        <v>147</v>
      </c>
      <c r="C246" s="167"/>
      <c r="D246" s="39"/>
      <c r="E246" s="40"/>
      <c r="F246" s="39">
        <f t="shared" si="40"/>
        <v>0</v>
      </c>
      <c r="G246" s="39"/>
      <c r="H246" s="39"/>
      <c r="I246" s="81"/>
      <c r="J246" s="1046"/>
      <c r="K246" s="1046"/>
      <c r="L246" s="1046"/>
      <c r="M246" s="1046" t="str">
        <f t="shared" ref="M246:M282" si="42">I246&amp;J246&amp;" "&amp;K246&amp;" "&amp;L246</f>
        <v xml:space="preserve">  </v>
      </c>
      <c r="N246" s="991"/>
      <c r="O246" s="991"/>
      <c r="P246" s="991"/>
      <c r="Q246" s="1040"/>
      <c r="R246" s="1047"/>
      <c r="S246" s="270">
        <f t="shared" si="39"/>
        <v>0</v>
      </c>
      <c r="T246" s="1048">
        <f t="shared" si="36"/>
        <v>0</v>
      </c>
      <c r="U246" s="1047">
        <v>0</v>
      </c>
      <c r="V246" s="270">
        <f t="shared" si="34"/>
        <v>0</v>
      </c>
      <c r="W246" s="270">
        <f t="shared" si="38"/>
        <v>0</v>
      </c>
      <c r="X246" s="993" t="s">
        <v>156</v>
      </c>
      <c r="Y246" s="59"/>
      <c r="Z246" s="39"/>
      <c r="AA246" s="59">
        <f t="shared" si="35"/>
        <v>0</v>
      </c>
      <c r="AB246" s="59"/>
      <c r="AC246" s="38"/>
      <c r="AD246" s="53"/>
      <c r="AE246" s="38"/>
      <c r="AF246" s="256"/>
      <c r="AG246" s="270">
        <v>0</v>
      </c>
      <c r="AH246" s="163" t="str">
        <f t="shared" ca="1" si="37"/>
        <v/>
      </c>
      <c r="AI246" s="39"/>
      <c r="AJ246" s="39"/>
      <c r="AK246" s="39"/>
      <c r="AL246" s="39"/>
      <c r="AM246" s="39"/>
      <c r="AN246" s="39"/>
      <c r="AO246" s="39"/>
      <c r="AP246" s="38" t="e">
        <f>VLOOKUP(I246,'[4] RFC'!A:B,2,0)</f>
        <v>#N/A</v>
      </c>
      <c r="AQ246" s="59"/>
      <c r="AR246" s="59"/>
      <c r="AS246" s="59"/>
      <c r="AT246" s="59">
        <f t="shared" si="41"/>
        <v>0</v>
      </c>
      <c r="AU246" s="183"/>
      <c r="AV246" s="195"/>
      <c r="AW246" s="185"/>
    </row>
    <row r="247" spans="1:49" hidden="1" x14ac:dyDescent="0.25">
      <c r="A247" s="188"/>
      <c r="B247" s="259">
        <v>148</v>
      </c>
      <c r="C247" s="167"/>
      <c r="D247" s="39"/>
      <c r="E247" s="40"/>
      <c r="F247" s="39">
        <f t="shared" si="40"/>
        <v>0</v>
      </c>
      <c r="G247" s="39"/>
      <c r="H247" s="39"/>
      <c r="I247" s="81"/>
      <c r="J247" s="1046"/>
      <c r="K247" s="1046"/>
      <c r="L247" s="1046"/>
      <c r="M247" s="1046" t="str">
        <f t="shared" si="42"/>
        <v xml:space="preserve">  </v>
      </c>
      <c r="N247" s="991"/>
      <c r="O247" s="991"/>
      <c r="P247" s="991"/>
      <c r="Q247" s="1040"/>
      <c r="R247" s="1047"/>
      <c r="S247" s="270">
        <f t="shared" si="39"/>
        <v>0</v>
      </c>
      <c r="T247" s="1048">
        <f t="shared" si="36"/>
        <v>0</v>
      </c>
      <c r="U247" s="1047">
        <v>0</v>
      </c>
      <c r="V247" s="270">
        <f t="shared" si="34"/>
        <v>0</v>
      </c>
      <c r="W247" s="270">
        <f t="shared" si="38"/>
        <v>0</v>
      </c>
      <c r="X247" s="993" t="s">
        <v>156</v>
      </c>
      <c r="Y247" s="59"/>
      <c r="Z247" s="39"/>
      <c r="AA247" s="59">
        <f t="shared" si="35"/>
        <v>0</v>
      </c>
      <c r="AB247" s="59"/>
      <c r="AC247" s="38"/>
      <c r="AD247" s="53"/>
      <c r="AE247" s="38"/>
      <c r="AF247" s="256"/>
      <c r="AG247" s="270">
        <v>0</v>
      </c>
      <c r="AH247" s="163" t="str">
        <f t="shared" ca="1" si="37"/>
        <v/>
      </c>
      <c r="AI247" s="39"/>
      <c r="AJ247" s="39"/>
      <c r="AK247" s="39"/>
      <c r="AL247" s="39"/>
      <c r="AM247" s="39"/>
      <c r="AN247" s="39"/>
      <c r="AO247" s="39"/>
      <c r="AP247" s="38" t="e">
        <f>VLOOKUP(I247,'[4] RFC'!A:B,2,0)</f>
        <v>#N/A</v>
      </c>
      <c r="AQ247" s="59"/>
      <c r="AR247" s="59"/>
      <c r="AS247" s="59"/>
      <c r="AT247" s="59">
        <f t="shared" si="41"/>
        <v>0</v>
      </c>
      <c r="AU247" s="183"/>
      <c r="AV247" s="195"/>
      <c r="AW247" s="185"/>
    </row>
    <row r="248" spans="1:49" hidden="1" x14ac:dyDescent="0.25">
      <c r="A248" s="188"/>
      <c r="B248" s="259">
        <v>149</v>
      </c>
      <c r="C248" s="167"/>
      <c r="D248" s="39"/>
      <c r="E248" s="40"/>
      <c r="F248" s="39">
        <f t="shared" si="40"/>
        <v>0</v>
      </c>
      <c r="G248" s="39"/>
      <c r="H248" s="39"/>
      <c r="I248" s="81"/>
      <c r="J248" s="1046"/>
      <c r="K248" s="1046"/>
      <c r="L248" s="1046"/>
      <c r="M248" s="1046" t="str">
        <f t="shared" si="42"/>
        <v xml:space="preserve">  </v>
      </c>
      <c r="N248" s="991"/>
      <c r="O248" s="991"/>
      <c r="P248" s="991"/>
      <c r="Q248" s="1040"/>
      <c r="R248" s="1047"/>
      <c r="S248" s="270">
        <f t="shared" si="39"/>
        <v>0</v>
      </c>
      <c r="T248" s="1048">
        <f t="shared" si="36"/>
        <v>0</v>
      </c>
      <c r="U248" s="1047">
        <v>0</v>
      </c>
      <c r="V248" s="270">
        <f t="shared" si="34"/>
        <v>0</v>
      </c>
      <c r="W248" s="270">
        <f t="shared" si="38"/>
        <v>0</v>
      </c>
      <c r="X248" s="993" t="s">
        <v>156</v>
      </c>
      <c r="Y248" s="59"/>
      <c r="Z248" s="39"/>
      <c r="AA248" s="59">
        <f t="shared" si="35"/>
        <v>0</v>
      </c>
      <c r="AB248" s="59"/>
      <c r="AC248" s="38"/>
      <c r="AD248" s="53"/>
      <c r="AE248" s="38"/>
      <c r="AF248" s="256"/>
      <c r="AG248" s="270">
        <v>0</v>
      </c>
      <c r="AH248" s="163" t="str">
        <f t="shared" ca="1" si="37"/>
        <v/>
      </c>
      <c r="AI248" s="39"/>
      <c r="AJ248" s="39"/>
      <c r="AK248" s="39"/>
      <c r="AL248" s="39"/>
      <c r="AM248" s="39"/>
      <c r="AN248" s="39"/>
      <c r="AO248" s="39"/>
      <c r="AP248" s="38" t="e">
        <f>VLOOKUP(I248,'[4] RFC'!A:B,2,0)</f>
        <v>#N/A</v>
      </c>
      <c r="AQ248" s="59"/>
      <c r="AR248" s="59"/>
      <c r="AS248" s="59"/>
      <c r="AT248" s="59">
        <f t="shared" si="41"/>
        <v>0</v>
      </c>
      <c r="AU248" s="183"/>
      <c r="AV248" s="195"/>
      <c r="AW248" s="185"/>
    </row>
    <row r="249" spans="1:49" hidden="1" x14ac:dyDescent="0.25">
      <c r="A249" s="188"/>
      <c r="B249" s="259">
        <v>150</v>
      </c>
      <c r="C249" s="167"/>
      <c r="D249" s="39"/>
      <c r="E249" s="40"/>
      <c r="F249" s="39">
        <f t="shared" si="40"/>
        <v>0</v>
      </c>
      <c r="G249" s="39"/>
      <c r="H249" s="39"/>
      <c r="I249" s="81"/>
      <c r="J249" s="1046"/>
      <c r="K249" s="1046"/>
      <c r="L249" s="1046"/>
      <c r="M249" s="1046" t="str">
        <f t="shared" si="42"/>
        <v xml:space="preserve">  </v>
      </c>
      <c r="N249" s="991"/>
      <c r="O249" s="991"/>
      <c r="P249" s="991"/>
      <c r="Q249" s="1040"/>
      <c r="R249" s="1047"/>
      <c r="S249" s="270">
        <f t="shared" si="39"/>
        <v>0</v>
      </c>
      <c r="T249" s="1048">
        <f t="shared" si="36"/>
        <v>0</v>
      </c>
      <c r="U249" s="1047">
        <v>0</v>
      </c>
      <c r="V249" s="270">
        <f t="shared" si="34"/>
        <v>0</v>
      </c>
      <c r="W249" s="270">
        <f t="shared" si="38"/>
        <v>0</v>
      </c>
      <c r="X249" s="993" t="s">
        <v>156</v>
      </c>
      <c r="Y249" s="59"/>
      <c r="Z249" s="39"/>
      <c r="AA249" s="59">
        <f t="shared" si="35"/>
        <v>0</v>
      </c>
      <c r="AB249" s="59"/>
      <c r="AC249" s="38"/>
      <c r="AD249" s="53"/>
      <c r="AE249" s="38"/>
      <c r="AF249" s="256"/>
      <c r="AG249" s="270">
        <v>0</v>
      </c>
      <c r="AH249" s="163" t="str">
        <f t="shared" ca="1" si="37"/>
        <v/>
      </c>
      <c r="AI249" s="39"/>
      <c r="AJ249" s="39"/>
      <c r="AK249" s="39"/>
      <c r="AL249" s="39"/>
      <c r="AM249" s="39"/>
      <c r="AN249" s="39"/>
      <c r="AO249" s="39"/>
      <c r="AP249" s="38" t="e">
        <f>VLOOKUP(I249,'[4] RFC'!A:B,2,0)</f>
        <v>#N/A</v>
      </c>
      <c r="AQ249" s="59"/>
      <c r="AR249" s="59"/>
      <c r="AS249" s="59"/>
      <c r="AT249" s="59">
        <f t="shared" si="41"/>
        <v>0</v>
      </c>
      <c r="AU249" s="183"/>
      <c r="AV249" s="195"/>
      <c r="AW249" s="185"/>
    </row>
    <row r="250" spans="1:49" hidden="1" x14ac:dyDescent="0.25">
      <c r="A250" s="188"/>
      <c r="B250" s="259">
        <v>151</v>
      </c>
      <c r="C250" s="167"/>
      <c r="D250" s="39"/>
      <c r="E250" s="40"/>
      <c r="F250" s="39">
        <f t="shared" si="40"/>
        <v>0</v>
      </c>
      <c r="G250" s="39"/>
      <c r="H250" s="39"/>
      <c r="I250" s="81"/>
      <c r="J250" s="1046"/>
      <c r="K250" s="1046"/>
      <c r="L250" s="1046"/>
      <c r="M250" s="1046" t="str">
        <f t="shared" si="42"/>
        <v xml:space="preserve">  </v>
      </c>
      <c r="N250" s="991"/>
      <c r="O250" s="991"/>
      <c r="P250" s="991"/>
      <c r="Q250" s="1040"/>
      <c r="R250" s="1047"/>
      <c r="S250" s="270">
        <f t="shared" si="39"/>
        <v>0</v>
      </c>
      <c r="T250" s="1048">
        <f t="shared" si="36"/>
        <v>0</v>
      </c>
      <c r="U250" s="1047">
        <v>0</v>
      </c>
      <c r="V250" s="270">
        <f t="shared" ref="V250:V282" si="43">(U250*0.16)+(U250)</f>
        <v>0</v>
      </c>
      <c r="W250" s="270">
        <f t="shared" si="38"/>
        <v>0</v>
      </c>
      <c r="X250" s="993" t="s">
        <v>156</v>
      </c>
      <c r="Y250" s="59"/>
      <c r="Z250" s="39"/>
      <c r="AA250" s="59">
        <f t="shared" si="35"/>
        <v>0</v>
      </c>
      <c r="AB250" s="59"/>
      <c r="AC250" s="38"/>
      <c r="AD250" s="53"/>
      <c r="AE250" s="38"/>
      <c r="AF250" s="256"/>
      <c r="AG250" s="270">
        <v>0</v>
      </c>
      <c r="AH250" s="163" t="str">
        <f t="shared" ca="1" si="37"/>
        <v/>
      </c>
      <c r="AI250" s="39"/>
      <c r="AJ250" s="39"/>
      <c r="AK250" s="39"/>
      <c r="AL250" s="39"/>
      <c r="AM250" s="39"/>
      <c r="AN250" s="39"/>
      <c r="AO250" s="39"/>
      <c r="AP250" s="38" t="e">
        <f>VLOOKUP(I250,'[4] RFC'!A:B,2,0)</f>
        <v>#N/A</v>
      </c>
      <c r="AQ250" s="59"/>
      <c r="AR250" s="59"/>
      <c r="AS250" s="59"/>
      <c r="AT250" s="59">
        <f t="shared" si="41"/>
        <v>0</v>
      </c>
      <c r="AU250" s="183"/>
      <c r="AV250" s="195"/>
      <c r="AW250" s="185"/>
    </row>
    <row r="251" spans="1:49" hidden="1" x14ac:dyDescent="0.25">
      <c r="A251" s="188"/>
      <c r="B251" s="259">
        <v>152</v>
      </c>
      <c r="C251" s="167"/>
      <c r="D251" s="39"/>
      <c r="E251" s="40"/>
      <c r="F251" s="39">
        <f t="shared" si="40"/>
        <v>0</v>
      </c>
      <c r="G251" s="39"/>
      <c r="H251" s="39"/>
      <c r="I251" s="81"/>
      <c r="J251" s="1046"/>
      <c r="K251" s="1046"/>
      <c r="L251" s="1046"/>
      <c r="M251" s="1046" t="str">
        <f t="shared" si="42"/>
        <v xml:space="preserve">  </v>
      </c>
      <c r="N251" s="991"/>
      <c r="O251" s="991"/>
      <c r="P251" s="991"/>
      <c r="Q251" s="1040"/>
      <c r="R251" s="1047"/>
      <c r="S251" s="270">
        <f t="shared" si="39"/>
        <v>0</v>
      </c>
      <c r="T251" s="1048">
        <f t="shared" si="36"/>
        <v>0</v>
      </c>
      <c r="U251" s="1047">
        <v>0</v>
      </c>
      <c r="V251" s="270">
        <f t="shared" si="43"/>
        <v>0</v>
      </c>
      <c r="W251" s="270">
        <f t="shared" si="38"/>
        <v>0</v>
      </c>
      <c r="X251" s="993" t="s">
        <v>156</v>
      </c>
      <c r="Y251" s="59"/>
      <c r="Z251" s="39"/>
      <c r="AA251" s="59">
        <f t="shared" ref="AA251:AA282" si="44">Y251</f>
        <v>0</v>
      </c>
      <c r="AB251" s="59"/>
      <c r="AC251" s="38"/>
      <c r="AD251" s="53"/>
      <c r="AE251" s="38"/>
      <c r="AF251" s="256"/>
      <c r="AG251" s="270">
        <v>0</v>
      </c>
      <c r="AH251" s="163" t="str">
        <f t="shared" ca="1" si="37"/>
        <v/>
      </c>
      <c r="AI251" s="39"/>
      <c r="AJ251" s="39"/>
      <c r="AK251" s="39"/>
      <c r="AL251" s="39"/>
      <c r="AM251" s="39"/>
      <c r="AN251" s="39"/>
      <c r="AO251" s="39"/>
      <c r="AP251" s="38" t="e">
        <f>VLOOKUP(I251,'[4] RFC'!A:B,2,0)</f>
        <v>#N/A</v>
      </c>
      <c r="AQ251" s="59"/>
      <c r="AR251" s="59"/>
      <c r="AS251" s="59"/>
      <c r="AT251" s="59">
        <f t="shared" si="41"/>
        <v>0</v>
      </c>
      <c r="AU251" s="183"/>
      <c r="AV251" s="195"/>
      <c r="AW251" s="185"/>
    </row>
    <row r="252" spans="1:49" hidden="1" x14ac:dyDescent="0.25">
      <c r="A252" s="188"/>
      <c r="B252" s="259">
        <v>153</v>
      </c>
      <c r="C252" s="167"/>
      <c r="D252" s="39"/>
      <c r="E252" s="40"/>
      <c r="F252" s="39">
        <f t="shared" si="40"/>
        <v>0</v>
      </c>
      <c r="G252" s="39"/>
      <c r="H252" s="39"/>
      <c r="I252" s="81"/>
      <c r="J252" s="1046"/>
      <c r="K252" s="1046"/>
      <c r="L252" s="1046"/>
      <c r="M252" s="1046" t="str">
        <f t="shared" si="42"/>
        <v xml:space="preserve">  </v>
      </c>
      <c r="N252" s="991"/>
      <c r="O252" s="991"/>
      <c r="P252" s="991"/>
      <c r="Q252" s="1040"/>
      <c r="R252" s="1047"/>
      <c r="S252" s="270">
        <f t="shared" si="39"/>
        <v>0</v>
      </c>
      <c r="T252" s="1048">
        <f t="shared" si="36"/>
        <v>0</v>
      </c>
      <c r="U252" s="1047">
        <v>0</v>
      </c>
      <c r="V252" s="270">
        <f t="shared" si="43"/>
        <v>0</v>
      </c>
      <c r="W252" s="270">
        <f t="shared" si="38"/>
        <v>0</v>
      </c>
      <c r="X252" s="993" t="s">
        <v>156</v>
      </c>
      <c r="Y252" s="59"/>
      <c r="Z252" s="39"/>
      <c r="AA252" s="59">
        <f t="shared" si="44"/>
        <v>0</v>
      </c>
      <c r="AB252" s="59"/>
      <c r="AC252" s="38"/>
      <c r="AD252" s="53"/>
      <c r="AE252" s="38"/>
      <c r="AF252" s="256"/>
      <c r="AG252" s="270">
        <v>0</v>
      </c>
      <c r="AH252" s="163" t="str">
        <f t="shared" ca="1" si="37"/>
        <v/>
      </c>
      <c r="AI252" s="39"/>
      <c r="AJ252" s="39"/>
      <c r="AK252" s="39"/>
      <c r="AL252" s="39"/>
      <c r="AM252" s="39"/>
      <c r="AN252" s="39"/>
      <c r="AO252" s="39"/>
      <c r="AP252" s="38" t="e">
        <f>VLOOKUP(I252,'[4] RFC'!A:B,2,0)</f>
        <v>#N/A</v>
      </c>
      <c r="AQ252" s="59"/>
      <c r="AR252" s="59"/>
      <c r="AS252" s="59"/>
      <c r="AT252" s="59">
        <f t="shared" si="41"/>
        <v>0</v>
      </c>
      <c r="AU252" s="183"/>
      <c r="AV252" s="195"/>
      <c r="AW252" s="185"/>
    </row>
    <row r="253" spans="1:49" hidden="1" x14ac:dyDescent="0.25">
      <c r="A253" s="188"/>
      <c r="B253" s="259">
        <v>154</v>
      </c>
      <c r="C253" s="167"/>
      <c r="D253" s="39"/>
      <c r="E253" s="40"/>
      <c r="F253" s="39">
        <f t="shared" si="40"/>
        <v>0</v>
      </c>
      <c r="G253" s="39"/>
      <c r="H253" s="39"/>
      <c r="I253" s="81"/>
      <c r="J253" s="1046"/>
      <c r="K253" s="1046"/>
      <c r="L253" s="1046"/>
      <c r="M253" s="1046" t="str">
        <f t="shared" si="42"/>
        <v xml:space="preserve">  </v>
      </c>
      <c r="N253" s="991"/>
      <c r="O253" s="991"/>
      <c r="P253" s="991"/>
      <c r="Q253" s="1040"/>
      <c r="R253" s="1047"/>
      <c r="S253" s="270">
        <f t="shared" si="39"/>
        <v>0</v>
      </c>
      <c r="T253" s="1048">
        <f t="shared" si="36"/>
        <v>0</v>
      </c>
      <c r="U253" s="1047">
        <v>0</v>
      </c>
      <c r="V253" s="270">
        <f t="shared" si="43"/>
        <v>0</v>
      </c>
      <c r="W253" s="270">
        <f t="shared" si="38"/>
        <v>0</v>
      </c>
      <c r="X253" s="993" t="s">
        <v>156</v>
      </c>
      <c r="Y253" s="59"/>
      <c r="Z253" s="39"/>
      <c r="AA253" s="59">
        <f t="shared" si="44"/>
        <v>0</v>
      </c>
      <c r="AB253" s="59"/>
      <c r="AC253" s="38"/>
      <c r="AD253" s="53"/>
      <c r="AE253" s="38"/>
      <c r="AF253" s="256"/>
      <c r="AG253" s="270">
        <v>0</v>
      </c>
      <c r="AH253" s="163" t="str">
        <f t="shared" ca="1" si="37"/>
        <v/>
      </c>
      <c r="AI253" s="39"/>
      <c r="AJ253" s="39"/>
      <c r="AK253" s="39"/>
      <c r="AL253" s="39"/>
      <c r="AM253" s="39"/>
      <c r="AN253" s="39"/>
      <c r="AO253" s="39"/>
      <c r="AP253" s="38" t="e">
        <f>VLOOKUP(I253,'[4] RFC'!A:B,2,0)</f>
        <v>#N/A</v>
      </c>
      <c r="AQ253" s="59"/>
      <c r="AR253" s="59"/>
      <c r="AS253" s="59"/>
      <c r="AT253" s="59">
        <f t="shared" si="41"/>
        <v>0</v>
      </c>
      <c r="AU253" s="183"/>
      <c r="AV253" s="195"/>
      <c r="AW253" s="185"/>
    </row>
    <row r="254" spans="1:49" hidden="1" x14ac:dyDescent="0.25">
      <c r="A254" s="188"/>
      <c r="B254" s="259">
        <v>155</v>
      </c>
      <c r="C254" s="167"/>
      <c r="D254" s="39"/>
      <c r="E254" s="40"/>
      <c r="F254" s="39">
        <f t="shared" si="40"/>
        <v>0</v>
      </c>
      <c r="G254" s="39"/>
      <c r="H254" s="39"/>
      <c r="I254" s="81"/>
      <c r="J254" s="1046"/>
      <c r="K254" s="1046"/>
      <c r="L254" s="1046"/>
      <c r="M254" s="1046" t="str">
        <f t="shared" si="42"/>
        <v xml:space="preserve">  </v>
      </c>
      <c r="N254" s="991"/>
      <c r="O254" s="991"/>
      <c r="P254" s="991"/>
      <c r="Q254" s="1040"/>
      <c r="R254" s="1047"/>
      <c r="S254" s="270">
        <f t="shared" si="39"/>
        <v>0</v>
      </c>
      <c r="T254" s="1048">
        <f t="shared" si="36"/>
        <v>0</v>
      </c>
      <c r="U254" s="1047">
        <v>0</v>
      </c>
      <c r="V254" s="270">
        <f t="shared" si="43"/>
        <v>0</v>
      </c>
      <c r="W254" s="270">
        <f t="shared" si="38"/>
        <v>0</v>
      </c>
      <c r="X254" s="993" t="s">
        <v>156</v>
      </c>
      <c r="Y254" s="59"/>
      <c r="Z254" s="39"/>
      <c r="AA254" s="59">
        <f t="shared" si="44"/>
        <v>0</v>
      </c>
      <c r="AB254" s="59"/>
      <c r="AC254" s="38"/>
      <c r="AD254" s="53"/>
      <c r="AE254" s="38"/>
      <c r="AF254" s="256"/>
      <c r="AG254" s="270">
        <v>0</v>
      </c>
      <c r="AH254" s="163" t="str">
        <f t="shared" ca="1" si="37"/>
        <v/>
      </c>
      <c r="AI254" s="39"/>
      <c r="AJ254" s="39"/>
      <c r="AK254" s="39"/>
      <c r="AL254" s="39"/>
      <c r="AM254" s="39"/>
      <c r="AN254" s="39"/>
      <c r="AO254" s="39"/>
      <c r="AP254" s="38" t="e">
        <f>VLOOKUP(I254,'[4] RFC'!A:B,2,0)</f>
        <v>#N/A</v>
      </c>
      <c r="AQ254" s="59"/>
      <c r="AR254" s="59"/>
      <c r="AS254" s="59"/>
      <c r="AT254" s="59">
        <f t="shared" si="41"/>
        <v>0</v>
      </c>
      <c r="AU254" s="183"/>
      <c r="AV254" s="195"/>
      <c r="AW254" s="185"/>
    </row>
    <row r="255" spans="1:49" hidden="1" x14ac:dyDescent="0.25">
      <c r="A255" s="188"/>
      <c r="B255" s="259">
        <v>156</v>
      </c>
      <c r="C255" s="167"/>
      <c r="D255" s="39"/>
      <c r="E255" s="40"/>
      <c r="F255" s="39">
        <f t="shared" si="40"/>
        <v>0</v>
      </c>
      <c r="G255" s="39"/>
      <c r="H255" s="39"/>
      <c r="I255" s="81"/>
      <c r="J255" s="1046"/>
      <c r="K255" s="1046"/>
      <c r="L255" s="1046"/>
      <c r="M255" s="1046" t="str">
        <f t="shared" si="42"/>
        <v xml:space="preserve">  </v>
      </c>
      <c r="N255" s="991"/>
      <c r="O255" s="991"/>
      <c r="P255" s="991"/>
      <c r="Q255" s="1040"/>
      <c r="R255" s="1047"/>
      <c r="S255" s="270">
        <f t="shared" si="39"/>
        <v>0</v>
      </c>
      <c r="T255" s="1048">
        <f t="shared" si="36"/>
        <v>0</v>
      </c>
      <c r="U255" s="1047">
        <v>0</v>
      </c>
      <c r="V255" s="270">
        <f t="shared" si="43"/>
        <v>0</v>
      </c>
      <c r="W255" s="270">
        <f t="shared" si="38"/>
        <v>0</v>
      </c>
      <c r="X255" s="993" t="s">
        <v>156</v>
      </c>
      <c r="Y255" s="59"/>
      <c r="Z255" s="39"/>
      <c r="AA255" s="59">
        <f t="shared" si="44"/>
        <v>0</v>
      </c>
      <c r="AB255" s="59"/>
      <c r="AC255" s="38"/>
      <c r="AD255" s="53"/>
      <c r="AE255" s="38"/>
      <c r="AF255" s="256"/>
      <c r="AG255" s="270">
        <v>0</v>
      </c>
      <c r="AH255" s="163" t="str">
        <f t="shared" ca="1" si="37"/>
        <v/>
      </c>
      <c r="AI255" s="39"/>
      <c r="AJ255" s="39"/>
      <c r="AK255" s="39"/>
      <c r="AL255" s="39"/>
      <c r="AM255" s="39"/>
      <c r="AN255" s="39"/>
      <c r="AO255" s="39"/>
      <c r="AP255" s="38" t="e">
        <f>VLOOKUP(I255,'[4] RFC'!A:B,2,0)</f>
        <v>#N/A</v>
      </c>
      <c r="AQ255" s="59"/>
      <c r="AR255" s="59"/>
      <c r="AS255" s="59"/>
      <c r="AT255" s="59">
        <f t="shared" si="41"/>
        <v>0</v>
      </c>
      <c r="AU255" s="183"/>
      <c r="AV255" s="195"/>
      <c r="AW255" s="185"/>
    </row>
    <row r="256" spans="1:49" hidden="1" x14ac:dyDescent="0.25">
      <c r="A256" s="188"/>
      <c r="B256" s="259">
        <v>157</v>
      </c>
      <c r="C256" s="167"/>
      <c r="D256" s="39"/>
      <c r="E256" s="40"/>
      <c r="F256" s="39">
        <f t="shared" si="40"/>
        <v>0</v>
      </c>
      <c r="G256" s="39"/>
      <c r="H256" s="39"/>
      <c r="I256" s="81"/>
      <c r="J256" s="1046"/>
      <c r="K256" s="1046"/>
      <c r="L256" s="1046"/>
      <c r="M256" s="1046" t="str">
        <f t="shared" si="42"/>
        <v xml:space="preserve">  </v>
      </c>
      <c r="N256" s="991"/>
      <c r="O256" s="991"/>
      <c r="P256" s="991"/>
      <c r="Q256" s="1040"/>
      <c r="R256" s="1047"/>
      <c r="S256" s="270">
        <f t="shared" si="39"/>
        <v>0</v>
      </c>
      <c r="T256" s="1048">
        <f t="shared" si="36"/>
        <v>0</v>
      </c>
      <c r="U256" s="1047">
        <v>0</v>
      </c>
      <c r="V256" s="270">
        <f t="shared" si="43"/>
        <v>0</v>
      </c>
      <c r="W256" s="270">
        <f t="shared" si="38"/>
        <v>0</v>
      </c>
      <c r="X256" s="993" t="s">
        <v>156</v>
      </c>
      <c r="Y256" s="59"/>
      <c r="Z256" s="39"/>
      <c r="AA256" s="59">
        <f t="shared" si="44"/>
        <v>0</v>
      </c>
      <c r="AB256" s="59"/>
      <c r="AC256" s="38"/>
      <c r="AD256" s="53"/>
      <c r="AE256" s="38"/>
      <c r="AF256" s="256"/>
      <c r="AG256" s="270">
        <v>0</v>
      </c>
      <c r="AH256" s="163" t="str">
        <f t="shared" ca="1" si="37"/>
        <v/>
      </c>
      <c r="AI256" s="39"/>
      <c r="AJ256" s="39"/>
      <c r="AK256" s="39"/>
      <c r="AL256" s="39"/>
      <c r="AM256" s="39"/>
      <c r="AN256" s="39"/>
      <c r="AO256" s="39"/>
      <c r="AP256" s="38" t="e">
        <f>VLOOKUP(I256,'[4] RFC'!A:B,2,0)</f>
        <v>#N/A</v>
      </c>
      <c r="AQ256" s="59"/>
      <c r="AR256" s="59"/>
      <c r="AS256" s="59"/>
      <c r="AT256" s="59">
        <f t="shared" si="41"/>
        <v>0</v>
      </c>
      <c r="AU256" s="183"/>
      <c r="AV256" s="195"/>
      <c r="AW256" s="185"/>
    </row>
    <row r="257" spans="1:49" hidden="1" x14ac:dyDescent="0.25">
      <c r="A257" s="188"/>
      <c r="B257" s="259">
        <v>158</v>
      </c>
      <c r="C257" s="167"/>
      <c r="D257" s="39"/>
      <c r="E257" s="40"/>
      <c r="F257" s="39">
        <f t="shared" si="40"/>
        <v>0</v>
      </c>
      <c r="G257" s="39"/>
      <c r="H257" s="39"/>
      <c r="I257" s="81"/>
      <c r="J257" s="1046"/>
      <c r="K257" s="1046"/>
      <c r="L257" s="1046"/>
      <c r="M257" s="1046" t="str">
        <f t="shared" si="42"/>
        <v xml:space="preserve">  </v>
      </c>
      <c r="N257" s="991"/>
      <c r="O257" s="991"/>
      <c r="P257" s="991"/>
      <c r="Q257" s="1040"/>
      <c r="R257" s="1047"/>
      <c r="S257" s="270">
        <f t="shared" si="39"/>
        <v>0</v>
      </c>
      <c r="T257" s="1048">
        <f t="shared" si="36"/>
        <v>0</v>
      </c>
      <c r="U257" s="1047">
        <v>0</v>
      </c>
      <c r="V257" s="270">
        <f t="shared" si="43"/>
        <v>0</v>
      </c>
      <c r="W257" s="270">
        <f t="shared" si="38"/>
        <v>0</v>
      </c>
      <c r="X257" s="993" t="s">
        <v>156</v>
      </c>
      <c r="Y257" s="59"/>
      <c r="Z257" s="39"/>
      <c r="AA257" s="59">
        <f t="shared" si="44"/>
        <v>0</v>
      </c>
      <c r="AB257" s="59"/>
      <c r="AC257" s="38"/>
      <c r="AD257" s="53"/>
      <c r="AE257" s="38"/>
      <c r="AF257" s="256"/>
      <c r="AG257" s="270">
        <v>0</v>
      </c>
      <c r="AH257" s="163" t="str">
        <f t="shared" ca="1" si="37"/>
        <v/>
      </c>
      <c r="AI257" s="39"/>
      <c r="AJ257" s="39"/>
      <c r="AK257" s="39"/>
      <c r="AL257" s="39"/>
      <c r="AM257" s="39"/>
      <c r="AN257" s="39"/>
      <c r="AO257" s="39"/>
      <c r="AP257" s="38" t="e">
        <f>VLOOKUP(I257,'[4] RFC'!A:B,2,0)</f>
        <v>#N/A</v>
      </c>
      <c r="AQ257" s="59"/>
      <c r="AR257" s="59"/>
      <c r="AS257" s="59"/>
      <c r="AT257" s="59">
        <f t="shared" si="41"/>
        <v>0</v>
      </c>
      <c r="AU257" s="183"/>
      <c r="AV257" s="195"/>
      <c r="AW257" s="185"/>
    </row>
    <row r="258" spans="1:49" hidden="1" x14ac:dyDescent="0.25">
      <c r="A258" s="188"/>
      <c r="B258" s="259">
        <v>159</v>
      </c>
      <c r="C258" s="167"/>
      <c r="D258" s="39"/>
      <c r="E258" s="40"/>
      <c r="F258" s="39">
        <f t="shared" si="40"/>
        <v>0</v>
      </c>
      <c r="G258" s="39"/>
      <c r="H258" s="39"/>
      <c r="I258" s="81"/>
      <c r="J258" s="1046"/>
      <c r="K258" s="1046"/>
      <c r="L258" s="1046"/>
      <c r="M258" s="1046" t="str">
        <f t="shared" si="42"/>
        <v xml:space="preserve">  </v>
      </c>
      <c r="N258" s="991"/>
      <c r="O258" s="991"/>
      <c r="P258" s="991"/>
      <c r="Q258" s="1040"/>
      <c r="R258" s="1047"/>
      <c r="S258" s="270">
        <f t="shared" si="39"/>
        <v>0</v>
      </c>
      <c r="T258" s="1048">
        <f t="shared" si="36"/>
        <v>0</v>
      </c>
      <c r="U258" s="1047">
        <v>0</v>
      </c>
      <c r="V258" s="270">
        <f t="shared" si="43"/>
        <v>0</v>
      </c>
      <c r="W258" s="270">
        <f t="shared" si="38"/>
        <v>0</v>
      </c>
      <c r="X258" s="993" t="s">
        <v>156</v>
      </c>
      <c r="Y258" s="59"/>
      <c r="Z258" s="39"/>
      <c r="AA258" s="59">
        <f t="shared" si="44"/>
        <v>0</v>
      </c>
      <c r="AB258" s="59"/>
      <c r="AC258" s="38"/>
      <c r="AD258" s="53"/>
      <c r="AE258" s="38"/>
      <c r="AF258" s="256"/>
      <c r="AG258" s="270">
        <v>0</v>
      </c>
      <c r="AH258" s="163" t="str">
        <f t="shared" ca="1" si="37"/>
        <v/>
      </c>
      <c r="AI258" s="39"/>
      <c r="AJ258" s="39"/>
      <c r="AK258" s="39"/>
      <c r="AL258" s="39"/>
      <c r="AM258" s="39"/>
      <c r="AN258" s="39"/>
      <c r="AO258" s="39"/>
      <c r="AP258" s="38" t="e">
        <f>VLOOKUP(I258,'[4] RFC'!A:B,2,0)</f>
        <v>#N/A</v>
      </c>
      <c r="AQ258" s="59"/>
      <c r="AR258" s="59"/>
      <c r="AS258" s="59"/>
      <c r="AT258" s="59">
        <f t="shared" si="41"/>
        <v>0</v>
      </c>
      <c r="AU258" s="183"/>
      <c r="AV258" s="195"/>
      <c r="AW258" s="185"/>
    </row>
    <row r="259" spans="1:49" hidden="1" x14ac:dyDescent="0.25">
      <c r="A259" s="188"/>
      <c r="B259" s="259">
        <v>160</v>
      </c>
      <c r="C259" s="167"/>
      <c r="D259" s="39"/>
      <c r="E259" s="40"/>
      <c r="F259" s="39">
        <f t="shared" si="40"/>
        <v>0</v>
      </c>
      <c r="G259" s="39"/>
      <c r="H259" s="39"/>
      <c r="I259" s="81"/>
      <c r="J259" s="1046"/>
      <c r="K259" s="1046"/>
      <c r="L259" s="1046"/>
      <c r="M259" s="1046" t="str">
        <f t="shared" si="42"/>
        <v xml:space="preserve">  </v>
      </c>
      <c r="N259" s="991"/>
      <c r="O259" s="991"/>
      <c r="P259" s="991"/>
      <c r="Q259" s="1040"/>
      <c r="R259" s="1047"/>
      <c r="S259" s="270">
        <f t="shared" si="39"/>
        <v>0</v>
      </c>
      <c r="T259" s="1048">
        <f t="shared" si="36"/>
        <v>0</v>
      </c>
      <c r="U259" s="1047">
        <v>0</v>
      </c>
      <c r="V259" s="270">
        <f t="shared" si="43"/>
        <v>0</v>
      </c>
      <c r="W259" s="270">
        <f t="shared" si="38"/>
        <v>0</v>
      </c>
      <c r="X259" s="993" t="s">
        <v>156</v>
      </c>
      <c r="Y259" s="59"/>
      <c r="Z259" s="39"/>
      <c r="AA259" s="59">
        <f t="shared" si="44"/>
        <v>0</v>
      </c>
      <c r="AB259" s="59"/>
      <c r="AC259" s="38"/>
      <c r="AD259" s="53"/>
      <c r="AE259" s="38"/>
      <c r="AF259" s="256"/>
      <c r="AG259" s="270">
        <v>0</v>
      </c>
      <c r="AH259" s="163" t="str">
        <f t="shared" ca="1" si="37"/>
        <v/>
      </c>
      <c r="AI259" s="39"/>
      <c r="AJ259" s="39"/>
      <c r="AK259" s="39"/>
      <c r="AL259" s="39"/>
      <c r="AM259" s="39"/>
      <c r="AN259" s="39"/>
      <c r="AO259" s="39"/>
      <c r="AP259" s="38" t="e">
        <f>VLOOKUP(I259,'[4] RFC'!A:B,2,0)</f>
        <v>#N/A</v>
      </c>
      <c r="AQ259" s="59"/>
      <c r="AR259" s="59"/>
      <c r="AS259" s="59"/>
      <c r="AT259" s="59">
        <f t="shared" si="41"/>
        <v>0</v>
      </c>
      <c r="AU259" s="183"/>
      <c r="AV259" s="195"/>
      <c r="AW259" s="185"/>
    </row>
    <row r="260" spans="1:49" hidden="1" x14ac:dyDescent="0.25">
      <c r="A260" s="188"/>
      <c r="B260" s="259">
        <v>161</v>
      </c>
      <c r="C260" s="167"/>
      <c r="D260" s="39"/>
      <c r="E260" s="40"/>
      <c r="F260" s="39">
        <f t="shared" si="40"/>
        <v>0</v>
      </c>
      <c r="G260" s="39"/>
      <c r="H260" s="39"/>
      <c r="I260" s="81"/>
      <c r="J260" s="1046"/>
      <c r="K260" s="1046"/>
      <c r="L260" s="1046"/>
      <c r="M260" s="1046" t="str">
        <f t="shared" si="42"/>
        <v xml:space="preserve">  </v>
      </c>
      <c r="N260" s="991"/>
      <c r="O260" s="991"/>
      <c r="P260" s="991"/>
      <c r="Q260" s="1040"/>
      <c r="R260" s="1047"/>
      <c r="S260" s="270">
        <f t="shared" si="39"/>
        <v>0</v>
      </c>
      <c r="T260" s="1048">
        <f t="shared" si="36"/>
        <v>0</v>
      </c>
      <c r="U260" s="1047">
        <v>0</v>
      </c>
      <c r="V260" s="270">
        <f t="shared" si="43"/>
        <v>0</v>
      </c>
      <c r="W260" s="270">
        <f t="shared" si="38"/>
        <v>0</v>
      </c>
      <c r="X260" s="993" t="s">
        <v>156</v>
      </c>
      <c r="Y260" s="59"/>
      <c r="Z260" s="39"/>
      <c r="AA260" s="59">
        <f t="shared" si="44"/>
        <v>0</v>
      </c>
      <c r="AB260" s="59"/>
      <c r="AC260" s="38"/>
      <c r="AD260" s="53"/>
      <c r="AE260" s="38"/>
      <c r="AF260" s="256"/>
      <c r="AG260" s="270">
        <v>0</v>
      </c>
      <c r="AH260" s="163" t="str">
        <f t="shared" ca="1" si="37"/>
        <v/>
      </c>
      <c r="AI260" s="39"/>
      <c r="AJ260" s="39"/>
      <c r="AK260" s="39"/>
      <c r="AL260" s="39"/>
      <c r="AM260" s="39"/>
      <c r="AN260" s="39"/>
      <c r="AO260" s="39"/>
      <c r="AP260" s="38" t="e">
        <f>VLOOKUP(I260,'[4] RFC'!A:B,2,0)</f>
        <v>#N/A</v>
      </c>
      <c r="AQ260" s="59"/>
      <c r="AR260" s="59"/>
      <c r="AS260" s="59"/>
      <c r="AT260" s="59">
        <f t="shared" si="41"/>
        <v>0</v>
      </c>
      <c r="AU260" s="183"/>
      <c r="AV260" s="195"/>
      <c r="AW260" s="185"/>
    </row>
    <row r="261" spans="1:49" hidden="1" x14ac:dyDescent="0.25">
      <c r="A261" s="188"/>
      <c r="B261" s="259">
        <v>162</v>
      </c>
      <c r="C261" s="167"/>
      <c r="D261" s="39"/>
      <c r="E261" s="40"/>
      <c r="F261" s="39">
        <f t="shared" si="40"/>
        <v>0</v>
      </c>
      <c r="G261" s="39"/>
      <c r="H261" s="39"/>
      <c r="I261" s="81"/>
      <c r="J261" s="1046"/>
      <c r="K261" s="1046"/>
      <c r="L261" s="1046"/>
      <c r="M261" s="1046" t="str">
        <f t="shared" si="42"/>
        <v xml:space="preserve">  </v>
      </c>
      <c r="N261" s="991"/>
      <c r="O261" s="991"/>
      <c r="P261" s="991"/>
      <c r="Q261" s="1040"/>
      <c r="R261" s="1047"/>
      <c r="S261" s="270">
        <f t="shared" si="39"/>
        <v>0</v>
      </c>
      <c r="T261" s="1048">
        <f t="shared" si="36"/>
        <v>0</v>
      </c>
      <c r="U261" s="1047">
        <v>0</v>
      </c>
      <c r="V261" s="270">
        <f t="shared" si="43"/>
        <v>0</v>
      </c>
      <c r="W261" s="270">
        <f t="shared" si="38"/>
        <v>0</v>
      </c>
      <c r="X261" s="993" t="s">
        <v>156</v>
      </c>
      <c r="Y261" s="59"/>
      <c r="Z261" s="39"/>
      <c r="AA261" s="59">
        <f t="shared" si="44"/>
        <v>0</v>
      </c>
      <c r="AB261" s="59"/>
      <c r="AC261" s="38"/>
      <c r="AD261" s="53"/>
      <c r="AE261" s="38"/>
      <c r="AF261" s="256"/>
      <c r="AG261" s="270">
        <v>0</v>
      </c>
      <c r="AH261" s="163" t="str">
        <f t="shared" ca="1" si="37"/>
        <v/>
      </c>
      <c r="AI261" s="39"/>
      <c r="AJ261" s="39"/>
      <c r="AK261" s="39"/>
      <c r="AL261" s="39"/>
      <c r="AM261" s="39"/>
      <c r="AN261" s="39"/>
      <c r="AO261" s="39"/>
      <c r="AP261" s="38" t="e">
        <f>VLOOKUP(I261,'[4] RFC'!A:B,2,0)</f>
        <v>#N/A</v>
      </c>
      <c r="AQ261" s="59"/>
      <c r="AR261" s="59"/>
      <c r="AS261" s="59"/>
      <c r="AT261" s="59">
        <f t="shared" si="41"/>
        <v>0</v>
      </c>
      <c r="AU261" s="183"/>
      <c r="AV261" s="195"/>
      <c r="AW261" s="185"/>
    </row>
    <row r="262" spans="1:49" hidden="1" x14ac:dyDescent="0.25">
      <c r="A262" s="188"/>
      <c r="B262" s="259">
        <v>163</v>
      </c>
      <c r="C262" s="167"/>
      <c r="D262" s="39"/>
      <c r="E262" s="40"/>
      <c r="F262" s="39">
        <f t="shared" si="40"/>
        <v>0</v>
      </c>
      <c r="G262" s="39"/>
      <c r="H262" s="39"/>
      <c r="I262" s="81"/>
      <c r="J262" s="1046"/>
      <c r="K262" s="1046"/>
      <c r="L262" s="1046"/>
      <c r="M262" s="1046" t="str">
        <f t="shared" si="42"/>
        <v xml:space="preserve">  </v>
      </c>
      <c r="N262" s="991"/>
      <c r="O262" s="991"/>
      <c r="P262" s="991"/>
      <c r="Q262" s="1040"/>
      <c r="R262" s="1047"/>
      <c r="S262" s="270">
        <f t="shared" si="39"/>
        <v>0</v>
      </c>
      <c r="T262" s="1048">
        <f t="shared" si="36"/>
        <v>0</v>
      </c>
      <c r="U262" s="1047">
        <v>0</v>
      </c>
      <c r="V262" s="270">
        <f t="shared" si="43"/>
        <v>0</v>
      </c>
      <c r="W262" s="270">
        <f t="shared" si="38"/>
        <v>0</v>
      </c>
      <c r="X262" s="993" t="s">
        <v>156</v>
      </c>
      <c r="Y262" s="59"/>
      <c r="Z262" s="39"/>
      <c r="AA262" s="59">
        <f t="shared" si="44"/>
        <v>0</v>
      </c>
      <c r="AB262" s="59"/>
      <c r="AC262" s="38"/>
      <c r="AD262" s="53"/>
      <c r="AE262" s="38"/>
      <c r="AF262" s="256"/>
      <c r="AG262" s="270">
        <v>0</v>
      </c>
      <c r="AH262" s="163" t="str">
        <f t="shared" ca="1" si="37"/>
        <v/>
      </c>
      <c r="AI262" s="39"/>
      <c r="AJ262" s="39"/>
      <c r="AK262" s="39"/>
      <c r="AL262" s="39"/>
      <c r="AM262" s="39"/>
      <c r="AN262" s="39"/>
      <c r="AO262" s="39"/>
      <c r="AP262" s="38" t="e">
        <f>VLOOKUP(I262,'[4] RFC'!A:B,2,0)</f>
        <v>#N/A</v>
      </c>
      <c r="AQ262" s="59"/>
      <c r="AR262" s="59"/>
      <c r="AS262" s="59"/>
      <c r="AT262" s="59">
        <f t="shared" si="41"/>
        <v>0</v>
      </c>
      <c r="AU262" s="183"/>
      <c r="AV262" s="195"/>
      <c r="AW262" s="185"/>
    </row>
    <row r="263" spans="1:49" hidden="1" x14ac:dyDescent="0.25">
      <c r="A263" s="188"/>
      <c r="B263" s="259">
        <v>164</v>
      </c>
      <c r="C263" s="167"/>
      <c r="D263" s="39"/>
      <c r="E263" s="40"/>
      <c r="F263" s="39">
        <f t="shared" si="40"/>
        <v>0</v>
      </c>
      <c r="G263" s="39"/>
      <c r="H263" s="39"/>
      <c r="I263" s="81"/>
      <c r="J263" s="1046"/>
      <c r="K263" s="1046"/>
      <c r="L263" s="1046"/>
      <c r="M263" s="1046" t="str">
        <f t="shared" si="42"/>
        <v xml:space="preserve">  </v>
      </c>
      <c r="N263" s="991"/>
      <c r="O263" s="991"/>
      <c r="P263" s="991"/>
      <c r="Q263" s="1040"/>
      <c r="R263" s="1047"/>
      <c r="S263" s="270">
        <f t="shared" si="39"/>
        <v>0</v>
      </c>
      <c r="T263" s="1048">
        <f t="shared" si="36"/>
        <v>0</v>
      </c>
      <c r="U263" s="1047">
        <v>0</v>
      </c>
      <c r="V263" s="270">
        <f t="shared" si="43"/>
        <v>0</v>
      </c>
      <c r="W263" s="270">
        <f t="shared" si="38"/>
        <v>0</v>
      </c>
      <c r="X263" s="993" t="s">
        <v>156</v>
      </c>
      <c r="Y263" s="59"/>
      <c r="Z263" s="39"/>
      <c r="AA263" s="59">
        <f t="shared" si="44"/>
        <v>0</v>
      </c>
      <c r="AB263" s="59"/>
      <c r="AC263" s="38"/>
      <c r="AD263" s="53"/>
      <c r="AE263" s="38"/>
      <c r="AF263" s="256"/>
      <c r="AG263" s="270">
        <v>0</v>
      </c>
      <c r="AH263" s="163" t="str">
        <f t="shared" ca="1" si="37"/>
        <v/>
      </c>
      <c r="AI263" s="39"/>
      <c r="AJ263" s="39"/>
      <c r="AK263" s="39"/>
      <c r="AL263" s="39"/>
      <c r="AM263" s="39"/>
      <c r="AN263" s="39"/>
      <c r="AO263" s="39"/>
      <c r="AP263" s="38" t="e">
        <f>VLOOKUP(I263,'[4] RFC'!A:B,2,0)</f>
        <v>#N/A</v>
      </c>
      <c r="AQ263" s="59"/>
      <c r="AR263" s="59"/>
      <c r="AS263" s="59"/>
      <c r="AT263" s="59">
        <f t="shared" si="41"/>
        <v>0</v>
      </c>
      <c r="AU263" s="183"/>
      <c r="AV263" s="195"/>
      <c r="AW263" s="185"/>
    </row>
    <row r="264" spans="1:49" hidden="1" x14ac:dyDescent="0.25">
      <c r="A264" s="188"/>
      <c r="B264" s="259">
        <v>165</v>
      </c>
      <c r="C264" s="167"/>
      <c r="D264" s="39"/>
      <c r="E264" s="40"/>
      <c r="F264" s="39">
        <f t="shared" si="40"/>
        <v>0</v>
      </c>
      <c r="G264" s="39"/>
      <c r="H264" s="39"/>
      <c r="I264" s="81"/>
      <c r="J264" s="1046"/>
      <c r="K264" s="1046"/>
      <c r="L264" s="1046"/>
      <c r="M264" s="1046" t="str">
        <f t="shared" si="42"/>
        <v xml:space="preserve">  </v>
      </c>
      <c r="N264" s="991"/>
      <c r="O264" s="991"/>
      <c r="P264" s="991"/>
      <c r="Q264" s="1040"/>
      <c r="R264" s="1047"/>
      <c r="S264" s="270">
        <f t="shared" si="39"/>
        <v>0</v>
      </c>
      <c r="T264" s="1048">
        <f t="shared" si="36"/>
        <v>0</v>
      </c>
      <c r="U264" s="1047">
        <v>0</v>
      </c>
      <c r="V264" s="270">
        <f t="shared" si="43"/>
        <v>0</v>
      </c>
      <c r="W264" s="270">
        <f t="shared" si="38"/>
        <v>0</v>
      </c>
      <c r="X264" s="993" t="s">
        <v>156</v>
      </c>
      <c r="Y264" s="59"/>
      <c r="Z264" s="39"/>
      <c r="AA264" s="59">
        <f t="shared" si="44"/>
        <v>0</v>
      </c>
      <c r="AB264" s="59"/>
      <c r="AC264" s="38"/>
      <c r="AD264" s="53"/>
      <c r="AE264" s="38"/>
      <c r="AF264" s="256"/>
      <c r="AG264" s="270">
        <v>0</v>
      </c>
      <c r="AH264" s="163" t="str">
        <f t="shared" ca="1" si="37"/>
        <v/>
      </c>
      <c r="AI264" s="39"/>
      <c r="AJ264" s="39"/>
      <c r="AK264" s="39"/>
      <c r="AL264" s="39"/>
      <c r="AM264" s="39"/>
      <c r="AN264" s="39"/>
      <c r="AO264" s="39"/>
      <c r="AP264" s="38" t="e">
        <f>VLOOKUP(I264,'[4] RFC'!A:B,2,0)</f>
        <v>#N/A</v>
      </c>
      <c r="AQ264" s="59"/>
      <c r="AR264" s="59"/>
      <c r="AS264" s="59"/>
      <c r="AT264" s="59">
        <f t="shared" si="41"/>
        <v>0</v>
      </c>
      <c r="AU264" s="183"/>
      <c r="AV264" s="195"/>
      <c r="AW264" s="185"/>
    </row>
    <row r="265" spans="1:49" hidden="1" x14ac:dyDescent="0.25">
      <c r="A265" s="188"/>
      <c r="B265" s="259">
        <v>166</v>
      </c>
      <c r="C265" s="167"/>
      <c r="D265" s="39"/>
      <c r="E265" s="40"/>
      <c r="F265" s="39">
        <f t="shared" si="40"/>
        <v>0</v>
      </c>
      <c r="G265" s="39"/>
      <c r="H265" s="39"/>
      <c r="I265" s="81"/>
      <c r="J265" s="1046"/>
      <c r="K265" s="1046"/>
      <c r="L265" s="1046"/>
      <c r="M265" s="1046" t="str">
        <f t="shared" si="42"/>
        <v xml:space="preserve">  </v>
      </c>
      <c r="N265" s="991"/>
      <c r="O265" s="991"/>
      <c r="P265" s="991"/>
      <c r="Q265" s="1040"/>
      <c r="R265" s="1047"/>
      <c r="S265" s="270">
        <f t="shared" si="39"/>
        <v>0</v>
      </c>
      <c r="T265" s="1048">
        <f t="shared" si="36"/>
        <v>0</v>
      </c>
      <c r="U265" s="1047">
        <v>0</v>
      </c>
      <c r="V265" s="270">
        <f t="shared" si="43"/>
        <v>0</v>
      </c>
      <c r="W265" s="270">
        <f t="shared" si="38"/>
        <v>0</v>
      </c>
      <c r="X265" s="993" t="s">
        <v>156</v>
      </c>
      <c r="Y265" s="59"/>
      <c r="Z265" s="39"/>
      <c r="AA265" s="59">
        <f t="shared" si="44"/>
        <v>0</v>
      </c>
      <c r="AB265" s="59"/>
      <c r="AC265" s="38"/>
      <c r="AD265" s="53"/>
      <c r="AE265" s="38"/>
      <c r="AF265" s="256"/>
      <c r="AG265" s="270">
        <v>0</v>
      </c>
      <c r="AH265" s="163" t="str">
        <f t="shared" ca="1" si="37"/>
        <v/>
      </c>
      <c r="AI265" s="39"/>
      <c r="AJ265" s="39"/>
      <c r="AK265" s="39"/>
      <c r="AL265" s="39"/>
      <c r="AM265" s="39"/>
      <c r="AN265" s="39"/>
      <c r="AO265" s="39"/>
      <c r="AP265" s="38" t="e">
        <f>VLOOKUP(I265,'[4] RFC'!A:B,2,0)</f>
        <v>#N/A</v>
      </c>
      <c r="AQ265" s="59"/>
      <c r="AR265" s="59"/>
      <c r="AS265" s="59"/>
      <c r="AT265" s="59">
        <f t="shared" si="41"/>
        <v>0</v>
      </c>
      <c r="AU265" s="183"/>
      <c r="AV265" s="195"/>
      <c r="AW265" s="185"/>
    </row>
    <row r="266" spans="1:49" hidden="1" x14ac:dyDescent="0.25">
      <c r="A266" s="188"/>
      <c r="B266" s="259">
        <v>167</v>
      </c>
      <c r="C266" s="167"/>
      <c r="D266" s="39"/>
      <c r="E266" s="40"/>
      <c r="F266" s="39">
        <f t="shared" si="40"/>
        <v>0</v>
      </c>
      <c r="G266" s="39"/>
      <c r="H266" s="39"/>
      <c r="I266" s="81"/>
      <c r="J266" s="1046"/>
      <c r="K266" s="1046"/>
      <c r="L266" s="1046"/>
      <c r="M266" s="1046" t="str">
        <f t="shared" si="42"/>
        <v xml:space="preserve">  </v>
      </c>
      <c r="N266" s="991"/>
      <c r="O266" s="991"/>
      <c r="P266" s="991"/>
      <c r="Q266" s="1040"/>
      <c r="R266" s="1047"/>
      <c r="S266" s="270">
        <f t="shared" si="39"/>
        <v>0</v>
      </c>
      <c r="T266" s="1048">
        <f t="shared" si="36"/>
        <v>0</v>
      </c>
      <c r="U266" s="1047">
        <v>0</v>
      </c>
      <c r="V266" s="270">
        <f t="shared" si="43"/>
        <v>0</v>
      </c>
      <c r="W266" s="270">
        <f t="shared" si="38"/>
        <v>0</v>
      </c>
      <c r="X266" s="993" t="s">
        <v>156</v>
      </c>
      <c r="Y266" s="59"/>
      <c r="Z266" s="39"/>
      <c r="AA266" s="59">
        <f t="shared" si="44"/>
        <v>0</v>
      </c>
      <c r="AB266" s="59"/>
      <c r="AC266" s="38"/>
      <c r="AD266" s="53"/>
      <c r="AE266" s="38"/>
      <c r="AF266" s="256"/>
      <c r="AG266" s="270">
        <v>0</v>
      </c>
      <c r="AH266" s="163" t="str">
        <f t="shared" ca="1" si="37"/>
        <v/>
      </c>
      <c r="AI266" s="39"/>
      <c r="AJ266" s="39"/>
      <c r="AK266" s="39"/>
      <c r="AL266" s="39"/>
      <c r="AM266" s="39"/>
      <c r="AN266" s="39"/>
      <c r="AO266" s="39"/>
      <c r="AP266" s="38" t="e">
        <f>VLOOKUP(I266,'[4] RFC'!A:B,2,0)</f>
        <v>#N/A</v>
      </c>
      <c r="AQ266" s="59"/>
      <c r="AR266" s="59"/>
      <c r="AS266" s="59"/>
      <c r="AT266" s="59">
        <f t="shared" si="41"/>
        <v>0</v>
      </c>
      <c r="AU266" s="183"/>
      <c r="AV266" s="195"/>
      <c r="AW266" s="185"/>
    </row>
    <row r="267" spans="1:49" hidden="1" x14ac:dyDescent="0.25">
      <c r="A267" s="188"/>
      <c r="B267" s="259">
        <v>168</v>
      </c>
      <c r="C267" s="167"/>
      <c r="D267" s="39"/>
      <c r="E267" s="40"/>
      <c r="F267" s="39">
        <f t="shared" si="40"/>
        <v>0</v>
      </c>
      <c r="G267" s="39"/>
      <c r="H267" s="39"/>
      <c r="I267" s="81"/>
      <c r="J267" s="1046"/>
      <c r="K267" s="1046"/>
      <c r="L267" s="1046"/>
      <c r="M267" s="1046" t="str">
        <f t="shared" si="42"/>
        <v xml:space="preserve">  </v>
      </c>
      <c r="N267" s="991"/>
      <c r="O267" s="991"/>
      <c r="P267" s="991"/>
      <c r="Q267" s="1040"/>
      <c r="R267" s="1047"/>
      <c r="S267" s="270">
        <f t="shared" si="39"/>
        <v>0</v>
      </c>
      <c r="T267" s="1048">
        <f t="shared" si="36"/>
        <v>0</v>
      </c>
      <c r="U267" s="1047">
        <v>0</v>
      </c>
      <c r="V267" s="270">
        <f t="shared" si="43"/>
        <v>0</v>
      </c>
      <c r="W267" s="270">
        <f t="shared" si="38"/>
        <v>0</v>
      </c>
      <c r="X267" s="993" t="s">
        <v>156</v>
      </c>
      <c r="Y267" s="59"/>
      <c r="Z267" s="39"/>
      <c r="AA267" s="59">
        <f t="shared" si="44"/>
        <v>0</v>
      </c>
      <c r="AB267" s="59"/>
      <c r="AC267" s="38"/>
      <c r="AD267" s="53"/>
      <c r="AE267" s="38"/>
      <c r="AF267" s="256"/>
      <c r="AG267" s="270">
        <v>0</v>
      </c>
      <c r="AH267" s="163" t="str">
        <f t="shared" ca="1" si="37"/>
        <v/>
      </c>
      <c r="AI267" s="39"/>
      <c r="AJ267" s="39"/>
      <c r="AK267" s="39"/>
      <c r="AL267" s="39"/>
      <c r="AM267" s="39"/>
      <c r="AN267" s="39"/>
      <c r="AO267" s="39"/>
      <c r="AP267" s="38" t="e">
        <f>VLOOKUP(I267,'[4] RFC'!A:B,2,0)</f>
        <v>#N/A</v>
      </c>
      <c r="AQ267" s="59"/>
      <c r="AR267" s="59"/>
      <c r="AS267" s="59"/>
      <c r="AT267" s="59">
        <f t="shared" si="41"/>
        <v>0</v>
      </c>
      <c r="AU267" s="183"/>
      <c r="AV267" s="195"/>
      <c r="AW267" s="185"/>
    </row>
    <row r="268" spans="1:49" hidden="1" x14ac:dyDescent="0.25">
      <c r="A268" s="188"/>
      <c r="B268" s="259">
        <v>169</v>
      </c>
      <c r="C268" s="167"/>
      <c r="D268" s="39"/>
      <c r="E268" s="40"/>
      <c r="F268" s="39">
        <f t="shared" si="40"/>
        <v>0</v>
      </c>
      <c r="G268" s="39"/>
      <c r="H268" s="39"/>
      <c r="I268" s="81"/>
      <c r="J268" s="1046"/>
      <c r="K268" s="1046"/>
      <c r="L268" s="1046"/>
      <c r="M268" s="1046" t="str">
        <f t="shared" si="42"/>
        <v xml:space="preserve">  </v>
      </c>
      <c r="N268" s="991"/>
      <c r="O268" s="991"/>
      <c r="P268" s="991"/>
      <c r="Q268" s="1040"/>
      <c r="R268" s="1047"/>
      <c r="S268" s="270">
        <f t="shared" si="39"/>
        <v>0</v>
      </c>
      <c r="T268" s="1048">
        <f t="shared" si="36"/>
        <v>0</v>
      </c>
      <c r="U268" s="1047">
        <v>0</v>
      </c>
      <c r="V268" s="270">
        <f t="shared" si="43"/>
        <v>0</v>
      </c>
      <c r="W268" s="270">
        <f t="shared" si="38"/>
        <v>0</v>
      </c>
      <c r="X268" s="993" t="s">
        <v>156</v>
      </c>
      <c r="Y268" s="59"/>
      <c r="Z268" s="39"/>
      <c r="AA268" s="59">
        <f t="shared" si="44"/>
        <v>0</v>
      </c>
      <c r="AB268" s="59"/>
      <c r="AC268" s="38"/>
      <c r="AD268" s="53"/>
      <c r="AE268" s="38"/>
      <c r="AF268" s="256"/>
      <c r="AG268" s="270">
        <v>0</v>
      </c>
      <c r="AH268" s="163" t="str">
        <f t="shared" ca="1" si="37"/>
        <v/>
      </c>
      <c r="AI268" s="39"/>
      <c r="AJ268" s="39"/>
      <c r="AK268" s="39"/>
      <c r="AL268" s="39"/>
      <c r="AM268" s="39"/>
      <c r="AN268" s="39"/>
      <c r="AO268" s="39"/>
      <c r="AP268" s="38" t="e">
        <f>VLOOKUP(I268,'[4] RFC'!A:B,2,0)</f>
        <v>#N/A</v>
      </c>
      <c r="AQ268" s="59"/>
      <c r="AR268" s="59"/>
      <c r="AS268" s="59"/>
      <c r="AT268" s="59">
        <f t="shared" si="41"/>
        <v>0</v>
      </c>
      <c r="AU268" s="183"/>
      <c r="AV268" s="195"/>
      <c r="AW268" s="185"/>
    </row>
    <row r="269" spans="1:49" hidden="1" x14ac:dyDescent="0.25">
      <c r="A269" s="188"/>
      <c r="B269" s="259">
        <v>170</v>
      </c>
      <c r="C269" s="167"/>
      <c r="D269" s="39"/>
      <c r="E269" s="40"/>
      <c r="F269" s="39">
        <f t="shared" si="40"/>
        <v>0</v>
      </c>
      <c r="G269" s="39"/>
      <c r="H269" s="39"/>
      <c r="I269" s="81"/>
      <c r="J269" s="1046"/>
      <c r="K269" s="1046"/>
      <c r="L269" s="1046"/>
      <c r="M269" s="1046" t="str">
        <f t="shared" si="42"/>
        <v xml:space="preserve">  </v>
      </c>
      <c r="N269" s="991"/>
      <c r="O269" s="991"/>
      <c r="P269" s="991"/>
      <c r="Q269" s="1040"/>
      <c r="R269" s="1047"/>
      <c r="S269" s="270">
        <f t="shared" si="39"/>
        <v>0</v>
      </c>
      <c r="T269" s="1048">
        <f t="shared" si="36"/>
        <v>0</v>
      </c>
      <c r="U269" s="1047">
        <v>0</v>
      </c>
      <c r="V269" s="270">
        <f t="shared" si="43"/>
        <v>0</v>
      </c>
      <c r="W269" s="270">
        <f t="shared" si="38"/>
        <v>0</v>
      </c>
      <c r="X269" s="993" t="s">
        <v>156</v>
      </c>
      <c r="Y269" s="59"/>
      <c r="Z269" s="39"/>
      <c r="AA269" s="59">
        <f t="shared" si="44"/>
        <v>0</v>
      </c>
      <c r="AB269" s="59"/>
      <c r="AC269" s="38"/>
      <c r="AD269" s="53"/>
      <c r="AE269" s="38"/>
      <c r="AF269" s="256"/>
      <c r="AG269" s="270">
        <v>0</v>
      </c>
      <c r="AH269" s="163" t="str">
        <f t="shared" ca="1" si="37"/>
        <v/>
      </c>
      <c r="AI269" s="39"/>
      <c r="AJ269" s="39"/>
      <c r="AK269" s="39"/>
      <c r="AL269" s="39"/>
      <c r="AM269" s="39"/>
      <c r="AN269" s="39"/>
      <c r="AO269" s="39"/>
      <c r="AP269" s="38" t="e">
        <f>VLOOKUP(I269,'[4] RFC'!A:B,2,0)</f>
        <v>#N/A</v>
      </c>
      <c r="AQ269" s="59"/>
      <c r="AR269" s="59"/>
      <c r="AS269" s="59"/>
      <c r="AT269" s="59">
        <f t="shared" si="41"/>
        <v>0</v>
      </c>
      <c r="AU269" s="183"/>
      <c r="AV269" s="195"/>
      <c r="AW269" s="185"/>
    </row>
    <row r="270" spans="1:49" hidden="1" x14ac:dyDescent="0.25">
      <c r="A270" s="188"/>
      <c r="B270" s="259">
        <v>171</v>
      </c>
      <c r="C270" s="167"/>
      <c r="D270" s="39"/>
      <c r="E270" s="40"/>
      <c r="F270" s="39">
        <f t="shared" si="40"/>
        <v>0</v>
      </c>
      <c r="G270" s="39"/>
      <c r="H270" s="39"/>
      <c r="I270" s="81"/>
      <c r="J270" s="1046"/>
      <c r="K270" s="1046"/>
      <c r="L270" s="1046"/>
      <c r="M270" s="1046" t="str">
        <f t="shared" si="42"/>
        <v xml:space="preserve">  </v>
      </c>
      <c r="N270" s="991"/>
      <c r="O270" s="991"/>
      <c r="P270" s="991"/>
      <c r="Q270" s="1040"/>
      <c r="R270" s="1047"/>
      <c r="S270" s="270">
        <f t="shared" si="39"/>
        <v>0</v>
      </c>
      <c r="T270" s="1048">
        <f t="shared" si="36"/>
        <v>0</v>
      </c>
      <c r="U270" s="1047">
        <v>0</v>
      </c>
      <c r="V270" s="270">
        <f t="shared" si="43"/>
        <v>0</v>
      </c>
      <c r="W270" s="270">
        <f t="shared" si="38"/>
        <v>0</v>
      </c>
      <c r="X270" s="993" t="s">
        <v>156</v>
      </c>
      <c r="Y270" s="59"/>
      <c r="Z270" s="39"/>
      <c r="AA270" s="59">
        <f t="shared" si="44"/>
        <v>0</v>
      </c>
      <c r="AB270" s="59"/>
      <c r="AC270" s="38"/>
      <c r="AD270" s="53"/>
      <c r="AE270" s="38"/>
      <c r="AF270" s="256"/>
      <c r="AG270" s="270">
        <v>0</v>
      </c>
      <c r="AH270" s="163" t="str">
        <f t="shared" ca="1" si="37"/>
        <v/>
      </c>
      <c r="AI270" s="39"/>
      <c r="AJ270" s="39"/>
      <c r="AK270" s="39"/>
      <c r="AL270" s="39"/>
      <c r="AM270" s="39"/>
      <c r="AN270" s="39"/>
      <c r="AO270" s="39"/>
      <c r="AP270" s="38" t="e">
        <f>VLOOKUP(I270,'[4] RFC'!A:B,2,0)</f>
        <v>#N/A</v>
      </c>
      <c r="AQ270" s="59"/>
      <c r="AR270" s="59"/>
      <c r="AS270" s="59"/>
      <c r="AT270" s="59">
        <f t="shared" si="41"/>
        <v>0</v>
      </c>
      <c r="AU270" s="183"/>
      <c r="AV270" s="195"/>
      <c r="AW270" s="185"/>
    </row>
    <row r="271" spans="1:49" hidden="1" x14ac:dyDescent="0.25">
      <c r="A271" s="188"/>
      <c r="B271" s="259">
        <v>172</v>
      </c>
      <c r="C271" s="167"/>
      <c r="D271" s="39"/>
      <c r="E271" s="40"/>
      <c r="F271" s="39">
        <f t="shared" si="40"/>
        <v>0</v>
      </c>
      <c r="G271" s="39"/>
      <c r="H271" s="39"/>
      <c r="I271" s="81"/>
      <c r="J271" s="1046"/>
      <c r="K271" s="1046"/>
      <c r="L271" s="1046"/>
      <c r="M271" s="1046" t="str">
        <f t="shared" si="42"/>
        <v xml:space="preserve">  </v>
      </c>
      <c r="N271" s="991"/>
      <c r="O271" s="991"/>
      <c r="P271" s="991"/>
      <c r="Q271" s="1040"/>
      <c r="R271" s="1047"/>
      <c r="S271" s="270">
        <f t="shared" si="39"/>
        <v>0</v>
      </c>
      <c r="T271" s="1048">
        <f t="shared" si="36"/>
        <v>0</v>
      </c>
      <c r="U271" s="1047">
        <v>0</v>
      </c>
      <c r="V271" s="270">
        <f t="shared" si="43"/>
        <v>0</v>
      </c>
      <c r="W271" s="270">
        <f t="shared" si="38"/>
        <v>0</v>
      </c>
      <c r="X271" s="993" t="s">
        <v>156</v>
      </c>
      <c r="Y271" s="59"/>
      <c r="Z271" s="39"/>
      <c r="AA271" s="59">
        <f t="shared" si="44"/>
        <v>0</v>
      </c>
      <c r="AB271" s="59"/>
      <c r="AC271" s="38"/>
      <c r="AD271" s="53"/>
      <c r="AE271" s="38"/>
      <c r="AF271" s="256"/>
      <c r="AG271" s="270">
        <v>0</v>
      </c>
      <c r="AH271" s="163" t="str">
        <f t="shared" ca="1" si="37"/>
        <v/>
      </c>
      <c r="AI271" s="39"/>
      <c r="AJ271" s="39"/>
      <c r="AK271" s="39"/>
      <c r="AL271" s="39"/>
      <c r="AM271" s="39"/>
      <c r="AN271" s="39"/>
      <c r="AO271" s="39"/>
      <c r="AP271" s="38" t="e">
        <f>VLOOKUP(I271,'[4] RFC'!A:B,2,0)</f>
        <v>#N/A</v>
      </c>
      <c r="AQ271" s="59"/>
      <c r="AR271" s="59"/>
      <c r="AS271" s="59"/>
      <c r="AT271" s="59">
        <f t="shared" si="41"/>
        <v>0</v>
      </c>
      <c r="AU271" s="183"/>
      <c r="AV271" s="195"/>
      <c r="AW271" s="185"/>
    </row>
    <row r="272" spans="1:49" hidden="1" x14ac:dyDescent="0.25">
      <c r="A272" s="188"/>
      <c r="B272" s="259">
        <v>173</v>
      </c>
      <c r="C272" s="167"/>
      <c r="D272" s="39"/>
      <c r="E272" s="40"/>
      <c r="F272" s="39">
        <f t="shared" si="40"/>
        <v>0</v>
      </c>
      <c r="G272" s="39"/>
      <c r="H272" s="39"/>
      <c r="I272" s="81"/>
      <c r="J272" s="1046"/>
      <c r="K272" s="1046"/>
      <c r="L272" s="1046"/>
      <c r="M272" s="1046" t="str">
        <f t="shared" si="42"/>
        <v xml:space="preserve">  </v>
      </c>
      <c r="N272" s="991"/>
      <c r="O272" s="991"/>
      <c r="P272" s="991"/>
      <c r="Q272" s="1040"/>
      <c r="R272" s="1047"/>
      <c r="S272" s="270">
        <f t="shared" si="39"/>
        <v>0</v>
      </c>
      <c r="T272" s="1048">
        <f t="shared" si="36"/>
        <v>0</v>
      </c>
      <c r="U272" s="1047">
        <v>0</v>
      </c>
      <c r="V272" s="270">
        <f t="shared" si="43"/>
        <v>0</v>
      </c>
      <c r="W272" s="270">
        <f t="shared" si="38"/>
        <v>0</v>
      </c>
      <c r="X272" s="993" t="s">
        <v>156</v>
      </c>
      <c r="Y272" s="59"/>
      <c r="Z272" s="39"/>
      <c r="AA272" s="59">
        <f t="shared" si="44"/>
        <v>0</v>
      </c>
      <c r="AB272" s="59"/>
      <c r="AC272" s="38"/>
      <c r="AD272" s="53"/>
      <c r="AE272" s="38"/>
      <c r="AF272" s="256"/>
      <c r="AG272" s="270">
        <v>0</v>
      </c>
      <c r="AH272" s="163" t="str">
        <f t="shared" ca="1" si="37"/>
        <v/>
      </c>
      <c r="AI272" s="39"/>
      <c r="AJ272" s="39"/>
      <c r="AK272" s="39"/>
      <c r="AL272" s="39"/>
      <c r="AM272" s="39"/>
      <c r="AN272" s="39"/>
      <c r="AO272" s="39"/>
      <c r="AP272" s="38" t="e">
        <f>VLOOKUP(I272,'[4] RFC'!A:B,2,0)</f>
        <v>#N/A</v>
      </c>
      <c r="AQ272" s="59"/>
      <c r="AR272" s="59"/>
      <c r="AS272" s="59"/>
      <c r="AT272" s="59">
        <f t="shared" si="41"/>
        <v>0</v>
      </c>
      <c r="AU272" s="183"/>
      <c r="AV272" s="195"/>
      <c r="AW272" s="185"/>
    </row>
    <row r="273" spans="1:49" hidden="1" x14ac:dyDescent="0.25">
      <c r="A273" s="188"/>
      <c r="B273" s="259">
        <v>174</v>
      </c>
      <c r="C273" s="167"/>
      <c r="D273" s="39"/>
      <c r="E273" s="40"/>
      <c r="F273" s="39">
        <f t="shared" si="40"/>
        <v>0</v>
      </c>
      <c r="G273" s="39"/>
      <c r="H273" s="39"/>
      <c r="I273" s="81"/>
      <c r="J273" s="1046"/>
      <c r="K273" s="1046"/>
      <c r="L273" s="1046"/>
      <c r="M273" s="1046" t="str">
        <f t="shared" si="42"/>
        <v xml:space="preserve">  </v>
      </c>
      <c r="N273" s="991"/>
      <c r="O273" s="991"/>
      <c r="P273" s="991"/>
      <c r="Q273" s="1040"/>
      <c r="R273" s="1047"/>
      <c r="S273" s="270">
        <f t="shared" si="39"/>
        <v>0</v>
      </c>
      <c r="T273" s="1048">
        <f t="shared" ref="T273:T282" si="45">R273+S273</f>
        <v>0</v>
      </c>
      <c r="U273" s="1047">
        <v>0</v>
      </c>
      <c r="V273" s="270">
        <f t="shared" si="43"/>
        <v>0</v>
      </c>
      <c r="W273" s="270">
        <f t="shared" si="38"/>
        <v>0</v>
      </c>
      <c r="X273" s="993" t="s">
        <v>156</v>
      </c>
      <c r="Y273" s="59"/>
      <c r="Z273" s="39"/>
      <c r="AA273" s="59">
        <f t="shared" si="44"/>
        <v>0</v>
      </c>
      <c r="AB273" s="59"/>
      <c r="AC273" s="38"/>
      <c r="AD273" s="53"/>
      <c r="AE273" s="38"/>
      <c r="AF273" s="256"/>
      <c r="AG273" s="270">
        <v>0</v>
      </c>
      <c r="AH273" s="163" t="str">
        <f t="shared" ca="1" si="37"/>
        <v/>
      </c>
      <c r="AI273" s="39"/>
      <c r="AJ273" s="39"/>
      <c r="AK273" s="39"/>
      <c r="AL273" s="39"/>
      <c r="AM273" s="39"/>
      <c r="AN273" s="39"/>
      <c r="AO273" s="39"/>
      <c r="AP273" s="38" t="e">
        <f>VLOOKUP(I273,'[4] RFC'!A:B,2,0)</f>
        <v>#N/A</v>
      </c>
      <c r="AQ273" s="59"/>
      <c r="AR273" s="59"/>
      <c r="AS273" s="59"/>
      <c r="AT273" s="59">
        <f t="shared" si="41"/>
        <v>0</v>
      </c>
      <c r="AU273" s="183"/>
      <c r="AV273" s="195"/>
      <c r="AW273" s="185"/>
    </row>
    <row r="274" spans="1:49" hidden="1" x14ac:dyDescent="0.25">
      <c r="A274" s="188"/>
      <c r="B274" s="259">
        <v>175</v>
      </c>
      <c r="C274" s="167"/>
      <c r="D274" s="39"/>
      <c r="E274" s="40"/>
      <c r="F274" s="39">
        <f t="shared" si="40"/>
        <v>0</v>
      </c>
      <c r="G274" s="39"/>
      <c r="H274" s="39"/>
      <c r="I274" s="81"/>
      <c r="J274" s="1046"/>
      <c r="K274" s="1046"/>
      <c r="L274" s="1046"/>
      <c r="M274" s="1046" t="str">
        <f t="shared" si="42"/>
        <v xml:space="preserve">  </v>
      </c>
      <c r="N274" s="991"/>
      <c r="O274" s="991"/>
      <c r="P274" s="991"/>
      <c r="Q274" s="1040"/>
      <c r="R274" s="1047"/>
      <c r="S274" s="270">
        <f t="shared" si="39"/>
        <v>0</v>
      </c>
      <c r="T274" s="1048">
        <f t="shared" si="45"/>
        <v>0</v>
      </c>
      <c r="U274" s="1047">
        <v>0</v>
      </c>
      <c r="V274" s="270">
        <f t="shared" si="43"/>
        <v>0</v>
      </c>
      <c r="W274" s="270">
        <f t="shared" si="38"/>
        <v>0</v>
      </c>
      <c r="X274" s="993" t="s">
        <v>156</v>
      </c>
      <c r="Y274" s="59"/>
      <c r="Z274" s="39"/>
      <c r="AA274" s="59">
        <f t="shared" si="44"/>
        <v>0</v>
      </c>
      <c r="AB274" s="59"/>
      <c r="AC274" s="38"/>
      <c r="AD274" s="53"/>
      <c r="AE274" s="38"/>
      <c r="AF274" s="256"/>
      <c r="AG274" s="270">
        <v>0</v>
      </c>
      <c r="AH274" s="163" t="str">
        <f t="shared" ca="1" si="37"/>
        <v/>
      </c>
      <c r="AI274" s="39"/>
      <c r="AJ274" s="39"/>
      <c r="AK274" s="39"/>
      <c r="AL274" s="39"/>
      <c r="AM274" s="39"/>
      <c r="AN274" s="39"/>
      <c r="AO274" s="39"/>
      <c r="AP274" s="38" t="e">
        <f>VLOOKUP(I274,'[4] RFC'!A:B,2,0)</f>
        <v>#N/A</v>
      </c>
      <c r="AQ274" s="59"/>
      <c r="AR274" s="59"/>
      <c r="AS274" s="59"/>
      <c r="AT274" s="59">
        <f t="shared" si="41"/>
        <v>0</v>
      </c>
      <c r="AU274" s="183"/>
      <c r="AV274" s="195"/>
      <c r="AW274" s="185"/>
    </row>
    <row r="275" spans="1:49" hidden="1" x14ac:dyDescent="0.25">
      <c r="A275" s="188"/>
      <c r="B275" s="259">
        <v>176</v>
      </c>
      <c r="C275" s="167"/>
      <c r="D275" s="39"/>
      <c r="E275" s="40"/>
      <c r="F275" s="39">
        <f t="shared" si="40"/>
        <v>0</v>
      </c>
      <c r="G275" s="39"/>
      <c r="H275" s="39"/>
      <c r="I275" s="81"/>
      <c r="J275" s="1046"/>
      <c r="K275" s="1046"/>
      <c r="L275" s="1046"/>
      <c r="M275" s="1046" t="str">
        <f t="shared" si="42"/>
        <v xml:space="preserve">  </v>
      </c>
      <c r="N275" s="991"/>
      <c r="O275" s="991"/>
      <c r="P275" s="991"/>
      <c r="Q275" s="1040"/>
      <c r="R275" s="1047"/>
      <c r="S275" s="270">
        <f t="shared" si="39"/>
        <v>0</v>
      </c>
      <c r="T275" s="1048">
        <f t="shared" si="45"/>
        <v>0</v>
      </c>
      <c r="U275" s="730">
        <v>0</v>
      </c>
      <c r="V275" s="270">
        <f t="shared" si="43"/>
        <v>0</v>
      </c>
      <c r="W275" s="270">
        <f t="shared" si="38"/>
        <v>0</v>
      </c>
      <c r="X275" s="993" t="s">
        <v>156</v>
      </c>
      <c r="Y275" s="59"/>
      <c r="Z275" s="39"/>
      <c r="AA275" s="59">
        <f t="shared" si="44"/>
        <v>0</v>
      </c>
      <c r="AB275" s="59"/>
      <c r="AC275" s="38"/>
      <c r="AD275" s="53"/>
      <c r="AE275" s="38"/>
      <c r="AF275" s="256"/>
      <c r="AG275" s="270">
        <v>0</v>
      </c>
      <c r="AH275" s="163" t="str">
        <f t="shared" ref="AH275:AH282" ca="1" si="46">IF(ISBLANK(AB275),"",IF(AB275&gt;=TODAY(),"VIGENTE","MUERTO"))</f>
        <v/>
      </c>
      <c r="AI275" s="39"/>
      <c r="AJ275" s="39"/>
      <c r="AK275" s="39"/>
      <c r="AL275" s="39"/>
      <c r="AM275" s="39"/>
      <c r="AN275" s="39"/>
      <c r="AO275" s="39"/>
      <c r="AP275" s="38" t="e">
        <f>VLOOKUP(I275,'[4] RFC'!A:B,2,0)</f>
        <v>#N/A</v>
      </c>
      <c r="AQ275" s="59"/>
      <c r="AR275" s="59"/>
      <c r="AS275" s="59"/>
      <c r="AT275" s="59">
        <f t="shared" si="41"/>
        <v>0</v>
      </c>
      <c r="AU275" s="183"/>
      <c r="AV275" s="195"/>
      <c r="AW275" s="185"/>
    </row>
    <row r="276" spans="1:49" hidden="1" x14ac:dyDescent="0.25">
      <c r="A276" s="188"/>
      <c r="B276" s="259">
        <v>177</v>
      </c>
      <c r="C276" s="167"/>
      <c r="D276" s="39"/>
      <c r="E276" s="40"/>
      <c r="F276" s="39">
        <f t="shared" si="40"/>
        <v>0</v>
      </c>
      <c r="G276" s="39"/>
      <c r="H276" s="39"/>
      <c r="I276" s="81"/>
      <c r="J276" s="1046"/>
      <c r="K276" s="1046"/>
      <c r="L276" s="1046"/>
      <c r="M276" s="1046" t="str">
        <f t="shared" si="42"/>
        <v xml:space="preserve">  </v>
      </c>
      <c r="N276" s="991"/>
      <c r="O276" s="991"/>
      <c r="P276" s="991"/>
      <c r="Q276" s="1040"/>
      <c r="R276" s="1047"/>
      <c r="S276" s="270">
        <f t="shared" si="39"/>
        <v>0</v>
      </c>
      <c r="T276" s="1048">
        <f t="shared" si="45"/>
        <v>0</v>
      </c>
      <c r="U276" s="730">
        <v>0</v>
      </c>
      <c r="V276" s="270">
        <f t="shared" si="43"/>
        <v>0</v>
      </c>
      <c r="W276" s="270">
        <f t="shared" ref="W276:W282" si="47">T276+AG276</f>
        <v>0</v>
      </c>
      <c r="X276" s="993" t="s">
        <v>156</v>
      </c>
      <c r="Y276" s="59"/>
      <c r="Z276" s="39"/>
      <c r="AA276" s="59">
        <f t="shared" si="44"/>
        <v>0</v>
      </c>
      <c r="AB276" s="59"/>
      <c r="AC276" s="38"/>
      <c r="AD276" s="53"/>
      <c r="AE276" s="38"/>
      <c r="AF276" s="256"/>
      <c r="AG276" s="270">
        <v>0</v>
      </c>
      <c r="AH276" s="163" t="str">
        <f t="shared" ca="1" si="46"/>
        <v/>
      </c>
      <c r="AI276" s="39"/>
      <c r="AJ276" s="39"/>
      <c r="AK276" s="39"/>
      <c r="AL276" s="39"/>
      <c r="AM276" s="39"/>
      <c r="AN276" s="39"/>
      <c r="AO276" s="39"/>
      <c r="AP276" s="38" t="e">
        <f>VLOOKUP(I276,'[4] RFC'!A:B,2,0)</f>
        <v>#N/A</v>
      </c>
      <c r="AQ276" s="59"/>
      <c r="AR276" s="59"/>
      <c r="AS276" s="59"/>
      <c r="AT276" s="59">
        <f t="shared" si="41"/>
        <v>0</v>
      </c>
      <c r="AU276" s="183"/>
      <c r="AV276" s="195"/>
      <c r="AW276" s="185"/>
    </row>
    <row r="277" spans="1:49" hidden="1" x14ac:dyDescent="0.25">
      <c r="A277" s="188"/>
      <c r="B277" s="259">
        <v>212</v>
      </c>
      <c r="C277" s="167"/>
      <c r="D277" s="39"/>
      <c r="E277" s="40"/>
      <c r="F277" s="39">
        <f t="shared" si="40"/>
        <v>0</v>
      </c>
      <c r="G277" s="39"/>
      <c r="H277" s="39"/>
      <c r="I277" s="81"/>
      <c r="J277" s="1046"/>
      <c r="K277" s="1046"/>
      <c r="L277" s="1046"/>
      <c r="M277" s="1046" t="str">
        <f t="shared" si="42"/>
        <v xml:space="preserve">  </v>
      </c>
      <c r="N277" s="991"/>
      <c r="O277" s="991"/>
      <c r="P277" s="991"/>
      <c r="Q277" s="1040"/>
      <c r="R277" s="1047"/>
      <c r="S277" s="270">
        <f t="shared" si="39"/>
        <v>0</v>
      </c>
      <c r="T277" s="1048">
        <f t="shared" si="45"/>
        <v>0</v>
      </c>
      <c r="U277" s="730">
        <v>0</v>
      </c>
      <c r="V277" s="270">
        <f t="shared" si="43"/>
        <v>0</v>
      </c>
      <c r="W277" s="270">
        <f t="shared" si="47"/>
        <v>0</v>
      </c>
      <c r="X277" s="993" t="s">
        <v>156</v>
      </c>
      <c r="Y277" s="59"/>
      <c r="Z277" s="39"/>
      <c r="AA277" s="59">
        <f t="shared" si="44"/>
        <v>0</v>
      </c>
      <c r="AB277" s="59"/>
      <c r="AC277" s="38"/>
      <c r="AD277" s="53"/>
      <c r="AE277" s="38"/>
      <c r="AF277" s="256"/>
      <c r="AG277" s="270">
        <v>0</v>
      </c>
      <c r="AH277" s="163" t="str">
        <f t="shared" ca="1" si="46"/>
        <v/>
      </c>
      <c r="AI277" s="39"/>
      <c r="AJ277" s="39"/>
      <c r="AK277" s="39"/>
      <c r="AL277" s="39"/>
      <c r="AM277" s="39"/>
      <c r="AN277" s="39"/>
      <c r="AO277" s="39"/>
      <c r="AP277" s="38" t="e">
        <f>VLOOKUP(I277,'[4] RFC'!A:B,2,0)</f>
        <v>#N/A</v>
      </c>
      <c r="AQ277" s="59"/>
      <c r="AR277" s="59"/>
      <c r="AS277" s="59"/>
      <c r="AT277" s="59">
        <f t="shared" si="41"/>
        <v>0</v>
      </c>
      <c r="AU277" s="183"/>
      <c r="AV277" s="195"/>
      <c r="AW277" s="185"/>
    </row>
    <row r="278" spans="1:49" hidden="1" x14ac:dyDescent="0.25">
      <c r="A278" s="188"/>
      <c r="B278" s="259">
        <v>213</v>
      </c>
      <c r="C278" s="167"/>
      <c r="D278" s="39"/>
      <c r="E278" s="40"/>
      <c r="F278" s="39">
        <f t="shared" si="40"/>
        <v>0</v>
      </c>
      <c r="G278" s="39"/>
      <c r="H278" s="39"/>
      <c r="I278" s="81"/>
      <c r="J278" s="1046"/>
      <c r="K278" s="1046"/>
      <c r="L278" s="1046"/>
      <c r="M278" s="1046" t="str">
        <f t="shared" si="42"/>
        <v xml:space="preserve">  </v>
      </c>
      <c r="N278" s="991"/>
      <c r="O278" s="991"/>
      <c r="P278" s="991"/>
      <c r="Q278" s="1040"/>
      <c r="R278" s="1047"/>
      <c r="S278" s="270">
        <f t="shared" si="39"/>
        <v>0</v>
      </c>
      <c r="T278" s="1048">
        <f t="shared" si="45"/>
        <v>0</v>
      </c>
      <c r="U278" s="730">
        <v>0</v>
      </c>
      <c r="V278" s="270">
        <f t="shared" si="43"/>
        <v>0</v>
      </c>
      <c r="W278" s="270">
        <f t="shared" si="47"/>
        <v>0</v>
      </c>
      <c r="X278" s="993" t="s">
        <v>156</v>
      </c>
      <c r="Y278" s="59"/>
      <c r="Z278" s="39"/>
      <c r="AA278" s="59">
        <f t="shared" si="44"/>
        <v>0</v>
      </c>
      <c r="AB278" s="59"/>
      <c r="AC278" s="38"/>
      <c r="AD278" s="53"/>
      <c r="AE278" s="38"/>
      <c r="AF278" s="256"/>
      <c r="AG278" s="270">
        <v>0</v>
      </c>
      <c r="AH278" s="163" t="str">
        <f t="shared" ca="1" si="46"/>
        <v/>
      </c>
      <c r="AI278" s="39"/>
      <c r="AJ278" s="39"/>
      <c r="AK278" s="39"/>
      <c r="AL278" s="39"/>
      <c r="AM278" s="39"/>
      <c r="AN278" s="39"/>
      <c r="AO278" s="39"/>
      <c r="AP278" s="38" t="e">
        <f>VLOOKUP(I278,'[4] RFC'!A:B,2,0)</f>
        <v>#N/A</v>
      </c>
      <c r="AQ278" s="59"/>
      <c r="AR278" s="59"/>
      <c r="AS278" s="59"/>
      <c r="AT278" s="59">
        <f t="shared" si="41"/>
        <v>0</v>
      </c>
      <c r="AU278" s="183"/>
      <c r="AV278" s="195"/>
      <c r="AW278" s="185"/>
    </row>
    <row r="279" spans="1:49" hidden="1" x14ac:dyDescent="0.25">
      <c r="A279" s="188"/>
      <c r="B279" s="259">
        <v>214</v>
      </c>
      <c r="C279" s="167"/>
      <c r="D279" s="39"/>
      <c r="E279" s="40"/>
      <c r="F279" s="39">
        <f t="shared" si="40"/>
        <v>0</v>
      </c>
      <c r="G279" s="39"/>
      <c r="H279" s="39"/>
      <c r="I279" s="81"/>
      <c r="J279" s="1046"/>
      <c r="K279" s="1046"/>
      <c r="L279" s="1046"/>
      <c r="M279" s="1046" t="str">
        <f t="shared" si="42"/>
        <v xml:space="preserve">  </v>
      </c>
      <c r="N279" s="991"/>
      <c r="O279" s="991"/>
      <c r="P279" s="991"/>
      <c r="Q279" s="1040"/>
      <c r="R279" s="1047"/>
      <c r="S279" s="270">
        <f t="shared" si="39"/>
        <v>0</v>
      </c>
      <c r="T279" s="1048">
        <f t="shared" si="45"/>
        <v>0</v>
      </c>
      <c r="U279" s="730">
        <v>0</v>
      </c>
      <c r="V279" s="270">
        <f t="shared" si="43"/>
        <v>0</v>
      </c>
      <c r="W279" s="270">
        <f t="shared" si="47"/>
        <v>0</v>
      </c>
      <c r="X279" s="993" t="s">
        <v>156</v>
      </c>
      <c r="Y279" s="59"/>
      <c r="Z279" s="39"/>
      <c r="AA279" s="59">
        <f t="shared" si="44"/>
        <v>0</v>
      </c>
      <c r="AB279" s="59"/>
      <c r="AC279" s="38"/>
      <c r="AD279" s="53"/>
      <c r="AE279" s="38"/>
      <c r="AF279" s="256"/>
      <c r="AG279" s="270">
        <v>0</v>
      </c>
      <c r="AH279" s="163" t="str">
        <f t="shared" ca="1" si="46"/>
        <v/>
      </c>
      <c r="AI279" s="39"/>
      <c r="AJ279" s="39"/>
      <c r="AK279" s="39"/>
      <c r="AL279" s="39"/>
      <c r="AM279" s="39"/>
      <c r="AN279" s="39"/>
      <c r="AO279" s="39"/>
      <c r="AP279" s="38" t="e">
        <f>VLOOKUP(I279,'[4] RFC'!A:B,2,0)</f>
        <v>#N/A</v>
      </c>
      <c r="AQ279" s="59"/>
      <c r="AR279" s="59"/>
      <c r="AS279" s="59"/>
      <c r="AT279" s="59">
        <f t="shared" si="41"/>
        <v>0</v>
      </c>
      <c r="AU279" s="183"/>
      <c r="AV279" s="195"/>
      <c r="AW279" s="185"/>
    </row>
    <row r="280" spans="1:49" hidden="1" x14ac:dyDescent="0.25">
      <c r="A280" s="188"/>
      <c r="B280" s="259">
        <v>215</v>
      </c>
      <c r="C280" s="167"/>
      <c r="D280" s="39"/>
      <c r="E280" s="40"/>
      <c r="F280" s="39">
        <f t="shared" si="40"/>
        <v>0</v>
      </c>
      <c r="G280" s="39"/>
      <c r="H280" s="39"/>
      <c r="I280" s="81"/>
      <c r="J280" s="1046"/>
      <c r="K280" s="1046"/>
      <c r="L280" s="1046"/>
      <c r="M280" s="1046" t="str">
        <f t="shared" si="42"/>
        <v xml:space="preserve">  </v>
      </c>
      <c r="N280" s="991"/>
      <c r="O280" s="991"/>
      <c r="P280" s="991"/>
      <c r="Q280" s="1040"/>
      <c r="R280" s="1047"/>
      <c r="S280" s="270">
        <f t="shared" si="39"/>
        <v>0</v>
      </c>
      <c r="T280" s="1048">
        <f t="shared" si="45"/>
        <v>0</v>
      </c>
      <c r="U280" s="730">
        <v>0</v>
      </c>
      <c r="V280" s="270">
        <f t="shared" si="43"/>
        <v>0</v>
      </c>
      <c r="W280" s="270">
        <f t="shared" si="47"/>
        <v>0</v>
      </c>
      <c r="X280" s="993" t="s">
        <v>156</v>
      </c>
      <c r="Y280" s="59"/>
      <c r="Z280" s="39"/>
      <c r="AA280" s="59">
        <f t="shared" si="44"/>
        <v>0</v>
      </c>
      <c r="AB280" s="59"/>
      <c r="AC280" s="38"/>
      <c r="AD280" s="53"/>
      <c r="AE280" s="38"/>
      <c r="AF280" s="256"/>
      <c r="AG280" s="270">
        <v>0</v>
      </c>
      <c r="AH280" s="163" t="str">
        <f t="shared" ca="1" si="46"/>
        <v/>
      </c>
      <c r="AI280" s="39"/>
      <c r="AJ280" s="39"/>
      <c r="AK280" s="39"/>
      <c r="AL280" s="39"/>
      <c r="AM280" s="39"/>
      <c r="AN280" s="39"/>
      <c r="AO280" s="39"/>
      <c r="AP280" s="38" t="e">
        <f>VLOOKUP(I280,'[4] RFC'!A:B,2,0)</f>
        <v>#N/A</v>
      </c>
      <c r="AQ280" s="59"/>
      <c r="AR280" s="59"/>
      <c r="AS280" s="59"/>
      <c r="AT280" s="59">
        <f t="shared" si="41"/>
        <v>0</v>
      </c>
      <c r="AU280" s="183"/>
      <c r="AV280" s="195"/>
      <c r="AW280" s="185"/>
    </row>
    <row r="281" spans="1:49" hidden="1" x14ac:dyDescent="0.25">
      <c r="A281" s="188"/>
      <c r="B281" s="259">
        <v>216</v>
      </c>
      <c r="C281" s="167"/>
      <c r="D281" s="39"/>
      <c r="E281" s="40"/>
      <c r="F281" s="39">
        <f t="shared" si="40"/>
        <v>0</v>
      </c>
      <c r="G281" s="39"/>
      <c r="H281" s="39"/>
      <c r="I281" s="81"/>
      <c r="J281" s="41"/>
      <c r="K281" s="41"/>
      <c r="L281" s="41"/>
      <c r="M281" s="1046" t="str">
        <f t="shared" si="42"/>
        <v xml:space="preserve">  </v>
      </c>
      <c r="N281" s="991"/>
      <c r="O281" s="991"/>
      <c r="P281" s="991"/>
      <c r="Q281" s="1040"/>
      <c r="R281" s="1047"/>
      <c r="S281" s="270">
        <f t="shared" si="39"/>
        <v>0</v>
      </c>
      <c r="T281" s="1048">
        <f t="shared" si="45"/>
        <v>0</v>
      </c>
      <c r="U281" s="730">
        <v>0</v>
      </c>
      <c r="V281" s="270">
        <f t="shared" si="43"/>
        <v>0</v>
      </c>
      <c r="W281" s="270">
        <f t="shared" si="47"/>
        <v>0</v>
      </c>
      <c r="X281" s="993" t="s">
        <v>156</v>
      </c>
      <c r="Y281" s="59"/>
      <c r="Z281" s="39"/>
      <c r="AA281" s="59">
        <f t="shared" si="44"/>
        <v>0</v>
      </c>
      <c r="AB281" s="59"/>
      <c r="AC281" s="38"/>
      <c r="AD281" s="53"/>
      <c r="AE281" s="38"/>
      <c r="AF281" s="256"/>
      <c r="AG281" s="270">
        <v>0</v>
      </c>
      <c r="AH281" s="163" t="str">
        <f t="shared" ca="1" si="46"/>
        <v/>
      </c>
      <c r="AI281" s="39"/>
      <c r="AJ281" s="39"/>
      <c r="AK281" s="39"/>
      <c r="AL281" s="39"/>
      <c r="AM281" s="39"/>
      <c r="AN281" s="39"/>
      <c r="AO281" s="39"/>
      <c r="AP281" s="38" t="e">
        <f>VLOOKUP(I281,'[4] RFC'!A:B,2,0)</f>
        <v>#N/A</v>
      </c>
      <c r="AQ281" s="59"/>
      <c r="AR281" s="59"/>
      <c r="AS281" s="59"/>
      <c r="AT281" s="59">
        <f t="shared" si="41"/>
        <v>0</v>
      </c>
      <c r="AU281" s="183"/>
      <c r="AV281" s="195"/>
      <c r="AW281" s="185"/>
    </row>
    <row r="282" spans="1:49" hidden="1" x14ac:dyDescent="0.25">
      <c r="A282" s="188"/>
      <c r="B282" s="259">
        <v>217</v>
      </c>
      <c r="C282" s="167"/>
      <c r="D282" s="39"/>
      <c r="E282" s="40"/>
      <c r="F282" s="39">
        <f t="shared" si="40"/>
        <v>0</v>
      </c>
      <c r="G282" s="39"/>
      <c r="H282" s="39"/>
      <c r="I282" s="81"/>
      <c r="J282" s="41"/>
      <c r="K282" s="41"/>
      <c r="L282" s="41"/>
      <c r="M282" s="1046" t="str">
        <f t="shared" si="42"/>
        <v xml:space="preserve">  </v>
      </c>
      <c r="N282" s="991"/>
      <c r="O282" s="991"/>
      <c r="P282" s="991"/>
      <c r="Q282" s="1040"/>
      <c r="R282" s="1047"/>
      <c r="S282" s="270">
        <f t="shared" si="39"/>
        <v>0</v>
      </c>
      <c r="T282" s="1048">
        <f t="shared" si="45"/>
        <v>0</v>
      </c>
      <c r="U282" s="730">
        <v>0</v>
      </c>
      <c r="V282" s="270">
        <f t="shared" si="43"/>
        <v>0</v>
      </c>
      <c r="W282" s="270">
        <f t="shared" si="47"/>
        <v>0</v>
      </c>
      <c r="X282" s="993" t="s">
        <v>156</v>
      </c>
      <c r="Y282" s="59"/>
      <c r="Z282" s="39"/>
      <c r="AA282" s="59">
        <f t="shared" si="44"/>
        <v>0</v>
      </c>
      <c r="AB282" s="59"/>
      <c r="AC282" s="38"/>
      <c r="AD282" s="53"/>
      <c r="AE282" s="38"/>
      <c r="AF282" s="256"/>
      <c r="AG282" s="270">
        <v>0</v>
      </c>
      <c r="AH282" s="163" t="str">
        <f t="shared" ca="1" si="46"/>
        <v/>
      </c>
      <c r="AI282" s="39"/>
      <c r="AJ282" s="39"/>
      <c r="AK282" s="39"/>
      <c r="AL282" s="39"/>
      <c r="AM282" s="39"/>
      <c r="AN282" s="39"/>
      <c r="AO282" s="39"/>
      <c r="AP282" s="38" t="e">
        <f>VLOOKUP(I282,'[4] RFC'!A:B,2,0)</f>
        <v>#N/A</v>
      </c>
      <c r="AQ282" s="59"/>
      <c r="AR282" s="59"/>
      <c r="AS282" s="59"/>
      <c r="AT282" s="59">
        <f t="shared" si="41"/>
        <v>0</v>
      </c>
      <c r="AU282" s="183"/>
      <c r="AV282" s="195"/>
      <c r="AW282" s="185"/>
    </row>
    <row r="283" spans="1:49" hidden="1" x14ac:dyDescent="0.25">
      <c r="AM283" s="39"/>
    </row>
    <row r="284" spans="1:49" x14ac:dyDescent="0.25">
      <c r="R284" s="425">
        <f t="shared" ref="R284:W284" si="48">SUM(R33:R283)</f>
        <v>1144775039.901</v>
      </c>
      <c r="S284" s="10">
        <f t="shared" si="48"/>
        <v>157176183.26336002</v>
      </c>
      <c r="T284" s="10">
        <f t="shared" si="48"/>
        <v>1301951223.1643591</v>
      </c>
      <c r="U284" s="425">
        <f t="shared" si="48"/>
        <v>293315548.40199995</v>
      </c>
      <c r="V284" s="10">
        <f t="shared" si="48"/>
        <v>322605045.40231997</v>
      </c>
      <c r="W284" s="278">
        <f t="shared" si="48"/>
        <v>1304994269.3843591</v>
      </c>
    </row>
    <row r="287" spans="1:49" x14ac:dyDescent="0.25">
      <c r="Q287" s="921"/>
    </row>
    <row r="288" spans="1:49" x14ac:dyDescent="0.25">
      <c r="Q288" s="921"/>
      <c r="AG288" s="922"/>
    </row>
    <row r="289" spans="4:33" x14ac:dyDescent="0.25">
      <c r="D289" s="23" t="s">
        <v>86</v>
      </c>
      <c r="E289" s="621" t="s">
        <v>1081</v>
      </c>
      <c r="F289" s="23" t="s">
        <v>1082</v>
      </c>
      <c r="G289" s="675"/>
      <c r="Q289" s="921"/>
      <c r="AG289" s="922"/>
    </row>
    <row r="290" spans="4:33" ht="30" x14ac:dyDescent="0.25">
      <c r="D290" s="309" t="s">
        <v>163</v>
      </c>
      <c r="E290" s="469">
        <f>+SUMIF($D$33:$D$281,D290,$W$33:$W$281)</f>
        <v>580270699.25120008</v>
      </c>
      <c r="F290" s="696">
        <f>COUNTIF($D$33:$D$281,D290)</f>
        <v>54</v>
      </c>
      <c r="G290" s="690"/>
      <c r="I290"/>
      <c r="L290" s="307"/>
      <c r="M290" s="307"/>
      <c r="O290" s="923"/>
      <c r="Q290" s="921"/>
      <c r="AE290" s="924"/>
    </row>
    <row r="291" spans="4:33" x14ac:dyDescent="0.25">
      <c r="D291" s="309" t="s">
        <v>173</v>
      </c>
      <c r="E291" s="469">
        <f>+SUMIF($D$33:$D$281,D291,$W$33:$W$281)</f>
        <v>349132388.78360003</v>
      </c>
      <c r="F291" s="696">
        <v>30</v>
      </c>
      <c r="G291" s="690"/>
      <c r="H291" s="10">
        <f ca="1">+SUMIF($D$3:$D$282,E290,$S$33:$S$282)</f>
        <v>0</v>
      </c>
      <c r="I291" s="10">
        <f ca="1">+SUMIF($D$3:$D$282,F290,$S$33:$S$282)</f>
        <v>0</v>
      </c>
      <c r="J291" s="10">
        <f ca="1">+SUMIF($D$3:$D$282,H291,$S$33:$S$282)</f>
        <v>0</v>
      </c>
      <c r="K291" s="10">
        <f ca="1">+SUMIF($D$3:$D$282,I291,$S$33:$S$282)</f>
        <v>0</v>
      </c>
      <c r="L291" s="10">
        <f ca="1">+SUMIF($D$3:$D$282,J291,$S$33:$S$282)</f>
        <v>0</v>
      </c>
      <c r="M291" s="10">
        <f ca="1">+SUMIF($D$3:$D$282,K291,$S$33:$S$282)</f>
        <v>0</v>
      </c>
      <c r="N291" s="10">
        <f ca="1">+SUMIF($D$3:$D$282,L291,$S$33:$S$282)</f>
        <v>0</v>
      </c>
      <c r="O291" s="925"/>
      <c r="Q291" s="921"/>
      <c r="AE291" s="924"/>
    </row>
    <row r="292" spans="4:33" x14ac:dyDescent="0.25">
      <c r="D292" s="309" t="s">
        <v>151</v>
      </c>
      <c r="E292" s="469">
        <f>+SUMIF($D$33:$D$281,D292,$W$33:$W$281)</f>
        <v>81823973.854760006</v>
      </c>
      <c r="F292" s="696">
        <v>15</v>
      </c>
      <c r="G292" s="690"/>
      <c r="I292"/>
      <c r="L292" s="307"/>
      <c r="M292" s="307"/>
      <c r="O292" s="923"/>
      <c r="AE292" s="924"/>
    </row>
    <row r="293" spans="4:33" x14ac:dyDescent="0.25">
      <c r="D293" t="s">
        <v>1083</v>
      </c>
      <c r="E293" s="394">
        <f>SUM(E290:E292)</f>
        <v>1011227061.8895601</v>
      </c>
      <c r="F293" s="697"/>
      <c r="G293" s="471"/>
      <c r="I293"/>
      <c r="L293" s="307"/>
      <c r="M293" s="307"/>
      <c r="N293" s="733"/>
      <c r="O293" s="923"/>
      <c r="AE293" s="924"/>
    </row>
    <row r="294" spans="4:33" x14ac:dyDescent="0.25">
      <c r="D294" t="s">
        <v>1084</v>
      </c>
      <c r="E294" s="278">
        <f>+T284</f>
        <v>1301951223.1643591</v>
      </c>
      <c r="G294" s="307"/>
      <c r="I294"/>
      <c r="L294" s="307"/>
      <c r="M294" s="307"/>
      <c r="N294" s="733"/>
      <c r="O294" s="923"/>
      <c r="AE294" s="924"/>
    </row>
    <row r="295" spans="4:33" x14ac:dyDescent="0.25">
      <c r="E295" s="7"/>
      <c r="G295" s="307"/>
      <c r="I295"/>
      <c r="L295" s="307"/>
      <c r="M295" s="307"/>
      <c r="N295" s="733"/>
      <c r="O295" s="923"/>
      <c r="AE295" s="924"/>
    </row>
    <row r="296" spans="4:33" x14ac:dyDescent="0.25">
      <c r="G296" s="307"/>
      <c r="I296"/>
      <c r="L296" s="307"/>
      <c r="M296" s="307"/>
      <c r="N296" s="733"/>
      <c r="O296" s="923"/>
      <c r="AE296" s="924"/>
    </row>
    <row r="297" spans="4:33" ht="15.75" x14ac:dyDescent="0.25">
      <c r="D297" s="1092" t="s">
        <v>1085</v>
      </c>
      <c r="E297" s="1092"/>
      <c r="F297" s="194" t="s">
        <v>1082</v>
      </c>
      <c r="N297" s="733"/>
      <c r="O297" s="923"/>
      <c r="AE297" s="924"/>
    </row>
    <row r="298" spans="4:33" ht="15.75" x14ac:dyDescent="0.25">
      <c r="D298" s="684" t="s">
        <v>163</v>
      </c>
      <c r="E298" s="469">
        <f>+SUMIF($G$33:$G$281,D298,$W$33:$W$281)</f>
        <v>718257573.6336</v>
      </c>
      <c r="F298" s="696">
        <f>COUNTIF($G$33:$G$281,D298)</f>
        <v>37</v>
      </c>
      <c r="O298" s="926"/>
      <c r="P298" s="731"/>
    </row>
    <row r="299" spans="4:33" ht="15.75" x14ac:dyDescent="0.25">
      <c r="D299" s="685" t="s">
        <v>546</v>
      </c>
      <c r="E299" s="469">
        <f>+SUMIF($G$33:$G$281,D299,$W$33:$W$281)</f>
        <v>32691993.3292</v>
      </c>
      <c r="F299" s="696">
        <f>COUNTIF($G$33:$G$281,D299)</f>
        <v>14</v>
      </c>
      <c r="O299" s="923"/>
    </row>
    <row r="300" spans="4:33" ht="31.5" x14ac:dyDescent="0.25">
      <c r="D300" s="686" t="s">
        <v>1086</v>
      </c>
      <c r="E300" s="687">
        <f>+E298+E299</f>
        <v>750949566.96280003</v>
      </c>
      <c r="F300" s="698">
        <f>SUM(F298:F299)</f>
        <v>51</v>
      </c>
      <c r="O300" s="923"/>
    </row>
    <row r="301" spans="4:33" x14ac:dyDescent="0.25">
      <c r="D301" s="282"/>
      <c r="E301" s="694">
        <f>+E300-E290</f>
        <v>170678867.71159995</v>
      </c>
      <c r="F301" s="202"/>
      <c r="O301" s="923"/>
    </row>
    <row r="302" spans="4:33" x14ac:dyDescent="0.25">
      <c r="O302" s="923"/>
    </row>
    <row r="303" spans="4:33" x14ac:dyDescent="0.25">
      <c r="O303" s="923"/>
    </row>
    <row r="304" spans="4:33" x14ac:dyDescent="0.25">
      <c r="O304" s="923"/>
    </row>
  </sheetData>
  <autoFilter ref="A1:AX282" xr:uid="{B874A7EF-FE54-4FB9-AC96-29876A1B6FEC}">
    <filterColumn colId="12">
      <filters>
        <filter val="Construcciones y Servicios Vidda Jireh, S.A. de C.V."/>
      </filters>
    </filterColumn>
  </autoFilter>
  <mergeCells count="1">
    <mergeCell ref="D297:E297"/>
  </mergeCells>
  <dataValidations disablePrompts="1" count="1">
    <dataValidation type="list" allowBlank="1" showInputMessage="1" showErrorMessage="1" sqref="N104:N105" xr:uid="{EAF266F4-2194-4DDC-B92B-D6FB476F8376}">
      <formula1>$K$712:$K$737</formula1>
    </dataValidation>
  </dataValidations>
  <pageMargins left="0.7" right="0.7" top="0.75" bottom="0.75" header="0.3" footer="0.3"/>
  <pageSetup scale="10"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DB0D-68D7-455A-82C5-65391487465D}">
  <sheetPr>
    <pageSetUpPr fitToPage="1"/>
  </sheetPr>
  <dimension ref="A1:BF297"/>
  <sheetViews>
    <sheetView zoomScaleNormal="100" workbookViewId="0">
      <pane xSplit="1" ySplit="1" topLeftCell="B15" activePane="bottomRight" state="frozen"/>
      <selection pane="topRight" activeCell="B1" sqref="B1"/>
      <selection pane="bottomLeft" activeCell="A2" sqref="A2"/>
      <selection pane="bottomRight" activeCell="A16" sqref="A16"/>
    </sheetView>
  </sheetViews>
  <sheetFormatPr baseColWidth="10" defaultColWidth="11.42578125" defaultRowHeight="15" x14ac:dyDescent="0.25"/>
  <cols>
    <col min="1" max="1" width="34.140625" style="814" customWidth="1"/>
    <col min="2" max="2" width="10.5703125" style="757" customWidth="1"/>
    <col min="3" max="3" width="16.7109375" style="740" customWidth="1"/>
    <col min="4" max="4" width="19.28515625" style="757" customWidth="1"/>
    <col min="5" max="5" width="30.7109375" style="757" customWidth="1"/>
    <col min="6" max="6" width="16.5703125" style="740" customWidth="1"/>
    <col min="7" max="8" width="10" style="757" customWidth="1"/>
    <col min="9" max="9" width="31.85546875" style="814" customWidth="1"/>
    <col min="10" max="12" width="13.42578125" style="757" customWidth="1"/>
    <col min="13" max="13" width="31.85546875" style="910" customWidth="1"/>
    <col min="14" max="17" width="35.140625" style="814" customWidth="1"/>
    <col min="18" max="18" width="47.28515625" style="815" customWidth="1"/>
    <col min="19" max="19" width="22" style="860" customWidth="1"/>
    <col min="20" max="20" width="19.7109375" style="816" customWidth="1"/>
    <col min="21" max="21" width="21.28515625" style="816" customWidth="1"/>
    <col min="22" max="22" width="22" style="860" customWidth="1"/>
    <col min="23" max="23" width="19.7109375" style="816" customWidth="1"/>
    <col min="24" max="24" width="20.7109375" style="816" customWidth="1"/>
    <col min="25" max="25" width="21.7109375" style="816" customWidth="1"/>
    <col min="26" max="26" width="9.85546875" style="757" customWidth="1"/>
    <col min="27" max="27" width="15.28515625" style="817" customWidth="1"/>
    <col min="28" max="28" width="13" style="757" customWidth="1"/>
    <col min="29" max="30" width="15.28515625" style="818" customWidth="1"/>
    <col min="31" max="32" width="22.42578125" style="895" customWidth="1"/>
    <col min="33" max="33" width="21.28515625" style="895" customWidth="1"/>
    <col min="34" max="34" width="22.42578125" style="895" customWidth="1"/>
    <col min="35" max="35" width="20.140625" style="907" customWidth="1"/>
    <col min="36" max="36" width="25" style="757" customWidth="1"/>
    <col min="37" max="37" width="25" style="817" customWidth="1"/>
    <col min="38" max="39" width="20.28515625" style="816" customWidth="1"/>
    <col min="40" max="40" width="14.140625" style="757" customWidth="1"/>
    <col min="41" max="41" width="13.85546875" style="740" customWidth="1"/>
    <col min="42" max="42" width="12.140625" style="740" customWidth="1"/>
    <col min="43" max="45" width="12.140625" style="757" customWidth="1"/>
    <col min="46" max="58" width="18.28515625" style="819" customWidth="1"/>
    <col min="59" max="16384" width="11.42578125" style="757"/>
  </cols>
  <sheetData>
    <row r="1" spans="1:58" s="740" customFormat="1" ht="103.5" x14ac:dyDescent="0.25">
      <c r="A1" s="734" t="s">
        <v>83</v>
      </c>
      <c r="B1" s="829" t="s">
        <v>6297</v>
      </c>
      <c r="C1" s="735" t="s">
        <v>1088</v>
      </c>
      <c r="D1" s="736" t="s">
        <v>86</v>
      </c>
      <c r="E1" s="736" t="s">
        <v>85</v>
      </c>
      <c r="F1" s="736" t="s">
        <v>88</v>
      </c>
      <c r="G1" s="737" t="s">
        <v>7171</v>
      </c>
      <c r="H1" s="737" t="s">
        <v>1</v>
      </c>
      <c r="I1" s="859" t="s">
        <v>89</v>
      </c>
      <c r="J1" s="859" t="s">
        <v>90</v>
      </c>
      <c r="K1" s="859" t="s">
        <v>91</v>
      </c>
      <c r="L1" s="859" t="s">
        <v>92</v>
      </c>
      <c r="M1" s="859" t="s">
        <v>93</v>
      </c>
      <c r="N1" s="736" t="s">
        <v>1089</v>
      </c>
      <c r="O1" s="736" t="s">
        <v>7172</v>
      </c>
      <c r="P1" s="736" t="s">
        <v>5354</v>
      </c>
      <c r="Q1" s="736" t="s">
        <v>5355</v>
      </c>
      <c r="R1" s="869" t="s">
        <v>0</v>
      </c>
      <c r="S1" s="863" t="s">
        <v>7173</v>
      </c>
      <c r="T1" s="863" t="s">
        <v>97</v>
      </c>
      <c r="U1" s="863" t="s">
        <v>7174</v>
      </c>
      <c r="V1" s="863" t="s">
        <v>7175</v>
      </c>
      <c r="W1" s="863" t="s">
        <v>7176</v>
      </c>
      <c r="X1" s="863" t="s">
        <v>7177</v>
      </c>
      <c r="Y1" s="863" t="s">
        <v>1081</v>
      </c>
      <c r="Z1" s="736" t="s">
        <v>102</v>
      </c>
      <c r="AA1" s="867" t="s">
        <v>103</v>
      </c>
      <c r="AB1" s="868" t="s">
        <v>104</v>
      </c>
      <c r="AC1" s="867" t="s">
        <v>105</v>
      </c>
      <c r="AD1" s="867" t="s">
        <v>106</v>
      </c>
      <c r="AE1" s="889" t="s">
        <v>7178</v>
      </c>
      <c r="AF1" s="889" t="s">
        <v>7179</v>
      </c>
      <c r="AG1" s="889" t="s">
        <v>7180</v>
      </c>
      <c r="AH1" s="889" t="s">
        <v>7181</v>
      </c>
      <c r="AI1" s="889" t="s">
        <v>7182</v>
      </c>
      <c r="AJ1" s="869" t="s">
        <v>7183</v>
      </c>
      <c r="AK1" s="870" t="s">
        <v>7184</v>
      </c>
      <c r="AL1" s="870" t="s">
        <v>7185</v>
      </c>
      <c r="AM1" s="870" t="s">
        <v>7186</v>
      </c>
      <c r="AN1" s="736" t="s">
        <v>120</v>
      </c>
      <c r="AO1" s="736" t="s">
        <v>2233</v>
      </c>
      <c r="AP1" s="881" t="s">
        <v>7187</v>
      </c>
      <c r="AQ1" s="881" t="s">
        <v>121</v>
      </c>
      <c r="AR1" s="881" t="s">
        <v>7188</v>
      </c>
      <c r="AS1" s="881" t="s">
        <v>123</v>
      </c>
      <c r="AT1" s="738" t="s">
        <v>7189</v>
      </c>
      <c r="AU1" s="738" t="s">
        <v>7190</v>
      </c>
      <c r="AV1" s="830" t="s">
        <v>3096</v>
      </c>
      <c r="AW1" s="831" t="s">
        <v>3097</v>
      </c>
      <c r="AX1" s="831" t="s">
        <v>7191</v>
      </c>
      <c r="AY1" s="831" t="s">
        <v>2234</v>
      </c>
      <c r="AZ1" s="831" t="s">
        <v>7192</v>
      </c>
      <c r="BA1" s="831" t="s">
        <v>7193</v>
      </c>
      <c r="BB1" s="831" t="s">
        <v>7194</v>
      </c>
      <c r="BC1" s="831" t="s">
        <v>7195</v>
      </c>
      <c r="BD1" s="831" t="s">
        <v>1094</v>
      </c>
      <c r="BE1" s="831" t="s">
        <v>142</v>
      </c>
      <c r="BF1" s="831" t="s">
        <v>4296</v>
      </c>
    </row>
    <row r="2" spans="1:58" s="740" customFormat="1" x14ac:dyDescent="0.25">
      <c r="A2" s="741">
        <v>1</v>
      </c>
      <c r="B2" s="742">
        <v>2</v>
      </c>
      <c r="C2" s="743">
        <v>3</v>
      </c>
      <c r="D2" s="741">
        <v>4</v>
      </c>
      <c r="E2" s="742">
        <v>5</v>
      </c>
      <c r="F2" s="743">
        <v>6</v>
      </c>
      <c r="G2" s="741">
        <v>7</v>
      </c>
      <c r="H2" s="742">
        <v>8</v>
      </c>
      <c r="I2" s="743">
        <v>9</v>
      </c>
      <c r="J2" s="741">
        <v>10</v>
      </c>
      <c r="K2" s="742">
        <v>11</v>
      </c>
      <c r="L2" s="743">
        <v>12</v>
      </c>
      <c r="M2" s="909">
        <v>13</v>
      </c>
      <c r="N2" s="742">
        <v>14</v>
      </c>
      <c r="O2" s="743">
        <v>15</v>
      </c>
      <c r="P2" s="741">
        <v>16</v>
      </c>
      <c r="Q2" s="742">
        <v>17</v>
      </c>
      <c r="R2" s="743">
        <v>18</v>
      </c>
      <c r="S2" s="741">
        <v>19</v>
      </c>
      <c r="T2" s="742">
        <v>20</v>
      </c>
      <c r="U2" s="743">
        <v>21</v>
      </c>
      <c r="V2" s="741">
        <v>22</v>
      </c>
      <c r="W2" s="742">
        <v>23</v>
      </c>
      <c r="X2" s="743">
        <v>24</v>
      </c>
      <c r="Y2" s="741">
        <v>25</v>
      </c>
      <c r="Z2" s="742">
        <v>26</v>
      </c>
      <c r="AA2" s="743">
        <v>27</v>
      </c>
      <c r="AB2" s="741">
        <v>28</v>
      </c>
      <c r="AC2" s="742">
        <v>29</v>
      </c>
      <c r="AD2" s="743">
        <v>30</v>
      </c>
      <c r="AE2" s="741">
        <v>31</v>
      </c>
      <c r="AF2" s="742">
        <v>32</v>
      </c>
      <c r="AG2" s="743">
        <v>33</v>
      </c>
      <c r="AH2" s="741">
        <v>34</v>
      </c>
      <c r="AI2" s="742">
        <v>35</v>
      </c>
      <c r="AJ2" s="743">
        <v>36</v>
      </c>
      <c r="AK2" s="741">
        <v>37</v>
      </c>
      <c r="AL2" s="742">
        <v>38</v>
      </c>
      <c r="AM2" s="743">
        <v>39</v>
      </c>
      <c r="AN2" s="741">
        <v>40</v>
      </c>
      <c r="AO2" s="742">
        <v>41</v>
      </c>
      <c r="AP2" s="743">
        <v>42</v>
      </c>
      <c r="AQ2" s="741">
        <v>43</v>
      </c>
      <c r="AR2" s="742">
        <v>44</v>
      </c>
      <c r="AS2" s="743">
        <v>45</v>
      </c>
      <c r="AT2" s="743">
        <v>46</v>
      </c>
      <c r="AU2" s="741">
        <v>47</v>
      </c>
      <c r="AV2" s="742">
        <v>48</v>
      </c>
      <c r="AW2" s="741">
        <v>49</v>
      </c>
      <c r="AX2" s="743">
        <v>50</v>
      </c>
      <c r="AY2" s="741">
        <v>51</v>
      </c>
      <c r="AZ2" s="742">
        <v>52</v>
      </c>
      <c r="BA2" s="743">
        <v>53</v>
      </c>
      <c r="BB2" s="741">
        <v>54</v>
      </c>
      <c r="BC2" s="742">
        <v>55</v>
      </c>
      <c r="BD2" s="743">
        <v>56</v>
      </c>
      <c r="BE2" s="741">
        <v>57</v>
      </c>
      <c r="BF2" s="741">
        <v>58</v>
      </c>
    </row>
    <row r="3" spans="1:58" s="740" customFormat="1" ht="135" x14ac:dyDescent="0.25">
      <c r="A3" s="956" t="s">
        <v>6076</v>
      </c>
      <c r="B3" s="773">
        <v>0</v>
      </c>
      <c r="C3" s="896" t="s">
        <v>149</v>
      </c>
      <c r="D3" s="928" t="s">
        <v>7196</v>
      </c>
      <c r="E3" s="744" t="s">
        <v>7197</v>
      </c>
      <c r="F3" s="744" t="str">
        <f>D3</f>
        <v>Convenio Modificatorio</v>
      </c>
      <c r="G3" s="773" t="s">
        <v>546</v>
      </c>
      <c r="H3" s="744" t="s">
        <v>7146</v>
      </c>
      <c r="I3" s="746" t="s">
        <v>1655</v>
      </c>
      <c r="J3" s="747"/>
      <c r="K3" s="747"/>
      <c r="L3" s="747"/>
      <c r="M3" s="927" t="str">
        <f t="shared" ref="M3:M14" si="0">I3&amp;J3&amp;" "&amp;K3&amp;" "&amp;L3</f>
        <v xml:space="preserve">Comercializadora Dopaj, S.A. de C.V.  </v>
      </c>
      <c r="N3" s="749" t="s">
        <v>301</v>
      </c>
      <c r="O3" s="749" t="s">
        <v>7198</v>
      </c>
      <c r="P3" s="749" t="s">
        <v>301</v>
      </c>
      <c r="Q3" s="749" t="s">
        <v>4461</v>
      </c>
      <c r="R3" s="937" t="s">
        <v>6068</v>
      </c>
      <c r="S3" s="861">
        <v>17398000</v>
      </c>
      <c r="T3" s="861">
        <f t="shared" ref="T3:T14" si="1">+S3*0.16</f>
        <v>2783680</v>
      </c>
      <c r="U3" s="864">
        <f>+S3+T3</f>
        <v>20181680</v>
      </c>
      <c r="V3" s="862">
        <v>17148000</v>
      </c>
      <c r="W3" s="861">
        <f t="shared" ref="W3:W14" si="2">+V3*0.16</f>
        <v>2743680</v>
      </c>
      <c r="X3" s="864">
        <f t="shared" ref="X3:X14" si="3">+V3+W3</f>
        <v>19891680</v>
      </c>
      <c r="Y3" s="866">
        <f>+S3+AL3</f>
        <v>17898000</v>
      </c>
      <c r="Z3" s="751" t="s">
        <v>183</v>
      </c>
      <c r="AA3" s="752">
        <v>45048</v>
      </c>
      <c r="AB3" s="957" t="s">
        <v>7199</v>
      </c>
      <c r="AC3" s="752">
        <v>45047</v>
      </c>
      <c r="AD3" s="752">
        <v>45777</v>
      </c>
      <c r="AE3" s="908">
        <v>0.15</v>
      </c>
      <c r="AF3" s="908">
        <v>0.25</v>
      </c>
      <c r="AG3" s="900" t="s">
        <v>161</v>
      </c>
      <c r="AH3" s="900" t="s">
        <v>161</v>
      </c>
      <c r="AI3" s="900" t="s">
        <v>161</v>
      </c>
      <c r="AJ3" s="900" t="s">
        <v>7200</v>
      </c>
      <c r="AK3" s="900" t="s">
        <v>161</v>
      </c>
      <c r="AL3" s="862">
        <v>500000</v>
      </c>
      <c r="AM3" s="862">
        <f>+S3+AL3</f>
        <v>17898000</v>
      </c>
      <c r="AN3" s="755" t="str">
        <f t="shared" ref="AN3:AN14" ca="1" si="4">IF(ISBLANK(AD3),"",IF(AD3&gt;=TODAY(),"VIGENTE","MUERTO"))</f>
        <v>VIGENTE</v>
      </c>
      <c r="AO3" s="900" t="s">
        <v>161</v>
      </c>
      <c r="AP3" s="753" t="s">
        <v>1146</v>
      </c>
      <c r="AQ3" s="753" t="s">
        <v>7201</v>
      </c>
      <c r="AR3" s="753" t="s">
        <v>6301</v>
      </c>
      <c r="AS3" s="753" t="s">
        <v>7201</v>
      </c>
      <c r="AT3" s="739" t="s">
        <v>161</v>
      </c>
      <c r="AU3" s="739">
        <v>45229</v>
      </c>
      <c r="AV3" s="739">
        <v>45230</v>
      </c>
      <c r="AW3" s="739">
        <v>45236</v>
      </c>
      <c r="AX3" s="900" t="s">
        <v>161</v>
      </c>
      <c r="AY3" s="882">
        <v>45266</v>
      </c>
      <c r="AZ3" s="739"/>
      <c r="BA3" s="739"/>
      <c r="BB3" s="739"/>
      <c r="BC3" s="739"/>
      <c r="BD3" s="739">
        <f t="shared" ref="BD3:BD14" si="5">+AA3</f>
        <v>45048</v>
      </c>
      <c r="BE3" s="739">
        <v>45303</v>
      </c>
      <c r="BF3" s="882">
        <f t="shared" ref="BF3:BF14" si="6">+AA3</f>
        <v>45048</v>
      </c>
    </row>
    <row r="4" spans="1:58" s="740" customFormat="1" ht="135" x14ac:dyDescent="0.25">
      <c r="A4" s="956" t="s">
        <v>6340</v>
      </c>
      <c r="B4" s="773">
        <v>0</v>
      </c>
      <c r="C4" s="896" t="s">
        <v>149</v>
      </c>
      <c r="D4" s="928" t="s">
        <v>7196</v>
      </c>
      <c r="E4" s="744" t="s">
        <v>6341</v>
      </c>
      <c r="F4" s="744" t="str">
        <f t="shared" ref="F4:F14" si="7">D4</f>
        <v>Convenio Modificatorio</v>
      </c>
      <c r="G4" s="773" t="s">
        <v>161</v>
      </c>
      <c r="H4" s="744" t="s">
        <v>6342</v>
      </c>
      <c r="I4" s="746" t="s">
        <v>1655</v>
      </c>
      <c r="J4" s="747"/>
      <c r="K4" s="747"/>
      <c r="L4" s="747"/>
      <c r="M4" s="927" t="str">
        <f t="shared" si="0"/>
        <v xml:space="preserve">Comercializadora Dopaj, S.A. de C.V.  </v>
      </c>
      <c r="N4" s="749" t="s">
        <v>301</v>
      </c>
      <c r="O4" s="749" t="s">
        <v>7198</v>
      </c>
      <c r="P4" s="749" t="s">
        <v>301</v>
      </c>
      <c r="Q4" s="749" t="s">
        <v>4461</v>
      </c>
      <c r="R4" s="937" t="s">
        <v>6068</v>
      </c>
      <c r="S4" s="861">
        <v>18992827.59</v>
      </c>
      <c r="T4" s="861">
        <f t="shared" si="1"/>
        <v>3038852.4144000001</v>
      </c>
      <c r="U4" s="864">
        <f t="shared" ref="U4:U35" si="8">+S4+T4</f>
        <v>22031680.0044</v>
      </c>
      <c r="V4" s="862">
        <v>17148000</v>
      </c>
      <c r="W4" s="861">
        <f t="shared" si="2"/>
        <v>2743680</v>
      </c>
      <c r="X4" s="864">
        <f t="shared" si="3"/>
        <v>19891680</v>
      </c>
      <c r="Y4" s="866">
        <f t="shared" ref="Y4:Y67" si="9">+S4+AL4</f>
        <v>20587655.18</v>
      </c>
      <c r="Z4" s="751" t="s">
        <v>183</v>
      </c>
      <c r="AA4" s="752">
        <v>45642</v>
      </c>
      <c r="AB4" s="753" t="s">
        <v>7202</v>
      </c>
      <c r="AC4" s="752">
        <v>45413</v>
      </c>
      <c r="AD4" s="752">
        <v>45777</v>
      </c>
      <c r="AE4" s="908">
        <v>0.15</v>
      </c>
      <c r="AF4" s="908">
        <v>0.25</v>
      </c>
      <c r="AG4" s="900" t="s">
        <v>161</v>
      </c>
      <c r="AH4" s="900" t="s">
        <v>161</v>
      </c>
      <c r="AI4" s="900" t="s">
        <v>161</v>
      </c>
      <c r="AJ4" s="900" t="s">
        <v>7203</v>
      </c>
      <c r="AK4" s="900" t="s">
        <v>161</v>
      </c>
      <c r="AL4" s="862">
        <v>1594827.59</v>
      </c>
      <c r="AM4" s="862">
        <f>+S4+AL4</f>
        <v>20587655.18</v>
      </c>
      <c r="AN4" s="755" t="str">
        <f t="shared" ca="1" si="4"/>
        <v>VIGENTE</v>
      </c>
      <c r="AO4" s="900" t="s">
        <v>161</v>
      </c>
      <c r="AP4" s="753" t="s">
        <v>1146</v>
      </c>
      <c r="AQ4" s="753" t="s">
        <v>7201</v>
      </c>
      <c r="AR4" s="753"/>
      <c r="AS4" s="753" t="s">
        <v>7201</v>
      </c>
      <c r="AT4" s="739"/>
      <c r="AU4" s="739"/>
      <c r="AV4" s="739">
        <v>45635</v>
      </c>
      <c r="AW4" s="739">
        <v>45644</v>
      </c>
      <c r="AX4" s="739"/>
      <c r="AY4" s="882">
        <v>45646</v>
      </c>
      <c r="AZ4" s="739"/>
      <c r="BA4" s="739"/>
      <c r="BB4" s="739"/>
      <c r="BC4" s="739"/>
      <c r="BD4" s="739">
        <f t="shared" si="5"/>
        <v>45642</v>
      </c>
      <c r="BE4" s="739"/>
      <c r="BF4" s="882">
        <f t="shared" si="6"/>
        <v>45642</v>
      </c>
    </row>
    <row r="5" spans="1:58" s="740" customFormat="1" ht="60" x14ac:dyDescent="0.25">
      <c r="A5" s="956" t="s">
        <v>6346</v>
      </c>
      <c r="B5" s="773">
        <v>0</v>
      </c>
      <c r="C5" s="896" t="s">
        <v>149</v>
      </c>
      <c r="D5" s="928" t="s">
        <v>7196</v>
      </c>
      <c r="E5" s="744" t="s">
        <v>5613</v>
      </c>
      <c r="F5" s="744" t="str">
        <f t="shared" si="7"/>
        <v>Convenio Modificatorio</v>
      </c>
      <c r="G5" s="773" t="s">
        <v>161</v>
      </c>
      <c r="H5" s="744" t="s">
        <v>4123</v>
      </c>
      <c r="I5" s="746" t="s">
        <v>1782</v>
      </c>
      <c r="J5" s="747"/>
      <c r="K5" s="747"/>
      <c r="L5" s="747"/>
      <c r="M5" s="927" t="str">
        <f t="shared" si="0"/>
        <v xml:space="preserve">Consultores y Soporte AMD, S.A. de C.V.  </v>
      </c>
      <c r="N5" s="749" t="s">
        <v>656</v>
      </c>
      <c r="O5" s="749" t="s">
        <v>656</v>
      </c>
      <c r="P5" s="749" t="s">
        <v>667</v>
      </c>
      <c r="Q5" s="749" t="s">
        <v>5368</v>
      </c>
      <c r="R5" s="937" t="s">
        <v>6182</v>
      </c>
      <c r="S5" s="861">
        <v>23004960</v>
      </c>
      <c r="T5" s="861">
        <f t="shared" si="1"/>
        <v>3680793.6</v>
      </c>
      <c r="U5" s="864">
        <f t="shared" si="8"/>
        <v>26685753.600000001</v>
      </c>
      <c r="V5" s="862">
        <v>0</v>
      </c>
      <c r="W5" s="861">
        <f t="shared" si="2"/>
        <v>0</v>
      </c>
      <c r="X5" s="864">
        <f t="shared" si="3"/>
        <v>0</v>
      </c>
      <c r="Y5" s="866">
        <f t="shared" si="9"/>
        <v>23004960</v>
      </c>
      <c r="Z5" s="751" t="s">
        <v>183</v>
      </c>
      <c r="AA5" s="752">
        <v>45160</v>
      </c>
      <c r="AB5" s="753" t="s">
        <v>7204</v>
      </c>
      <c r="AC5" s="752">
        <v>45160</v>
      </c>
      <c r="AD5" s="752">
        <v>45900</v>
      </c>
      <c r="AE5" s="908">
        <v>0.15</v>
      </c>
      <c r="AF5" s="908">
        <v>0.1</v>
      </c>
      <c r="AG5" s="908">
        <v>0.1</v>
      </c>
      <c r="AH5" s="900" t="s">
        <v>161</v>
      </c>
      <c r="AI5" s="900" t="s">
        <v>161</v>
      </c>
      <c r="AJ5" s="900" t="s">
        <v>7205</v>
      </c>
      <c r="AK5" s="900" t="s">
        <v>161</v>
      </c>
      <c r="AL5" s="862">
        <v>0</v>
      </c>
      <c r="AM5" s="862">
        <f t="shared" ref="AM5:AM14" si="10">+S5+AL5</f>
        <v>23004960</v>
      </c>
      <c r="AN5" s="755" t="str">
        <f t="shared" ca="1" si="4"/>
        <v>VIGENTE</v>
      </c>
      <c r="AO5" s="900" t="s">
        <v>161</v>
      </c>
      <c r="AP5" s="753" t="s">
        <v>1146</v>
      </c>
      <c r="AQ5" s="753" t="s">
        <v>7201</v>
      </c>
      <c r="AR5" s="753" t="s">
        <v>6301</v>
      </c>
      <c r="AS5" s="753" t="s">
        <v>7201</v>
      </c>
      <c r="AT5" s="739"/>
      <c r="AU5" s="739">
        <v>45209</v>
      </c>
      <c r="AV5" s="739">
        <v>45219</v>
      </c>
      <c r="AW5" s="739">
        <v>45224</v>
      </c>
      <c r="AX5" s="739"/>
      <c r="AY5" s="882">
        <v>45225</v>
      </c>
      <c r="AZ5" s="739"/>
      <c r="BA5" s="739"/>
      <c r="BB5" s="739"/>
      <c r="BC5" s="739"/>
      <c r="BD5" s="739">
        <f t="shared" si="5"/>
        <v>45160</v>
      </c>
      <c r="BE5" s="739">
        <v>45237</v>
      </c>
      <c r="BF5" s="882">
        <f t="shared" si="6"/>
        <v>45160</v>
      </c>
    </row>
    <row r="6" spans="1:58" s="740" customFormat="1" ht="60" x14ac:dyDescent="0.25">
      <c r="A6" s="956" t="s">
        <v>6352</v>
      </c>
      <c r="B6" s="773">
        <v>0</v>
      </c>
      <c r="C6" s="896" t="s">
        <v>149</v>
      </c>
      <c r="D6" s="928" t="s">
        <v>7196</v>
      </c>
      <c r="E6" s="744" t="s">
        <v>5613</v>
      </c>
      <c r="F6" s="744" t="str">
        <f t="shared" si="7"/>
        <v>Convenio Modificatorio</v>
      </c>
      <c r="G6" s="773" t="s">
        <v>161</v>
      </c>
      <c r="H6" s="744" t="s">
        <v>4123</v>
      </c>
      <c r="I6" s="746" t="s">
        <v>1782</v>
      </c>
      <c r="J6" s="747"/>
      <c r="K6" s="747"/>
      <c r="L6" s="747"/>
      <c r="M6" s="927" t="str">
        <f t="shared" si="0"/>
        <v xml:space="preserve">Consultores y Soporte AMD, S.A. de C.V.  </v>
      </c>
      <c r="N6" s="749" t="s">
        <v>656</v>
      </c>
      <c r="O6" s="749" t="s">
        <v>656</v>
      </c>
      <c r="P6" s="749" t="s">
        <v>667</v>
      </c>
      <c r="Q6" s="749" t="s">
        <v>5368</v>
      </c>
      <c r="R6" s="937" t="s">
        <v>6182</v>
      </c>
      <c r="S6" s="861">
        <v>8286732.8965517245</v>
      </c>
      <c r="T6" s="861">
        <f t="shared" si="1"/>
        <v>1325877.2634482759</v>
      </c>
      <c r="U6" s="864">
        <f t="shared" si="8"/>
        <v>9612610.1600000001</v>
      </c>
      <c r="V6" s="862">
        <v>0</v>
      </c>
      <c r="W6" s="861">
        <f t="shared" si="2"/>
        <v>0</v>
      </c>
      <c r="X6" s="864">
        <f t="shared" si="3"/>
        <v>0</v>
      </c>
      <c r="Y6" s="866">
        <f t="shared" si="9"/>
        <v>8286732.8965517245</v>
      </c>
      <c r="Z6" s="751" t="s">
        <v>183</v>
      </c>
      <c r="AA6" s="752">
        <v>45160</v>
      </c>
      <c r="AB6" s="753" t="s">
        <v>7206</v>
      </c>
      <c r="AC6" s="752">
        <v>45160</v>
      </c>
      <c r="AD6" s="752">
        <v>45900</v>
      </c>
      <c r="AE6" s="908">
        <v>0.15</v>
      </c>
      <c r="AF6" s="908">
        <v>0.1</v>
      </c>
      <c r="AG6" s="908">
        <v>0.1</v>
      </c>
      <c r="AH6" s="900" t="s">
        <v>161</v>
      </c>
      <c r="AI6" s="900" t="s">
        <v>161</v>
      </c>
      <c r="AJ6" s="900" t="s">
        <v>7207</v>
      </c>
      <c r="AK6" s="752">
        <v>45584</v>
      </c>
      <c r="AL6" s="862">
        <v>0</v>
      </c>
      <c r="AM6" s="862">
        <f t="shared" si="10"/>
        <v>8286732.8965517245</v>
      </c>
      <c r="AN6" s="755" t="str">
        <f t="shared" ca="1" si="4"/>
        <v>VIGENTE</v>
      </c>
      <c r="AO6" s="900" t="s">
        <v>161</v>
      </c>
      <c r="AP6" s="753" t="s">
        <v>1146</v>
      </c>
      <c r="AQ6" s="753" t="s">
        <v>7208</v>
      </c>
      <c r="AR6" s="753"/>
      <c r="AS6" s="753" t="s">
        <v>7208</v>
      </c>
      <c r="AT6" s="739"/>
      <c r="AU6" s="739">
        <v>45575</v>
      </c>
      <c r="AV6" s="739">
        <v>45594</v>
      </c>
      <c r="AW6" s="739">
        <v>45611</v>
      </c>
      <c r="AX6" s="739"/>
      <c r="AY6" s="882">
        <v>45602</v>
      </c>
      <c r="AZ6" s="739"/>
      <c r="BA6" s="739"/>
      <c r="BB6" s="739"/>
      <c r="BC6" s="739"/>
      <c r="BD6" s="739">
        <f t="shared" si="5"/>
        <v>45160</v>
      </c>
      <c r="BE6" s="739"/>
      <c r="BF6" s="882">
        <f t="shared" si="6"/>
        <v>45160</v>
      </c>
    </row>
    <row r="7" spans="1:58" s="740" customFormat="1" ht="60" x14ac:dyDescent="0.25">
      <c r="A7" s="956" t="s">
        <v>6354</v>
      </c>
      <c r="B7" s="773">
        <v>0</v>
      </c>
      <c r="C7" s="896" t="s">
        <v>149</v>
      </c>
      <c r="D7" s="928" t="s">
        <v>7196</v>
      </c>
      <c r="E7" s="744" t="s">
        <v>6238</v>
      </c>
      <c r="F7" s="744" t="str">
        <f t="shared" si="7"/>
        <v>Convenio Modificatorio</v>
      </c>
      <c r="G7" s="773" t="s">
        <v>161</v>
      </c>
      <c r="H7" s="744" t="s">
        <v>7209</v>
      </c>
      <c r="I7" s="746" t="s">
        <v>7210</v>
      </c>
      <c r="J7" s="747"/>
      <c r="K7" s="747"/>
      <c r="L7" s="747"/>
      <c r="M7" s="927" t="str">
        <f t="shared" si="0"/>
        <v xml:space="preserve">INNDOT, S.A.P.I. de C.V.  </v>
      </c>
      <c r="N7" s="749" t="s">
        <v>656</v>
      </c>
      <c r="O7" s="749" t="s">
        <v>656</v>
      </c>
      <c r="P7" s="749" t="s">
        <v>667</v>
      </c>
      <c r="Q7" s="749" t="s">
        <v>5368</v>
      </c>
      <c r="R7" s="937" t="s">
        <v>6240</v>
      </c>
      <c r="S7" s="861">
        <v>4191570.05</v>
      </c>
      <c r="T7" s="861">
        <f t="shared" si="1"/>
        <v>670651.20799999998</v>
      </c>
      <c r="U7" s="864">
        <f t="shared" si="8"/>
        <v>4862221.2579999994</v>
      </c>
      <c r="V7" s="862">
        <v>0</v>
      </c>
      <c r="W7" s="861">
        <f t="shared" si="2"/>
        <v>0</v>
      </c>
      <c r="X7" s="864">
        <f t="shared" si="3"/>
        <v>0</v>
      </c>
      <c r="Y7" s="866">
        <f t="shared" si="9"/>
        <v>4191570.05</v>
      </c>
      <c r="Z7" s="751" t="s">
        <v>183</v>
      </c>
      <c r="AA7" s="752">
        <v>45201</v>
      </c>
      <c r="AB7" s="753" t="s">
        <v>7206</v>
      </c>
      <c r="AC7" s="752">
        <v>45200</v>
      </c>
      <c r="AD7" s="752">
        <v>45930</v>
      </c>
      <c r="AE7" s="908">
        <v>0.15</v>
      </c>
      <c r="AF7" s="908">
        <v>0.1</v>
      </c>
      <c r="AG7" s="900" t="s">
        <v>161</v>
      </c>
      <c r="AH7" s="900" t="s">
        <v>161</v>
      </c>
      <c r="AI7" s="900" t="s">
        <v>161</v>
      </c>
      <c r="AJ7" s="900" t="s">
        <v>7211</v>
      </c>
      <c r="AK7" s="752">
        <v>45537</v>
      </c>
      <c r="AL7" s="862">
        <v>0</v>
      </c>
      <c r="AM7" s="862">
        <f t="shared" si="10"/>
        <v>4191570.05</v>
      </c>
      <c r="AN7" s="755" t="str">
        <f t="shared" ca="1" si="4"/>
        <v>VIGENTE</v>
      </c>
      <c r="AO7" s="900" t="s">
        <v>161</v>
      </c>
      <c r="AP7" s="753" t="s">
        <v>1146</v>
      </c>
      <c r="AQ7" s="753" t="s">
        <v>6301</v>
      </c>
      <c r="AR7" s="753" t="s">
        <v>6301</v>
      </c>
      <c r="AS7" s="753" t="s">
        <v>6301</v>
      </c>
      <c r="AT7" s="739"/>
      <c r="AU7" s="739">
        <v>45197</v>
      </c>
      <c r="AV7" s="739">
        <v>45201</v>
      </c>
      <c r="AW7" s="739">
        <v>45201</v>
      </c>
      <c r="AX7" s="739"/>
      <c r="AY7" s="882">
        <v>45568</v>
      </c>
      <c r="AZ7" s="739"/>
      <c r="BA7" s="739"/>
      <c r="BB7" s="739"/>
      <c r="BC7" s="739"/>
      <c r="BD7" s="739">
        <f t="shared" si="5"/>
        <v>45201</v>
      </c>
      <c r="BE7" s="739">
        <v>45223</v>
      </c>
      <c r="BF7" s="882">
        <f t="shared" si="6"/>
        <v>45201</v>
      </c>
    </row>
    <row r="8" spans="1:58" s="740" customFormat="1" ht="90" x14ac:dyDescent="0.25">
      <c r="A8" s="956" t="s">
        <v>6634</v>
      </c>
      <c r="B8" s="773">
        <v>0</v>
      </c>
      <c r="C8" s="896" t="s">
        <v>149</v>
      </c>
      <c r="D8" s="928" t="s">
        <v>7196</v>
      </c>
      <c r="E8" s="744" t="s">
        <v>6635</v>
      </c>
      <c r="F8" s="744" t="str">
        <f t="shared" si="7"/>
        <v>Convenio Modificatorio</v>
      </c>
      <c r="G8" s="773" t="s">
        <v>161</v>
      </c>
      <c r="H8" s="744" t="s">
        <v>6579</v>
      </c>
      <c r="I8" s="746" t="s">
        <v>2132</v>
      </c>
      <c r="J8" s="747"/>
      <c r="K8" s="747"/>
      <c r="L8" s="747"/>
      <c r="M8" s="927" t="str">
        <f t="shared" si="0"/>
        <v xml:space="preserve">Detecno, S.A. de C.V.  </v>
      </c>
      <c r="N8" s="749" t="s">
        <v>461</v>
      </c>
      <c r="O8" s="749" t="s">
        <v>461</v>
      </c>
      <c r="P8" s="749" t="s">
        <v>461</v>
      </c>
      <c r="Q8" s="749" t="s">
        <v>3433</v>
      </c>
      <c r="R8" s="937" t="s">
        <v>5990</v>
      </c>
      <c r="S8" s="861">
        <v>2904707</v>
      </c>
      <c r="T8" s="861">
        <f t="shared" si="1"/>
        <v>464753.12</v>
      </c>
      <c r="U8" s="864">
        <f t="shared" si="8"/>
        <v>3369460.12</v>
      </c>
      <c r="V8" s="862">
        <v>0</v>
      </c>
      <c r="W8" s="861">
        <f t="shared" si="2"/>
        <v>0</v>
      </c>
      <c r="X8" s="864">
        <f t="shared" si="3"/>
        <v>0</v>
      </c>
      <c r="Y8" s="866">
        <f t="shared" si="9"/>
        <v>3128146</v>
      </c>
      <c r="Z8" s="751" t="s">
        <v>156</v>
      </c>
      <c r="AA8" s="752">
        <v>45657</v>
      </c>
      <c r="AB8" s="753" t="s">
        <v>7202</v>
      </c>
      <c r="AC8" s="752">
        <v>45292</v>
      </c>
      <c r="AD8" s="752">
        <v>45688</v>
      </c>
      <c r="AE8" s="908">
        <v>0.15</v>
      </c>
      <c r="AF8" s="908"/>
      <c r="AG8" s="900" t="s">
        <v>161</v>
      </c>
      <c r="AH8" s="900" t="s">
        <v>161</v>
      </c>
      <c r="AI8" s="900" t="s">
        <v>161</v>
      </c>
      <c r="AJ8" s="900" t="s">
        <v>6636</v>
      </c>
      <c r="AK8" s="900" t="s">
        <v>6637</v>
      </c>
      <c r="AL8" s="862">
        <v>223439</v>
      </c>
      <c r="AM8" s="862">
        <f t="shared" si="10"/>
        <v>3128146</v>
      </c>
      <c r="AN8" s="755" t="str">
        <f t="shared" ca="1" si="4"/>
        <v>MUERTO</v>
      </c>
      <c r="AO8" s="753">
        <v>33301</v>
      </c>
      <c r="AP8" s="753" t="s">
        <v>1146</v>
      </c>
      <c r="AQ8" s="753" t="s">
        <v>7202</v>
      </c>
      <c r="AR8" s="753"/>
      <c r="AS8" s="753" t="s">
        <v>7202</v>
      </c>
      <c r="AT8" s="739" t="s">
        <v>7212</v>
      </c>
      <c r="AU8" s="739">
        <v>45649</v>
      </c>
      <c r="AV8" s="739"/>
      <c r="AW8" s="739"/>
      <c r="AX8" s="739" t="s">
        <v>7213</v>
      </c>
      <c r="AY8" s="882"/>
      <c r="AZ8" s="739"/>
      <c r="BA8" s="739"/>
      <c r="BB8" s="739">
        <v>45671</v>
      </c>
      <c r="BC8" s="739">
        <v>45672</v>
      </c>
      <c r="BD8" s="739">
        <f t="shared" si="5"/>
        <v>45657</v>
      </c>
      <c r="BE8" s="739"/>
      <c r="BF8" s="882">
        <f t="shared" si="6"/>
        <v>45657</v>
      </c>
    </row>
    <row r="9" spans="1:58" s="740" customFormat="1" ht="75" x14ac:dyDescent="0.25">
      <c r="A9" s="956" t="s">
        <v>6707</v>
      </c>
      <c r="B9" s="773">
        <v>0</v>
      </c>
      <c r="C9" s="896" t="s">
        <v>149</v>
      </c>
      <c r="D9" s="928" t="s">
        <v>7196</v>
      </c>
      <c r="E9" s="744" t="s">
        <v>6708</v>
      </c>
      <c r="F9" s="744" t="str">
        <f t="shared" si="7"/>
        <v>Convenio Modificatorio</v>
      </c>
      <c r="G9" s="773" t="s">
        <v>161</v>
      </c>
      <c r="H9" s="744" t="s">
        <v>6342</v>
      </c>
      <c r="I9" s="746" t="s">
        <v>7214</v>
      </c>
      <c r="J9" s="747"/>
      <c r="K9" s="747"/>
      <c r="L9" s="747"/>
      <c r="M9" s="927" t="str">
        <f t="shared" si="0"/>
        <v xml:space="preserve">TVMDIGITAL, S. de R.L. de C.V.  </v>
      </c>
      <c r="N9" s="749" t="s">
        <v>6365</v>
      </c>
      <c r="O9" s="749" t="s">
        <v>6365</v>
      </c>
      <c r="P9" s="749" t="s">
        <v>6365</v>
      </c>
      <c r="Q9" s="749" t="s">
        <v>6704</v>
      </c>
      <c r="R9" s="937" t="s">
        <v>6705</v>
      </c>
      <c r="S9" s="861">
        <v>3965517.24</v>
      </c>
      <c r="T9" s="861">
        <f t="shared" si="1"/>
        <v>634482.75840000005</v>
      </c>
      <c r="U9" s="864">
        <f t="shared" si="8"/>
        <v>4599999.9983999999</v>
      </c>
      <c r="V9" s="862">
        <v>1379310.34</v>
      </c>
      <c r="W9" s="861">
        <f t="shared" si="2"/>
        <v>220689.65440000003</v>
      </c>
      <c r="X9" s="864">
        <f t="shared" si="3"/>
        <v>1599999.9944000002</v>
      </c>
      <c r="Y9" s="866">
        <f t="shared" si="9"/>
        <v>4482758.62</v>
      </c>
      <c r="Z9" s="751" t="s">
        <v>156</v>
      </c>
      <c r="AA9" s="752">
        <v>45656</v>
      </c>
      <c r="AB9" s="753" t="s">
        <v>7215</v>
      </c>
      <c r="AC9" s="752">
        <v>45292</v>
      </c>
      <c r="AD9" s="752">
        <v>45730</v>
      </c>
      <c r="AE9" s="908">
        <v>0.15</v>
      </c>
      <c r="AF9" s="908">
        <v>0.1</v>
      </c>
      <c r="AG9" s="900" t="s">
        <v>161</v>
      </c>
      <c r="AH9" s="900" t="s">
        <v>161</v>
      </c>
      <c r="AI9" s="900" t="s">
        <v>161</v>
      </c>
      <c r="AJ9" s="900" t="s">
        <v>6709</v>
      </c>
      <c r="AK9" s="900" t="s">
        <v>6710</v>
      </c>
      <c r="AL9" s="862">
        <v>517241.38</v>
      </c>
      <c r="AM9" s="862">
        <f t="shared" si="10"/>
        <v>4482758.62</v>
      </c>
      <c r="AN9" s="755" t="str">
        <f t="shared" ca="1" si="4"/>
        <v>MUERTO</v>
      </c>
      <c r="AO9" s="753">
        <v>35201</v>
      </c>
      <c r="AP9" s="753" t="s">
        <v>1146</v>
      </c>
      <c r="AQ9" s="753" t="s">
        <v>7202</v>
      </c>
      <c r="AR9" s="753"/>
      <c r="AS9" s="753" t="s">
        <v>7202</v>
      </c>
      <c r="AT9" s="739"/>
      <c r="AU9" s="739">
        <v>45645</v>
      </c>
      <c r="AV9" s="739">
        <v>45649</v>
      </c>
      <c r="AW9" s="739">
        <v>45656</v>
      </c>
      <c r="AX9" s="739" t="s">
        <v>7216</v>
      </c>
      <c r="AY9" s="882">
        <v>45674</v>
      </c>
      <c r="AZ9" s="739">
        <v>45674</v>
      </c>
      <c r="BA9" s="739">
        <v>45679</v>
      </c>
      <c r="BB9" s="739">
        <v>45679</v>
      </c>
      <c r="BC9" s="739">
        <v>45684</v>
      </c>
      <c r="BD9" s="739">
        <f t="shared" si="5"/>
        <v>45656</v>
      </c>
      <c r="BE9" s="739"/>
      <c r="BF9" s="882">
        <f t="shared" si="6"/>
        <v>45656</v>
      </c>
    </row>
    <row r="10" spans="1:58" s="740" customFormat="1" ht="90" x14ac:dyDescent="0.25">
      <c r="A10" s="956" t="s">
        <v>6775</v>
      </c>
      <c r="B10" s="773">
        <v>0</v>
      </c>
      <c r="C10" s="896" t="s">
        <v>149</v>
      </c>
      <c r="D10" s="928" t="s">
        <v>7196</v>
      </c>
      <c r="E10" s="744" t="s">
        <v>6776</v>
      </c>
      <c r="F10" s="744" t="str">
        <f t="shared" si="7"/>
        <v>Convenio Modificatorio</v>
      </c>
      <c r="G10" s="773" t="s">
        <v>161</v>
      </c>
      <c r="H10" s="744" t="s">
        <v>7217</v>
      </c>
      <c r="I10" s="746" t="s">
        <v>4420</v>
      </c>
      <c r="J10" s="747"/>
      <c r="K10" s="747"/>
      <c r="L10" s="747"/>
      <c r="M10" s="927" t="str">
        <f t="shared" si="0"/>
        <v xml:space="preserve">Johnson Controls BTS México, S.A. de C.V.  </v>
      </c>
      <c r="N10" s="749" t="s">
        <v>198</v>
      </c>
      <c r="O10" s="749" t="s">
        <v>7198</v>
      </c>
      <c r="P10" s="749" t="s">
        <v>198</v>
      </c>
      <c r="Q10" s="749" t="s">
        <v>6777</v>
      </c>
      <c r="R10" s="937" t="s">
        <v>6770</v>
      </c>
      <c r="S10" s="861">
        <v>8785605.6300000008</v>
      </c>
      <c r="T10" s="861">
        <f t="shared" si="1"/>
        <v>1405696.9008000002</v>
      </c>
      <c r="U10" s="864">
        <f t="shared" si="8"/>
        <v>10191302.530800002</v>
      </c>
      <c r="V10" s="862">
        <v>0</v>
      </c>
      <c r="W10" s="861">
        <f t="shared" si="2"/>
        <v>0</v>
      </c>
      <c r="X10" s="864">
        <f t="shared" si="3"/>
        <v>0</v>
      </c>
      <c r="Y10" s="866">
        <f t="shared" si="9"/>
        <v>9772346.4600000009</v>
      </c>
      <c r="Z10" s="751" t="s">
        <v>156</v>
      </c>
      <c r="AA10" s="752">
        <v>45652</v>
      </c>
      <c r="AB10" s="753" t="s">
        <v>7202</v>
      </c>
      <c r="AC10" s="752">
        <v>45627</v>
      </c>
      <c r="AD10" s="752">
        <v>45716</v>
      </c>
      <c r="AE10" s="908">
        <v>0.15</v>
      </c>
      <c r="AF10" s="908">
        <v>0.15</v>
      </c>
      <c r="AG10" s="900" t="s">
        <v>161</v>
      </c>
      <c r="AH10" s="900" t="s">
        <v>161</v>
      </c>
      <c r="AI10" s="900" t="s">
        <v>161</v>
      </c>
      <c r="AJ10" s="900" t="s">
        <v>6778</v>
      </c>
      <c r="AK10" s="900" t="s">
        <v>6779</v>
      </c>
      <c r="AL10" s="862">
        <v>986740.83</v>
      </c>
      <c r="AM10" s="862">
        <f t="shared" si="10"/>
        <v>9772346.4600000009</v>
      </c>
      <c r="AN10" s="755" t="str">
        <f t="shared" ca="1" si="4"/>
        <v>MUERTO</v>
      </c>
      <c r="AO10" s="753">
        <v>35701</v>
      </c>
      <c r="AP10" s="753" t="s">
        <v>1146</v>
      </c>
      <c r="AQ10" s="753" t="s">
        <v>7202</v>
      </c>
      <c r="AR10" s="753"/>
      <c r="AS10" s="753" t="s">
        <v>7202</v>
      </c>
      <c r="AT10" s="739"/>
      <c r="AU10" s="739"/>
      <c r="AV10" s="739">
        <v>45643</v>
      </c>
      <c r="AW10" s="739">
        <v>45653</v>
      </c>
      <c r="AX10" s="739"/>
      <c r="AY10" s="882">
        <v>45665</v>
      </c>
      <c r="AZ10" s="739">
        <v>45665</v>
      </c>
      <c r="BA10" s="739">
        <v>45666</v>
      </c>
      <c r="BB10" s="739">
        <v>45666</v>
      </c>
      <c r="BC10" s="739">
        <v>45670</v>
      </c>
      <c r="BD10" s="739">
        <f t="shared" si="5"/>
        <v>45652</v>
      </c>
      <c r="BE10" s="739"/>
      <c r="BF10" s="882">
        <f t="shared" si="6"/>
        <v>45652</v>
      </c>
    </row>
    <row r="11" spans="1:58" s="740" customFormat="1" ht="75" x14ac:dyDescent="0.25">
      <c r="A11" s="956" t="s">
        <v>6836</v>
      </c>
      <c r="B11" s="773">
        <v>0</v>
      </c>
      <c r="C11" s="896" t="s">
        <v>149</v>
      </c>
      <c r="D11" s="928" t="s">
        <v>7196</v>
      </c>
      <c r="E11" s="744" t="s">
        <v>6837</v>
      </c>
      <c r="F11" s="744" t="str">
        <f t="shared" si="7"/>
        <v>Convenio Modificatorio</v>
      </c>
      <c r="G11" s="773" t="s">
        <v>161</v>
      </c>
      <c r="H11" s="744" t="s">
        <v>6342</v>
      </c>
      <c r="I11" s="746" t="s">
        <v>6832</v>
      </c>
      <c r="J11" s="747"/>
      <c r="K11" s="747"/>
      <c r="L11" s="747"/>
      <c r="M11" s="927" t="str">
        <f t="shared" si="0"/>
        <v xml:space="preserve">Lemonrot Bususiness Solutions, S.A. de C.V.  </v>
      </c>
      <c r="N11" s="749" t="s">
        <v>198</v>
      </c>
      <c r="O11" s="749" t="s">
        <v>7198</v>
      </c>
      <c r="P11" s="749" t="s">
        <v>198</v>
      </c>
      <c r="Q11" s="749" t="s">
        <v>6833</v>
      </c>
      <c r="R11" s="937" t="s">
        <v>6834</v>
      </c>
      <c r="S11" s="861">
        <v>3641973.28</v>
      </c>
      <c r="T11" s="861">
        <f t="shared" si="1"/>
        <v>582715.72479999997</v>
      </c>
      <c r="U11" s="864">
        <f t="shared" si="8"/>
        <v>4224689.0047999993</v>
      </c>
      <c r="V11" s="862">
        <v>1922423.04</v>
      </c>
      <c r="W11" s="861">
        <f t="shared" si="2"/>
        <v>307587.68640000001</v>
      </c>
      <c r="X11" s="864">
        <f t="shared" si="3"/>
        <v>2230010.7264</v>
      </c>
      <c r="Y11" s="866">
        <f t="shared" si="9"/>
        <v>3826294.28</v>
      </c>
      <c r="Z11" s="751" t="s">
        <v>156</v>
      </c>
      <c r="AA11" s="752">
        <v>45657</v>
      </c>
      <c r="AB11" s="753" t="s">
        <v>7202</v>
      </c>
      <c r="AC11" s="752">
        <v>45292</v>
      </c>
      <c r="AD11" s="752">
        <v>45688</v>
      </c>
      <c r="AE11" s="908">
        <v>0.15</v>
      </c>
      <c r="AF11" s="908">
        <v>0.15</v>
      </c>
      <c r="AG11" s="900" t="s">
        <v>161</v>
      </c>
      <c r="AH11" s="900" t="s">
        <v>161</v>
      </c>
      <c r="AI11" s="900" t="s">
        <v>161</v>
      </c>
      <c r="AJ11" s="900" t="s">
        <v>6636</v>
      </c>
      <c r="AK11" s="900" t="s">
        <v>6838</v>
      </c>
      <c r="AL11" s="862">
        <v>184321</v>
      </c>
      <c r="AM11" s="862">
        <f t="shared" si="10"/>
        <v>3826294.28</v>
      </c>
      <c r="AN11" s="755" t="str">
        <f t="shared" ca="1" si="4"/>
        <v>MUERTO</v>
      </c>
      <c r="AO11" s="753">
        <v>35301</v>
      </c>
      <c r="AP11" s="753" t="s">
        <v>1146</v>
      </c>
      <c r="AQ11" s="753" t="s">
        <v>7202</v>
      </c>
      <c r="AR11" s="753"/>
      <c r="AS11" s="753" t="s">
        <v>7202</v>
      </c>
      <c r="AT11" s="739"/>
      <c r="AU11" s="739">
        <v>45649</v>
      </c>
      <c r="AV11" s="739">
        <v>46018</v>
      </c>
      <c r="AW11" s="739">
        <v>45667</v>
      </c>
      <c r="AX11" s="739" t="s">
        <v>7218</v>
      </c>
      <c r="AY11" s="882">
        <v>45674</v>
      </c>
      <c r="AZ11" s="739">
        <v>45674</v>
      </c>
      <c r="BA11" s="739">
        <v>45678</v>
      </c>
      <c r="BB11" s="739">
        <v>45678</v>
      </c>
      <c r="BC11" s="739">
        <v>45680</v>
      </c>
      <c r="BD11" s="739">
        <f t="shared" si="5"/>
        <v>45657</v>
      </c>
      <c r="BE11" s="739"/>
      <c r="BF11" s="882">
        <f t="shared" si="6"/>
        <v>45657</v>
      </c>
    </row>
    <row r="12" spans="1:58" s="740" customFormat="1" ht="75" x14ac:dyDescent="0.25">
      <c r="A12" s="956" t="s">
        <v>6945</v>
      </c>
      <c r="B12" s="773">
        <v>0</v>
      </c>
      <c r="C12" s="896" t="s">
        <v>149</v>
      </c>
      <c r="D12" s="928" t="s">
        <v>7196</v>
      </c>
      <c r="E12" s="744" t="s">
        <v>6946</v>
      </c>
      <c r="F12" s="744" t="str">
        <f t="shared" si="7"/>
        <v>Convenio Modificatorio</v>
      </c>
      <c r="G12" s="773" t="s">
        <v>161</v>
      </c>
      <c r="H12" s="744" t="s">
        <v>6342</v>
      </c>
      <c r="I12" s="746"/>
      <c r="J12" s="747" t="s">
        <v>1469</v>
      </c>
      <c r="K12" s="747" t="s">
        <v>453</v>
      </c>
      <c r="L12" s="747" t="s">
        <v>454</v>
      </c>
      <c r="M12" s="927" t="str">
        <f t="shared" si="0"/>
        <v>Claudia Angélica López Flores</v>
      </c>
      <c r="N12" s="749" t="s">
        <v>301</v>
      </c>
      <c r="O12" s="749" t="s">
        <v>7198</v>
      </c>
      <c r="P12" s="749" t="s">
        <v>301</v>
      </c>
      <c r="Q12" s="749" t="s">
        <v>5772</v>
      </c>
      <c r="R12" s="937" t="s">
        <v>5979</v>
      </c>
      <c r="S12" s="861">
        <v>3303646.98</v>
      </c>
      <c r="T12" s="861">
        <f t="shared" si="1"/>
        <v>528583.51679999998</v>
      </c>
      <c r="U12" s="864">
        <f t="shared" si="8"/>
        <v>3832230.4967999998</v>
      </c>
      <c r="V12" s="862">
        <v>1321458.79</v>
      </c>
      <c r="W12" s="861">
        <f t="shared" si="2"/>
        <v>211433.40640000001</v>
      </c>
      <c r="X12" s="864">
        <f t="shared" si="3"/>
        <v>1532892.1964</v>
      </c>
      <c r="Y12" s="866">
        <f t="shared" si="9"/>
        <v>3453646.98</v>
      </c>
      <c r="Z12" s="751" t="s">
        <v>156</v>
      </c>
      <c r="AA12" s="752">
        <v>45657</v>
      </c>
      <c r="AB12" s="753" t="s">
        <v>7202</v>
      </c>
      <c r="AC12" s="752">
        <v>45352</v>
      </c>
      <c r="AD12" s="752">
        <v>45716</v>
      </c>
      <c r="AE12" s="908">
        <v>0.15</v>
      </c>
      <c r="AF12" s="900" t="s">
        <v>161</v>
      </c>
      <c r="AG12" s="900" t="s">
        <v>161</v>
      </c>
      <c r="AH12" s="900" t="s">
        <v>161</v>
      </c>
      <c r="AI12" s="900" t="s">
        <v>161</v>
      </c>
      <c r="AJ12" s="900" t="s">
        <v>6948</v>
      </c>
      <c r="AK12" s="900" t="s">
        <v>6949</v>
      </c>
      <c r="AL12" s="862">
        <v>150000</v>
      </c>
      <c r="AM12" s="862">
        <f t="shared" si="10"/>
        <v>3453646.98</v>
      </c>
      <c r="AN12" s="755" t="str">
        <f t="shared" ca="1" si="4"/>
        <v>MUERTO</v>
      </c>
      <c r="AO12" s="753">
        <v>33603</v>
      </c>
      <c r="AP12" s="753" t="s">
        <v>1146</v>
      </c>
      <c r="AQ12" s="753" t="s">
        <v>7202</v>
      </c>
      <c r="AR12" s="753"/>
      <c r="AS12" s="753" t="s">
        <v>7202</v>
      </c>
      <c r="AT12" s="739" t="s">
        <v>7219</v>
      </c>
      <c r="AU12" s="739">
        <v>45649</v>
      </c>
      <c r="AV12" s="739"/>
      <c r="AW12" s="739">
        <v>45665</v>
      </c>
      <c r="AX12" s="739" t="s">
        <v>7220</v>
      </c>
      <c r="AY12" s="882">
        <v>45671</v>
      </c>
      <c r="AZ12" s="739">
        <v>45671</v>
      </c>
      <c r="BA12" s="739">
        <v>45674</v>
      </c>
      <c r="BB12" s="739">
        <v>45674</v>
      </c>
      <c r="BC12" s="739">
        <v>45677</v>
      </c>
      <c r="BD12" s="739">
        <f t="shared" si="5"/>
        <v>45657</v>
      </c>
      <c r="BE12" s="739"/>
      <c r="BF12" s="882">
        <f t="shared" si="6"/>
        <v>45657</v>
      </c>
    </row>
    <row r="13" spans="1:58" s="740" customFormat="1" ht="75" x14ac:dyDescent="0.25">
      <c r="A13" s="956" t="s">
        <v>6957</v>
      </c>
      <c r="B13" s="773">
        <v>0</v>
      </c>
      <c r="C13" s="896" t="s">
        <v>149</v>
      </c>
      <c r="D13" s="928" t="s">
        <v>7196</v>
      </c>
      <c r="E13" s="744" t="s">
        <v>6958</v>
      </c>
      <c r="F13" s="744" t="str">
        <f t="shared" si="7"/>
        <v>Convenio Modificatorio</v>
      </c>
      <c r="G13" s="773" t="s">
        <v>161</v>
      </c>
      <c r="H13" s="744" t="s">
        <v>6342</v>
      </c>
      <c r="I13" s="746"/>
      <c r="J13" s="747" t="s">
        <v>384</v>
      </c>
      <c r="K13" s="747" t="s">
        <v>259</v>
      </c>
      <c r="L13" s="747" t="s">
        <v>385</v>
      </c>
      <c r="M13" s="927" t="str">
        <f t="shared" si="0"/>
        <v>Mario Alberto Contreras García</v>
      </c>
      <c r="N13" s="749" t="s">
        <v>301</v>
      </c>
      <c r="O13" s="749" t="s">
        <v>7198</v>
      </c>
      <c r="P13" s="749" t="s">
        <v>301</v>
      </c>
      <c r="Q13" s="749" t="s">
        <v>5772</v>
      </c>
      <c r="R13" s="937" t="s">
        <v>6956</v>
      </c>
      <c r="S13" s="861">
        <v>1982188.19</v>
      </c>
      <c r="T13" s="861">
        <f t="shared" si="1"/>
        <v>317150.11040000001</v>
      </c>
      <c r="U13" s="864">
        <f t="shared" si="8"/>
        <v>2299338.3004000001</v>
      </c>
      <c r="V13" s="862">
        <v>792875.28</v>
      </c>
      <c r="W13" s="861">
        <f t="shared" si="2"/>
        <v>126860.0448</v>
      </c>
      <c r="X13" s="864">
        <f t="shared" si="3"/>
        <v>919735.32480000006</v>
      </c>
      <c r="Y13" s="866">
        <f t="shared" si="9"/>
        <v>2082188.19</v>
      </c>
      <c r="Z13" s="751" t="s">
        <v>156</v>
      </c>
      <c r="AA13" s="752">
        <v>45657</v>
      </c>
      <c r="AB13" s="753" t="s">
        <v>7202</v>
      </c>
      <c r="AC13" s="752">
        <v>45352</v>
      </c>
      <c r="AD13" s="752">
        <v>45716</v>
      </c>
      <c r="AE13" s="908">
        <v>0.15</v>
      </c>
      <c r="AF13" s="900" t="s">
        <v>161</v>
      </c>
      <c r="AG13" s="900" t="s">
        <v>161</v>
      </c>
      <c r="AH13" s="900" t="s">
        <v>161</v>
      </c>
      <c r="AI13" s="900" t="s">
        <v>161</v>
      </c>
      <c r="AJ13" s="900" t="s">
        <v>6948</v>
      </c>
      <c r="AK13" s="900" t="s">
        <v>6959</v>
      </c>
      <c r="AL13" s="862">
        <v>100000</v>
      </c>
      <c r="AM13" s="862">
        <f t="shared" si="10"/>
        <v>2082188.19</v>
      </c>
      <c r="AN13" s="755" t="str">
        <f t="shared" ca="1" si="4"/>
        <v>MUERTO</v>
      </c>
      <c r="AO13" s="753">
        <v>33603</v>
      </c>
      <c r="AP13" s="753" t="s">
        <v>1146</v>
      </c>
      <c r="AQ13" s="753" t="s">
        <v>7202</v>
      </c>
      <c r="AR13" s="753"/>
      <c r="AS13" s="753" t="s">
        <v>7202</v>
      </c>
      <c r="AT13" s="739" t="s">
        <v>7221</v>
      </c>
      <c r="AU13" s="739">
        <v>45649</v>
      </c>
      <c r="AV13" s="739"/>
      <c r="AW13" s="739">
        <v>45665</v>
      </c>
      <c r="AX13" s="739" t="s">
        <v>7222</v>
      </c>
      <c r="AY13" s="882"/>
      <c r="AZ13" s="739"/>
      <c r="BA13" s="739"/>
      <c r="BB13" s="739"/>
      <c r="BC13" s="739"/>
      <c r="BD13" s="739">
        <f t="shared" si="5"/>
        <v>45657</v>
      </c>
      <c r="BE13" s="739"/>
      <c r="BF13" s="882">
        <f t="shared" si="6"/>
        <v>45657</v>
      </c>
    </row>
    <row r="14" spans="1:58" s="740" customFormat="1" ht="60" x14ac:dyDescent="0.25">
      <c r="A14" s="956" t="s">
        <v>7033</v>
      </c>
      <c r="B14" s="773">
        <v>0</v>
      </c>
      <c r="C14" s="896" t="s">
        <v>149</v>
      </c>
      <c r="D14" s="928" t="s">
        <v>7196</v>
      </c>
      <c r="E14" s="744" t="s">
        <v>7034</v>
      </c>
      <c r="F14" s="744" t="str">
        <f t="shared" si="7"/>
        <v>Convenio Modificatorio</v>
      </c>
      <c r="G14" s="773" t="s">
        <v>161</v>
      </c>
      <c r="H14" s="744" t="s">
        <v>6342</v>
      </c>
      <c r="I14" s="746" t="s">
        <v>4537</v>
      </c>
      <c r="J14" s="747"/>
      <c r="K14" s="747"/>
      <c r="L14" s="747"/>
      <c r="M14" s="927" t="str">
        <f t="shared" si="0"/>
        <v xml:space="preserve">Escalator, Elevator &amp; Electromechanics Enterprise, S.A. de C.V.  </v>
      </c>
      <c r="N14" s="749" t="s">
        <v>198</v>
      </c>
      <c r="O14" s="749" t="s">
        <v>7198</v>
      </c>
      <c r="P14" s="749" t="s">
        <v>198</v>
      </c>
      <c r="Q14" s="749" t="s">
        <v>6244</v>
      </c>
      <c r="R14" s="937" t="s">
        <v>7032</v>
      </c>
      <c r="S14" s="861">
        <v>987000</v>
      </c>
      <c r="T14" s="861">
        <f t="shared" si="1"/>
        <v>157920</v>
      </c>
      <c r="U14" s="864">
        <f t="shared" si="8"/>
        <v>1144920</v>
      </c>
      <c r="V14" s="862">
        <v>0</v>
      </c>
      <c r="W14" s="861">
        <f t="shared" si="2"/>
        <v>0</v>
      </c>
      <c r="X14" s="864">
        <f t="shared" si="3"/>
        <v>0</v>
      </c>
      <c r="Y14" s="866">
        <f t="shared" si="9"/>
        <v>1118400</v>
      </c>
      <c r="Z14" s="751" t="s">
        <v>156</v>
      </c>
      <c r="AA14" s="752">
        <v>45652</v>
      </c>
      <c r="AB14" s="753" t="s">
        <v>7202</v>
      </c>
      <c r="AC14" s="752">
        <v>45426</v>
      </c>
      <c r="AD14" s="752">
        <v>45715</v>
      </c>
      <c r="AE14" s="908">
        <v>0.15</v>
      </c>
      <c r="AF14" s="908">
        <v>0.15</v>
      </c>
      <c r="AG14" s="900" t="s">
        <v>161</v>
      </c>
      <c r="AH14" s="900" t="s">
        <v>161</v>
      </c>
      <c r="AI14" s="900" t="s">
        <v>161</v>
      </c>
      <c r="AJ14" s="900" t="s">
        <v>7035</v>
      </c>
      <c r="AK14" s="900" t="s">
        <v>7036</v>
      </c>
      <c r="AL14" s="862">
        <v>131400</v>
      </c>
      <c r="AM14" s="862">
        <f t="shared" si="10"/>
        <v>1118400</v>
      </c>
      <c r="AN14" s="755" t="str">
        <f t="shared" ca="1" si="4"/>
        <v>MUERTO</v>
      </c>
      <c r="AO14" s="753">
        <v>35701</v>
      </c>
      <c r="AP14" s="753" t="s">
        <v>1146</v>
      </c>
      <c r="AQ14" s="753" t="s">
        <v>7202</v>
      </c>
      <c r="AR14" s="753"/>
      <c r="AS14" s="753" t="s">
        <v>7202</v>
      </c>
      <c r="AT14" s="739"/>
      <c r="AU14" s="739">
        <v>45637</v>
      </c>
      <c r="AV14" s="739">
        <v>45639</v>
      </c>
      <c r="AW14" s="739">
        <v>45653</v>
      </c>
      <c r="AX14" s="739"/>
      <c r="AY14" s="882"/>
      <c r="AZ14" s="739"/>
      <c r="BA14" s="739"/>
      <c r="BB14" s="739"/>
      <c r="BC14" s="739"/>
      <c r="BD14" s="739">
        <f t="shared" si="5"/>
        <v>45652</v>
      </c>
      <c r="BE14" s="739"/>
      <c r="BF14" s="882">
        <f t="shared" si="6"/>
        <v>45652</v>
      </c>
    </row>
    <row r="15" spans="1:58" ht="75" x14ac:dyDescent="0.25">
      <c r="A15" s="929" t="s">
        <v>7223</v>
      </c>
      <c r="B15" s="773">
        <v>1</v>
      </c>
      <c r="C15" s="896" t="s">
        <v>149</v>
      </c>
      <c r="D15" s="928" t="s">
        <v>163</v>
      </c>
      <c r="E15" s="744" t="s">
        <v>7224</v>
      </c>
      <c r="F15" s="744" t="str">
        <f>D15</f>
        <v>Adjudicación Directa</v>
      </c>
      <c r="G15" s="773" t="s">
        <v>161</v>
      </c>
      <c r="H15" s="744" t="s">
        <v>7146</v>
      </c>
      <c r="I15" s="746" t="s">
        <v>1844</v>
      </c>
      <c r="J15" s="747"/>
      <c r="K15" s="747"/>
      <c r="L15" s="747"/>
      <c r="M15" s="927" t="str">
        <f t="shared" ref="M15:M78" si="11">I15&amp;J15&amp;" "&amp;K15&amp;" "&amp;L15</f>
        <v xml:space="preserve">Estafeta Mexicana, S.A. de C.V.  </v>
      </c>
      <c r="N15" s="749" t="s">
        <v>301</v>
      </c>
      <c r="O15" s="749" t="s">
        <v>7225</v>
      </c>
      <c r="P15" s="749" t="str">
        <f>+N15</f>
        <v>Dirección de Servicios Administrativos</v>
      </c>
      <c r="Q15" s="749" t="s">
        <v>6801</v>
      </c>
      <c r="R15" s="937" t="s">
        <v>7226</v>
      </c>
      <c r="S15" s="861">
        <v>1166637.93</v>
      </c>
      <c r="T15" s="861">
        <f t="shared" ref="T15:T79" si="12">+S15*0.16</f>
        <v>186662.06879999998</v>
      </c>
      <c r="U15" s="864">
        <f t="shared" si="8"/>
        <v>1353299.9987999999</v>
      </c>
      <c r="V15" s="862">
        <v>466655.17</v>
      </c>
      <c r="W15" s="861">
        <f t="shared" ref="W15:W78" si="13">+V15*0.16</f>
        <v>74664.8272</v>
      </c>
      <c r="X15" s="864">
        <f>+V15+W15</f>
        <v>541319.99719999998</v>
      </c>
      <c r="Y15" s="866">
        <f t="shared" si="9"/>
        <v>1166637.93</v>
      </c>
      <c r="Z15" s="751" t="s">
        <v>7227</v>
      </c>
      <c r="AA15" s="752">
        <v>45659</v>
      </c>
      <c r="AB15" s="753" t="s">
        <v>6330</v>
      </c>
      <c r="AC15" s="752">
        <v>45658</v>
      </c>
      <c r="AD15" s="752">
        <v>46022</v>
      </c>
      <c r="AE15" s="908">
        <v>0.15</v>
      </c>
      <c r="AF15" s="908">
        <v>0.15</v>
      </c>
      <c r="AG15" s="900" t="s">
        <v>161</v>
      </c>
      <c r="AH15" s="900" t="s">
        <v>161</v>
      </c>
      <c r="AI15" s="900" t="s">
        <v>7228</v>
      </c>
      <c r="AJ15" s="749" t="s">
        <v>161</v>
      </c>
      <c r="AK15" s="749" t="s">
        <v>161</v>
      </c>
      <c r="AL15" s="862">
        <v>0</v>
      </c>
      <c r="AM15" s="862">
        <f>+S15+AL15</f>
        <v>1166637.93</v>
      </c>
      <c r="AN15" s="755" t="str">
        <f ca="1">IF(ISBLANK(AD15),"",IF(AD15&gt;=TODAY(),"VIGENTE","MUERTO"))</f>
        <v>VIGENTE</v>
      </c>
      <c r="AO15" s="753">
        <v>31801</v>
      </c>
      <c r="AP15" s="753" t="s">
        <v>1146</v>
      </c>
      <c r="AQ15" s="753" t="s">
        <v>6330</v>
      </c>
      <c r="AR15" s="753" t="s">
        <v>7229</v>
      </c>
      <c r="AS15" s="753" t="s">
        <v>6330</v>
      </c>
      <c r="AT15" s="739" t="s">
        <v>7230</v>
      </c>
      <c r="AU15" s="739">
        <v>45634</v>
      </c>
      <c r="AV15" s="739">
        <v>45629</v>
      </c>
      <c r="AW15" s="739">
        <v>45635</v>
      </c>
      <c r="AX15" s="739" t="s">
        <v>7231</v>
      </c>
      <c r="AY15" s="882">
        <v>45653</v>
      </c>
      <c r="AZ15" s="739">
        <v>45653</v>
      </c>
      <c r="BA15" s="739">
        <v>45635</v>
      </c>
      <c r="BB15" s="739">
        <v>45635</v>
      </c>
      <c r="BC15" s="739">
        <v>45635</v>
      </c>
      <c r="BD15" s="739">
        <f>+AA15</f>
        <v>45659</v>
      </c>
      <c r="BE15" s="739"/>
      <c r="BF15" s="882">
        <f>+AA15</f>
        <v>45659</v>
      </c>
    </row>
    <row r="16" spans="1:58" ht="75" x14ac:dyDescent="0.25">
      <c r="A16" s="929" t="s">
        <v>7232</v>
      </c>
      <c r="B16" s="773">
        <v>2</v>
      </c>
      <c r="C16" s="744" t="s">
        <v>149</v>
      </c>
      <c r="D16" s="928" t="s">
        <v>163</v>
      </c>
      <c r="E16" s="744" t="s">
        <v>7224</v>
      </c>
      <c r="F16" s="744" t="str">
        <f t="shared" ref="F16:F79" si="14">D16</f>
        <v>Adjudicación Directa</v>
      </c>
      <c r="G16" s="773" t="s">
        <v>161</v>
      </c>
      <c r="H16" s="744" t="s">
        <v>7233</v>
      </c>
      <c r="I16" s="748" t="s">
        <v>1038</v>
      </c>
      <c r="J16" s="747"/>
      <c r="K16" s="747"/>
      <c r="L16" s="747"/>
      <c r="M16" s="927" t="str">
        <f t="shared" si="11"/>
        <v xml:space="preserve">Sistemas Neumáticos de Envíos, S.A. de C.V.  </v>
      </c>
      <c r="N16" s="749" t="s">
        <v>301</v>
      </c>
      <c r="O16" s="749" t="s">
        <v>7225</v>
      </c>
      <c r="P16" s="749" t="s">
        <v>301</v>
      </c>
      <c r="Q16" s="749" t="s">
        <v>7234</v>
      </c>
      <c r="R16" s="937" t="s">
        <v>7235</v>
      </c>
      <c r="S16" s="861">
        <v>2917500</v>
      </c>
      <c r="T16" s="861">
        <f t="shared" si="12"/>
        <v>466800</v>
      </c>
      <c r="U16" s="864">
        <f t="shared" si="8"/>
        <v>3384300</v>
      </c>
      <c r="V16" s="862">
        <v>2330641.7599999998</v>
      </c>
      <c r="W16" s="861">
        <f t="shared" si="13"/>
        <v>372902.68159999995</v>
      </c>
      <c r="X16" s="864">
        <f t="shared" ref="X16:X79" si="15">+V16+W16</f>
        <v>2703544.4415999996</v>
      </c>
      <c r="Y16" s="866">
        <f t="shared" si="9"/>
        <v>2917500</v>
      </c>
      <c r="Z16" s="751" t="s">
        <v>7227</v>
      </c>
      <c r="AA16" s="752">
        <v>45659</v>
      </c>
      <c r="AB16" s="753" t="s">
        <v>6330</v>
      </c>
      <c r="AC16" s="752">
        <v>45658</v>
      </c>
      <c r="AD16" s="752">
        <v>46022</v>
      </c>
      <c r="AE16" s="908">
        <v>0.15</v>
      </c>
      <c r="AF16" s="908">
        <v>0.3</v>
      </c>
      <c r="AG16" s="900" t="s">
        <v>161</v>
      </c>
      <c r="AH16" s="900" t="s">
        <v>161</v>
      </c>
      <c r="AI16" s="900" t="s">
        <v>7236</v>
      </c>
      <c r="AJ16" s="749" t="s">
        <v>161</v>
      </c>
      <c r="AK16" s="754" t="s">
        <v>161</v>
      </c>
      <c r="AL16" s="862">
        <v>0</v>
      </c>
      <c r="AM16" s="862">
        <f t="shared" ref="AM16:AM79" si="16">+S16+AL16</f>
        <v>2917500</v>
      </c>
      <c r="AN16" s="755" t="str">
        <f t="shared" ref="AN16:AN79" ca="1" si="17">IF(ISBLANK(AD16),"",IF(AD16&gt;=TODAY(),"VIGENTE","MUERTO"))</f>
        <v>VIGENTE</v>
      </c>
      <c r="AO16" s="753">
        <v>35701</v>
      </c>
      <c r="AP16" s="753" t="s">
        <v>1146</v>
      </c>
      <c r="AQ16" s="753" t="s">
        <v>6330</v>
      </c>
      <c r="AR16" s="753" t="s">
        <v>7229</v>
      </c>
      <c r="AS16" s="753" t="s">
        <v>6330</v>
      </c>
      <c r="AT16" s="739" t="s">
        <v>7237</v>
      </c>
      <c r="AU16" s="739">
        <v>45603</v>
      </c>
      <c r="AV16" s="739">
        <v>45630</v>
      </c>
      <c r="AW16" s="739">
        <v>45639</v>
      </c>
      <c r="AX16" s="739" t="s">
        <v>7238</v>
      </c>
      <c r="AY16" s="882">
        <v>45649</v>
      </c>
      <c r="AZ16" s="739">
        <v>45652</v>
      </c>
      <c r="BA16" s="739">
        <v>45656</v>
      </c>
      <c r="BB16" s="739">
        <v>45656</v>
      </c>
      <c r="BC16" s="739">
        <v>45656</v>
      </c>
      <c r="BD16" s="739">
        <f t="shared" ref="BD16:BD79" si="18">+AA16</f>
        <v>45659</v>
      </c>
      <c r="BE16" s="739"/>
      <c r="BF16" s="882">
        <f t="shared" ref="BF16:BF79" si="19">+AA16</f>
        <v>45659</v>
      </c>
    </row>
    <row r="17" spans="1:58" ht="45" x14ac:dyDescent="0.25">
      <c r="A17" s="929" t="s">
        <v>7239</v>
      </c>
      <c r="B17" s="773">
        <v>3</v>
      </c>
      <c r="C17" s="744" t="s">
        <v>149</v>
      </c>
      <c r="D17" s="928" t="s">
        <v>163</v>
      </c>
      <c r="E17" s="744" t="s">
        <v>7224</v>
      </c>
      <c r="F17" s="744" t="str">
        <f t="shared" si="14"/>
        <v>Adjudicación Directa</v>
      </c>
      <c r="G17" s="773" t="s">
        <v>161</v>
      </c>
      <c r="H17" s="744" t="s">
        <v>7121</v>
      </c>
      <c r="I17" s="748" t="s">
        <v>1876</v>
      </c>
      <c r="J17" s="747"/>
      <c r="K17" s="747"/>
      <c r="L17" s="747"/>
      <c r="M17" s="927" t="str">
        <f t="shared" si="11"/>
        <v xml:space="preserve">Silent4business, S.A. de C.V.  </v>
      </c>
      <c r="N17" s="749" t="s">
        <v>7240</v>
      </c>
      <c r="O17" s="749" t="s">
        <v>7240</v>
      </c>
      <c r="P17" s="749" t="s">
        <v>7241</v>
      </c>
      <c r="Q17" s="749" t="s">
        <v>6281</v>
      </c>
      <c r="R17" s="937" t="s">
        <v>7242</v>
      </c>
      <c r="S17" s="861">
        <v>119516159.38</v>
      </c>
      <c r="T17" s="861">
        <f t="shared" si="12"/>
        <v>19122585.500799999</v>
      </c>
      <c r="U17" s="864">
        <f t="shared" si="8"/>
        <v>138638744.88080001</v>
      </c>
      <c r="V17" s="862">
        <v>30077242.440000001</v>
      </c>
      <c r="W17" s="861">
        <f t="shared" si="13"/>
        <v>4812358.7904000003</v>
      </c>
      <c r="X17" s="864">
        <f t="shared" si="15"/>
        <v>34889601.230400003</v>
      </c>
      <c r="Y17" s="866">
        <f t="shared" si="9"/>
        <v>119516159.38</v>
      </c>
      <c r="Z17" s="751" t="s">
        <v>7227</v>
      </c>
      <c r="AA17" s="752">
        <v>45659</v>
      </c>
      <c r="AB17" s="753" t="s">
        <v>6330</v>
      </c>
      <c r="AC17" s="752">
        <v>45658</v>
      </c>
      <c r="AD17" s="752">
        <v>46022</v>
      </c>
      <c r="AE17" s="908">
        <v>0.15</v>
      </c>
      <c r="AF17" s="908">
        <v>0.15</v>
      </c>
      <c r="AG17" s="900" t="s">
        <v>161</v>
      </c>
      <c r="AH17" s="900" t="s">
        <v>161</v>
      </c>
      <c r="AI17" s="900" t="s">
        <v>7243</v>
      </c>
      <c r="AJ17" s="749" t="s">
        <v>161</v>
      </c>
      <c r="AK17" s="754" t="s">
        <v>161</v>
      </c>
      <c r="AL17" s="862">
        <v>0</v>
      </c>
      <c r="AM17" s="862">
        <f t="shared" si="16"/>
        <v>119516159.38</v>
      </c>
      <c r="AN17" s="755" t="str">
        <f t="shared" ca="1" si="17"/>
        <v>VIGENTE</v>
      </c>
      <c r="AO17" s="753" t="s">
        <v>7244</v>
      </c>
      <c r="AP17" s="753" t="s">
        <v>1146</v>
      </c>
      <c r="AQ17" s="753" t="s">
        <v>6330</v>
      </c>
      <c r="AR17" s="753" t="s">
        <v>7229</v>
      </c>
      <c r="AS17" s="753" t="s">
        <v>6330</v>
      </c>
      <c r="AT17" s="759" t="s">
        <v>7245</v>
      </c>
      <c r="AU17" s="739">
        <v>45611</v>
      </c>
      <c r="AV17" s="739">
        <v>45636</v>
      </c>
      <c r="AW17" s="739">
        <v>45644</v>
      </c>
      <c r="AX17" s="739" t="s">
        <v>7246</v>
      </c>
      <c r="AY17" s="882">
        <v>45646</v>
      </c>
      <c r="AZ17" s="739">
        <v>45646</v>
      </c>
      <c r="BA17" s="739">
        <v>45649</v>
      </c>
      <c r="BB17" s="819">
        <v>45650</v>
      </c>
      <c r="BC17" s="739">
        <v>45652</v>
      </c>
      <c r="BD17" s="739">
        <f t="shared" si="18"/>
        <v>45659</v>
      </c>
      <c r="BE17" s="739"/>
      <c r="BF17" s="882">
        <f t="shared" si="19"/>
        <v>45659</v>
      </c>
    </row>
    <row r="18" spans="1:58" ht="75" x14ac:dyDescent="0.25">
      <c r="A18" s="929" t="s">
        <v>7247</v>
      </c>
      <c r="B18" s="773">
        <v>4</v>
      </c>
      <c r="C18" s="744" t="s">
        <v>149</v>
      </c>
      <c r="D18" s="928" t="s">
        <v>163</v>
      </c>
      <c r="E18" s="744" t="s">
        <v>7248</v>
      </c>
      <c r="F18" s="744" t="str">
        <f t="shared" si="14"/>
        <v>Adjudicación Directa</v>
      </c>
      <c r="G18" s="773" t="s">
        <v>161</v>
      </c>
      <c r="H18" s="744" t="s">
        <v>7146</v>
      </c>
      <c r="I18" s="748" t="s">
        <v>1008</v>
      </c>
      <c r="J18" s="747"/>
      <c r="K18" s="747"/>
      <c r="L18" s="747"/>
      <c r="M18" s="927" t="str">
        <f t="shared" si="11"/>
        <v xml:space="preserve">Dhimex Ciudad de México, S.A. de C.V.  </v>
      </c>
      <c r="N18" s="749" t="s">
        <v>315</v>
      </c>
      <c r="O18" s="749" t="s">
        <v>166</v>
      </c>
      <c r="P18" s="749" t="str">
        <f>+N18</f>
        <v>Dirección de Protección Civil</v>
      </c>
      <c r="Q18" s="749" t="s">
        <v>7249</v>
      </c>
      <c r="R18" s="937" t="s">
        <v>7250</v>
      </c>
      <c r="S18" s="861">
        <v>2688184.6</v>
      </c>
      <c r="T18" s="861">
        <f t="shared" si="12"/>
        <v>430109.53600000002</v>
      </c>
      <c r="U18" s="864">
        <f t="shared" si="8"/>
        <v>3118294.1359999999</v>
      </c>
      <c r="V18" s="862">
        <v>0</v>
      </c>
      <c r="W18" s="861">
        <f t="shared" si="13"/>
        <v>0</v>
      </c>
      <c r="X18" s="864">
        <f t="shared" si="15"/>
        <v>0</v>
      </c>
      <c r="Y18" s="866">
        <f t="shared" si="9"/>
        <v>2688184.6</v>
      </c>
      <c r="Z18" s="751" t="s">
        <v>7227</v>
      </c>
      <c r="AA18" s="752">
        <v>45659</v>
      </c>
      <c r="AB18" s="753" t="s">
        <v>6330</v>
      </c>
      <c r="AC18" s="752">
        <v>45658</v>
      </c>
      <c r="AD18" s="752">
        <v>46022</v>
      </c>
      <c r="AE18" s="908">
        <v>0.15</v>
      </c>
      <c r="AF18" s="908">
        <v>0.15</v>
      </c>
      <c r="AG18" s="900" t="s">
        <v>161</v>
      </c>
      <c r="AH18" s="900" t="s">
        <v>161</v>
      </c>
      <c r="AI18" s="900" t="s">
        <v>7251</v>
      </c>
      <c r="AJ18" s="749" t="s">
        <v>161</v>
      </c>
      <c r="AK18" s="754" t="s">
        <v>161</v>
      </c>
      <c r="AL18" s="862">
        <v>0</v>
      </c>
      <c r="AM18" s="862">
        <f t="shared" si="16"/>
        <v>2688184.6</v>
      </c>
      <c r="AN18" s="755" t="str">
        <f t="shared" ca="1" si="17"/>
        <v>VIGENTE</v>
      </c>
      <c r="AO18" s="753">
        <v>35701</v>
      </c>
      <c r="AP18" s="753" t="s">
        <v>1146</v>
      </c>
      <c r="AQ18" s="753" t="s">
        <v>6330</v>
      </c>
      <c r="AR18" s="753" t="s">
        <v>7229</v>
      </c>
      <c r="AS18" s="753" t="s">
        <v>6330</v>
      </c>
      <c r="AT18" s="759" t="s">
        <v>7252</v>
      </c>
      <c r="AU18" s="739">
        <v>45580</v>
      </c>
      <c r="AV18" s="739">
        <v>45632</v>
      </c>
      <c r="AW18" s="739">
        <v>45644</v>
      </c>
      <c r="AX18" s="739" t="s">
        <v>7253</v>
      </c>
      <c r="AY18" s="882">
        <v>45645</v>
      </c>
      <c r="AZ18" s="739">
        <v>45645</v>
      </c>
      <c r="BA18" s="739">
        <v>45645</v>
      </c>
      <c r="BB18" s="739">
        <v>45653</v>
      </c>
      <c r="BC18" s="739">
        <v>45653</v>
      </c>
      <c r="BD18" s="739">
        <f t="shared" si="18"/>
        <v>45659</v>
      </c>
      <c r="BE18" s="739"/>
      <c r="BF18" s="882">
        <f t="shared" si="19"/>
        <v>45659</v>
      </c>
    </row>
    <row r="19" spans="1:58" ht="45" x14ac:dyDescent="0.25">
      <c r="A19" s="929" t="s">
        <v>7254</v>
      </c>
      <c r="B19" s="773">
        <v>5</v>
      </c>
      <c r="C19" s="744" t="s">
        <v>149</v>
      </c>
      <c r="D19" s="928" t="s">
        <v>163</v>
      </c>
      <c r="E19" s="744" t="s">
        <v>7224</v>
      </c>
      <c r="F19" s="744" t="str">
        <f t="shared" si="14"/>
        <v>Adjudicación Directa</v>
      </c>
      <c r="G19" s="773" t="s">
        <v>161</v>
      </c>
      <c r="H19" s="744" t="s">
        <v>7121</v>
      </c>
      <c r="I19" s="748" t="s">
        <v>7255</v>
      </c>
      <c r="J19" s="747"/>
      <c r="K19" s="747"/>
      <c r="L19" s="747"/>
      <c r="M19" s="927" t="str">
        <f t="shared" si="11"/>
        <v xml:space="preserve">La Red Corporativo, S.A. de C.V.  </v>
      </c>
      <c r="N19" s="749" t="s">
        <v>7240</v>
      </c>
      <c r="O19" s="749" t="s">
        <v>7240</v>
      </c>
      <c r="P19" s="749" t="s">
        <v>7256</v>
      </c>
      <c r="Q19" s="749" t="s">
        <v>7257</v>
      </c>
      <c r="R19" s="937" t="s">
        <v>7258</v>
      </c>
      <c r="S19" s="861">
        <v>17172413.789999999</v>
      </c>
      <c r="T19" s="861">
        <f t="shared" si="12"/>
        <v>2747586.2064</v>
      </c>
      <c r="U19" s="864">
        <f t="shared" si="8"/>
        <v>19919999.996399999</v>
      </c>
      <c r="V19" s="862">
        <v>0</v>
      </c>
      <c r="W19" s="861">
        <f t="shared" si="13"/>
        <v>0</v>
      </c>
      <c r="X19" s="864">
        <f t="shared" si="15"/>
        <v>0</v>
      </c>
      <c r="Y19" s="866">
        <f t="shared" si="9"/>
        <v>17172413.789999999</v>
      </c>
      <c r="Z19" s="751" t="s">
        <v>7227</v>
      </c>
      <c r="AA19" s="752">
        <v>45659</v>
      </c>
      <c r="AB19" s="753" t="s">
        <v>6330</v>
      </c>
      <c r="AC19" s="752">
        <v>45658</v>
      </c>
      <c r="AD19" s="752">
        <v>46022</v>
      </c>
      <c r="AE19" s="908">
        <v>0.15</v>
      </c>
      <c r="AF19" s="908">
        <v>0.15</v>
      </c>
      <c r="AG19" s="900" t="s">
        <v>161</v>
      </c>
      <c r="AH19" s="900" t="s">
        <v>161</v>
      </c>
      <c r="AI19" s="900" t="s">
        <v>7259</v>
      </c>
      <c r="AJ19" s="749" t="s">
        <v>161</v>
      </c>
      <c r="AK19" s="754" t="s">
        <v>161</v>
      </c>
      <c r="AL19" s="862">
        <v>0</v>
      </c>
      <c r="AM19" s="862">
        <f t="shared" si="16"/>
        <v>17172413.789999999</v>
      </c>
      <c r="AN19" s="755" t="str">
        <f t="shared" ca="1" si="17"/>
        <v>VIGENTE</v>
      </c>
      <c r="AO19" s="753" t="s">
        <v>6735</v>
      </c>
      <c r="AP19" s="753" t="s">
        <v>1146</v>
      </c>
      <c r="AQ19" s="753" t="s">
        <v>6330</v>
      </c>
      <c r="AR19" s="753" t="s">
        <v>7229</v>
      </c>
      <c r="AS19" s="753" t="s">
        <v>6330</v>
      </c>
      <c r="AT19" s="759" t="s">
        <v>7260</v>
      </c>
      <c r="AU19" s="739">
        <v>45615</v>
      </c>
      <c r="AV19" s="739">
        <v>45630</v>
      </c>
      <c r="AW19" s="739">
        <v>45644</v>
      </c>
      <c r="AX19" s="739" t="s">
        <v>7261</v>
      </c>
      <c r="AY19" s="882">
        <v>45646</v>
      </c>
      <c r="AZ19" s="739"/>
      <c r="BA19" s="739"/>
      <c r="BB19" s="739"/>
      <c r="BC19" s="739"/>
      <c r="BD19" s="739">
        <f t="shared" si="18"/>
        <v>45659</v>
      </c>
      <c r="BE19" s="739"/>
      <c r="BF19" s="882">
        <f t="shared" si="19"/>
        <v>45659</v>
      </c>
    </row>
    <row r="20" spans="1:58" ht="75" x14ac:dyDescent="0.25">
      <c r="A20" s="929" t="s">
        <v>7262</v>
      </c>
      <c r="B20" s="773">
        <v>6</v>
      </c>
      <c r="C20" s="896" t="s">
        <v>149</v>
      </c>
      <c r="D20" s="928" t="s">
        <v>163</v>
      </c>
      <c r="E20" s="744" t="s">
        <v>7248</v>
      </c>
      <c r="F20" s="744" t="str">
        <f t="shared" si="14"/>
        <v>Adjudicación Directa</v>
      </c>
      <c r="G20" s="773" t="s">
        <v>161</v>
      </c>
      <c r="H20" s="744" t="s">
        <v>7146</v>
      </c>
      <c r="I20" s="746" t="s">
        <v>1738</v>
      </c>
      <c r="J20" s="747"/>
      <c r="K20" s="747"/>
      <c r="L20" s="747"/>
      <c r="M20" s="927" t="str">
        <f t="shared" si="11"/>
        <v xml:space="preserve">Equipos y Climas de México, S.A. de C.V.  </v>
      </c>
      <c r="N20" s="749" t="s">
        <v>7263</v>
      </c>
      <c r="O20" s="749" t="s">
        <v>7198</v>
      </c>
      <c r="P20" s="749" t="s">
        <v>7263</v>
      </c>
      <c r="Q20" s="749" t="s">
        <v>7264</v>
      </c>
      <c r="R20" s="937" t="s">
        <v>7265</v>
      </c>
      <c r="S20" s="861">
        <v>9669155.1699999999</v>
      </c>
      <c r="T20" s="861">
        <f t="shared" si="12"/>
        <v>1547064.8271999999</v>
      </c>
      <c r="U20" s="864">
        <f t="shared" si="8"/>
        <v>11216219.997199999</v>
      </c>
      <c r="V20" s="862">
        <v>8803080</v>
      </c>
      <c r="W20" s="861">
        <f t="shared" si="13"/>
        <v>1408492.8</v>
      </c>
      <c r="X20" s="864">
        <f t="shared" si="15"/>
        <v>10211572.800000001</v>
      </c>
      <c r="Y20" s="866">
        <f t="shared" si="9"/>
        <v>9669155.1699999999</v>
      </c>
      <c r="Z20" s="751" t="s">
        <v>7227</v>
      </c>
      <c r="AA20" s="752">
        <v>45659</v>
      </c>
      <c r="AB20" s="753" t="s">
        <v>6330</v>
      </c>
      <c r="AC20" s="752">
        <v>45658</v>
      </c>
      <c r="AD20" s="752">
        <v>46022</v>
      </c>
      <c r="AE20" s="908">
        <v>0.15</v>
      </c>
      <c r="AF20" s="908">
        <v>0.15</v>
      </c>
      <c r="AG20" s="900" t="s">
        <v>161</v>
      </c>
      <c r="AH20" s="900" t="s">
        <v>161</v>
      </c>
      <c r="AI20" s="900" t="s">
        <v>7266</v>
      </c>
      <c r="AJ20" s="749" t="s">
        <v>161</v>
      </c>
      <c r="AK20" s="754" t="s">
        <v>161</v>
      </c>
      <c r="AL20" s="862">
        <v>0</v>
      </c>
      <c r="AM20" s="862">
        <f t="shared" si="16"/>
        <v>9669155.1699999999</v>
      </c>
      <c r="AN20" s="755" t="str">
        <f t="shared" ca="1" si="17"/>
        <v>VIGENTE</v>
      </c>
      <c r="AO20" s="753">
        <v>35701</v>
      </c>
      <c r="AP20" s="753" t="s">
        <v>1146</v>
      </c>
      <c r="AQ20" s="753" t="s">
        <v>6330</v>
      </c>
      <c r="AR20" s="753" t="s">
        <v>7229</v>
      </c>
      <c r="AS20" s="753" t="s">
        <v>6330</v>
      </c>
      <c r="AT20" s="739" t="s">
        <v>7267</v>
      </c>
      <c r="AU20" s="739">
        <v>45629</v>
      </c>
      <c r="AV20" s="739">
        <v>45632</v>
      </c>
      <c r="AW20" s="739">
        <v>45644</v>
      </c>
      <c r="AX20" s="739" t="s">
        <v>7268</v>
      </c>
      <c r="AY20" s="882">
        <v>45656</v>
      </c>
      <c r="AZ20" s="739">
        <v>45656</v>
      </c>
      <c r="BA20" s="739">
        <v>45665</v>
      </c>
      <c r="BB20" s="739">
        <v>45665</v>
      </c>
      <c r="BC20" s="739">
        <v>45665</v>
      </c>
      <c r="BD20" s="739">
        <f t="shared" si="18"/>
        <v>45659</v>
      </c>
      <c r="BE20" s="739"/>
      <c r="BF20" s="882">
        <f t="shared" si="19"/>
        <v>45659</v>
      </c>
    </row>
    <row r="21" spans="1:58" ht="75" x14ac:dyDescent="0.25">
      <c r="A21" s="929" t="s">
        <v>7269</v>
      </c>
      <c r="B21" s="773">
        <v>7</v>
      </c>
      <c r="C21" s="896" t="s">
        <v>149</v>
      </c>
      <c r="D21" s="928" t="s">
        <v>163</v>
      </c>
      <c r="E21" s="744" t="s">
        <v>7224</v>
      </c>
      <c r="F21" s="744" t="str">
        <f t="shared" si="14"/>
        <v>Adjudicación Directa</v>
      </c>
      <c r="G21" s="773" t="s">
        <v>161</v>
      </c>
      <c r="H21" s="744" t="s">
        <v>7233</v>
      </c>
      <c r="I21" s="746" t="s">
        <v>1065</v>
      </c>
      <c r="J21" s="747"/>
      <c r="K21" s="747"/>
      <c r="L21" s="747"/>
      <c r="M21" s="927" t="str">
        <f t="shared" si="11"/>
        <v xml:space="preserve">Elevadores Schindler, S.A. de C.V.  </v>
      </c>
      <c r="N21" s="749" t="s">
        <v>7263</v>
      </c>
      <c r="O21" s="749" t="s">
        <v>7198</v>
      </c>
      <c r="P21" s="749" t="s">
        <v>7263</v>
      </c>
      <c r="Q21" s="749" t="s">
        <v>7270</v>
      </c>
      <c r="R21" s="937" t="s">
        <v>7271</v>
      </c>
      <c r="S21" s="861">
        <v>549333.62</v>
      </c>
      <c r="T21" s="861">
        <f t="shared" si="12"/>
        <v>87893.379199999996</v>
      </c>
      <c r="U21" s="864">
        <f t="shared" si="8"/>
        <v>637226.99919999996</v>
      </c>
      <c r="V21" s="862">
        <v>0</v>
      </c>
      <c r="W21" s="861">
        <f t="shared" si="13"/>
        <v>0</v>
      </c>
      <c r="X21" s="864">
        <f t="shared" si="15"/>
        <v>0</v>
      </c>
      <c r="Y21" s="866">
        <f t="shared" si="9"/>
        <v>549333.62</v>
      </c>
      <c r="Z21" s="751" t="s">
        <v>7227</v>
      </c>
      <c r="AA21" s="752">
        <v>45659</v>
      </c>
      <c r="AB21" s="753" t="s">
        <v>6330</v>
      </c>
      <c r="AC21" s="752">
        <v>45658</v>
      </c>
      <c r="AD21" s="752">
        <v>46022</v>
      </c>
      <c r="AE21" s="908">
        <v>0.15</v>
      </c>
      <c r="AF21" s="908">
        <v>0.15</v>
      </c>
      <c r="AG21" s="908">
        <v>0.1</v>
      </c>
      <c r="AH21" s="900" t="s">
        <v>161</v>
      </c>
      <c r="AI21" s="900" t="s">
        <v>7272</v>
      </c>
      <c r="AJ21" s="749" t="s">
        <v>161</v>
      </c>
      <c r="AK21" s="754" t="s">
        <v>161</v>
      </c>
      <c r="AL21" s="862">
        <v>0</v>
      </c>
      <c r="AM21" s="862">
        <f t="shared" si="16"/>
        <v>549333.62</v>
      </c>
      <c r="AN21" s="755" t="str">
        <f t="shared" ca="1" si="17"/>
        <v>VIGENTE</v>
      </c>
      <c r="AO21" s="753">
        <v>35101</v>
      </c>
      <c r="AP21" s="753" t="s">
        <v>1146</v>
      </c>
      <c r="AQ21" s="753" t="s">
        <v>6330</v>
      </c>
      <c r="AR21" s="753" t="s">
        <v>7229</v>
      </c>
      <c r="AS21" s="753" t="s">
        <v>6330</v>
      </c>
      <c r="AT21" s="739" t="s">
        <v>7273</v>
      </c>
      <c r="AU21" s="739">
        <v>45622</v>
      </c>
      <c r="AV21" s="739">
        <v>45638</v>
      </c>
      <c r="AW21" s="739">
        <v>45646</v>
      </c>
      <c r="AX21" s="739" t="s">
        <v>7274</v>
      </c>
      <c r="AY21" s="882">
        <v>45649</v>
      </c>
      <c r="AZ21" s="739">
        <v>45652</v>
      </c>
      <c r="BA21" s="739">
        <v>45653</v>
      </c>
      <c r="BB21" s="739">
        <v>45653</v>
      </c>
      <c r="BC21" s="739">
        <v>45653</v>
      </c>
      <c r="BD21" s="739">
        <f t="shared" si="18"/>
        <v>45659</v>
      </c>
      <c r="BE21" s="739"/>
      <c r="BF21" s="882">
        <f t="shared" si="19"/>
        <v>45659</v>
      </c>
    </row>
    <row r="22" spans="1:58" ht="75" x14ac:dyDescent="0.25">
      <c r="A22" s="929" t="s">
        <v>7275</v>
      </c>
      <c r="B22" s="773">
        <v>8</v>
      </c>
      <c r="C22" s="896" t="s">
        <v>149</v>
      </c>
      <c r="D22" s="928" t="s">
        <v>163</v>
      </c>
      <c r="E22" s="744" t="s">
        <v>7248</v>
      </c>
      <c r="F22" s="744" t="str">
        <f t="shared" si="14"/>
        <v>Adjudicación Directa</v>
      </c>
      <c r="G22" s="773" t="s">
        <v>161</v>
      </c>
      <c r="H22" s="744" t="s">
        <v>7146</v>
      </c>
      <c r="I22" s="746" t="s">
        <v>1008</v>
      </c>
      <c r="J22" s="747"/>
      <c r="K22" s="747"/>
      <c r="L22" s="747"/>
      <c r="M22" s="927" t="str">
        <f t="shared" si="11"/>
        <v xml:space="preserve">Dhimex Ciudad de México, S.A. de C.V.  </v>
      </c>
      <c r="N22" s="749" t="s">
        <v>7263</v>
      </c>
      <c r="O22" s="749" t="s">
        <v>7198</v>
      </c>
      <c r="P22" s="749" t="s">
        <v>7263</v>
      </c>
      <c r="Q22" s="749" t="s">
        <v>7276</v>
      </c>
      <c r="R22" s="937" t="s">
        <v>7277</v>
      </c>
      <c r="S22" s="861">
        <v>1863579.31</v>
      </c>
      <c r="T22" s="861">
        <f t="shared" si="12"/>
        <v>298172.68960000004</v>
      </c>
      <c r="U22" s="864">
        <f t="shared" si="8"/>
        <v>2161751.9996000002</v>
      </c>
      <c r="V22" s="862">
        <v>1352429.4</v>
      </c>
      <c r="W22" s="861">
        <f t="shared" si="13"/>
        <v>216388.704</v>
      </c>
      <c r="X22" s="864">
        <f t="shared" si="15"/>
        <v>1568818.1039999998</v>
      </c>
      <c r="Y22" s="866">
        <f t="shared" si="9"/>
        <v>1863579.31</v>
      </c>
      <c r="Z22" s="751" t="s">
        <v>7227</v>
      </c>
      <c r="AA22" s="752">
        <v>45659</v>
      </c>
      <c r="AB22" s="753" t="s">
        <v>6330</v>
      </c>
      <c r="AC22" s="752">
        <v>45658</v>
      </c>
      <c r="AD22" s="752">
        <v>46022</v>
      </c>
      <c r="AE22" s="908">
        <v>0.15</v>
      </c>
      <c r="AF22" s="908">
        <v>0.15</v>
      </c>
      <c r="AG22" s="900" t="s">
        <v>161</v>
      </c>
      <c r="AH22" s="900" t="s">
        <v>161</v>
      </c>
      <c r="AI22" s="900" t="s">
        <v>7251</v>
      </c>
      <c r="AJ22" s="749" t="s">
        <v>161</v>
      </c>
      <c r="AK22" s="754" t="s">
        <v>161</v>
      </c>
      <c r="AL22" s="862">
        <v>0</v>
      </c>
      <c r="AM22" s="862">
        <f t="shared" si="16"/>
        <v>1863579.31</v>
      </c>
      <c r="AN22" s="755" t="str">
        <f t="shared" ca="1" si="17"/>
        <v>VIGENTE</v>
      </c>
      <c r="AO22" s="753">
        <v>35701</v>
      </c>
      <c r="AP22" s="753" t="s">
        <v>1146</v>
      </c>
      <c r="AQ22" s="753" t="s">
        <v>6330</v>
      </c>
      <c r="AR22" s="753" t="s">
        <v>7229</v>
      </c>
      <c r="AS22" s="753" t="s">
        <v>6330</v>
      </c>
      <c r="AT22" s="739" t="s">
        <v>7278</v>
      </c>
      <c r="AU22" s="739">
        <v>45629</v>
      </c>
      <c r="AV22" s="739">
        <v>45636</v>
      </c>
      <c r="AW22" s="739">
        <v>45646</v>
      </c>
      <c r="AX22" s="739" t="s">
        <v>7279</v>
      </c>
      <c r="AY22" s="882">
        <v>45649</v>
      </c>
      <c r="AZ22" s="739">
        <v>45652</v>
      </c>
      <c r="BA22" s="739">
        <v>45665</v>
      </c>
      <c r="BB22" s="739">
        <v>45665</v>
      </c>
      <c r="BC22" s="739">
        <v>45666</v>
      </c>
      <c r="BD22" s="739">
        <f t="shared" si="18"/>
        <v>45659</v>
      </c>
      <c r="BE22" s="739"/>
      <c r="BF22" s="882">
        <f t="shared" si="19"/>
        <v>45659</v>
      </c>
    </row>
    <row r="23" spans="1:58" ht="45" x14ac:dyDescent="0.25">
      <c r="A23" s="930" t="s">
        <v>7280</v>
      </c>
      <c r="B23" s="773">
        <v>9</v>
      </c>
      <c r="C23" s="761" t="s">
        <v>149</v>
      </c>
      <c r="D23" s="928" t="s">
        <v>163</v>
      </c>
      <c r="E23" s="744" t="s">
        <v>7224</v>
      </c>
      <c r="F23" s="744" t="str">
        <f t="shared" si="14"/>
        <v>Adjudicación Directa</v>
      </c>
      <c r="G23" s="773" t="s">
        <v>161</v>
      </c>
      <c r="H23" s="744" t="s">
        <v>7121</v>
      </c>
      <c r="I23" s="762" t="s">
        <v>7281</v>
      </c>
      <c r="J23" s="832"/>
      <c r="K23" s="832"/>
      <c r="L23" s="832"/>
      <c r="M23" s="927" t="str">
        <f t="shared" si="11"/>
        <v xml:space="preserve">Scontinuidad LATAM, S.A. de C.V.  </v>
      </c>
      <c r="N23" s="760" t="s">
        <v>7240</v>
      </c>
      <c r="O23" s="760" t="s">
        <v>7240</v>
      </c>
      <c r="P23" s="760" t="s">
        <v>7256</v>
      </c>
      <c r="Q23" s="760" t="s">
        <v>7282</v>
      </c>
      <c r="R23" s="938" t="s">
        <v>7283</v>
      </c>
      <c r="S23" s="861">
        <v>31308190</v>
      </c>
      <c r="T23" s="861">
        <f t="shared" si="12"/>
        <v>5009310.4000000004</v>
      </c>
      <c r="U23" s="864">
        <f t="shared" si="8"/>
        <v>36317500.399999999</v>
      </c>
      <c r="V23" s="949">
        <v>0</v>
      </c>
      <c r="W23" s="861">
        <f t="shared" si="13"/>
        <v>0</v>
      </c>
      <c r="X23" s="864">
        <f t="shared" si="15"/>
        <v>0</v>
      </c>
      <c r="Y23" s="866">
        <f t="shared" si="9"/>
        <v>31308190</v>
      </c>
      <c r="Z23" s="764" t="s">
        <v>7227</v>
      </c>
      <c r="AA23" s="765">
        <v>45659</v>
      </c>
      <c r="AB23" s="761" t="s">
        <v>6330</v>
      </c>
      <c r="AC23" s="752">
        <v>45658</v>
      </c>
      <c r="AD23" s="752">
        <v>46022</v>
      </c>
      <c r="AE23" s="908">
        <v>0.15</v>
      </c>
      <c r="AF23" s="908">
        <v>0.15</v>
      </c>
      <c r="AG23" s="900" t="s">
        <v>161</v>
      </c>
      <c r="AH23" s="900" t="s">
        <v>161</v>
      </c>
      <c r="AI23" s="903" t="s">
        <v>7284</v>
      </c>
      <c r="AJ23" s="766" t="s">
        <v>161</v>
      </c>
      <c r="AK23" s="767" t="s">
        <v>161</v>
      </c>
      <c r="AL23" s="871">
        <v>0</v>
      </c>
      <c r="AM23" s="862">
        <f t="shared" si="16"/>
        <v>31308190</v>
      </c>
      <c r="AN23" s="755" t="str">
        <f t="shared" ca="1" si="17"/>
        <v>VIGENTE</v>
      </c>
      <c r="AO23" s="761" t="s">
        <v>3788</v>
      </c>
      <c r="AP23" s="753" t="s">
        <v>1146</v>
      </c>
      <c r="AQ23" s="753" t="s">
        <v>6330</v>
      </c>
      <c r="AR23" s="753" t="s">
        <v>7229</v>
      </c>
      <c r="AS23" s="753" t="s">
        <v>6330</v>
      </c>
      <c r="AT23" s="768" t="s">
        <v>7285</v>
      </c>
      <c r="AU23" s="739">
        <v>45635</v>
      </c>
      <c r="AV23" s="739">
        <v>45631</v>
      </c>
      <c r="AW23" s="739">
        <v>45646</v>
      </c>
      <c r="AX23" s="948" t="s">
        <v>7286</v>
      </c>
      <c r="AY23" s="883">
        <v>45649</v>
      </c>
      <c r="AZ23" s="768">
        <v>45649</v>
      </c>
      <c r="BA23" s="768">
        <v>45649</v>
      </c>
      <c r="BB23" s="768">
        <v>45650</v>
      </c>
      <c r="BC23" s="768">
        <v>45652</v>
      </c>
      <c r="BD23" s="739">
        <f t="shared" si="18"/>
        <v>45659</v>
      </c>
      <c r="BE23" s="768"/>
      <c r="BF23" s="883">
        <f t="shared" si="19"/>
        <v>45659</v>
      </c>
    </row>
    <row r="24" spans="1:58" ht="60" x14ac:dyDescent="0.25">
      <c r="A24" s="930" t="s">
        <v>7287</v>
      </c>
      <c r="B24" s="773">
        <v>10</v>
      </c>
      <c r="C24" s="897" t="s">
        <v>149</v>
      </c>
      <c r="D24" s="928" t="s">
        <v>163</v>
      </c>
      <c r="E24" s="744" t="s">
        <v>7288</v>
      </c>
      <c r="F24" s="744" t="str">
        <f t="shared" si="14"/>
        <v>Adjudicación Directa</v>
      </c>
      <c r="G24" s="773" t="s">
        <v>161</v>
      </c>
      <c r="H24" s="753" t="s">
        <v>7289</v>
      </c>
      <c r="I24" s="746" t="s">
        <v>165</v>
      </c>
      <c r="J24" s="747"/>
      <c r="K24" s="747"/>
      <c r="L24" s="747"/>
      <c r="M24" s="927" t="str">
        <f t="shared" si="11"/>
        <v xml:space="preserve">Policía Auxiliar de la Ciudad de México  </v>
      </c>
      <c r="N24" s="749" t="s">
        <v>166</v>
      </c>
      <c r="O24" s="749" t="s">
        <v>166</v>
      </c>
      <c r="P24" s="749" t="s">
        <v>166</v>
      </c>
      <c r="Q24" s="749" t="s">
        <v>161</v>
      </c>
      <c r="R24" s="937" t="s">
        <v>7290</v>
      </c>
      <c r="S24" s="861">
        <v>72329991.400000006</v>
      </c>
      <c r="T24" s="861">
        <f t="shared" si="12"/>
        <v>11572798.624000002</v>
      </c>
      <c r="U24" s="864">
        <f t="shared" si="8"/>
        <v>83902790.024000004</v>
      </c>
      <c r="V24" s="950">
        <v>0</v>
      </c>
      <c r="W24" s="861">
        <f t="shared" si="13"/>
        <v>0</v>
      </c>
      <c r="X24" s="864">
        <f t="shared" si="15"/>
        <v>0</v>
      </c>
      <c r="Y24" s="866">
        <f t="shared" si="9"/>
        <v>72329991.400000006</v>
      </c>
      <c r="Z24" s="751" t="s">
        <v>7227</v>
      </c>
      <c r="AA24" s="752">
        <v>45659</v>
      </c>
      <c r="AB24" s="753" t="s">
        <v>6330</v>
      </c>
      <c r="AC24" s="752">
        <v>45658</v>
      </c>
      <c r="AD24" s="752">
        <v>46022</v>
      </c>
      <c r="AE24" s="900" t="s">
        <v>161</v>
      </c>
      <c r="AF24" s="900" t="s">
        <v>161</v>
      </c>
      <c r="AG24" s="900" t="s">
        <v>161</v>
      </c>
      <c r="AH24" s="900" t="s">
        <v>161</v>
      </c>
      <c r="AI24" s="891" t="s">
        <v>161</v>
      </c>
      <c r="AJ24" s="749" t="s">
        <v>161</v>
      </c>
      <c r="AK24" s="754" t="s">
        <v>161</v>
      </c>
      <c r="AL24" s="862">
        <v>0</v>
      </c>
      <c r="AM24" s="862">
        <f t="shared" si="16"/>
        <v>72329991.400000006</v>
      </c>
      <c r="AN24" s="755" t="str">
        <f t="shared" ca="1" si="17"/>
        <v>VIGENTE</v>
      </c>
      <c r="AO24" s="753">
        <v>33801</v>
      </c>
      <c r="AP24" s="753" t="s">
        <v>1146</v>
      </c>
      <c r="AQ24" s="753" t="s">
        <v>6330</v>
      </c>
      <c r="AR24" s="753"/>
      <c r="AS24" s="753" t="s">
        <v>6330</v>
      </c>
      <c r="AT24" s="744" t="s">
        <v>7291</v>
      </c>
      <c r="AU24" s="739">
        <v>45579</v>
      </c>
      <c r="AV24" s="739">
        <v>45635</v>
      </c>
      <c r="AW24" s="739">
        <v>45649</v>
      </c>
      <c r="AX24" s="739"/>
      <c r="AY24" s="882">
        <v>45679</v>
      </c>
      <c r="AZ24" s="739">
        <v>45652</v>
      </c>
      <c r="BA24" s="739">
        <v>45679</v>
      </c>
      <c r="BB24" s="739">
        <v>45679</v>
      </c>
      <c r="BC24" s="739">
        <v>45680</v>
      </c>
      <c r="BD24" s="739">
        <f t="shared" si="18"/>
        <v>45659</v>
      </c>
      <c r="BE24" s="739">
        <v>45685</v>
      </c>
      <c r="BF24" s="882">
        <f t="shared" si="19"/>
        <v>45659</v>
      </c>
    </row>
    <row r="25" spans="1:58" ht="90" x14ac:dyDescent="0.25">
      <c r="A25" s="930" t="s">
        <v>7292</v>
      </c>
      <c r="B25" s="773">
        <v>11</v>
      </c>
      <c r="C25" s="896" t="s">
        <v>149</v>
      </c>
      <c r="D25" s="928" t="s">
        <v>163</v>
      </c>
      <c r="E25" s="744" t="s">
        <v>7293</v>
      </c>
      <c r="F25" s="744" t="str">
        <f t="shared" si="14"/>
        <v>Adjudicación Directa</v>
      </c>
      <c r="G25" s="773" t="s">
        <v>161</v>
      </c>
      <c r="H25" s="744" t="s">
        <v>7233</v>
      </c>
      <c r="I25" s="758" t="s">
        <v>1065</v>
      </c>
      <c r="J25" s="744"/>
      <c r="K25" s="744"/>
      <c r="L25" s="744"/>
      <c r="M25" s="927" t="str">
        <f t="shared" si="11"/>
        <v xml:space="preserve">Elevadores Schindler, S.A. de C.V.  </v>
      </c>
      <c r="N25" s="749" t="s">
        <v>7263</v>
      </c>
      <c r="O25" s="749" t="s">
        <v>7198</v>
      </c>
      <c r="P25" s="749" t="s">
        <v>7263</v>
      </c>
      <c r="Q25" s="758" t="s">
        <v>7294</v>
      </c>
      <c r="R25" s="939" t="s">
        <v>7295</v>
      </c>
      <c r="S25" s="861">
        <v>3294856.04</v>
      </c>
      <c r="T25" s="861">
        <f t="shared" si="12"/>
        <v>527176.96640000003</v>
      </c>
      <c r="U25" s="864">
        <f t="shared" si="8"/>
        <v>3822033.0064000003</v>
      </c>
      <c r="V25" s="950">
        <v>0</v>
      </c>
      <c r="W25" s="861">
        <f t="shared" si="13"/>
        <v>0</v>
      </c>
      <c r="X25" s="864">
        <f t="shared" si="15"/>
        <v>0</v>
      </c>
      <c r="Y25" s="866">
        <f t="shared" si="9"/>
        <v>3294856.04</v>
      </c>
      <c r="Z25" s="744" t="s">
        <v>7227</v>
      </c>
      <c r="AA25" s="770">
        <v>45659</v>
      </c>
      <c r="AB25" s="744" t="s">
        <v>6330</v>
      </c>
      <c r="AC25" s="752">
        <v>45658</v>
      </c>
      <c r="AD25" s="752">
        <v>46022</v>
      </c>
      <c r="AE25" s="908">
        <v>0.15</v>
      </c>
      <c r="AF25" s="908">
        <v>0.15</v>
      </c>
      <c r="AG25" s="908">
        <v>0.1</v>
      </c>
      <c r="AH25" s="900" t="s">
        <v>161</v>
      </c>
      <c r="AI25" s="904" t="s">
        <v>7296</v>
      </c>
      <c r="AJ25" s="749" t="s">
        <v>161</v>
      </c>
      <c r="AK25" s="754" t="s">
        <v>161</v>
      </c>
      <c r="AL25" s="872">
        <v>0</v>
      </c>
      <c r="AM25" s="862">
        <f t="shared" si="16"/>
        <v>3294856.04</v>
      </c>
      <c r="AN25" s="755" t="str">
        <f t="shared" ca="1" si="17"/>
        <v>VIGENTE</v>
      </c>
      <c r="AO25" s="744">
        <v>35101</v>
      </c>
      <c r="AP25" s="753" t="s">
        <v>1146</v>
      </c>
      <c r="AQ25" s="753" t="s">
        <v>6330</v>
      </c>
      <c r="AR25" s="753" t="s">
        <v>7229</v>
      </c>
      <c r="AS25" s="753" t="s">
        <v>6330</v>
      </c>
      <c r="AT25" s="770" t="s">
        <v>7297</v>
      </c>
      <c r="AU25" s="739">
        <v>45622</v>
      </c>
      <c r="AV25" s="739">
        <v>45638</v>
      </c>
      <c r="AW25" s="739">
        <v>45649</v>
      </c>
      <c r="AX25" s="739"/>
      <c r="AY25" s="882">
        <v>45663</v>
      </c>
      <c r="AZ25" s="739">
        <v>45664</v>
      </c>
      <c r="BA25" s="739">
        <v>45666</v>
      </c>
      <c r="BB25" s="739">
        <v>45667</v>
      </c>
      <c r="BC25" s="739">
        <v>45670</v>
      </c>
      <c r="BD25" s="739">
        <f t="shared" si="18"/>
        <v>45659</v>
      </c>
      <c r="BE25" s="739"/>
      <c r="BF25" s="882">
        <f t="shared" si="19"/>
        <v>45659</v>
      </c>
    </row>
    <row r="26" spans="1:58" ht="105" x14ac:dyDescent="0.25">
      <c r="A26" s="929" t="s">
        <v>7298</v>
      </c>
      <c r="B26" s="773">
        <v>12</v>
      </c>
      <c r="C26" s="896" t="s">
        <v>149</v>
      </c>
      <c r="D26" s="928" t="s">
        <v>163</v>
      </c>
      <c r="E26" s="744" t="s">
        <v>7299</v>
      </c>
      <c r="F26" s="744" t="str">
        <f t="shared" si="14"/>
        <v>Adjudicación Directa</v>
      </c>
      <c r="G26" s="773" t="s">
        <v>161</v>
      </c>
      <c r="H26" s="744" t="s">
        <v>7300</v>
      </c>
      <c r="I26" s="758" t="s">
        <v>7301</v>
      </c>
      <c r="J26" s="744"/>
      <c r="K26" s="744"/>
      <c r="L26" s="744"/>
      <c r="M26" s="927" t="str">
        <f t="shared" si="11"/>
        <v xml:space="preserve">Estrategía en Estacionamientos y Valet Parking, S.A. de C.V.  </v>
      </c>
      <c r="N26" s="749" t="s">
        <v>301</v>
      </c>
      <c r="O26" s="749" t="s">
        <v>7225</v>
      </c>
      <c r="P26" s="749" t="s">
        <v>301</v>
      </c>
      <c r="Q26" s="749" t="s">
        <v>6801</v>
      </c>
      <c r="R26" s="939" t="s">
        <v>7302</v>
      </c>
      <c r="S26" s="861">
        <v>7758620.6900000004</v>
      </c>
      <c r="T26" s="861">
        <f t="shared" si="12"/>
        <v>1241379.3104000001</v>
      </c>
      <c r="U26" s="864">
        <f t="shared" si="8"/>
        <v>9000000.0004000012</v>
      </c>
      <c r="V26" s="950">
        <v>3103448.28</v>
      </c>
      <c r="W26" s="861">
        <f t="shared" si="13"/>
        <v>496551.72479999997</v>
      </c>
      <c r="X26" s="864">
        <f t="shared" si="15"/>
        <v>3600000.0047999998</v>
      </c>
      <c r="Y26" s="866">
        <f t="shared" si="9"/>
        <v>7758620.6900000004</v>
      </c>
      <c r="Z26" s="744" t="s">
        <v>7227</v>
      </c>
      <c r="AA26" s="770">
        <v>45659</v>
      </c>
      <c r="AB26" s="744" t="s">
        <v>6330</v>
      </c>
      <c r="AC26" s="752">
        <v>45658</v>
      </c>
      <c r="AD26" s="752">
        <v>46022</v>
      </c>
      <c r="AE26" s="900" t="s">
        <v>161</v>
      </c>
      <c r="AF26" s="900" t="s">
        <v>161</v>
      </c>
      <c r="AG26" s="900" t="s">
        <v>161</v>
      </c>
      <c r="AH26" s="900" t="s">
        <v>161</v>
      </c>
      <c r="AI26" s="904" t="s">
        <v>7303</v>
      </c>
      <c r="AJ26" s="749" t="s">
        <v>161</v>
      </c>
      <c r="AK26" s="754" t="s">
        <v>161</v>
      </c>
      <c r="AL26" s="872">
        <v>0</v>
      </c>
      <c r="AM26" s="862">
        <f t="shared" si="16"/>
        <v>7758620.6900000004</v>
      </c>
      <c r="AN26" s="755" t="str">
        <f t="shared" ca="1" si="17"/>
        <v>VIGENTE</v>
      </c>
      <c r="AO26" s="744">
        <v>31902</v>
      </c>
      <c r="AP26" s="753" t="s">
        <v>1146</v>
      </c>
      <c r="AQ26" s="753" t="s">
        <v>6330</v>
      </c>
      <c r="AR26" s="753" t="s">
        <v>7229</v>
      </c>
      <c r="AS26" s="753" t="s">
        <v>6330</v>
      </c>
      <c r="AT26" s="770" t="s">
        <v>7304</v>
      </c>
      <c r="AU26" s="739">
        <v>45622</v>
      </c>
      <c r="AV26" s="739">
        <v>45632</v>
      </c>
      <c r="AW26" s="739">
        <v>45649</v>
      </c>
      <c r="AX26" s="739" t="s">
        <v>7305</v>
      </c>
      <c r="AY26" s="882">
        <v>45659</v>
      </c>
      <c r="AZ26" s="739">
        <v>45671</v>
      </c>
      <c r="BA26" s="739">
        <v>45677</v>
      </c>
      <c r="BB26" s="739">
        <v>45677</v>
      </c>
      <c r="BC26" s="739">
        <v>45677</v>
      </c>
      <c r="BD26" s="739">
        <f t="shared" si="18"/>
        <v>45659</v>
      </c>
      <c r="BE26" s="739"/>
      <c r="BF26" s="882">
        <f t="shared" si="19"/>
        <v>45659</v>
      </c>
    </row>
    <row r="27" spans="1:58" ht="45" x14ac:dyDescent="0.25">
      <c r="A27" s="929" t="s">
        <v>7306</v>
      </c>
      <c r="B27" s="773">
        <v>13</v>
      </c>
      <c r="C27" s="897" t="s">
        <v>149</v>
      </c>
      <c r="D27" s="928" t="s">
        <v>7307</v>
      </c>
      <c r="E27" s="744" t="s">
        <v>7308</v>
      </c>
      <c r="F27" s="744" t="str">
        <f t="shared" si="14"/>
        <v xml:space="preserve">Licitación Pública Nacional </v>
      </c>
      <c r="G27" s="773" t="s">
        <v>161</v>
      </c>
      <c r="H27" s="761" t="s">
        <v>3785</v>
      </c>
      <c r="I27" s="762" t="s">
        <v>7309</v>
      </c>
      <c r="J27" s="771"/>
      <c r="K27" s="771"/>
      <c r="L27" s="771"/>
      <c r="M27" s="927" t="str">
        <f t="shared" si="11"/>
        <v xml:space="preserve">TOKA Internacional, S.A.P.I. de C.V.   </v>
      </c>
      <c r="N27" s="760" t="s">
        <v>370</v>
      </c>
      <c r="O27" s="760" t="s">
        <v>370</v>
      </c>
      <c r="P27" s="760" t="s">
        <v>370</v>
      </c>
      <c r="Q27" s="760" t="s">
        <v>3359</v>
      </c>
      <c r="R27" s="933" t="s">
        <v>7310</v>
      </c>
      <c r="S27" s="861">
        <v>74529340</v>
      </c>
      <c r="T27" s="861">
        <v>0</v>
      </c>
      <c r="U27" s="864">
        <f t="shared" si="8"/>
        <v>74529340</v>
      </c>
      <c r="V27" s="950">
        <v>64968980</v>
      </c>
      <c r="W27" s="861">
        <v>0</v>
      </c>
      <c r="X27" s="864">
        <f t="shared" si="15"/>
        <v>64968980</v>
      </c>
      <c r="Y27" s="866">
        <f t="shared" si="9"/>
        <v>74529340</v>
      </c>
      <c r="Z27" s="764" t="s">
        <v>7227</v>
      </c>
      <c r="AA27" s="770">
        <v>45659</v>
      </c>
      <c r="AB27" s="744" t="s">
        <v>6330</v>
      </c>
      <c r="AC27" s="752">
        <v>45658</v>
      </c>
      <c r="AD27" s="752">
        <v>46022</v>
      </c>
      <c r="AE27" s="908">
        <v>0.15</v>
      </c>
      <c r="AF27" s="900" t="s">
        <v>161</v>
      </c>
      <c r="AG27" s="900" t="s">
        <v>161</v>
      </c>
      <c r="AH27" s="900" t="s">
        <v>161</v>
      </c>
      <c r="AI27" s="900" t="s">
        <v>161</v>
      </c>
      <c r="AJ27" s="749" t="s">
        <v>161</v>
      </c>
      <c r="AK27" s="772" t="s">
        <v>161</v>
      </c>
      <c r="AL27" s="873">
        <v>0</v>
      </c>
      <c r="AM27" s="862">
        <f t="shared" si="16"/>
        <v>74529340</v>
      </c>
      <c r="AN27" s="755" t="str">
        <f t="shared" ca="1" si="17"/>
        <v>VIGENTE</v>
      </c>
      <c r="AO27" s="753">
        <v>15401</v>
      </c>
      <c r="AP27" s="753" t="s">
        <v>1146</v>
      </c>
      <c r="AQ27" s="753" t="s">
        <v>6330</v>
      </c>
      <c r="AR27" s="753" t="s">
        <v>7229</v>
      </c>
      <c r="AS27" s="753" t="s">
        <v>6330</v>
      </c>
      <c r="AT27" s="739" t="s">
        <v>7311</v>
      </c>
      <c r="AU27" s="739">
        <v>45574</v>
      </c>
      <c r="AV27" s="739">
        <v>45646</v>
      </c>
      <c r="AW27" s="739">
        <v>45653</v>
      </c>
      <c r="AX27" s="739" t="s">
        <v>7312</v>
      </c>
      <c r="AY27" s="882">
        <v>45663</v>
      </c>
      <c r="AZ27" s="739">
        <v>45664</v>
      </c>
      <c r="BA27" s="739">
        <v>45670</v>
      </c>
      <c r="BB27" s="739">
        <v>45670</v>
      </c>
      <c r="BC27" s="739">
        <v>45672</v>
      </c>
      <c r="BD27" s="739">
        <f t="shared" si="18"/>
        <v>45659</v>
      </c>
      <c r="BE27" s="739"/>
      <c r="BF27" s="882">
        <f t="shared" si="19"/>
        <v>45659</v>
      </c>
    </row>
    <row r="28" spans="1:58" ht="45" x14ac:dyDescent="0.25">
      <c r="A28" s="929" t="s">
        <v>7313</v>
      </c>
      <c r="B28" s="773">
        <v>14</v>
      </c>
      <c r="C28" s="896" t="s">
        <v>149</v>
      </c>
      <c r="D28" s="928" t="s">
        <v>163</v>
      </c>
      <c r="E28" s="744" t="s">
        <v>7314</v>
      </c>
      <c r="F28" s="744" t="str">
        <f t="shared" si="14"/>
        <v>Adjudicación Directa</v>
      </c>
      <c r="G28" s="773" t="s">
        <v>161</v>
      </c>
      <c r="H28" s="744" t="s">
        <v>7139</v>
      </c>
      <c r="I28" s="758" t="s">
        <v>7315</v>
      </c>
      <c r="J28" s="744"/>
      <c r="K28" s="744"/>
      <c r="L28" s="744"/>
      <c r="M28" s="927" t="str">
        <f t="shared" si="11"/>
        <v xml:space="preserve">GBNETWORKS, S.A. de C.V.  </v>
      </c>
      <c r="N28" s="749" t="s">
        <v>7240</v>
      </c>
      <c r="O28" s="749" t="s">
        <v>7240</v>
      </c>
      <c r="P28" s="749" t="s">
        <v>7256</v>
      </c>
      <c r="Q28" s="749" t="s">
        <v>7316</v>
      </c>
      <c r="R28" s="937" t="s">
        <v>7317</v>
      </c>
      <c r="S28" s="861">
        <v>15514128.25</v>
      </c>
      <c r="T28" s="861">
        <f t="shared" si="12"/>
        <v>2482260.52</v>
      </c>
      <c r="U28" s="864">
        <f t="shared" si="8"/>
        <v>17996388.77</v>
      </c>
      <c r="V28" s="950">
        <v>6205651.2999999998</v>
      </c>
      <c r="W28" s="861">
        <f t="shared" si="13"/>
        <v>992904.20799999998</v>
      </c>
      <c r="X28" s="864">
        <f t="shared" si="15"/>
        <v>7198555.5079999994</v>
      </c>
      <c r="Y28" s="866">
        <f t="shared" si="9"/>
        <v>15514128.25</v>
      </c>
      <c r="Z28" s="753" t="s">
        <v>7227</v>
      </c>
      <c r="AA28" s="739">
        <v>45659</v>
      </c>
      <c r="AB28" s="753" t="s">
        <v>6330</v>
      </c>
      <c r="AC28" s="752">
        <v>45658</v>
      </c>
      <c r="AD28" s="752">
        <v>46022</v>
      </c>
      <c r="AE28" s="908">
        <v>0.15</v>
      </c>
      <c r="AF28" s="908">
        <v>0.15</v>
      </c>
      <c r="AG28" s="900" t="s">
        <v>161</v>
      </c>
      <c r="AH28" s="900" t="s">
        <v>161</v>
      </c>
      <c r="AI28" s="900" t="s">
        <v>7318</v>
      </c>
      <c r="AJ28" s="749" t="s">
        <v>161</v>
      </c>
      <c r="AK28" s="772" t="s">
        <v>161</v>
      </c>
      <c r="AL28" s="874">
        <v>0</v>
      </c>
      <c r="AM28" s="862">
        <f t="shared" si="16"/>
        <v>15514128.25</v>
      </c>
      <c r="AN28" s="755" t="str">
        <f t="shared" ca="1" si="17"/>
        <v>VIGENTE</v>
      </c>
      <c r="AO28" s="753" t="s">
        <v>6735</v>
      </c>
      <c r="AP28" s="753" t="s">
        <v>1146</v>
      </c>
      <c r="AQ28" s="753" t="s">
        <v>6330</v>
      </c>
      <c r="AR28" s="753" t="s">
        <v>7229</v>
      </c>
      <c r="AS28" s="753" t="s">
        <v>6330</v>
      </c>
      <c r="AT28" s="739" t="s">
        <v>7319</v>
      </c>
      <c r="AU28" s="739">
        <v>45635</v>
      </c>
      <c r="AV28" s="739">
        <v>45644</v>
      </c>
      <c r="AW28" s="739">
        <v>45653</v>
      </c>
      <c r="AX28" s="739" t="s">
        <v>7320</v>
      </c>
      <c r="AY28" s="882">
        <v>45664</v>
      </c>
      <c r="AZ28" s="739">
        <v>45664</v>
      </c>
      <c r="BA28" s="739">
        <v>45665</v>
      </c>
      <c r="BB28" s="739">
        <v>45665</v>
      </c>
      <c r="BC28" s="739">
        <v>45666</v>
      </c>
      <c r="BD28" s="739">
        <f t="shared" si="18"/>
        <v>45659</v>
      </c>
      <c r="BE28" s="739"/>
      <c r="BF28" s="882">
        <f t="shared" si="19"/>
        <v>45659</v>
      </c>
    </row>
    <row r="29" spans="1:58" ht="45" x14ac:dyDescent="0.25">
      <c r="A29" s="931" t="s">
        <v>7321</v>
      </c>
      <c r="B29" s="773">
        <v>15</v>
      </c>
      <c r="C29" s="897" t="s">
        <v>225</v>
      </c>
      <c r="D29" s="928" t="s">
        <v>151</v>
      </c>
      <c r="E29" s="744" t="s">
        <v>7322</v>
      </c>
      <c r="F29" s="744" t="str">
        <f t="shared" si="14"/>
        <v>Invitación</v>
      </c>
      <c r="G29" s="773" t="s">
        <v>161</v>
      </c>
      <c r="H29" s="753" t="s">
        <v>3793</v>
      </c>
      <c r="I29" s="746" t="s">
        <v>7309</v>
      </c>
      <c r="J29" s="747"/>
      <c r="K29" s="747"/>
      <c r="L29" s="747"/>
      <c r="M29" s="927" t="str">
        <f t="shared" si="11"/>
        <v xml:space="preserve">TOKA Internacional, S.A.P.I. de C.V.   </v>
      </c>
      <c r="N29" s="760" t="s">
        <v>7263</v>
      </c>
      <c r="O29" s="760" t="s">
        <v>3941</v>
      </c>
      <c r="P29" s="760" t="s">
        <v>7263</v>
      </c>
      <c r="Q29" s="749" t="s">
        <v>7323</v>
      </c>
      <c r="R29" s="937" t="s">
        <v>7324</v>
      </c>
      <c r="S29" s="861">
        <v>961525.86</v>
      </c>
      <c r="T29" s="861">
        <f t="shared" si="12"/>
        <v>153844.13759999999</v>
      </c>
      <c r="U29" s="864">
        <f t="shared" si="8"/>
        <v>1115369.9975999999</v>
      </c>
      <c r="V29" s="862">
        <v>386450.7</v>
      </c>
      <c r="W29" s="861">
        <f t="shared" si="13"/>
        <v>61832.112000000001</v>
      </c>
      <c r="X29" s="864">
        <f t="shared" si="15"/>
        <v>448282.81200000003</v>
      </c>
      <c r="Y29" s="866">
        <f t="shared" si="9"/>
        <v>961525.86</v>
      </c>
      <c r="Z29" s="751" t="s">
        <v>7227</v>
      </c>
      <c r="AA29" s="739">
        <v>45659</v>
      </c>
      <c r="AB29" s="753" t="s">
        <v>6330</v>
      </c>
      <c r="AC29" s="752">
        <v>45658</v>
      </c>
      <c r="AD29" s="752">
        <v>46022</v>
      </c>
      <c r="AE29" s="908">
        <v>0.15</v>
      </c>
      <c r="AF29" s="900" t="s">
        <v>161</v>
      </c>
      <c r="AG29" s="900" t="s">
        <v>161</v>
      </c>
      <c r="AH29" s="900" t="s">
        <v>161</v>
      </c>
      <c r="AI29" s="900" t="s">
        <v>161</v>
      </c>
      <c r="AJ29" s="749" t="s">
        <v>161</v>
      </c>
      <c r="AK29" s="772" t="s">
        <v>161</v>
      </c>
      <c r="AL29" s="873">
        <v>0</v>
      </c>
      <c r="AM29" s="862">
        <f t="shared" si="16"/>
        <v>961525.86</v>
      </c>
      <c r="AN29" s="755" t="str">
        <f t="shared" ca="1" si="17"/>
        <v>VIGENTE</v>
      </c>
      <c r="AO29" s="753" t="s">
        <v>7325</v>
      </c>
      <c r="AP29" s="753" t="s">
        <v>1146</v>
      </c>
      <c r="AQ29" s="753" t="s">
        <v>6330</v>
      </c>
      <c r="AR29" s="753" t="s">
        <v>7229</v>
      </c>
      <c r="AS29" s="753" t="s">
        <v>6330</v>
      </c>
      <c r="AT29" s="739" t="s">
        <v>7326</v>
      </c>
      <c r="AU29" s="739">
        <v>45579</v>
      </c>
      <c r="AV29" s="739">
        <v>45646</v>
      </c>
      <c r="AW29" s="739">
        <v>45653</v>
      </c>
      <c r="AX29" s="739" t="s">
        <v>7327</v>
      </c>
      <c r="AY29" s="882">
        <v>45663</v>
      </c>
      <c r="AZ29" s="739">
        <v>45664</v>
      </c>
      <c r="BA29" s="739">
        <v>45666</v>
      </c>
      <c r="BB29" s="739">
        <v>45666</v>
      </c>
      <c r="BC29" s="739">
        <v>45667</v>
      </c>
      <c r="BD29" s="739">
        <f t="shared" si="18"/>
        <v>45659</v>
      </c>
      <c r="BE29" s="739">
        <v>45686</v>
      </c>
      <c r="BF29" s="882">
        <f t="shared" si="19"/>
        <v>45659</v>
      </c>
    </row>
    <row r="30" spans="1:58" ht="45" x14ac:dyDescent="0.25">
      <c r="A30" s="929" t="s">
        <v>7328</v>
      </c>
      <c r="B30" s="773">
        <v>16</v>
      </c>
      <c r="C30" s="896" t="s">
        <v>225</v>
      </c>
      <c r="D30" s="928" t="s">
        <v>163</v>
      </c>
      <c r="E30" s="744" t="s">
        <v>7248</v>
      </c>
      <c r="F30" s="744" t="str">
        <f t="shared" si="14"/>
        <v>Adjudicación Directa</v>
      </c>
      <c r="G30" s="773" t="s">
        <v>161</v>
      </c>
      <c r="H30" s="744" t="s">
        <v>7233</v>
      </c>
      <c r="I30" s="748" t="s">
        <v>4113</v>
      </c>
      <c r="J30" s="747"/>
      <c r="K30" s="747"/>
      <c r="L30" s="747"/>
      <c r="M30" s="927" t="str">
        <f t="shared" si="11"/>
        <v xml:space="preserve">Microsoft México, S. de R.L. de C.V.  </v>
      </c>
      <c r="N30" s="749" t="s">
        <v>7240</v>
      </c>
      <c r="O30" s="749" t="s">
        <v>7240</v>
      </c>
      <c r="P30" s="749" t="s">
        <v>7329</v>
      </c>
      <c r="Q30" s="749" t="s">
        <v>7330</v>
      </c>
      <c r="R30" s="937" t="s">
        <v>7331</v>
      </c>
      <c r="S30" s="913">
        <v>1025011.65</v>
      </c>
      <c r="T30" s="913">
        <f t="shared" si="12"/>
        <v>164001.864</v>
      </c>
      <c r="U30" s="864">
        <f t="shared" si="8"/>
        <v>1189013.514</v>
      </c>
      <c r="V30" s="951">
        <v>307503.5</v>
      </c>
      <c r="W30" s="913">
        <f t="shared" si="13"/>
        <v>49200.56</v>
      </c>
      <c r="X30" s="914">
        <f t="shared" si="15"/>
        <v>356704.06</v>
      </c>
      <c r="Y30" s="866">
        <f t="shared" si="9"/>
        <v>1025011.65</v>
      </c>
      <c r="Z30" s="751" t="s">
        <v>7227</v>
      </c>
      <c r="AA30" s="739">
        <v>45659</v>
      </c>
      <c r="AB30" s="753" t="s">
        <v>6330</v>
      </c>
      <c r="AC30" s="752">
        <v>45658</v>
      </c>
      <c r="AD30" s="752">
        <v>46022</v>
      </c>
      <c r="AE30" s="908">
        <v>0.15</v>
      </c>
      <c r="AF30" s="900" t="s">
        <v>161</v>
      </c>
      <c r="AG30" s="900" t="s">
        <v>161</v>
      </c>
      <c r="AH30" s="900" t="s">
        <v>161</v>
      </c>
      <c r="AI30" s="900" t="s">
        <v>161</v>
      </c>
      <c r="AJ30" s="749" t="s">
        <v>161</v>
      </c>
      <c r="AK30" s="772" t="s">
        <v>161</v>
      </c>
      <c r="AL30" s="875">
        <v>0</v>
      </c>
      <c r="AM30" s="862">
        <f t="shared" si="16"/>
        <v>1025011.65</v>
      </c>
      <c r="AN30" s="755" t="str">
        <f t="shared" ca="1" si="17"/>
        <v>VIGENTE</v>
      </c>
      <c r="AO30" s="753">
        <v>32701</v>
      </c>
      <c r="AP30" s="753" t="s">
        <v>1146</v>
      </c>
      <c r="AQ30" s="753" t="s">
        <v>6330</v>
      </c>
      <c r="AR30" s="753" t="s">
        <v>7229</v>
      </c>
      <c r="AS30" s="753" t="s">
        <v>6330</v>
      </c>
      <c r="AT30" s="739" t="s">
        <v>7332</v>
      </c>
      <c r="AU30" s="739">
        <v>45622</v>
      </c>
      <c r="AV30" s="739">
        <v>45643</v>
      </c>
      <c r="AW30" s="739">
        <v>45653</v>
      </c>
      <c r="AX30" s="739" t="s">
        <v>7333</v>
      </c>
      <c r="AY30" s="882">
        <v>45671</v>
      </c>
      <c r="AZ30" s="739">
        <v>45678</v>
      </c>
      <c r="BA30" s="739">
        <v>45684</v>
      </c>
      <c r="BB30" s="739"/>
      <c r="BC30" s="739"/>
      <c r="BD30" s="739">
        <f t="shared" si="18"/>
        <v>45659</v>
      </c>
      <c r="BE30" s="739"/>
      <c r="BF30" s="882">
        <f t="shared" si="19"/>
        <v>45659</v>
      </c>
    </row>
    <row r="31" spans="1:58" ht="45" x14ac:dyDescent="0.25">
      <c r="A31" s="929" t="s">
        <v>7334</v>
      </c>
      <c r="B31" s="773">
        <v>17</v>
      </c>
      <c r="C31" s="897" t="s">
        <v>149</v>
      </c>
      <c r="D31" s="928" t="s">
        <v>163</v>
      </c>
      <c r="E31" s="744" t="s">
        <v>7335</v>
      </c>
      <c r="F31" s="744" t="str">
        <f t="shared" si="14"/>
        <v>Adjudicación Directa</v>
      </c>
      <c r="G31" s="773" t="s">
        <v>161</v>
      </c>
      <c r="H31" s="744" t="s">
        <v>7139</v>
      </c>
      <c r="I31" s="758" t="s">
        <v>7336</v>
      </c>
      <c r="J31" s="744"/>
      <c r="K31" s="744"/>
      <c r="L31" s="744"/>
      <c r="M31" s="927" t="str">
        <f t="shared" si="11"/>
        <v xml:space="preserve">CEN Systems, S.A. de C.V.  </v>
      </c>
      <c r="N31" s="749" t="s">
        <v>7240</v>
      </c>
      <c r="O31" s="749" t="s">
        <v>7240</v>
      </c>
      <c r="P31" s="749" t="s">
        <v>7256</v>
      </c>
      <c r="Q31" s="749" t="s">
        <v>7316</v>
      </c>
      <c r="R31" s="939" t="s">
        <v>7337</v>
      </c>
      <c r="S31" s="861">
        <v>10229042.4</v>
      </c>
      <c r="T31" s="861">
        <f t="shared" si="12"/>
        <v>1636646.784</v>
      </c>
      <c r="U31" s="864">
        <f t="shared" si="8"/>
        <v>11865689.184</v>
      </c>
      <c r="V31" s="862">
        <v>0</v>
      </c>
      <c r="W31" s="861">
        <f t="shared" si="13"/>
        <v>0</v>
      </c>
      <c r="X31" s="864">
        <f t="shared" si="15"/>
        <v>0</v>
      </c>
      <c r="Y31" s="866">
        <f t="shared" si="9"/>
        <v>10229042.4</v>
      </c>
      <c r="Z31" s="744" t="s">
        <v>7227</v>
      </c>
      <c r="AA31" s="739">
        <v>45659</v>
      </c>
      <c r="AB31" s="753" t="s">
        <v>6330</v>
      </c>
      <c r="AC31" s="752">
        <v>45658</v>
      </c>
      <c r="AD31" s="752">
        <v>46022</v>
      </c>
      <c r="AE31" s="908">
        <v>0.15</v>
      </c>
      <c r="AF31" s="908">
        <v>0.15</v>
      </c>
      <c r="AG31" s="900" t="s">
        <v>161</v>
      </c>
      <c r="AH31" s="900" t="s">
        <v>161</v>
      </c>
      <c r="AI31" s="904" t="s">
        <v>7338</v>
      </c>
      <c r="AJ31" s="749" t="s">
        <v>161</v>
      </c>
      <c r="AK31" s="772" t="s">
        <v>161</v>
      </c>
      <c r="AL31" s="872">
        <v>0</v>
      </c>
      <c r="AM31" s="862">
        <f t="shared" si="16"/>
        <v>10229042.4</v>
      </c>
      <c r="AN31" s="755" t="str">
        <f t="shared" ca="1" si="17"/>
        <v>VIGENTE</v>
      </c>
      <c r="AO31" s="744">
        <v>33304</v>
      </c>
      <c r="AP31" s="744" t="s">
        <v>1146</v>
      </c>
      <c r="AQ31" s="753" t="s">
        <v>6330</v>
      </c>
      <c r="AR31" s="753" t="s">
        <v>7229</v>
      </c>
      <c r="AS31" s="753" t="s">
        <v>6330</v>
      </c>
      <c r="AT31" s="770" t="s">
        <v>7339</v>
      </c>
      <c r="AU31" s="739">
        <v>45635</v>
      </c>
      <c r="AV31" s="739">
        <v>45644</v>
      </c>
      <c r="AW31" s="739">
        <v>45653</v>
      </c>
      <c r="AX31" s="739" t="s">
        <v>7340</v>
      </c>
      <c r="AY31" s="882">
        <v>45671</v>
      </c>
      <c r="AZ31" s="739">
        <v>45671</v>
      </c>
      <c r="BA31" s="739">
        <v>45672</v>
      </c>
      <c r="BB31" s="739">
        <v>45672</v>
      </c>
      <c r="BC31" s="739">
        <v>45673</v>
      </c>
      <c r="BD31" s="739">
        <f t="shared" si="18"/>
        <v>45659</v>
      </c>
      <c r="BE31" s="739"/>
      <c r="BF31" s="882">
        <f t="shared" si="19"/>
        <v>45659</v>
      </c>
    </row>
    <row r="32" spans="1:58" s="774" customFormat="1" ht="60" x14ac:dyDescent="0.25">
      <c r="A32" s="929" t="s">
        <v>7341</v>
      </c>
      <c r="B32" s="773">
        <v>18</v>
      </c>
      <c r="C32" s="896" t="s">
        <v>149</v>
      </c>
      <c r="D32" s="928" t="s">
        <v>163</v>
      </c>
      <c r="E32" s="744" t="s">
        <v>7342</v>
      </c>
      <c r="F32" s="744" t="str">
        <f t="shared" si="14"/>
        <v>Adjudicación Directa</v>
      </c>
      <c r="G32" s="773" t="s">
        <v>161</v>
      </c>
      <c r="H32" s="773" t="s">
        <v>4123</v>
      </c>
      <c r="I32" s="758" t="s">
        <v>2484</v>
      </c>
      <c r="J32" s="744"/>
      <c r="K32" s="744"/>
      <c r="L32" s="744"/>
      <c r="M32" s="927" t="str">
        <f t="shared" si="11"/>
        <v xml:space="preserve">RCM Seguridad Privada, S.A. de C.V.  </v>
      </c>
      <c r="N32" s="758" t="s">
        <v>166</v>
      </c>
      <c r="O32" s="758" t="s">
        <v>166</v>
      </c>
      <c r="P32" s="758" t="s">
        <v>166</v>
      </c>
      <c r="Q32" s="758" t="s">
        <v>161</v>
      </c>
      <c r="R32" s="939" t="s">
        <v>7343</v>
      </c>
      <c r="S32" s="861">
        <v>2087354.7</v>
      </c>
      <c r="T32" s="861">
        <f t="shared" si="12"/>
        <v>333976.75199999998</v>
      </c>
      <c r="U32" s="864">
        <f t="shared" si="8"/>
        <v>2421331.452</v>
      </c>
      <c r="V32" s="862">
        <v>0</v>
      </c>
      <c r="W32" s="861">
        <f t="shared" si="13"/>
        <v>0</v>
      </c>
      <c r="X32" s="864">
        <f t="shared" si="15"/>
        <v>0</v>
      </c>
      <c r="Y32" s="866">
        <f t="shared" si="9"/>
        <v>2087354.7</v>
      </c>
      <c r="Z32" s="744" t="s">
        <v>7227</v>
      </c>
      <c r="AA32" s="739">
        <v>45659</v>
      </c>
      <c r="AB32" s="753" t="s">
        <v>6330</v>
      </c>
      <c r="AC32" s="752">
        <v>45658</v>
      </c>
      <c r="AD32" s="752">
        <v>46022</v>
      </c>
      <c r="AE32" s="908">
        <v>0.15</v>
      </c>
      <c r="AF32" s="908">
        <v>0.15</v>
      </c>
      <c r="AG32" s="900" t="s">
        <v>161</v>
      </c>
      <c r="AH32" s="900" t="s">
        <v>161</v>
      </c>
      <c r="AI32" s="904" t="s">
        <v>7344</v>
      </c>
      <c r="AJ32" s="749" t="s">
        <v>161</v>
      </c>
      <c r="AK32" s="772" t="s">
        <v>161</v>
      </c>
      <c r="AL32" s="872">
        <v>0</v>
      </c>
      <c r="AM32" s="862">
        <f t="shared" si="16"/>
        <v>2087354.7</v>
      </c>
      <c r="AN32" s="755" t="str">
        <f t="shared" ca="1" si="17"/>
        <v>VIGENTE</v>
      </c>
      <c r="AO32" s="744">
        <v>33801</v>
      </c>
      <c r="AP32" s="744" t="s">
        <v>1146</v>
      </c>
      <c r="AQ32" s="753" t="s">
        <v>6330</v>
      </c>
      <c r="AR32" s="753" t="s">
        <v>7229</v>
      </c>
      <c r="AS32" s="753" t="s">
        <v>6330</v>
      </c>
      <c r="AT32" s="770" t="s">
        <v>7345</v>
      </c>
      <c r="AU32" s="739" t="s">
        <v>7346</v>
      </c>
      <c r="AV32" s="739">
        <v>45645</v>
      </c>
      <c r="AW32" s="739">
        <v>45653</v>
      </c>
      <c r="AX32" s="739" t="s">
        <v>7347</v>
      </c>
      <c r="AY32" s="882">
        <v>45663</v>
      </c>
      <c r="AZ32" s="739">
        <v>45664</v>
      </c>
      <c r="BA32" s="739">
        <v>45667</v>
      </c>
      <c r="BB32" s="739">
        <v>45667</v>
      </c>
      <c r="BC32" s="739">
        <v>45670</v>
      </c>
      <c r="BD32" s="739">
        <f t="shared" si="18"/>
        <v>45659</v>
      </c>
      <c r="BE32" s="739"/>
      <c r="BF32" s="882">
        <f t="shared" si="19"/>
        <v>45659</v>
      </c>
    </row>
    <row r="33" spans="1:58" s="774" customFormat="1" ht="45" x14ac:dyDescent="0.25">
      <c r="A33" s="929" t="s">
        <v>7348</v>
      </c>
      <c r="B33" s="773">
        <v>19</v>
      </c>
      <c r="C33" s="896" t="s">
        <v>149</v>
      </c>
      <c r="D33" s="928" t="s">
        <v>151</v>
      </c>
      <c r="E33" s="744" t="s">
        <v>7349</v>
      </c>
      <c r="F33" s="744" t="str">
        <f t="shared" si="14"/>
        <v>Invitación</v>
      </c>
      <c r="G33" s="773" t="s">
        <v>161</v>
      </c>
      <c r="H33" s="773" t="s">
        <v>3793</v>
      </c>
      <c r="I33" s="775" t="s">
        <v>1008</v>
      </c>
      <c r="J33" s="769"/>
      <c r="K33" s="769"/>
      <c r="L33" s="769"/>
      <c r="M33" s="927" t="str">
        <f t="shared" si="11"/>
        <v xml:space="preserve">Dhimex Ciudad de México, S.A. de C.V.  </v>
      </c>
      <c r="N33" s="775" t="s">
        <v>315</v>
      </c>
      <c r="O33" s="758" t="s">
        <v>166</v>
      </c>
      <c r="P33" s="775" t="s">
        <v>315</v>
      </c>
      <c r="Q33" s="775" t="s">
        <v>7350</v>
      </c>
      <c r="R33" s="940" t="s">
        <v>7351</v>
      </c>
      <c r="S33" s="861">
        <v>1191000</v>
      </c>
      <c r="T33" s="861">
        <f t="shared" si="12"/>
        <v>190560</v>
      </c>
      <c r="U33" s="864">
        <f t="shared" si="8"/>
        <v>1381560</v>
      </c>
      <c r="V33" s="862">
        <v>0</v>
      </c>
      <c r="W33" s="861">
        <f t="shared" si="13"/>
        <v>0</v>
      </c>
      <c r="X33" s="864">
        <f t="shared" si="15"/>
        <v>0</v>
      </c>
      <c r="Y33" s="866">
        <f t="shared" si="9"/>
        <v>1191000</v>
      </c>
      <c r="Z33" s="769" t="s">
        <v>7227</v>
      </c>
      <c r="AA33" s="739">
        <v>45659</v>
      </c>
      <c r="AB33" s="753" t="s">
        <v>6330</v>
      </c>
      <c r="AC33" s="752">
        <v>45658</v>
      </c>
      <c r="AD33" s="752">
        <v>46022</v>
      </c>
      <c r="AE33" s="908">
        <v>0.15</v>
      </c>
      <c r="AF33" s="908">
        <v>0.15</v>
      </c>
      <c r="AG33" s="900" t="s">
        <v>161</v>
      </c>
      <c r="AH33" s="900" t="s">
        <v>161</v>
      </c>
      <c r="AI33" s="904" t="s">
        <v>7251</v>
      </c>
      <c r="AJ33" s="749" t="s">
        <v>161</v>
      </c>
      <c r="AK33" s="772" t="s">
        <v>161</v>
      </c>
      <c r="AL33" s="872">
        <v>0</v>
      </c>
      <c r="AM33" s="862">
        <f t="shared" si="16"/>
        <v>1191000</v>
      </c>
      <c r="AN33" s="755" t="str">
        <f t="shared" ca="1" si="17"/>
        <v>VIGENTE</v>
      </c>
      <c r="AO33" s="769"/>
      <c r="AP33" s="769"/>
      <c r="AQ33" s="753" t="s">
        <v>6330</v>
      </c>
      <c r="AR33" s="753" t="s">
        <v>7229</v>
      </c>
      <c r="AS33" s="753" t="s">
        <v>6330</v>
      </c>
      <c r="AT33" s="769"/>
      <c r="AU33" s="739"/>
      <c r="AV33" s="739">
        <v>45649</v>
      </c>
      <c r="AW33" s="739">
        <v>45656</v>
      </c>
      <c r="AX33" s="739" t="s">
        <v>7352</v>
      </c>
      <c r="AY33" s="882">
        <v>45657</v>
      </c>
      <c r="AZ33" s="739">
        <v>45666</v>
      </c>
      <c r="BA33" s="739">
        <v>45678</v>
      </c>
      <c r="BB33" s="739">
        <v>45678</v>
      </c>
      <c r="BC33" s="739">
        <v>45680</v>
      </c>
      <c r="BD33" s="739">
        <f t="shared" si="18"/>
        <v>45659</v>
      </c>
      <c r="BE33" s="739"/>
      <c r="BF33" s="882">
        <f t="shared" si="19"/>
        <v>45659</v>
      </c>
    </row>
    <row r="34" spans="1:58" s="774" customFormat="1" ht="90" x14ac:dyDescent="0.25">
      <c r="A34" s="929" t="s">
        <v>7353</v>
      </c>
      <c r="B34" s="773">
        <v>20</v>
      </c>
      <c r="C34" s="896" t="s">
        <v>149</v>
      </c>
      <c r="D34" s="928" t="s">
        <v>163</v>
      </c>
      <c r="E34" s="744" t="s">
        <v>7248</v>
      </c>
      <c r="F34" s="744" t="str">
        <f t="shared" si="14"/>
        <v>Adjudicación Directa</v>
      </c>
      <c r="G34" s="773" t="s">
        <v>161</v>
      </c>
      <c r="H34" s="773" t="s">
        <v>7146</v>
      </c>
      <c r="I34" s="758" t="s">
        <v>1008</v>
      </c>
      <c r="J34" s="744"/>
      <c r="K34" s="744"/>
      <c r="L34" s="744"/>
      <c r="M34" s="927" t="str">
        <f t="shared" si="11"/>
        <v xml:space="preserve">Dhimex Ciudad de México, S.A. de C.V.  </v>
      </c>
      <c r="N34" s="758" t="s">
        <v>7263</v>
      </c>
      <c r="O34" s="758" t="s">
        <v>3941</v>
      </c>
      <c r="P34" s="758" t="s">
        <v>7263</v>
      </c>
      <c r="Q34" s="758" t="s">
        <v>7354</v>
      </c>
      <c r="R34" s="939" t="s">
        <v>7355</v>
      </c>
      <c r="S34" s="861">
        <v>3577586.21</v>
      </c>
      <c r="T34" s="861">
        <f t="shared" si="12"/>
        <v>572413.79359999998</v>
      </c>
      <c r="U34" s="864">
        <f t="shared" si="8"/>
        <v>4150000.0035999999</v>
      </c>
      <c r="V34" s="862">
        <v>2866744.33</v>
      </c>
      <c r="W34" s="861">
        <f t="shared" si="13"/>
        <v>458679.09280000004</v>
      </c>
      <c r="X34" s="864">
        <f t="shared" si="15"/>
        <v>3325423.4228000003</v>
      </c>
      <c r="Y34" s="866">
        <f t="shared" si="9"/>
        <v>3577586.21</v>
      </c>
      <c r="Z34" s="744" t="s">
        <v>7227</v>
      </c>
      <c r="AA34" s="739">
        <v>45659</v>
      </c>
      <c r="AB34" s="753" t="s">
        <v>6330</v>
      </c>
      <c r="AC34" s="752">
        <v>45658</v>
      </c>
      <c r="AD34" s="752">
        <v>46022</v>
      </c>
      <c r="AE34" s="908">
        <v>0.15</v>
      </c>
      <c r="AF34" s="908">
        <v>0.15</v>
      </c>
      <c r="AG34" s="900" t="s">
        <v>161</v>
      </c>
      <c r="AH34" s="900" t="s">
        <v>161</v>
      </c>
      <c r="AI34" s="904" t="s">
        <v>7251</v>
      </c>
      <c r="AJ34" s="749" t="s">
        <v>161</v>
      </c>
      <c r="AK34" s="772" t="s">
        <v>161</v>
      </c>
      <c r="AL34" s="872">
        <v>0</v>
      </c>
      <c r="AM34" s="862">
        <f t="shared" si="16"/>
        <v>3577586.21</v>
      </c>
      <c r="AN34" s="755" t="str">
        <f t="shared" ca="1" si="17"/>
        <v>VIGENTE</v>
      </c>
      <c r="AO34" s="744">
        <v>35701</v>
      </c>
      <c r="AP34" s="744" t="s">
        <v>1146</v>
      </c>
      <c r="AQ34" s="753" t="s">
        <v>6330</v>
      </c>
      <c r="AR34" s="753" t="s">
        <v>7229</v>
      </c>
      <c r="AS34" s="753" t="s">
        <v>6330</v>
      </c>
      <c r="AT34" s="770" t="s">
        <v>7356</v>
      </c>
      <c r="AU34" s="739">
        <v>45629</v>
      </c>
      <c r="AV34" s="739">
        <v>45642</v>
      </c>
      <c r="AW34" s="739">
        <v>45656</v>
      </c>
      <c r="AX34" s="739" t="s">
        <v>7357</v>
      </c>
      <c r="AY34" s="882">
        <v>45671</v>
      </c>
      <c r="AZ34" s="739">
        <v>45671</v>
      </c>
      <c r="BA34" s="739">
        <v>45672</v>
      </c>
      <c r="BB34" s="739">
        <v>45672</v>
      </c>
      <c r="BC34" s="739">
        <v>45673</v>
      </c>
      <c r="BD34" s="739">
        <f t="shared" si="18"/>
        <v>45659</v>
      </c>
      <c r="BE34" s="739"/>
      <c r="BF34" s="882">
        <f t="shared" si="19"/>
        <v>45659</v>
      </c>
    </row>
    <row r="35" spans="1:58" s="774" customFormat="1" ht="45" x14ac:dyDescent="0.25">
      <c r="A35" s="929" t="s">
        <v>7358</v>
      </c>
      <c r="B35" s="773">
        <v>21</v>
      </c>
      <c r="C35" s="896" t="s">
        <v>149</v>
      </c>
      <c r="D35" s="928" t="s">
        <v>151</v>
      </c>
      <c r="E35" s="744" t="s">
        <v>7359</v>
      </c>
      <c r="F35" s="744" t="str">
        <f t="shared" si="14"/>
        <v>Invitación</v>
      </c>
      <c r="G35" s="773" t="s">
        <v>161</v>
      </c>
      <c r="H35" s="773" t="s">
        <v>3793</v>
      </c>
      <c r="I35" s="758" t="s">
        <v>7360</v>
      </c>
      <c r="J35" s="744"/>
      <c r="K35" s="744"/>
      <c r="L35" s="744"/>
      <c r="M35" s="927" t="str">
        <f t="shared" si="11"/>
        <v xml:space="preserve">Líder en Administración de Riesgos, Agente de Seguros y de Fianzas, S.A. de C.V.  </v>
      </c>
      <c r="N35" s="758" t="s">
        <v>270</v>
      </c>
      <c r="O35" s="758" t="s">
        <v>166</v>
      </c>
      <c r="P35" s="758" t="s">
        <v>270</v>
      </c>
      <c r="Q35" s="758" t="s">
        <v>1077</v>
      </c>
      <c r="R35" s="939" t="s">
        <v>7361</v>
      </c>
      <c r="S35" s="861">
        <v>475700.04</v>
      </c>
      <c r="T35" s="861">
        <f t="shared" si="12"/>
        <v>76112.006399999998</v>
      </c>
      <c r="U35" s="864">
        <f t="shared" si="8"/>
        <v>551812.04639999999</v>
      </c>
      <c r="V35" s="862">
        <v>0</v>
      </c>
      <c r="W35" s="861">
        <f t="shared" si="13"/>
        <v>0</v>
      </c>
      <c r="X35" s="864">
        <f t="shared" si="15"/>
        <v>0</v>
      </c>
      <c r="Y35" s="866">
        <f t="shared" si="9"/>
        <v>475700.04</v>
      </c>
      <c r="Z35" s="744" t="s">
        <v>7227</v>
      </c>
      <c r="AA35" s="770">
        <v>45659</v>
      </c>
      <c r="AB35" s="744" t="s">
        <v>6330</v>
      </c>
      <c r="AC35" s="752">
        <v>45658</v>
      </c>
      <c r="AD35" s="752">
        <v>46022</v>
      </c>
      <c r="AE35" s="908">
        <v>0.15</v>
      </c>
      <c r="AF35" s="900" t="s">
        <v>161</v>
      </c>
      <c r="AG35" s="900" t="s">
        <v>161</v>
      </c>
      <c r="AH35" s="900" t="s">
        <v>161</v>
      </c>
      <c r="AI35" s="904" t="s">
        <v>7362</v>
      </c>
      <c r="AJ35" s="776" t="s">
        <v>161</v>
      </c>
      <c r="AK35" s="772" t="s">
        <v>161</v>
      </c>
      <c r="AL35" s="872">
        <v>0</v>
      </c>
      <c r="AM35" s="862">
        <f t="shared" si="16"/>
        <v>475700.04</v>
      </c>
      <c r="AN35" s="755" t="str">
        <f t="shared" ca="1" si="17"/>
        <v>VIGENTE</v>
      </c>
      <c r="AO35" s="744">
        <v>33104</v>
      </c>
      <c r="AP35" s="744" t="s">
        <v>1146</v>
      </c>
      <c r="AQ35" s="753" t="s">
        <v>6330</v>
      </c>
      <c r="AR35" s="753" t="s">
        <v>7229</v>
      </c>
      <c r="AS35" s="753" t="s">
        <v>6330</v>
      </c>
      <c r="AT35" s="770"/>
      <c r="AU35" s="739"/>
      <c r="AV35" s="739">
        <v>45653</v>
      </c>
      <c r="AW35" s="739">
        <v>45663</v>
      </c>
      <c r="AX35" s="739"/>
      <c r="AY35" s="882">
        <v>45298</v>
      </c>
      <c r="AZ35" s="739">
        <v>45664</v>
      </c>
      <c r="BA35" s="739">
        <v>45666</v>
      </c>
      <c r="BB35" s="739">
        <v>45667</v>
      </c>
      <c r="BC35" s="739">
        <v>45670</v>
      </c>
      <c r="BD35" s="739">
        <f t="shared" si="18"/>
        <v>45659</v>
      </c>
      <c r="BE35" s="739"/>
      <c r="BF35" s="882">
        <f t="shared" si="19"/>
        <v>45659</v>
      </c>
    </row>
    <row r="36" spans="1:58" ht="90" x14ac:dyDescent="0.25">
      <c r="A36" s="929" t="s">
        <v>7363</v>
      </c>
      <c r="B36" s="773">
        <v>22</v>
      </c>
      <c r="C36" s="896" t="s">
        <v>149</v>
      </c>
      <c r="D36" s="928" t="s">
        <v>151</v>
      </c>
      <c r="E36" s="744" t="s">
        <v>7364</v>
      </c>
      <c r="F36" s="744" t="str">
        <f t="shared" si="14"/>
        <v>Invitación</v>
      </c>
      <c r="G36" s="773" t="s">
        <v>161</v>
      </c>
      <c r="H36" s="773" t="s">
        <v>3793</v>
      </c>
      <c r="I36" s="758" t="s">
        <v>7365</v>
      </c>
      <c r="J36" s="744"/>
      <c r="K36" s="744"/>
      <c r="L36" s="744"/>
      <c r="M36" s="927" t="str">
        <f t="shared" si="11"/>
        <v xml:space="preserve">HDI Seguros, S.A. de C.V.  </v>
      </c>
      <c r="N36" s="758" t="s">
        <v>270</v>
      </c>
      <c r="O36" s="758" t="s">
        <v>166</v>
      </c>
      <c r="P36" s="758" t="s">
        <v>270</v>
      </c>
      <c r="Q36" s="758" t="s">
        <v>1077</v>
      </c>
      <c r="R36" s="939" t="s">
        <v>7366</v>
      </c>
      <c r="S36" s="861">
        <v>516162.88</v>
      </c>
      <c r="T36" s="861">
        <f t="shared" si="12"/>
        <v>82586.060800000007</v>
      </c>
      <c r="U36" s="864">
        <f t="shared" ref="U36:U79" si="20">+S36+T36</f>
        <v>598748.94079999998</v>
      </c>
      <c r="V36" s="862">
        <v>0</v>
      </c>
      <c r="W36" s="861">
        <f t="shared" si="13"/>
        <v>0</v>
      </c>
      <c r="X36" s="864">
        <f t="shared" si="15"/>
        <v>0</v>
      </c>
      <c r="Y36" s="866">
        <f t="shared" si="9"/>
        <v>516162.88</v>
      </c>
      <c r="Z36" s="744" t="s">
        <v>7227</v>
      </c>
      <c r="AA36" s="770">
        <v>45659</v>
      </c>
      <c r="AB36" s="744" t="s">
        <v>6330</v>
      </c>
      <c r="AC36" s="752">
        <v>45658</v>
      </c>
      <c r="AD36" s="752">
        <v>46022</v>
      </c>
      <c r="AE36" s="900" t="s">
        <v>161</v>
      </c>
      <c r="AF36" s="900" t="s">
        <v>161</v>
      </c>
      <c r="AG36" s="900" t="s">
        <v>161</v>
      </c>
      <c r="AH36" s="900" t="s">
        <v>161</v>
      </c>
      <c r="AI36" s="904" t="s">
        <v>161</v>
      </c>
      <c r="AJ36" s="776" t="s">
        <v>161</v>
      </c>
      <c r="AK36" s="772" t="s">
        <v>161</v>
      </c>
      <c r="AL36" s="872">
        <v>0</v>
      </c>
      <c r="AM36" s="862">
        <f>+S36+AL36</f>
        <v>516162.88</v>
      </c>
      <c r="AN36" s="755" t="str">
        <f ca="1">IF(ISBLANK(AD36),"",IF(AD36&gt;=TODAY(),"VIGENTE","MUERTO"))</f>
        <v>VIGENTE</v>
      </c>
      <c r="AO36" s="769" t="s">
        <v>7367</v>
      </c>
      <c r="AP36" s="744" t="s">
        <v>1146</v>
      </c>
      <c r="AQ36" s="753" t="s">
        <v>6330</v>
      </c>
      <c r="AR36" s="753" t="s">
        <v>7229</v>
      </c>
      <c r="AS36" s="753" t="s">
        <v>6330</v>
      </c>
      <c r="AT36" s="770" t="s">
        <v>7368</v>
      </c>
      <c r="AU36" s="739">
        <v>45576</v>
      </c>
      <c r="AV36" s="739">
        <v>45652</v>
      </c>
      <c r="AW36" s="739">
        <v>45665</v>
      </c>
      <c r="AX36" s="739" t="s">
        <v>7369</v>
      </c>
      <c r="AY36" s="882">
        <v>45672</v>
      </c>
      <c r="AZ36" s="739">
        <v>45672</v>
      </c>
      <c r="BA36" s="739">
        <v>45672</v>
      </c>
      <c r="BB36" s="739">
        <v>45672</v>
      </c>
      <c r="BC36" s="739">
        <v>45673</v>
      </c>
      <c r="BD36" s="739">
        <f t="shared" si="18"/>
        <v>45659</v>
      </c>
      <c r="BE36" s="739">
        <v>45674</v>
      </c>
      <c r="BF36" s="882">
        <f t="shared" si="19"/>
        <v>45659</v>
      </c>
    </row>
    <row r="37" spans="1:58" s="774" customFormat="1" ht="45" x14ac:dyDescent="0.25">
      <c r="A37" s="929" t="s">
        <v>7370</v>
      </c>
      <c r="B37" s="773">
        <v>23</v>
      </c>
      <c r="C37" s="896" t="s">
        <v>149</v>
      </c>
      <c r="D37" s="928" t="s">
        <v>163</v>
      </c>
      <c r="E37" s="744" t="s">
        <v>7371</v>
      </c>
      <c r="F37" s="744" t="str">
        <f t="shared" si="14"/>
        <v>Adjudicación Directa</v>
      </c>
      <c r="G37" s="773" t="s">
        <v>161</v>
      </c>
      <c r="H37" s="773" t="s">
        <v>7167</v>
      </c>
      <c r="I37" s="758" t="s">
        <v>7372</v>
      </c>
      <c r="J37" s="744"/>
      <c r="K37" s="744"/>
      <c r="L37" s="744"/>
      <c r="M37" s="927" t="str">
        <f t="shared" si="11"/>
        <v xml:space="preserve">B Drive It, S.A. de C.V.  </v>
      </c>
      <c r="N37" s="749" t="s">
        <v>7240</v>
      </c>
      <c r="O37" s="749" t="s">
        <v>7240</v>
      </c>
      <c r="P37" s="749" t="s">
        <v>7256</v>
      </c>
      <c r="Q37" s="749" t="s">
        <v>7316</v>
      </c>
      <c r="R37" s="939" t="s">
        <v>7373</v>
      </c>
      <c r="S37" s="861">
        <v>6724137.9299999997</v>
      </c>
      <c r="T37" s="861">
        <f t="shared" si="12"/>
        <v>1075862.0688</v>
      </c>
      <c r="U37" s="864">
        <f t="shared" si="20"/>
        <v>7799999.9988000002</v>
      </c>
      <c r="V37" s="876">
        <v>2689655.17</v>
      </c>
      <c r="W37" s="861">
        <f t="shared" si="13"/>
        <v>430344.8272</v>
      </c>
      <c r="X37" s="864">
        <f t="shared" si="15"/>
        <v>3119999.9972000001</v>
      </c>
      <c r="Y37" s="866">
        <f t="shared" si="9"/>
        <v>6724137.9299999997</v>
      </c>
      <c r="Z37" s="744" t="s">
        <v>7227</v>
      </c>
      <c r="AA37" s="770">
        <v>45659</v>
      </c>
      <c r="AB37" s="744" t="s">
        <v>6330</v>
      </c>
      <c r="AC37" s="752">
        <v>45658</v>
      </c>
      <c r="AD37" s="752">
        <v>46022</v>
      </c>
      <c r="AE37" s="908">
        <v>0.15</v>
      </c>
      <c r="AF37" s="908">
        <v>0.15</v>
      </c>
      <c r="AG37" s="900" t="s">
        <v>161</v>
      </c>
      <c r="AH37" s="900" t="s">
        <v>161</v>
      </c>
      <c r="AI37" s="904" t="s">
        <v>7374</v>
      </c>
      <c r="AJ37" s="776" t="s">
        <v>161</v>
      </c>
      <c r="AK37" s="772" t="s">
        <v>161</v>
      </c>
      <c r="AL37" s="872">
        <v>0</v>
      </c>
      <c r="AM37" s="862">
        <f t="shared" si="16"/>
        <v>6724137.9299999997</v>
      </c>
      <c r="AN37" s="755" t="str">
        <f t="shared" ca="1" si="17"/>
        <v>VIGENTE</v>
      </c>
      <c r="AO37" s="744"/>
      <c r="AP37" s="744"/>
      <c r="AQ37" s="753" t="s">
        <v>6330</v>
      </c>
      <c r="AR37" s="753" t="s">
        <v>7229</v>
      </c>
      <c r="AS37" s="753" t="s">
        <v>6330</v>
      </c>
      <c r="AT37" s="770" t="s">
        <v>7285</v>
      </c>
      <c r="AU37" s="739"/>
      <c r="AV37" s="739">
        <v>45652</v>
      </c>
      <c r="AW37" s="739">
        <v>45665</v>
      </c>
      <c r="AX37" s="739" t="s">
        <v>7375</v>
      </c>
      <c r="AY37" s="882">
        <v>45672</v>
      </c>
      <c r="AZ37" s="739">
        <v>45665</v>
      </c>
      <c r="BA37" s="739">
        <v>45673</v>
      </c>
      <c r="BB37" s="739">
        <v>45673</v>
      </c>
      <c r="BC37" s="739">
        <v>45673</v>
      </c>
      <c r="BD37" s="739">
        <f t="shared" si="18"/>
        <v>45659</v>
      </c>
      <c r="BE37" s="739"/>
      <c r="BF37" s="882">
        <f t="shared" si="19"/>
        <v>45659</v>
      </c>
    </row>
    <row r="38" spans="1:58" s="774" customFormat="1" ht="75" x14ac:dyDescent="0.25">
      <c r="A38" s="929" t="s">
        <v>7376</v>
      </c>
      <c r="B38" s="773">
        <v>24</v>
      </c>
      <c r="C38" s="896" t="s">
        <v>149</v>
      </c>
      <c r="D38" s="928" t="s">
        <v>151</v>
      </c>
      <c r="E38" s="744" t="s">
        <v>7364</v>
      </c>
      <c r="F38" s="744" t="str">
        <f t="shared" si="14"/>
        <v>Invitación</v>
      </c>
      <c r="G38" s="773" t="s">
        <v>161</v>
      </c>
      <c r="H38" s="773" t="s">
        <v>3793</v>
      </c>
      <c r="I38" s="758" t="s">
        <v>1129</v>
      </c>
      <c r="J38" s="744"/>
      <c r="K38" s="744"/>
      <c r="L38" s="744"/>
      <c r="M38" s="927" t="str">
        <f t="shared" si="11"/>
        <v xml:space="preserve">Grupo Mexicano de Seguros, S.A. de C.V.  </v>
      </c>
      <c r="N38" s="758" t="s">
        <v>270</v>
      </c>
      <c r="O38" s="758" t="s">
        <v>166</v>
      </c>
      <c r="P38" s="758" t="s">
        <v>270</v>
      </c>
      <c r="Q38" s="758" t="s">
        <v>1077</v>
      </c>
      <c r="R38" s="939" t="s">
        <v>7377</v>
      </c>
      <c r="S38" s="861">
        <v>29905469.489999998</v>
      </c>
      <c r="T38" s="861">
        <f t="shared" si="12"/>
        <v>4784875.1184</v>
      </c>
      <c r="U38" s="864">
        <f t="shared" si="20"/>
        <v>34690344.608400002</v>
      </c>
      <c r="V38" s="862">
        <v>0</v>
      </c>
      <c r="W38" s="861">
        <f t="shared" si="13"/>
        <v>0</v>
      </c>
      <c r="X38" s="864">
        <f t="shared" si="15"/>
        <v>0</v>
      </c>
      <c r="Y38" s="866">
        <f t="shared" si="9"/>
        <v>29905469.489999998</v>
      </c>
      <c r="Z38" s="744" t="s">
        <v>7227</v>
      </c>
      <c r="AA38" s="770">
        <v>45659</v>
      </c>
      <c r="AB38" s="744" t="s">
        <v>6330</v>
      </c>
      <c r="AC38" s="752">
        <v>45658</v>
      </c>
      <c r="AD38" s="752">
        <v>46022</v>
      </c>
      <c r="AE38" s="900" t="s">
        <v>161</v>
      </c>
      <c r="AF38" s="900" t="s">
        <v>161</v>
      </c>
      <c r="AG38" s="900" t="s">
        <v>161</v>
      </c>
      <c r="AH38" s="900" t="s">
        <v>161</v>
      </c>
      <c r="AI38" s="904" t="s">
        <v>161</v>
      </c>
      <c r="AJ38" s="776" t="s">
        <v>161</v>
      </c>
      <c r="AK38" s="772" t="s">
        <v>161</v>
      </c>
      <c r="AL38" s="872">
        <v>0</v>
      </c>
      <c r="AM38" s="862">
        <f t="shared" si="16"/>
        <v>29905469.489999998</v>
      </c>
      <c r="AN38" s="755" t="str">
        <f t="shared" ca="1" si="17"/>
        <v>VIGENTE</v>
      </c>
      <c r="AO38" s="769" t="s">
        <v>7367</v>
      </c>
      <c r="AP38" s="744" t="s">
        <v>1146</v>
      </c>
      <c r="AQ38" s="753" t="s">
        <v>6330</v>
      </c>
      <c r="AR38" s="753" t="s">
        <v>7229</v>
      </c>
      <c r="AS38" s="753" t="s">
        <v>6330</v>
      </c>
      <c r="AT38" s="770" t="s">
        <v>7368</v>
      </c>
      <c r="AU38" s="739">
        <v>45576</v>
      </c>
      <c r="AV38" s="739">
        <v>45653</v>
      </c>
      <c r="AW38" s="739">
        <v>45665</v>
      </c>
      <c r="AX38" s="739" t="s">
        <v>7378</v>
      </c>
      <c r="AY38" s="882">
        <v>45671</v>
      </c>
      <c r="AZ38" s="739">
        <v>45671</v>
      </c>
      <c r="BA38" s="739">
        <v>45672</v>
      </c>
      <c r="BB38" s="739">
        <v>45672</v>
      </c>
      <c r="BC38" s="739"/>
      <c r="BD38" s="739">
        <f t="shared" si="18"/>
        <v>45659</v>
      </c>
      <c r="BE38" s="768"/>
      <c r="BF38" s="882">
        <f t="shared" si="19"/>
        <v>45659</v>
      </c>
    </row>
    <row r="39" spans="1:58" s="774" customFormat="1" ht="105" x14ac:dyDescent="0.25">
      <c r="A39" s="929" t="s">
        <v>7379</v>
      </c>
      <c r="B39" s="773">
        <v>25</v>
      </c>
      <c r="C39" s="896" t="s">
        <v>149</v>
      </c>
      <c r="D39" s="928" t="s">
        <v>151</v>
      </c>
      <c r="E39" s="744" t="s">
        <v>7380</v>
      </c>
      <c r="F39" s="744" t="str">
        <f t="shared" si="14"/>
        <v>Invitación</v>
      </c>
      <c r="G39" s="773" t="s">
        <v>161</v>
      </c>
      <c r="H39" s="773" t="s">
        <v>3793</v>
      </c>
      <c r="I39" s="758" t="s">
        <v>7381</v>
      </c>
      <c r="J39" s="744"/>
      <c r="K39" s="744"/>
      <c r="L39" s="744"/>
      <c r="M39" s="927" t="str">
        <f t="shared" si="11"/>
        <v xml:space="preserve">EFINFO, S.A.P.I. de C.V.  </v>
      </c>
      <c r="N39" s="758" t="s">
        <v>179</v>
      </c>
      <c r="O39" s="758" t="s">
        <v>179</v>
      </c>
      <c r="P39" s="758" t="s">
        <v>179</v>
      </c>
      <c r="Q39" s="758" t="s">
        <v>1620</v>
      </c>
      <c r="R39" s="939" t="s">
        <v>7382</v>
      </c>
      <c r="S39" s="861">
        <v>720000</v>
      </c>
      <c r="T39" s="861">
        <f t="shared" si="12"/>
        <v>115200</v>
      </c>
      <c r="U39" s="864">
        <f t="shared" si="20"/>
        <v>835200</v>
      </c>
      <c r="V39" s="862">
        <v>0</v>
      </c>
      <c r="W39" s="861">
        <f t="shared" si="13"/>
        <v>0</v>
      </c>
      <c r="X39" s="864">
        <f t="shared" si="15"/>
        <v>0</v>
      </c>
      <c r="Y39" s="866">
        <f t="shared" si="9"/>
        <v>720000</v>
      </c>
      <c r="Z39" s="744" t="s">
        <v>7227</v>
      </c>
      <c r="AA39" s="770">
        <v>45659</v>
      </c>
      <c r="AB39" s="744" t="s">
        <v>6330</v>
      </c>
      <c r="AC39" s="752">
        <v>45658</v>
      </c>
      <c r="AD39" s="752">
        <v>46022</v>
      </c>
      <c r="AE39" s="908">
        <v>0.15</v>
      </c>
      <c r="AF39" s="900" t="s">
        <v>161</v>
      </c>
      <c r="AG39" s="900" t="s">
        <v>161</v>
      </c>
      <c r="AH39" s="900" t="s">
        <v>161</v>
      </c>
      <c r="AI39" s="904" t="s">
        <v>161</v>
      </c>
      <c r="AJ39" s="776" t="s">
        <v>161</v>
      </c>
      <c r="AK39" s="772" t="s">
        <v>161</v>
      </c>
      <c r="AL39" s="872">
        <v>0</v>
      </c>
      <c r="AM39" s="862">
        <f t="shared" si="16"/>
        <v>720000</v>
      </c>
      <c r="AN39" s="755" t="str">
        <f t="shared" ca="1" si="17"/>
        <v>VIGENTE</v>
      </c>
      <c r="AO39" s="744">
        <v>36901</v>
      </c>
      <c r="AP39" s="744" t="s">
        <v>1146</v>
      </c>
      <c r="AQ39" s="753" t="s">
        <v>6330</v>
      </c>
      <c r="AR39" s="753" t="s">
        <v>7229</v>
      </c>
      <c r="AS39" s="753" t="s">
        <v>6330</v>
      </c>
      <c r="AT39" s="770" t="s">
        <v>7383</v>
      </c>
      <c r="AU39" s="739">
        <v>45575</v>
      </c>
      <c r="AV39" s="739">
        <v>45656</v>
      </c>
      <c r="AW39" s="739">
        <v>45299</v>
      </c>
      <c r="AX39" s="739" t="s">
        <v>7384</v>
      </c>
      <c r="AY39" s="882">
        <v>45665</v>
      </c>
      <c r="AZ39" s="739">
        <v>45666</v>
      </c>
      <c r="BA39" s="739">
        <v>45672</v>
      </c>
      <c r="BB39" s="739">
        <v>45672</v>
      </c>
      <c r="BC39" s="739">
        <v>45672</v>
      </c>
      <c r="BD39" s="739">
        <f t="shared" si="18"/>
        <v>45659</v>
      </c>
      <c r="BE39" s="739"/>
      <c r="BF39" s="882">
        <f t="shared" si="19"/>
        <v>45659</v>
      </c>
    </row>
    <row r="40" spans="1:58" ht="60" x14ac:dyDescent="0.25">
      <c r="A40" s="929" t="s">
        <v>7385</v>
      </c>
      <c r="B40" s="773">
        <v>26</v>
      </c>
      <c r="C40" s="896" t="s">
        <v>149</v>
      </c>
      <c r="D40" s="928" t="s">
        <v>7307</v>
      </c>
      <c r="E40" s="744" t="s">
        <v>7386</v>
      </c>
      <c r="F40" s="744" t="str">
        <f t="shared" si="14"/>
        <v xml:space="preserve">Licitación Pública Nacional </v>
      </c>
      <c r="G40" s="773" t="s">
        <v>161</v>
      </c>
      <c r="H40" s="773" t="s">
        <v>3785</v>
      </c>
      <c r="I40" s="758" t="s">
        <v>1008</v>
      </c>
      <c r="J40" s="744"/>
      <c r="K40" s="744"/>
      <c r="L40" s="744"/>
      <c r="M40" s="927" t="str">
        <f t="shared" si="11"/>
        <v xml:space="preserve">Dhimex Ciudad de México, S.A. de C.V.  </v>
      </c>
      <c r="N40" s="758" t="s">
        <v>315</v>
      </c>
      <c r="O40" s="758" t="s">
        <v>166</v>
      </c>
      <c r="P40" s="758" t="s">
        <v>315</v>
      </c>
      <c r="Q40" s="758" t="s">
        <v>6795</v>
      </c>
      <c r="R40" s="939" t="s">
        <v>7387</v>
      </c>
      <c r="S40" s="861">
        <v>2136000</v>
      </c>
      <c r="T40" s="861">
        <f t="shared" si="12"/>
        <v>341760</v>
      </c>
      <c r="U40" s="864">
        <f t="shared" si="20"/>
        <v>2477760</v>
      </c>
      <c r="V40" s="862">
        <v>0</v>
      </c>
      <c r="W40" s="861">
        <f t="shared" si="13"/>
        <v>0</v>
      </c>
      <c r="X40" s="864">
        <f t="shared" si="15"/>
        <v>0</v>
      </c>
      <c r="Y40" s="866">
        <f t="shared" si="9"/>
        <v>2136000</v>
      </c>
      <c r="Z40" s="769" t="s">
        <v>7227</v>
      </c>
      <c r="AA40" s="770">
        <v>45659</v>
      </c>
      <c r="AB40" s="744" t="s">
        <v>6330</v>
      </c>
      <c r="AC40" s="752">
        <v>45658</v>
      </c>
      <c r="AD40" s="752">
        <v>46022</v>
      </c>
      <c r="AE40" s="908">
        <v>0.15</v>
      </c>
      <c r="AF40" s="908">
        <v>0.15</v>
      </c>
      <c r="AG40" s="900" t="s">
        <v>161</v>
      </c>
      <c r="AH40" s="900" t="s">
        <v>161</v>
      </c>
      <c r="AI40" s="904" t="s">
        <v>7251</v>
      </c>
      <c r="AJ40" s="776" t="s">
        <v>161</v>
      </c>
      <c r="AK40" s="772" t="s">
        <v>161</v>
      </c>
      <c r="AL40" s="872">
        <v>0</v>
      </c>
      <c r="AM40" s="862">
        <f t="shared" si="16"/>
        <v>2136000</v>
      </c>
      <c r="AN40" s="755" t="str">
        <f t="shared" ca="1" si="17"/>
        <v>VIGENTE</v>
      </c>
      <c r="AO40" s="753"/>
      <c r="AP40" s="744"/>
      <c r="AQ40" s="753" t="s">
        <v>6330</v>
      </c>
      <c r="AR40" s="753" t="s">
        <v>7229</v>
      </c>
      <c r="AS40" s="753" t="s">
        <v>6330</v>
      </c>
      <c r="AT40" s="770"/>
      <c r="AU40" s="739"/>
      <c r="AV40" s="739">
        <v>45657</v>
      </c>
      <c r="AW40" s="739">
        <v>45665</v>
      </c>
      <c r="AX40" s="739" t="s">
        <v>7388</v>
      </c>
      <c r="AY40" s="882">
        <v>45671</v>
      </c>
      <c r="AZ40" s="739">
        <v>45671</v>
      </c>
      <c r="BA40" s="739">
        <v>45678</v>
      </c>
      <c r="BB40" s="739">
        <v>45678</v>
      </c>
      <c r="BC40" s="739">
        <v>45680</v>
      </c>
      <c r="BD40" s="739">
        <f t="shared" si="18"/>
        <v>45659</v>
      </c>
      <c r="BE40" s="739"/>
      <c r="BF40" s="882">
        <f t="shared" si="19"/>
        <v>45659</v>
      </c>
    </row>
    <row r="41" spans="1:58" ht="45" x14ac:dyDescent="0.25">
      <c r="A41" s="929" t="s">
        <v>7389</v>
      </c>
      <c r="B41" s="773">
        <v>27</v>
      </c>
      <c r="C41" s="897" t="s">
        <v>225</v>
      </c>
      <c r="D41" s="928" t="s">
        <v>163</v>
      </c>
      <c r="E41" s="744" t="s">
        <v>7390</v>
      </c>
      <c r="F41" s="744" t="str">
        <f t="shared" si="14"/>
        <v>Adjudicación Directa</v>
      </c>
      <c r="G41" s="773" t="s">
        <v>161</v>
      </c>
      <c r="H41" s="773" t="s">
        <v>7167</v>
      </c>
      <c r="I41" s="748" t="s">
        <v>7391</v>
      </c>
      <c r="J41" s="747"/>
      <c r="K41" s="747"/>
      <c r="L41" s="747"/>
      <c r="M41" s="927" t="str">
        <f t="shared" si="11"/>
        <v xml:space="preserve">TECIMAC, S.A. de C.V.  </v>
      </c>
      <c r="N41" s="749" t="s">
        <v>7240</v>
      </c>
      <c r="O41" s="749" t="s">
        <v>7240</v>
      </c>
      <c r="P41" s="749" t="s">
        <v>7329</v>
      </c>
      <c r="Q41" s="749" t="s">
        <v>7330</v>
      </c>
      <c r="R41" s="937" t="s">
        <v>7392</v>
      </c>
      <c r="S41" s="861">
        <v>3017241.38</v>
      </c>
      <c r="T41" s="861">
        <f t="shared" si="12"/>
        <v>482758.62079999998</v>
      </c>
      <c r="U41" s="864">
        <f t="shared" si="20"/>
        <v>3500000.0008</v>
      </c>
      <c r="V41" s="862">
        <v>1200000</v>
      </c>
      <c r="W41" s="861">
        <f t="shared" si="13"/>
        <v>192000</v>
      </c>
      <c r="X41" s="864">
        <f t="shared" si="15"/>
        <v>1392000</v>
      </c>
      <c r="Y41" s="866">
        <f t="shared" si="9"/>
        <v>3017241.38</v>
      </c>
      <c r="Z41" s="751" t="s">
        <v>7227</v>
      </c>
      <c r="AA41" s="752">
        <v>45659</v>
      </c>
      <c r="AB41" s="753" t="s">
        <v>6330</v>
      </c>
      <c r="AC41" s="752">
        <v>45658</v>
      </c>
      <c r="AD41" s="752">
        <v>46022</v>
      </c>
      <c r="AE41" s="908">
        <v>0.15</v>
      </c>
      <c r="AF41" s="900" t="s">
        <v>161</v>
      </c>
      <c r="AG41" s="900" t="s">
        <v>161</v>
      </c>
      <c r="AH41" s="900" t="s">
        <v>161</v>
      </c>
      <c r="AI41" s="900" t="s">
        <v>161</v>
      </c>
      <c r="AJ41" s="749" t="s">
        <v>161</v>
      </c>
      <c r="AK41" s="754" t="s">
        <v>161</v>
      </c>
      <c r="AL41" s="862">
        <v>0</v>
      </c>
      <c r="AM41" s="862">
        <f t="shared" si="16"/>
        <v>3017241.38</v>
      </c>
      <c r="AN41" s="755" t="str">
        <f t="shared" ca="1" si="17"/>
        <v>VIGENTE</v>
      </c>
      <c r="AO41" s="753">
        <v>32701</v>
      </c>
      <c r="AP41" s="753" t="s">
        <v>1146</v>
      </c>
      <c r="AQ41" s="753" t="s">
        <v>6330</v>
      </c>
      <c r="AR41" s="753" t="s">
        <v>7229</v>
      </c>
      <c r="AS41" s="753" t="s">
        <v>6330</v>
      </c>
      <c r="AT41" s="739" t="s">
        <v>7393</v>
      </c>
      <c r="AU41" s="739">
        <v>45645</v>
      </c>
      <c r="AV41" s="739">
        <v>45652</v>
      </c>
      <c r="AW41" s="739">
        <v>45666</v>
      </c>
      <c r="AX41" s="739" t="s">
        <v>7394</v>
      </c>
      <c r="AY41" s="882">
        <v>45667</v>
      </c>
      <c r="AZ41" s="739">
        <v>45670</v>
      </c>
      <c r="BA41" s="739">
        <v>45671</v>
      </c>
      <c r="BB41" s="739">
        <v>45671</v>
      </c>
      <c r="BC41" s="739">
        <v>45672</v>
      </c>
      <c r="BD41" s="739">
        <f t="shared" si="18"/>
        <v>45659</v>
      </c>
      <c r="BE41" s="739"/>
      <c r="BF41" s="882">
        <f t="shared" si="19"/>
        <v>45659</v>
      </c>
    </row>
    <row r="42" spans="1:58" ht="60" x14ac:dyDescent="0.25">
      <c r="A42" s="929" t="s">
        <v>7395</v>
      </c>
      <c r="B42" s="773">
        <v>28</v>
      </c>
      <c r="C42" s="897" t="s">
        <v>225</v>
      </c>
      <c r="D42" s="928" t="s">
        <v>163</v>
      </c>
      <c r="E42" s="744" t="s">
        <v>7396</v>
      </c>
      <c r="F42" s="744" t="str">
        <f t="shared" si="14"/>
        <v>Adjudicación Directa</v>
      </c>
      <c r="G42" s="773" t="s">
        <v>161</v>
      </c>
      <c r="H42" s="773" t="s">
        <v>7167</v>
      </c>
      <c r="I42" s="746" t="s">
        <v>7391</v>
      </c>
      <c r="J42" s="747"/>
      <c r="K42" s="747"/>
      <c r="L42" s="747"/>
      <c r="M42" s="927" t="str">
        <f t="shared" si="11"/>
        <v xml:space="preserve">TECIMAC, S.A. de C.V.  </v>
      </c>
      <c r="N42" s="749" t="s">
        <v>7240</v>
      </c>
      <c r="O42" s="749" t="s">
        <v>7240</v>
      </c>
      <c r="P42" s="749" t="s">
        <v>7329</v>
      </c>
      <c r="Q42" s="749" t="s">
        <v>7330</v>
      </c>
      <c r="R42" s="937" t="s">
        <v>7397</v>
      </c>
      <c r="S42" s="861">
        <v>1293103.45</v>
      </c>
      <c r="T42" s="861">
        <f t="shared" si="12"/>
        <v>206896.552</v>
      </c>
      <c r="U42" s="864">
        <f t="shared" si="20"/>
        <v>1500000.0019999999</v>
      </c>
      <c r="V42" s="862">
        <v>400000</v>
      </c>
      <c r="W42" s="861">
        <f t="shared" si="13"/>
        <v>64000</v>
      </c>
      <c r="X42" s="864">
        <f t="shared" si="15"/>
        <v>464000</v>
      </c>
      <c r="Y42" s="866">
        <f t="shared" si="9"/>
        <v>1293103.45</v>
      </c>
      <c r="Z42" s="751" t="s">
        <v>7227</v>
      </c>
      <c r="AA42" s="752">
        <v>45659</v>
      </c>
      <c r="AB42" s="753" t="s">
        <v>6330</v>
      </c>
      <c r="AC42" s="752">
        <v>45658</v>
      </c>
      <c r="AD42" s="752">
        <v>46022</v>
      </c>
      <c r="AE42" s="908">
        <v>0.15</v>
      </c>
      <c r="AF42" s="900" t="s">
        <v>161</v>
      </c>
      <c r="AG42" s="900" t="s">
        <v>161</v>
      </c>
      <c r="AH42" s="900" t="s">
        <v>161</v>
      </c>
      <c r="AI42" s="900" t="s">
        <v>161</v>
      </c>
      <c r="AJ42" s="749" t="s">
        <v>161</v>
      </c>
      <c r="AK42" s="754" t="s">
        <v>161</v>
      </c>
      <c r="AL42" s="862">
        <v>0</v>
      </c>
      <c r="AM42" s="862">
        <f t="shared" si="16"/>
        <v>1293103.45</v>
      </c>
      <c r="AN42" s="755" t="str">
        <f t="shared" ca="1" si="17"/>
        <v>VIGENTE</v>
      </c>
      <c r="AO42" s="753" t="s">
        <v>7398</v>
      </c>
      <c r="AP42" s="753" t="s">
        <v>1146</v>
      </c>
      <c r="AQ42" s="753" t="s">
        <v>6330</v>
      </c>
      <c r="AR42" s="753" t="s">
        <v>7229</v>
      </c>
      <c r="AS42" s="753" t="s">
        <v>6330</v>
      </c>
      <c r="AT42" s="739" t="s">
        <v>7399</v>
      </c>
      <c r="AU42" s="739">
        <v>45649</v>
      </c>
      <c r="AV42" s="739">
        <v>45657</v>
      </c>
      <c r="AW42" s="739">
        <v>45667</v>
      </c>
      <c r="AX42" s="739" t="s">
        <v>7400</v>
      </c>
      <c r="AY42" s="882">
        <v>45667</v>
      </c>
      <c r="AZ42" s="739">
        <v>45670</v>
      </c>
      <c r="BA42" s="739">
        <v>45670</v>
      </c>
      <c r="BB42" s="739">
        <v>45670</v>
      </c>
      <c r="BC42" s="739">
        <v>45678</v>
      </c>
      <c r="BD42" s="739">
        <f t="shared" si="18"/>
        <v>45659</v>
      </c>
      <c r="BE42" s="739"/>
      <c r="BF42" s="882">
        <f t="shared" si="19"/>
        <v>45659</v>
      </c>
    </row>
    <row r="43" spans="1:58" ht="45" x14ac:dyDescent="0.25">
      <c r="A43" s="929" t="s">
        <v>7401</v>
      </c>
      <c r="B43" s="773">
        <v>29</v>
      </c>
      <c r="C43" s="897" t="s">
        <v>225</v>
      </c>
      <c r="D43" s="928" t="s">
        <v>151</v>
      </c>
      <c r="E43" s="744" t="s">
        <v>7402</v>
      </c>
      <c r="F43" s="744" t="str">
        <f t="shared" si="14"/>
        <v>Invitación</v>
      </c>
      <c r="G43" s="773" t="s">
        <v>161</v>
      </c>
      <c r="H43" s="773" t="s">
        <v>3793</v>
      </c>
      <c r="I43" s="746" t="s">
        <v>5501</v>
      </c>
      <c r="J43" s="747"/>
      <c r="K43" s="747"/>
      <c r="L43" s="747"/>
      <c r="M43" s="927" t="str">
        <f t="shared" si="11"/>
        <v xml:space="preserve">Comercializadora Electropura, S. de R.L. de C.V.  </v>
      </c>
      <c r="N43" s="749" t="s">
        <v>7263</v>
      </c>
      <c r="O43" s="749" t="s">
        <v>3941</v>
      </c>
      <c r="P43" s="749" t="s">
        <v>7263</v>
      </c>
      <c r="Q43" s="749" t="s">
        <v>199</v>
      </c>
      <c r="R43" s="937" t="s">
        <v>7403</v>
      </c>
      <c r="S43" s="861">
        <v>1200000</v>
      </c>
      <c r="T43" s="861">
        <v>0</v>
      </c>
      <c r="U43" s="864">
        <f t="shared" si="20"/>
        <v>1200000</v>
      </c>
      <c r="V43" s="862">
        <v>900009</v>
      </c>
      <c r="W43" s="861">
        <f t="shared" si="13"/>
        <v>144001.44</v>
      </c>
      <c r="X43" s="864">
        <f t="shared" si="15"/>
        <v>1044010.44</v>
      </c>
      <c r="Y43" s="866">
        <f t="shared" si="9"/>
        <v>1200000</v>
      </c>
      <c r="Z43" s="751" t="s">
        <v>7227</v>
      </c>
      <c r="AA43" s="739">
        <v>45659</v>
      </c>
      <c r="AB43" s="753" t="s">
        <v>6330</v>
      </c>
      <c r="AC43" s="752">
        <v>45658</v>
      </c>
      <c r="AD43" s="752">
        <v>46022</v>
      </c>
      <c r="AE43" s="908">
        <v>0.15</v>
      </c>
      <c r="AF43" s="900" t="s">
        <v>161</v>
      </c>
      <c r="AG43" s="900" t="s">
        <v>161</v>
      </c>
      <c r="AH43" s="900" t="s">
        <v>161</v>
      </c>
      <c r="AI43" s="900" t="s">
        <v>161</v>
      </c>
      <c r="AJ43" s="749" t="s">
        <v>161</v>
      </c>
      <c r="AK43" s="772" t="s">
        <v>161</v>
      </c>
      <c r="AL43" s="873">
        <v>0</v>
      </c>
      <c r="AM43" s="862">
        <f t="shared" si="16"/>
        <v>1200000</v>
      </c>
      <c r="AN43" s="755" t="str">
        <f t="shared" ca="1" si="17"/>
        <v>VIGENTE</v>
      </c>
      <c r="AO43" s="753">
        <v>22104</v>
      </c>
      <c r="AP43" s="753" t="s">
        <v>1146</v>
      </c>
      <c r="AQ43" s="753" t="s">
        <v>6330</v>
      </c>
      <c r="AR43" s="753" t="s">
        <v>7229</v>
      </c>
      <c r="AS43" s="753" t="s">
        <v>6330</v>
      </c>
      <c r="AT43" s="739" t="s">
        <v>7404</v>
      </c>
      <c r="AU43" s="739">
        <v>45579</v>
      </c>
      <c r="AV43" s="739">
        <v>45656</v>
      </c>
      <c r="AW43" s="739">
        <v>45667</v>
      </c>
      <c r="AX43" s="739" t="s">
        <v>7405</v>
      </c>
      <c r="AY43" s="882">
        <v>45673</v>
      </c>
      <c r="AZ43" s="739">
        <v>45673</v>
      </c>
      <c r="BA43" s="739">
        <v>45674</v>
      </c>
      <c r="BB43" s="739">
        <v>45674</v>
      </c>
      <c r="BC43" s="739">
        <v>45677</v>
      </c>
      <c r="BD43" s="739">
        <f t="shared" si="18"/>
        <v>45659</v>
      </c>
      <c r="BE43" s="739"/>
      <c r="BF43" s="882">
        <f t="shared" si="19"/>
        <v>45659</v>
      </c>
    </row>
    <row r="44" spans="1:58" ht="60" x14ac:dyDescent="0.25">
      <c r="A44" s="931" t="s">
        <v>7406</v>
      </c>
      <c r="B44" s="773">
        <v>30</v>
      </c>
      <c r="C44" s="897" t="s">
        <v>149</v>
      </c>
      <c r="D44" s="928" t="s">
        <v>151</v>
      </c>
      <c r="E44" s="744" t="s">
        <v>7407</v>
      </c>
      <c r="F44" s="744" t="str">
        <f t="shared" si="14"/>
        <v>Invitación</v>
      </c>
      <c r="G44" s="773" t="s">
        <v>161</v>
      </c>
      <c r="H44" s="773" t="s">
        <v>3793</v>
      </c>
      <c r="I44" s="746" t="s">
        <v>7408</v>
      </c>
      <c r="J44" s="747"/>
      <c r="K44" s="747"/>
      <c r="L44" s="747"/>
      <c r="M44" s="927" t="str">
        <f t="shared" si="11"/>
        <v xml:space="preserve">Soluciones Tecnológicas Integrales para la Salud Hersan, S.A. de C.V.  </v>
      </c>
      <c r="N44" s="749" t="s">
        <v>7263</v>
      </c>
      <c r="O44" s="749" t="s">
        <v>3941</v>
      </c>
      <c r="P44" s="749" t="s">
        <v>7263</v>
      </c>
      <c r="Q44" s="749" t="s">
        <v>7409</v>
      </c>
      <c r="R44" s="937" t="s">
        <v>7410</v>
      </c>
      <c r="S44" s="861">
        <v>828793.1</v>
      </c>
      <c r="T44" s="861">
        <f t="shared" si="12"/>
        <v>132606.89600000001</v>
      </c>
      <c r="U44" s="864">
        <f t="shared" si="20"/>
        <v>961399.99600000004</v>
      </c>
      <c r="V44" s="862">
        <v>797129.74</v>
      </c>
      <c r="W44" s="861">
        <f t="shared" si="13"/>
        <v>127540.75840000001</v>
      </c>
      <c r="X44" s="864">
        <f t="shared" si="15"/>
        <v>924670.49840000004</v>
      </c>
      <c r="Y44" s="866">
        <f t="shared" si="9"/>
        <v>828793.1</v>
      </c>
      <c r="Z44" s="751" t="s">
        <v>7227</v>
      </c>
      <c r="AA44" s="739">
        <v>45659</v>
      </c>
      <c r="AB44" s="753" t="s">
        <v>6330</v>
      </c>
      <c r="AC44" s="752">
        <v>45658</v>
      </c>
      <c r="AD44" s="752">
        <v>46022</v>
      </c>
      <c r="AE44" s="908">
        <v>0.15</v>
      </c>
      <c r="AF44" s="908">
        <v>0.15</v>
      </c>
      <c r="AG44" s="900" t="s">
        <v>161</v>
      </c>
      <c r="AH44" s="900" t="s">
        <v>161</v>
      </c>
      <c r="AI44" s="900" t="s">
        <v>7411</v>
      </c>
      <c r="AJ44" s="749" t="s">
        <v>161</v>
      </c>
      <c r="AK44" s="772" t="s">
        <v>161</v>
      </c>
      <c r="AL44" s="873">
        <v>0</v>
      </c>
      <c r="AM44" s="862">
        <f t="shared" si="16"/>
        <v>828793.1</v>
      </c>
      <c r="AN44" s="755" t="str">
        <f t="shared" ca="1" si="17"/>
        <v>VIGENTE</v>
      </c>
      <c r="AO44" s="753">
        <v>35901</v>
      </c>
      <c r="AP44" s="753" t="s">
        <v>1146</v>
      </c>
      <c r="AQ44" s="753" t="s">
        <v>6330</v>
      </c>
      <c r="AR44" s="753" t="s">
        <v>7229</v>
      </c>
      <c r="AS44" s="753" t="s">
        <v>6330</v>
      </c>
      <c r="AT44" s="739" t="s">
        <v>7412</v>
      </c>
      <c r="AU44" s="739">
        <v>45656</v>
      </c>
      <c r="AV44" s="739">
        <v>45656</v>
      </c>
      <c r="AW44" s="739">
        <v>45667</v>
      </c>
      <c r="AX44" s="739" t="s">
        <v>7413</v>
      </c>
      <c r="AY44" s="882">
        <v>45670</v>
      </c>
      <c r="AZ44" s="739">
        <v>45670</v>
      </c>
      <c r="BA44" s="739">
        <v>45671</v>
      </c>
      <c r="BB44" s="739">
        <v>45671</v>
      </c>
      <c r="BC44" s="739">
        <v>45672</v>
      </c>
      <c r="BD44" s="739">
        <f t="shared" si="18"/>
        <v>45659</v>
      </c>
      <c r="BE44" s="739"/>
      <c r="BF44" s="882">
        <f t="shared" si="19"/>
        <v>45659</v>
      </c>
    </row>
    <row r="45" spans="1:58" ht="60" x14ac:dyDescent="0.25">
      <c r="A45" s="931" t="s">
        <v>7414</v>
      </c>
      <c r="B45" s="773">
        <v>31</v>
      </c>
      <c r="C45" s="897" t="s">
        <v>149</v>
      </c>
      <c r="D45" s="928" t="s">
        <v>163</v>
      </c>
      <c r="E45" s="744" t="s">
        <v>7415</v>
      </c>
      <c r="F45" s="744" t="str">
        <f t="shared" si="14"/>
        <v>Adjudicación Directa</v>
      </c>
      <c r="G45" s="773" t="s">
        <v>161</v>
      </c>
      <c r="H45" s="773" t="s">
        <v>7416</v>
      </c>
      <c r="I45" s="746" t="s">
        <v>1381</v>
      </c>
      <c r="J45" s="747"/>
      <c r="K45" s="747"/>
      <c r="L45" s="747"/>
      <c r="M45" s="927" t="str">
        <f t="shared" si="11"/>
        <v xml:space="preserve">Viajes Escalona, S.A.  </v>
      </c>
      <c r="N45" s="749" t="s">
        <v>4481</v>
      </c>
      <c r="O45" s="749" t="s">
        <v>4481</v>
      </c>
      <c r="P45" s="749" t="s">
        <v>4481</v>
      </c>
      <c r="Q45" s="749" t="s">
        <v>6892</v>
      </c>
      <c r="R45" s="937" t="s">
        <v>7417</v>
      </c>
      <c r="S45" s="861">
        <v>0</v>
      </c>
      <c r="T45" s="861">
        <f t="shared" si="12"/>
        <v>0</v>
      </c>
      <c r="U45" s="864">
        <f t="shared" si="20"/>
        <v>0</v>
      </c>
      <c r="V45" s="862">
        <v>0</v>
      </c>
      <c r="W45" s="861">
        <f t="shared" si="13"/>
        <v>0</v>
      </c>
      <c r="X45" s="864">
        <f t="shared" si="15"/>
        <v>0</v>
      </c>
      <c r="Y45" s="866">
        <f t="shared" si="9"/>
        <v>0</v>
      </c>
      <c r="Z45" s="751" t="s">
        <v>7227</v>
      </c>
      <c r="AA45" s="739">
        <v>45659</v>
      </c>
      <c r="AB45" s="753" t="s">
        <v>6330</v>
      </c>
      <c r="AC45" s="752">
        <v>45658</v>
      </c>
      <c r="AD45" s="752">
        <v>46022</v>
      </c>
      <c r="AE45" s="900" t="s">
        <v>161</v>
      </c>
      <c r="AF45" s="900" t="s">
        <v>161</v>
      </c>
      <c r="AG45" s="900" t="s">
        <v>161</v>
      </c>
      <c r="AH45" s="900" t="s">
        <v>161</v>
      </c>
      <c r="AI45" s="900" t="s">
        <v>161</v>
      </c>
      <c r="AJ45" s="749" t="s">
        <v>161</v>
      </c>
      <c r="AK45" s="772" t="s">
        <v>161</v>
      </c>
      <c r="AL45" s="873">
        <v>0</v>
      </c>
      <c r="AM45" s="862">
        <f t="shared" si="16"/>
        <v>0</v>
      </c>
      <c r="AN45" s="755" t="str">
        <f t="shared" ca="1" si="17"/>
        <v>VIGENTE</v>
      </c>
      <c r="AO45" s="753" t="s">
        <v>3772</v>
      </c>
      <c r="AP45" s="753" t="s">
        <v>1146</v>
      </c>
      <c r="AQ45" s="753" t="s">
        <v>6330</v>
      </c>
      <c r="AR45" s="753" t="s">
        <v>7229</v>
      </c>
      <c r="AS45" s="753" t="s">
        <v>6330</v>
      </c>
      <c r="AT45" s="739" t="s">
        <v>7418</v>
      </c>
      <c r="AU45" s="739">
        <v>45646</v>
      </c>
      <c r="AV45" s="739">
        <v>45657</v>
      </c>
      <c r="AW45" s="739">
        <v>45667</v>
      </c>
      <c r="AX45" s="739" t="s">
        <v>7419</v>
      </c>
      <c r="AY45" s="882">
        <v>45671</v>
      </c>
      <c r="AZ45" s="739">
        <v>45671</v>
      </c>
      <c r="BA45" s="739">
        <v>45673</v>
      </c>
      <c r="BB45" s="739">
        <v>45673</v>
      </c>
      <c r="BC45" s="739"/>
      <c r="BD45" s="739">
        <f t="shared" si="18"/>
        <v>45659</v>
      </c>
      <c r="BE45" s="739"/>
      <c r="BF45" s="882">
        <f t="shared" si="19"/>
        <v>45659</v>
      </c>
    </row>
    <row r="46" spans="1:58" ht="60" x14ac:dyDescent="0.25">
      <c r="A46" s="931" t="s">
        <v>7420</v>
      </c>
      <c r="B46" s="773">
        <v>32</v>
      </c>
      <c r="C46" s="897" t="s">
        <v>149</v>
      </c>
      <c r="D46" s="928" t="s">
        <v>163</v>
      </c>
      <c r="E46" s="744" t="s">
        <v>7415</v>
      </c>
      <c r="F46" s="744" t="str">
        <f t="shared" si="14"/>
        <v>Adjudicación Directa</v>
      </c>
      <c r="G46" s="773" t="s">
        <v>161</v>
      </c>
      <c r="H46" s="773" t="s">
        <v>7416</v>
      </c>
      <c r="I46" s="746" t="s">
        <v>7421</v>
      </c>
      <c r="J46" s="777"/>
      <c r="K46" s="777"/>
      <c r="L46" s="777"/>
      <c r="M46" s="927" t="str">
        <f t="shared" si="11"/>
        <v xml:space="preserve">Viajes Díaz Leal, S.A. de C.V.  </v>
      </c>
      <c r="N46" s="749" t="s">
        <v>4481</v>
      </c>
      <c r="O46" s="749" t="s">
        <v>4481</v>
      </c>
      <c r="P46" s="749" t="s">
        <v>4481</v>
      </c>
      <c r="Q46" s="749" t="s">
        <v>6892</v>
      </c>
      <c r="R46" s="937" t="s">
        <v>7417</v>
      </c>
      <c r="S46" s="861">
        <v>0</v>
      </c>
      <c r="T46" s="861">
        <f t="shared" si="12"/>
        <v>0</v>
      </c>
      <c r="U46" s="864">
        <f t="shared" si="20"/>
        <v>0</v>
      </c>
      <c r="V46" s="862">
        <v>0</v>
      </c>
      <c r="W46" s="861">
        <f t="shared" si="13"/>
        <v>0</v>
      </c>
      <c r="X46" s="864">
        <f t="shared" si="15"/>
        <v>0</v>
      </c>
      <c r="Y46" s="866">
        <f t="shared" si="9"/>
        <v>0</v>
      </c>
      <c r="Z46" s="751" t="s">
        <v>7227</v>
      </c>
      <c r="AA46" s="739">
        <v>45659</v>
      </c>
      <c r="AB46" s="753" t="s">
        <v>6330</v>
      </c>
      <c r="AC46" s="752">
        <v>45658</v>
      </c>
      <c r="AD46" s="752">
        <v>46022</v>
      </c>
      <c r="AE46" s="900" t="s">
        <v>161</v>
      </c>
      <c r="AF46" s="900" t="s">
        <v>161</v>
      </c>
      <c r="AG46" s="900" t="s">
        <v>161</v>
      </c>
      <c r="AH46" s="900" t="s">
        <v>161</v>
      </c>
      <c r="AI46" s="900" t="s">
        <v>161</v>
      </c>
      <c r="AJ46" s="749" t="s">
        <v>161</v>
      </c>
      <c r="AK46" s="772" t="s">
        <v>161</v>
      </c>
      <c r="AL46" s="873">
        <v>0</v>
      </c>
      <c r="AM46" s="862">
        <f t="shared" si="16"/>
        <v>0</v>
      </c>
      <c r="AN46" s="755" t="str">
        <f t="shared" ca="1" si="17"/>
        <v>VIGENTE</v>
      </c>
      <c r="AO46" s="753" t="s">
        <v>3772</v>
      </c>
      <c r="AP46" s="753" t="s">
        <v>1146</v>
      </c>
      <c r="AQ46" s="753" t="s">
        <v>6330</v>
      </c>
      <c r="AR46" s="753"/>
      <c r="AS46" s="753" t="s">
        <v>6330</v>
      </c>
      <c r="AT46" s="739" t="s">
        <v>7418</v>
      </c>
      <c r="AU46" s="739">
        <v>45646</v>
      </c>
      <c r="AV46" s="739">
        <v>45657</v>
      </c>
      <c r="AW46" s="739">
        <v>45667</v>
      </c>
      <c r="AX46" s="739" t="s">
        <v>7422</v>
      </c>
      <c r="AY46" s="882">
        <v>45685</v>
      </c>
      <c r="AZ46" s="739">
        <v>45685</v>
      </c>
      <c r="BA46" s="739">
        <v>45685</v>
      </c>
      <c r="BB46" s="739">
        <v>45685</v>
      </c>
      <c r="BC46" s="739">
        <v>45686</v>
      </c>
      <c r="BD46" s="739">
        <f t="shared" si="18"/>
        <v>45659</v>
      </c>
      <c r="BE46" s="739"/>
      <c r="BF46" s="882">
        <f t="shared" si="19"/>
        <v>45659</v>
      </c>
    </row>
    <row r="47" spans="1:58" ht="60" x14ac:dyDescent="0.25">
      <c r="A47" s="931" t="s">
        <v>7423</v>
      </c>
      <c r="B47" s="773">
        <v>33</v>
      </c>
      <c r="C47" s="897" t="s">
        <v>149</v>
      </c>
      <c r="D47" s="928" t="s">
        <v>163</v>
      </c>
      <c r="E47" s="744" t="s">
        <v>7415</v>
      </c>
      <c r="F47" s="744" t="str">
        <f>D47</f>
        <v>Adjudicación Directa</v>
      </c>
      <c r="G47" s="773" t="s">
        <v>161</v>
      </c>
      <c r="H47" s="773" t="s">
        <v>7416</v>
      </c>
      <c r="I47" s="746" t="s">
        <v>7424</v>
      </c>
      <c r="J47" s="777"/>
      <c r="K47" s="777"/>
      <c r="L47" s="777"/>
      <c r="M47" s="927" t="str">
        <f t="shared" si="11"/>
        <v xml:space="preserve">Viajes Premier, S.A. de C.V.  </v>
      </c>
      <c r="N47" s="749" t="s">
        <v>4481</v>
      </c>
      <c r="O47" s="749" t="s">
        <v>4481</v>
      </c>
      <c r="P47" s="749" t="s">
        <v>4481</v>
      </c>
      <c r="Q47" s="749" t="s">
        <v>6892</v>
      </c>
      <c r="R47" s="937" t="s">
        <v>7417</v>
      </c>
      <c r="S47" s="861">
        <v>0</v>
      </c>
      <c r="T47" s="861">
        <f>+S47*0.16</f>
        <v>0</v>
      </c>
      <c r="U47" s="864">
        <f>+S47+T47</f>
        <v>0</v>
      </c>
      <c r="V47" s="862">
        <v>0</v>
      </c>
      <c r="W47" s="861">
        <f>+V47*0.16</f>
        <v>0</v>
      </c>
      <c r="X47" s="864">
        <f>+V47+W47</f>
        <v>0</v>
      </c>
      <c r="Y47" s="866">
        <f t="shared" si="9"/>
        <v>0</v>
      </c>
      <c r="Z47" s="751" t="s">
        <v>7227</v>
      </c>
      <c r="AA47" s="739">
        <v>45659</v>
      </c>
      <c r="AB47" s="753" t="s">
        <v>6330</v>
      </c>
      <c r="AC47" s="752">
        <v>45658</v>
      </c>
      <c r="AD47" s="752">
        <v>46022</v>
      </c>
      <c r="AE47" s="900" t="s">
        <v>161</v>
      </c>
      <c r="AF47" s="900" t="s">
        <v>161</v>
      </c>
      <c r="AG47" s="900" t="s">
        <v>161</v>
      </c>
      <c r="AH47" s="900" t="s">
        <v>161</v>
      </c>
      <c r="AI47" s="900" t="s">
        <v>161</v>
      </c>
      <c r="AJ47" s="749" t="s">
        <v>161</v>
      </c>
      <c r="AK47" s="772" t="s">
        <v>161</v>
      </c>
      <c r="AL47" s="873">
        <v>0</v>
      </c>
      <c r="AM47" s="862">
        <f>+S47+AL47</f>
        <v>0</v>
      </c>
      <c r="AN47" s="755" t="str">
        <f t="shared" ca="1" si="17"/>
        <v>VIGENTE</v>
      </c>
      <c r="AO47" s="753" t="s">
        <v>3772</v>
      </c>
      <c r="AP47" s="753" t="s">
        <v>1146</v>
      </c>
      <c r="AQ47" s="753" t="s">
        <v>6330</v>
      </c>
      <c r="AR47" s="753"/>
      <c r="AS47" s="753" t="s">
        <v>6330</v>
      </c>
      <c r="AT47" s="739" t="s">
        <v>7418</v>
      </c>
      <c r="AU47" s="739">
        <v>45646</v>
      </c>
      <c r="AV47" s="739">
        <v>45657</v>
      </c>
      <c r="AW47" s="739">
        <v>45667</v>
      </c>
      <c r="AX47" s="739" t="s">
        <v>7425</v>
      </c>
      <c r="AY47" s="882">
        <v>45686</v>
      </c>
      <c r="AZ47" s="739">
        <v>45686</v>
      </c>
      <c r="BA47" s="739">
        <v>45686</v>
      </c>
      <c r="BB47" s="739">
        <v>45686</v>
      </c>
      <c r="BC47" s="739">
        <v>45687</v>
      </c>
      <c r="BD47" s="739">
        <f t="shared" si="18"/>
        <v>45659</v>
      </c>
      <c r="BE47" s="739"/>
      <c r="BF47" s="882">
        <f t="shared" si="19"/>
        <v>45659</v>
      </c>
    </row>
    <row r="48" spans="1:58" s="774" customFormat="1" ht="60" x14ac:dyDescent="0.25">
      <c r="A48" s="931" t="s">
        <v>7426</v>
      </c>
      <c r="B48" s="773">
        <v>34</v>
      </c>
      <c r="C48" s="897" t="s">
        <v>149</v>
      </c>
      <c r="D48" s="928" t="s">
        <v>151</v>
      </c>
      <c r="E48" s="744" t="s">
        <v>7427</v>
      </c>
      <c r="F48" s="744" t="str">
        <f t="shared" si="14"/>
        <v>Invitación</v>
      </c>
      <c r="G48" s="773" t="s">
        <v>161</v>
      </c>
      <c r="H48" s="773" t="s">
        <v>3793</v>
      </c>
      <c r="I48" s="746" t="s">
        <v>7408</v>
      </c>
      <c r="J48" s="747"/>
      <c r="K48" s="747"/>
      <c r="L48" s="747"/>
      <c r="M48" s="927" t="str">
        <f t="shared" si="11"/>
        <v xml:space="preserve">Soluciones Tecnológicas Integrales para la Salud Hersan, S.A. de C.V.  </v>
      </c>
      <c r="N48" s="749" t="s">
        <v>7263</v>
      </c>
      <c r="O48" s="749" t="s">
        <v>3941</v>
      </c>
      <c r="P48" s="749" t="s">
        <v>7263</v>
      </c>
      <c r="Q48" s="749" t="s">
        <v>7409</v>
      </c>
      <c r="R48" s="937" t="s">
        <v>7428</v>
      </c>
      <c r="S48" s="861">
        <v>1425600</v>
      </c>
      <c r="T48" s="861">
        <f t="shared" si="12"/>
        <v>228096</v>
      </c>
      <c r="U48" s="864">
        <f t="shared" si="20"/>
        <v>1653696</v>
      </c>
      <c r="V48" s="862">
        <v>0</v>
      </c>
      <c r="W48" s="861">
        <f t="shared" si="13"/>
        <v>0</v>
      </c>
      <c r="X48" s="864">
        <f t="shared" si="15"/>
        <v>0</v>
      </c>
      <c r="Y48" s="866">
        <f t="shared" si="9"/>
        <v>1425600</v>
      </c>
      <c r="Z48" s="751" t="s">
        <v>7227</v>
      </c>
      <c r="AA48" s="739">
        <v>45659</v>
      </c>
      <c r="AB48" s="753" t="s">
        <v>6330</v>
      </c>
      <c r="AC48" s="752">
        <v>45658</v>
      </c>
      <c r="AD48" s="752">
        <v>46022</v>
      </c>
      <c r="AE48" s="908">
        <v>0.15</v>
      </c>
      <c r="AF48" s="908">
        <v>0.1</v>
      </c>
      <c r="AG48" s="900" t="s">
        <v>161</v>
      </c>
      <c r="AH48" s="900" t="s">
        <v>161</v>
      </c>
      <c r="AI48" s="900" t="s">
        <v>7411</v>
      </c>
      <c r="AJ48" s="749" t="s">
        <v>161</v>
      </c>
      <c r="AK48" s="772" t="s">
        <v>161</v>
      </c>
      <c r="AL48" s="873">
        <v>0</v>
      </c>
      <c r="AM48" s="862">
        <f t="shared" si="16"/>
        <v>1425600</v>
      </c>
      <c r="AN48" s="755" t="str">
        <f t="shared" ca="1" si="17"/>
        <v>VIGENTE</v>
      </c>
      <c r="AO48" s="753" t="s">
        <v>7429</v>
      </c>
      <c r="AP48" s="753" t="s">
        <v>1146</v>
      </c>
      <c r="AQ48" s="753" t="s">
        <v>6330</v>
      </c>
      <c r="AR48" s="753" t="s">
        <v>7229</v>
      </c>
      <c r="AS48" s="753" t="s">
        <v>6330</v>
      </c>
      <c r="AT48" s="739" t="s">
        <v>7430</v>
      </c>
      <c r="AU48" s="739">
        <v>45579</v>
      </c>
      <c r="AV48" s="739">
        <v>45657</v>
      </c>
      <c r="AW48" s="739">
        <v>45667</v>
      </c>
      <c r="AX48" s="739" t="s">
        <v>7431</v>
      </c>
      <c r="AY48" s="882">
        <v>45670</v>
      </c>
      <c r="AZ48" s="739">
        <v>45670</v>
      </c>
      <c r="BA48" s="739">
        <v>45671</v>
      </c>
      <c r="BB48" s="739">
        <v>45671</v>
      </c>
      <c r="BC48" s="739">
        <v>45672</v>
      </c>
      <c r="BD48" s="739">
        <f t="shared" si="18"/>
        <v>45659</v>
      </c>
      <c r="BE48" s="739"/>
      <c r="BF48" s="882">
        <f t="shared" si="19"/>
        <v>45659</v>
      </c>
    </row>
    <row r="49" spans="1:58" s="774" customFormat="1" ht="60" x14ac:dyDescent="0.25">
      <c r="A49" s="931" t="s">
        <v>7432</v>
      </c>
      <c r="B49" s="773">
        <v>35</v>
      </c>
      <c r="C49" s="897" t="s">
        <v>149</v>
      </c>
      <c r="D49" s="928" t="s">
        <v>7307</v>
      </c>
      <c r="E49" s="744" t="s">
        <v>7433</v>
      </c>
      <c r="F49" s="744" t="str">
        <f t="shared" si="14"/>
        <v xml:space="preserve">Licitación Pública Nacional </v>
      </c>
      <c r="G49" s="773" t="s">
        <v>161</v>
      </c>
      <c r="H49" s="773" t="s">
        <v>3785</v>
      </c>
      <c r="I49" s="746" t="s">
        <v>7434</v>
      </c>
      <c r="J49" s="747"/>
      <c r="K49" s="747"/>
      <c r="L49" s="747"/>
      <c r="M49" s="927" t="str">
        <f t="shared" si="11"/>
        <v xml:space="preserve">Ingeniería en Elevadores, S.A. de C.V.  </v>
      </c>
      <c r="N49" s="749" t="s">
        <v>7263</v>
      </c>
      <c r="O49" s="749" t="s">
        <v>3941</v>
      </c>
      <c r="P49" s="749" t="s">
        <v>7263</v>
      </c>
      <c r="Q49" s="749" t="s">
        <v>7435</v>
      </c>
      <c r="R49" s="937" t="s">
        <v>7436</v>
      </c>
      <c r="S49" s="861">
        <v>1518091.38</v>
      </c>
      <c r="T49" s="861">
        <f t="shared" si="12"/>
        <v>242894.62079999998</v>
      </c>
      <c r="U49" s="864">
        <f t="shared" si="20"/>
        <v>1760986.0007999998</v>
      </c>
      <c r="V49" s="862">
        <v>1212326.0900000001</v>
      </c>
      <c r="W49" s="861">
        <f t="shared" si="13"/>
        <v>193972.17440000002</v>
      </c>
      <c r="X49" s="864">
        <f t="shared" si="15"/>
        <v>1406298.2644000002</v>
      </c>
      <c r="Y49" s="866">
        <f t="shared" si="9"/>
        <v>1518091.38</v>
      </c>
      <c r="Z49" s="751" t="s">
        <v>7227</v>
      </c>
      <c r="AA49" s="739">
        <v>45659</v>
      </c>
      <c r="AB49" s="753" t="s">
        <v>6330</v>
      </c>
      <c r="AC49" s="752">
        <v>45658</v>
      </c>
      <c r="AD49" s="752">
        <v>46022</v>
      </c>
      <c r="AE49" s="908">
        <v>0.15</v>
      </c>
      <c r="AF49" s="908">
        <v>0.15</v>
      </c>
      <c r="AG49" s="900" t="s">
        <v>161</v>
      </c>
      <c r="AH49" s="900" t="s">
        <v>161</v>
      </c>
      <c r="AI49" s="900" t="s">
        <v>7437</v>
      </c>
      <c r="AJ49" s="749" t="s">
        <v>161</v>
      </c>
      <c r="AK49" s="772" t="s">
        <v>161</v>
      </c>
      <c r="AL49" s="873">
        <v>0</v>
      </c>
      <c r="AM49" s="862">
        <f t="shared" si="16"/>
        <v>1518091.38</v>
      </c>
      <c r="AN49" s="755" t="str">
        <f t="shared" ca="1" si="17"/>
        <v>VIGENTE</v>
      </c>
      <c r="AO49" s="753">
        <v>35101</v>
      </c>
      <c r="AP49" s="753" t="s">
        <v>1146</v>
      </c>
      <c r="AQ49" s="753" t="s">
        <v>6330</v>
      </c>
      <c r="AR49" s="753" t="s">
        <v>7229</v>
      </c>
      <c r="AS49" s="753" t="s">
        <v>6330</v>
      </c>
      <c r="AT49" s="739" t="s">
        <v>7438</v>
      </c>
      <c r="AU49" s="739">
        <v>45579</v>
      </c>
      <c r="AV49" s="739">
        <v>46022</v>
      </c>
      <c r="AW49" s="739">
        <v>45667</v>
      </c>
      <c r="AX49" s="739" t="s">
        <v>7439</v>
      </c>
      <c r="AY49" s="882">
        <v>45672</v>
      </c>
      <c r="AZ49" s="739">
        <v>45672</v>
      </c>
      <c r="BA49" s="739">
        <v>45672</v>
      </c>
      <c r="BB49" s="739">
        <v>45672</v>
      </c>
      <c r="BC49" s="739">
        <v>45673</v>
      </c>
      <c r="BD49" s="739">
        <f t="shared" si="18"/>
        <v>45659</v>
      </c>
      <c r="BE49" s="739"/>
      <c r="BF49" s="882">
        <f t="shared" si="19"/>
        <v>45659</v>
      </c>
    </row>
    <row r="50" spans="1:58" s="774" customFormat="1" ht="180" x14ac:dyDescent="0.25">
      <c r="A50" s="931" t="s">
        <v>7440</v>
      </c>
      <c r="B50" s="773">
        <v>36</v>
      </c>
      <c r="C50" s="897" t="s">
        <v>149</v>
      </c>
      <c r="D50" s="928" t="s">
        <v>151</v>
      </c>
      <c r="E50" s="744" t="s">
        <v>7364</v>
      </c>
      <c r="F50" s="744" t="str">
        <f t="shared" si="14"/>
        <v>Invitación</v>
      </c>
      <c r="G50" s="773" t="s">
        <v>161</v>
      </c>
      <c r="H50" s="773" t="s">
        <v>3793</v>
      </c>
      <c r="I50" s="746" t="s">
        <v>7441</v>
      </c>
      <c r="J50" s="747"/>
      <c r="K50" s="747"/>
      <c r="L50" s="747"/>
      <c r="M50" s="927" t="str">
        <f t="shared" si="11"/>
        <v xml:space="preserve">Seguros ARGOS, S.A. de C.V.  </v>
      </c>
      <c r="N50" s="758" t="s">
        <v>270</v>
      </c>
      <c r="O50" s="758" t="s">
        <v>166</v>
      </c>
      <c r="P50" s="758" t="s">
        <v>270</v>
      </c>
      <c r="Q50" s="758" t="s">
        <v>1077</v>
      </c>
      <c r="R50" s="937" t="s">
        <v>7442</v>
      </c>
      <c r="S50" s="861">
        <v>26099531.390000001</v>
      </c>
      <c r="T50" s="861">
        <v>0</v>
      </c>
      <c r="U50" s="864">
        <f t="shared" si="20"/>
        <v>26099531.390000001</v>
      </c>
      <c r="V50" s="862">
        <v>0</v>
      </c>
      <c r="W50" s="861">
        <f t="shared" si="13"/>
        <v>0</v>
      </c>
      <c r="X50" s="864">
        <f t="shared" si="15"/>
        <v>0</v>
      </c>
      <c r="Y50" s="866">
        <f t="shared" si="9"/>
        <v>26099531.390000001</v>
      </c>
      <c r="Z50" s="751" t="s">
        <v>7227</v>
      </c>
      <c r="AA50" s="770">
        <v>45659</v>
      </c>
      <c r="AB50" s="744" t="s">
        <v>6330</v>
      </c>
      <c r="AC50" s="752">
        <v>45658</v>
      </c>
      <c r="AD50" s="752">
        <v>46022</v>
      </c>
      <c r="AE50" s="900" t="s">
        <v>161</v>
      </c>
      <c r="AF50" s="900" t="s">
        <v>161</v>
      </c>
      <c r="AG50" s="900" t="s">
        <v>161</v>
      </c>
      <c r="AH50" s="900" t="s">
        <v>161</v>
      </c>
      <c r="AI50" s="904" t="s">
        <v>161</v>
      </c>
      <c r="AJ50" s="749" t="s">
        <v>161</v>
      </c>
      <c r="AK50" s="772" t="s">
        <v>161</v>
      </c>
      <c r="AL50" s="873">
        <v>0</v>
      </c>
      <c r="AM50" s="862">
        <f t="shared" si="16"/>
        <v>26099531.390000001</v>
      </c>
      <c r="AN50" s="755" t="str">
        <f t="shared" ca="1" si="17"/>
        <v>VIGENTE</v>
      </c>
      <c r="AO50" s="769" t="s">
        <v>7367</v>
      </c>
      <c r="AP50" s="744" t="s">
        <v>1146</v>
      </c>
      <c r="AQ50" s="753" t="s">
        <v>6330</v>
      </c>
      <c r="AR50" s="753" t="s">
        <v>7229</v>
      </c>
      <c r="AS50" s="753" t="s">
        <v>6330</v>
      </c>
      <c r="AT50" s="770" t="s">
        <v>7368</v>
      </c>
      <c r="AU50" s="739">
        <v>45576</v>
      </c>
      <c r="AV50" s="739">
        <v>45653</v>
      </c>
      <c r="AW50" s="739">
        <v>45667</v>
      </c>
      <c r="AX50" s="739" t="s">
        <v>7443</v>
      </c>
      <c r="AY50" s="882">
        <v>45672</v>
      </c>
      <c r="AZ50" s="739">
        <v>45672</v>
      </c>
      <c r="BA50" s="739">
        <v>45672</v>
      </c>
      <c r="BB50" s="739">
        <v>45672</v>
      </c>
      <c r="BC50" s="739">
        <v>45673</v>
      </c>
      <c r="BD50" s="739">
        <f t="shared" si="18"/>
        <v>45659</v>
      </c>
      <c r="BE50" s="739">
        <v>45674</v>
      </c>
      <c r="BF50" s="882">
        <f t="shared" si="19"/>
        <v>45659</v>
      </c>
    </row>
    <row r="51" spans="1:58" s="774" customFormat="1" ht="105" x14ac:dyDescent="0.25">
      <c r="A51" s="931" t="s">
        <v>7444</v>
      </c>
      <c r="B51" s="773">
        <v>37</v>
      </c>
      <c r="C51" s="897" t="s">
        <v>149</v>
      </c>
      <c r="D51" s="928" t="s">
        <v>163</v>
      </c>
      <c r="E51" s="744" t="s">
        <v>7445</v>
      </c>
      <c r="F51" s="744" t="str">
        <f t="shared" si="14"/>
        <v>Adjudicación Directa</v>
      </c>
      <c r="G51" s="773" t="s">
        <v>161</v>
      </c>
      <c r="H51" s="773" t="s">
        <v>7209</v>
      </c>
      <c r="I51" s="746" t="s">
        <v>1046</v>
      </c>
      <c r="J51" s="747"/>
      <c r="K51" s="747"/>
      <c r="L51" s="747"/>
      <c r="M51" s="927" t="str">
        <f t="shared" si="11"/>
        <v xml:space="preserve">Blue &amp; Green Servicios y Soluciones al Medio Ambiente, S.A. de C.V.  </v>
      </c>
      <c r="N51" s="749" t="s">
        <v>7263</v>
      </c>
      <c r="O51" s="749" t="s">
        <v>3941</v>
      </c>
      <c r="P51" s="749" t="s">
        <v>7263</v>
      </c>
      <c r="Q51" s="749" t="s">
        <v>7294</v>
      </c>
      <c r="R51" s="937" t="s">
        <v>7446</v>
      </c>
      <c r="S51" s="861">
        <v>5179604.3099999996</v>
      </c>
      <c r="T51" s="861">
        <f t="shared" si="12"/>
        <v>828736.68959999993</v>
      </c>
      <c r="U51" s="864">
        <f t="shared" si="20"/>
        <v>6008340.9995999997</v>
      </c>
      <c r="V51" s="862">
        <v>4947958.62</v>
      </c>
      <c r="W51" s="861">
        <f t="shared" si="13"/>
        <v>791673.37920000008</v>
      </c>
      <c r="X51" s="864">
        <f t="shared" si="15"/>
        <v>5739631.9992000004</v>
      </c>
      <c r="Y51" s="866">
        <f t="shared" si="9"/>
        <v>5179604.3099999996</v>
      </c>
      <c r="Z51" s="751" t="s">
        <v>7227</v>
      </c>
      <c r="AA51" s="770">
        <v>45659</v>
      </c>
      <c r="AB51" s="744" t="s">
        <v>6330</v>
      </c>
      <c r="AC51" s="752">
        <v>45658</v>
      </c>
      <c r="AD51" s="752">
        <v>46022</v>
      </c>
      <c r="AE51" s="908">
        <v>0.15</v>
      </c>
      <c r="AF51" s="908">
        <v>0.15</v>
      </c>
      <c r="AG51" s="900" t="s">
        <v>161</v>
      </c>
      <c r="AH51" s="900" t="s">
        <v>161</v>
      </c>
      <c r="AI51" s="900" t="s">
        <v>7447</v>
      </c>
      <c r="AJ51" s="749" t="s">
        <v>161</v>
      </c>
      <c r="AK51" s="772" t="s">
        <v>161</v>
      </c>
      <c r="AL51" s="873">
        <v>0</v>
      </c>
      <c r="AM51" s="862">
        <f t="shared" si="16"/>
        <v>5179604.3099999996</v>
      </c>
      <c r="AN51" s="755" t="str">
        <f t="shared" ca="1" si="17"/>
        <v>VIGENTE</v>
      </c>
      <c r="AO51" s="753">
        <v>35701</v>
      </c>
      <c r="AP51" s="753" t="s">
        <v>1146</v>
      </c>
      <c r="AQ51" s="753" t="s">
        <v>6330</v>
      </c>
      <c r="AR51" s="753" t="s">
        <v>7229</v>
      </c>
      <c r="AS51" s="753" t="s">
        <v>6330</v>
      </c>
      <c r="AT51" s="739" t="s">
        <v>7448</v>
      </c>
      <c r="AU51" s="739">
        <v>46021</v>
      </c>
      <c r="AV51" s="739">
        <v>45657</v>
      </c>
      <c r="AW51" s="739">
        <v>45667</v>
      </c>
      <c r="AX51" s="739" t="s">
        <v>7449</v>
      </c>
      <c r="AY51" s="882">
        <v>45670</v>
      </c>
      <c r="AZ51" s="739">
        <v>45670</v>
      </c>
      <c r="BA51" s="739">
        <v>45671</v>
      </c>
      <c r="BB51" s="739">
        <v>45671</v>
      </c>
      <c r="BC51" s="739">
        <v>45672</v>
      </c>
      <c r="BD51" s="739">
        <f t="shared" si="18"/>
        <v>45659</v>
      </c>
      <c r="BE51" s="739"/>
      <c r="BF51" s="882">
        <f t="shared" si="19"/>
        <v>45659</v>
      </c>
    </row>
    <row r="52" spans="1:58" s="778" customFormat="1" ht="60" x14ac:dyDescent="0.25">
      <c r="A52" s="931" t="s">
        <v>7450</v>
      </c>
      <c r="B52" s="773">
        <v>38</v>
      </c>
      <c r="C52" s="897" t="s">
        <v>149</v>
      </c>
      <c r="D52" s="928" t="s">
        <v>7307</v>
      </c>
      <c r="E52" s="744" t="s">
        <v>7451</v>
      </c>
      <c r="F52" s="744" t="str">
        <f t="shared" si="14"/>
        <v xml:space="preserve">Licitación Pública Nacional </v>
      </c>
      <c r="G52" s="773" t="s">
        <v>161</v>
      </c>
      <c r="H52" s="773" t="s">
        <v>3785</v>
      </c>
      <c r="I52" s="746" t="s">
        <v>7452</v>
      </c>
      <c r="J52" s="747"/>
      <c r="K52" s="747"/>
      <c r="L52" s="747"/>
      <c r="M52" s="927" t="str">
        <f t="shared" si="11"/>
        <v xml:space="preserve">R. B. TEC México, S.A. de C.V.  </v>
      </c>
      <c r="N52" s="758" t="s">
        <v>166</v>
      </c>
      <c r="O52" s="758" t="s">
        <v>166</v>
      </c>
      <c r="P52" s="758" t="s">
        <v>166</v>
      </c>
      <c r="Q52" s="749" t="s">
        <v>6131</v>
      </c>
      <c r="R52" s="937" t="s">
        <v>7453</v>
      </c>
      <c r="S52" s="861">
        <v>3947599.92</v>
      </c>
      <c r="T52" s="861">
        <f t="shared" si="12"/>
        <v>631615.98719999997</v>
      </c>
      <c r="U52" s="864">
        <f t="shared" si="20"/>
        <v>4579215.9072000002</v>
      </c>
      <c r="V52" s="862">
        <v>0</v>
      </c>
      <c r="W52" s="861">
        <f t="shared" si="13"/>
        <v>0</v>
      </c>
      <c r="X52" s="864">
        <f t="shared" si="15"/>
        <v>0</v>
      </c>
      <c r="Y52" s="866">
        <f t="shared" si="9"/>
        <v>3947599.92</v>
      </c>
      <c r="Z52" s="751" t="s">
        <v>7227</v>
      </c>
      <c r="AA52" s="770">
        <v>45659</v>
      </c>
      <c r="AB52" s="744" t="s">
        <v>6330</v>
      </c>
      <c r="AC52" s="752">
        <v>45658</v>
      </c>
      <c r="AD52" s="752">
        <v>46022</v>
      </c>
      <c r="AE52" s="908">
        <v>0.15</v>
      </c>
      <c r="AF52" s="908">
        <v>0.15</v>
      </c>
      <c r="AG52" s="900" t="s">
        <v>161</v>
      </c>
      <c r="AH52" s="900" t="s">
        <v>161</v>
      </c>
      <c r="AI52" s="904" t="s">
        <v>161</v>
      </c>
      <c r="AJ52" s="749" t="s">
        <v>161</v>
      </c>
      <c r="AK52" s="772" t="s">
        <v>161</v>
      </c>
      <c r="AL52" s="873">
        <v>0</v>
      </c>
      <c r="AM52" s="862">
        <f t="shared" si="16"/>
        <v>3947599.92</v>
      </c>
      <c r="AN52" s="755" t="str">
        <f t="shared" ca="1" si="17"/>
        <v>VIGENTE</v>
      </c>
      <c r="AO52" s="753">
        <v>35201</v>
      </c>
      <c r="AP52" s="753" t="s">
        <v>1146</v>
      </c>
      <c r="AQ52" s="753" t="s">
        <v>6330</v>
      </c>
      <c r="AR52" s="753" t="s">
        <v>7229</v>
      </c>
      <c r="AS52" s="753" t="s">
        <v>6330</v>
      </c>
      <c r="AT52" s="739" t="s">
        <v>7454</v>
      </c>
      <c r="AU52" s="739">
        <v>45576</v>
      </c>
      <c r="AV52" s="739">
        <v>45657</v>
      </c>
      <c r="AW52" s="739">
        <v>45667</v>
      </c>
      <c r="AX52" s="739" t="s">
        <v>7455</v>
      </c>
      <c r="AY52" s="882">
        <v>45673</v>
      </c>
      <c r="AZ52" s="739">
        <v>45674</v>
      </c>
      <c r="BA52" s="739">
        <v>45686</v>
      </c>
      <c r="BB52" s="739">
        <v>45686</v>
      </c>
      <c r="BC52" s="739"/>
      <c r="BD52" s="739">
        <f t="shared" si="18"/>
        <v>45659</v>
      </c>
      <c r="BE52" s="739"/>
      <c r="BF52" s="882">
        <f t="shared" si="19"/>
        <v>45659</v>
      </c>
    </row>
    <row r="53" spans="1:58" s="778" customFormat="1" ht="75" x14ac:dyDescent="0.25">
      <c r="A53" s="931" t="s">
        <v>7456</v>
      </c>
      <c r="B53" s="773">
        <v>39</v>
      </c>
      <c r="C53" s="897" t="s">
        <v>149</v>
      </c>
      <c r="D53" s="928" t="s">
        <v>7307</v>
      </c>
      <c r="E53" s="744" t="s">
        <v>7457</v>
      </c>
      <c r="F53" s="744" t="str">
        <f t="shared" si="14"/>
        <v xml:space="preserve">Licitación Pública Nacional </v>
      </c>
      <c r="G53" s="773" t="s">
        <v>161</v>
      </c>
      <c r="H53" s="773" t="s">
        <v>3785</v>
      </c>
      <c r="I53" s="746" t="s">
        <v>7458</v>
      </c>
      <c r="J53" s="747"/>
      <c r="K53" s="747"/>
      <c r="L53" s="747"/>
      <c r="M53" s="927" t="str">
        <f t="shared" si="11"/>
        <v xml:space="preserve">Proyectos SEINCO, S.A. de C.V.  </v>
      </c>
      <c r="N53" s="758" t="s">
        <v>301</v>
      </c>
      <c r="O53" s="749" t="s">
        <v>3941</v>
      </c>
      <c r="P53" s="758" t="s">
        <v>301</v>
      </c>
      <c r="Q53" s="749" t="s">
        <v>7459</v>
      </c>
      <c r="R53" s="937" t="s">
        <v>7460</v>
      </c>
      <c r="S53" s="861">
        <v>3014927.59</v>
      </c>
      <c r="T53" s="861">
        <f t="shared" si="12"/>
        <v>482388.41440000001</v>
      </c>
      <c r="U53" s="864">
        <f t="shared" si="20"/>
        <v>3497316.0044</v>
      </c>
      <c r="V53" s="862">
        <v>1205971.03</v>
      </c>
      <c r="W53" s="861">
        <f t="shared" si="13"/>
        <v>192955.36480000001</v>
      </c>
      <c r="X53" s="864">
        <f t="shared" si="15"/>
        <v>1398926.3948000001</v>
      </c>
      <c r="Y53" s="866">
        <f t="shared" si="9"/>
        <v>3014927.59</v>
      </c>
      <c r="Z53" s="751" t="s">
        <v>7227</v>
      </c>
      <c r="AA53" s="770">
        <v>45659</v>
      </c>
      <c r="AB53" s="744" t="s">
        <v>6330</v>
      </c>
      <c r="AC53" s="752">
        <v>45658</v>
      </c>
      <c r="AD53" s="752">
        <v>46022</v>
      </c>
      <c r="AE53" s="908">
        <v>0.15</v>
      </c>
      <c r="AF53" s="908">
        <v>0.3</v>
      </c>
      <c r="AG53" s="900" t="s">
        <v>161</v>
      </c>
      <c r="AH53" s="900" t="s">
        <v>161</v>
      </c>
      <c r="AI53" s="904" t="s">
        <v>7461</v>
      </c>
      <c r="AJ53" s="749" t="s">
        <v>161</v>
      </c>
      <c r="AK53" s="772" t="s">
        <v>161</v>
      </c>
      <c r="AL53" s="873">
        <v>0</v>
      </c>
      <c r="AM53" s="862">
        <f t="shared" si="16"/>
        <v>3014927.59</v>
      </c>
      <c r="AN53" s="755" t="str">
        <f t="shared" ca="1" si="17"/>
        <v>VIGENTE</v>
      </c>
      <c r="AO53" s="753" t="s">
        <v>7462</v>
      </c>
      <c r="AP53" s="753" t="s">
        <v>1146</v>
      </c>
      <c r="AQ53" s="753" t="s">
        <v>6330</v>
      </c>
      <c r="AR53" s="753" t="s">
        <v>7229</v>
      </c>
      <c r="AS53" s="753" t="s">
        <v>6330</v>
      </c>
      <c r="AT53" s="739" t="s">
        <v>7463</v>
      </c>
      <c r="AU53" s="739">
        <v>45579</v>
      </c>
      <c r="AV53" s="739">
        <v>45657</v>
      </c>
      <c r="AW53" s="739">
        <v>45667</v>
      </c>
      <c r="AX53" s="739" t="s">
        <v>7464</v>
      </c>
      <c r="AY53" s="882">
        <v>45671</v>
      </c>
      <c r="AZ53" s="739">
        <v>45671</v>
      </c>
      <c r="BA53" s="739">
        <v>45674</v>
      </c>
      <c r="BB53" s="739">
        <v>45674</v>
      </c>
      <c r="BC53" s="739">
        <v>45677</v>
      </c>
      <c r="BD53" s="739">
        <f t="shared" si="18"/>
        <v>45659</v>
      </c>
      <c r="BE53" s="739"/>
      <c r="BF53" s="882">
        <f t="shared" si="19"/>
        <v>45659</v>
      </c>
    </row>
    <row r="54" spans="1:58" s="774" customFormat="1" ht="45" x14ac:dyDescent="0.25">
      <c r="A54" s="931" t="s">
        <v>7465</v>
      </c>
      <c r="B54" s="773">
        <v>40</v>
      </c>
      <c r="C54" s="897" t="s">
        <v>149</v>
      </c>
      <c r="D54" s="928" t="s">
        <v>163</v>
      </c>
      <c r="E54" s="744" t="s">
        <v>7466</v>
      </c>
      <c r="F54" s="744" t="str">
        <f t="shared" si="14"/>
        <v>Adjudicación Directa</v>
      </c>
      <c r="G54" s="773" t="s">
        <v>161</v>
      </c>
      <c r="H54" s="773" t="s">
        <v>7209</v>
      </c>
      <c r="I54" s="746" t="s">
        <v>757</v>
      </c>
      <c r="J54" s="747"/>
      <c r="K54" s="747"/>
      <c r="L54" s="747"/>
      <c r="M54" s="927" t="str">
        <f t="shared" si="11"/>
        <v xml:space="preserve">Teléfonos de México, S.A.B. de C.V.  </v>
      </c>
      <c r="N54" s="749" t="s">
        <v>7240</v>
      </c>
      <c r="O54" s="749" t="s">
        <v>7240</v>
      </c>
      <c r="P54" s="749" t="s">
        <v>7241</v>
      </c>
      <c r="Q54" s="749" t="s">
        <v>7257</v>
      </c>
      <c r="R54" s="937" t="s">
        <v>7467</v>
      </c>
      <c r="S54" s="861">
        <v>24568965.52</v>
      </c>
      <c r="T54" s="861">
        <f t="shared" si="12"/>
        <v>3931034.4832000001</v>
      </c>
      <c r="U54" s="864">
        <f t="shared" si="20"/>
        <v>28500000.003199998</v>
      </c>
      <c r="V54" s="862">
        <v>9827586.2100000009</v>
      </c>
      <c r="W54" s="861">
        <f t="shared" si="13"/>
        <v>1572413.7936000002</v>
      </c>
      <c r="X54" s="864">
        <f t="shared" si="15"/>
        <v>11400000.003600001</v>
      </c>
      <c r="Y54" s="866">
        <f t="shared" si="9"/>
        <v>24568965.52</v>
      </c>
      <c r="Z54" s="751" t="s">
        <v>7227</v>
      </c>
      <c r="AA54" s="770">
        <v>45659</v>
      </c>
      <c r="AB54" s="744" t="s">
        <v>6330</v>
      </c>
      <c r="AC54" s="752">
        <v>45658</v>
      </c>
      <c r="AD54" s="752">
        <v>46022</v>
      </c>
      <c r="AE54" s="908">
        <v>0.15</v>
      </c>
      <c r="AF54" s="908">
        <v>0.15</v>
      </c>
      <c r="AG54" s="900" t="s">
        <v>161</v>
      </c>
      <c r="AH54" s="900" t="s">
        <v>161</v>
      </c>
      <c r="AI54" s="900" t="s">
        <v>7468</v>
      </c>
      <c r="AJ54" s="749" t="s">
        <v>161</v>
      </c>
      <c r="AK54" s="772" t="s">
        <v>161</v>
      </c>
      <c r="AL54" s="873">
        <v>0</v>
      </c>
      <c r="AM54" s="862">
        <f t="shared" si="16"/>
        <v>24568965.52</v>
      </c>
      <c r="AN54" s="755" t="str">
        <f t="shared" ca="1" si="17"/>
        <v>VIGENTE</v>
      </c>
      <c r="AO54" s="753" t="s">
        <v>7469</v>
      </c>
      <c r="AP54" s="753" t="s">
        <v>1146</v>
      </c>
      <c r="AQ54" s="753" t="s">
        <v>6330</v>
      </c>
      <c r="AR54" s="753" t="s">
        <v>7229</v>
      </c>
      <c r="AS54" s="753" t="s">
        <v>6330</v>
      </c>
      <c r="AT54" s="739" t="s">
        <v>7470</v>
      </c>
      <c r="AU54" s="739">
        <v>45644</v>
      </c>
      <c r="AV54" s="739">
        <v>45657</v>
      </c>
      <c r="AW54" s="739">
        <v>45667</v>
      </c>
      <c r="AX54" s="739" t="s">
        <v>7471</v>
      </c>
      <c r="AY54" s="882">
        <v>45671</v>
      </c>
      <c r="AZ54" s="739">
        <v>45671</v>
      </c>
      <c r="BA54" s="739">
        <v>45678</v>
      </c>
      <c r="BB54" s="739">
        <v>45678</v>
      </c>
      <c r="BC54" s="739">
        <v>45680</v>
      </c>
      <c r="BD54" s="739">
        <f t="shared" si="18"/>
        <v>45659</v>
      </c>
      <c r="BE54" s="739"/>
      <c r="BF54" s="882">
        <f t="shared" si="19"/>
        <v>45659</v>
      </c>
    </row>
    <row r="55" spans="1:58" s="774" customFormat="1" ht="45" x14ac:dyDescent="0.25">
      <c r="A55" s="931" t="s">
        <v>7472</v>
      </c>
      <c r="B55" s="773">
        <v>41</v>
      </c>
      <c r="C55" s="897" t="s">
        <v>149</v>
      </c>
      <c r="D55" s="928" t="s">
        <v>7307</v>
      </c>
      <c r="E55" s="744" t="s">
        <v>7473</v>
      </c>
      <c r="F55" s="744" t="str">
        <f t="shared" si="14"/>
        <v xml:space="preserve">Licitación Pública Nacional </v>
      </c>
      <c r="G55" s="773" t="s">
        <v>161</v>
      </c>
      <c r="H55" s="773" t="s">
        <v>3785</v>
      </c>
      <c r="I55" s="746" t="s">
        <v>7452</v>
      </c>
      <c r="J55" s="747"/>
      <c r="K55" s="747"/>
      <c r="L55" s="747"/>
      <c r="M55" s="927" t="str">
        <f t="shared" si="11"/>
        <v xml:space="preserve">R. B. TEC México, S.A. de C.V.  </v>
      </c>
      <c r="N55" s="749" t="s">
        <v>7474</v>
      </c>
      <c r="O55" s="749" t="s">
        <v>7474</v>
      </c>
      <c r="P55" s="749" t="s">
        <v>7474</v>
      </c>
      <c r="Q55" s="749" t="s">
        <v>7475</v>
      </c>
      <c r="R55" s="937" t="s">
        <v>7476</v>
      </c>
      <c r="S55" s="861">
        <v>2150000</v>
      </c>
      <c r="T55" s="861">
        <f t="shared" si="12"/>
        <v>344000</v>
      </c>
      <c r="U55" s="864">
        <f t="shared" si="20"/>
        <v>2494000</v>
      </c>
      <c r="V55" s="862">
        <v>1000000</v>
      </c>
      <c r="W55" s="861">
        <f t="shared" si="13"/>
        <v>160000</v>
      </c>
      <c r="X55" s="864">
        <f t="shared" si="15"/>
        <v>1160000</v>
      </c>
      <c r="Y55" s="866">
        <f t="shared" si="9"/>
        <v>2150000</v>
      </c>
      <c r="Z55" s="751" t="s">
        <v>7227</v>
      </c>
      <c r="AA55" s="739">
        <v>45659</v>
      </c>
      <c r="AB55" s="753" t="s">
        <v>6330</v>
      </c>
      <c r="AC55" s="752">
        <v>45658</v>
      </c>
      <c r="AD55" s="752">
        <v>46022</v>
      </c>
      <c r="AE55" s="908">
        <v>0.15</v>
      </c>
      <c r="AF55" s="908">
        <v>0.15</v>
      </c>
      <c r="AG55" s="900" t="s">
        <v>161</v>
      </c>
      <c r="AH55" s="900" t="s">
        <v>161</v>
      </c>
      <c r="AI55" s="900" t="s">
        <v>161</v>
      </c>
      <c r="AJ55" s="749" t="s">
        <v>161</v>
      </c>
      <c r="AK55" s="772" t="s">
        <v>161</v>
      </c>
      <c r="AL55" s="873">
        <v>0</v>
      </c>
      <c r="AM55" s="862">
        <f t="shared" si="16"/>
        <v>2150000</v>
      </c>
      <c r="AN55" s="755" t="str">
        <f t="shared" ca="1" si="17"/>
        <v>VIGENTE</v>
      </c>
      <c r="AO55" s="753">
        <v>35301</v>
      </c>
      <c r="AP55" s="753" t="s">
        <v>1146</v>
      </c>
      <c r="AQ55" s="753" t="s">
        <v>6330</v>
      </c>
      <c r="AR55" s="753" t="s">
        <v>7229</v>
      </c>
      <c r="AS55" s="753" t="s">
        <v>6330</v>
      </c>
      <c r="AT55" s="739" t="s">
        <v>7477</v>
      </c>
      <c r="AU55" s="739">
        <v>45607</v>
      </c>
      <c r="AV55" s="739">
        <v>45657</v>
      </c>
      <c r="AW55" s="739">
        <v>45670</v>
      </c>
      <c r="AX55" s="739" t="s">
        <v>7478</v>
      </c>
      <c r="AY55" s="882">
        <v>45673</v>
      </c>
      <c r="AZ55" s="739">
        <v>45674</v>
      </c>
      <c r="BA55" s="739">
        <v>45677</v>
      </c>
      <c r="BB55" s="739">
        <v>45677</v>
      </c>
      <c r="BC55" s="739">
        <v>45678</v>
      </c>
      <c r="BD55" s="739">
        <f t="shared" si="18"/>
        <v>45659</v>
      </c>
      <c r="BE55" s="739"/>
      <c r="BF55" s="882">
        <f t="shared" si="19"/>
        <v>45659</v>
      </c>
    </row>
    <row r="56" spans="1:58" s="774" customFormat="1" ht="75" x14ac:dyDescent="0.25">
      <c r="A56" s="931" t="s">
        <v>7479</v>
      </c>
      <c r="B56" s="773">
        <v>42</v>
      </c>
      <c r="C56" s="897" t="s">
        <v>149</v>
      </c>
      <c r="D56" s="928" t="s">
        <v>7307</v>
      </c>
      <c r="E56" s="744" t="s">
        <v>7480</v>
      </c>
      <c r="F56" s="744" t="str">
        <f t="shared" si="14"/>
        <v xml:space="preserve">Licitación Pública Nacional </v>
      </c>
      <c r="G56" s="773" t="s">
        <v>161</v>
      </c>
      <c r="H56" s="773" t="s">
        <v>3785</v>
      </c>
      <c r="I56" s="746" t="s">
        <v>7452</v>
      </c>
      <c r="J56" s="747"/>
      <c r="K56" s="747"/>
      <c r="L56" s="747"/>
      <c r="M56" s="927" t="str">
        <f t="shared" si="11"/>
        <v xml:space="preserve">R. B. TEC México, S.A. de C.V.  </v>
      </c>
      <c r="N56" s="749" t="s">
        <v>166</v>
      </c>
      <c r="O56" s="749" t="s">
        <v>166</v>
      </c>
      <c r="P56" s="749" t="s">
        <v>166</v>
      </c>
      <c r="Q56" s="749" t="s">
        <v>6131</v>
      </c>
      <c r="R56" s="937" t="s">
        <v>7481</v>
      </c>
      <c r="S56" s="861">
        <v>1491865.72</v>
      </c>
      <c r="T56" s="861">
        <f t="shared" si="12"/>
        <v>238698.51519999999</v>
      </c>
      <c r="U56" s="864">
        <f t="shared" si="20"/>
        <v>1730564.2352</v>
      </c>
      <c r="V56" s="862">
        <v>0</v>
      </c>
      <c r="W56" s="861">
        <f t="shared" si="13"/>
        <v>0</v>
      </c>
      <c r="X56" s="864">
        <f t="shared" si="15"/>
        <v>0</v>
      </c>
      <c r="Y56" s="866">
        <f t="shared" si="9"/>
        <v>1491865.72</v>
      </c>
      <c r="Z56" s="751" t="s">
        <v>7227</v>
      </c>
      <c r="AA56" s="739">
        <v>45659</v>
      </c>
      <c r="AB56" s="753" t="s">
        <v>6330</v>
      </c>
      <c r="AC56" s="752">
        <v>45658</v>
      </c>
      <c r="AD56" s="752">
        <v>46022</v>
      </c>
      <c r="AE56" s="908">
        <v>0.15</v>
      </c>
      <c r="AF56" s="908">
        <v>0.15</v>
      </c>
      <c r="AG56" s="900" t="s">
        <v>161</v>
      </c>
      <c r="AH56" s="900" t="s">
        <v>161</v>
      </c>
      <c r="AI56" s="900" t="s">
        <v>161</v>
      </c>
      <c r="AJ56" s="749" t="s">
        <v>161</v>
      </c>
      <c r="AK56" s="772" t="s">
        <v>161</v>
      </c>
      <c r="AL56" s="873">
        <v>0</v>
      </c>
      <c r="AM56" s="862">
        <f t="shared" si="16"/>
        <v>1491865.72</v>
      </c>
      <c r="AN56" s="755" t="str">
        <f t="shared" ca="1" si="17"/>
        <v>VIGENTE</v>
      </c>
      <c r="AO56" s="753">
        <v>35701</v>
      </c>
      <c r="AP56" s="753" t="s">
        <v>1146</v>
      </c>
      <c r="AQ56" s="753" t="s">
        <v>6330</v>
      </c>
      <c r="AR56" s="753" t="s">
        <v>7229</v>
      </c>
      <c r="AS56" s="753" t="s">
        <v>6330</v>
      </c>
      <c r="AT56" s="739" t="s">
        <v>7482</v>
      </c>
      <c r="AU56" s="739">
        <v>45941</v>
      </c>
      <c r="AV56" s="739">
        <v>45657</v>
      </c>
      <c r="AW56" s="739">
        <v>45670</v>
      </c>
      <c r="AX56" s="739" t="s">
        <v>7483</v>
      </c>
      <c r="AY56" s="882">
        <v>45673</v>
      </c>
      <c r="AZ56" s="739">
        <v>45674</v>
      </c>
      <c r="BA56" s="739">
        <v>45685</v>
      </c>
      <c r="BB56" s="739">
        <v>45686</v>
      </c>
      <c r="BC56" s="739">
        <v>45687</v>
      </c>
      <c r="BD56" s="739">
        <f t="shared" si="18"/>
        <v>45659</v>
      </c>
      <c r="BE56" s="739"/>
      <c r="BF56" s="882">
        <f t="shared" si="19"/>
        <v>45659</v>
      </c>
    </row>
    <row r="57" spans="1:58" s="774" customFormat="1" ht="60" x14ac:dyDescent="0.25">
      <c r="A57" s="931" t="s">
        <v>7484</v>
      </c>
      <c r="B57" s="773">
        <v>43</v>
      </c>
      <c r="C57" s="897" t="s">
        <v>149</v>
      </c>
      <c r="D57" s="928" t="s">
        <v>7307</v>
      </c>
      <c r="E57" s="744" t="s">
        <v>7485</v>
      </c>
      <c r="F57" s="744" t="str">
        <f t="shared" si="14"/>
        <v xml:space="preserve">Licitación Pública Nacional </v>
      </c>
      <c r="G57" s="773" t="s">
        <v>161</v>
      </c>
      <c r="H57" s="773" t="s">
        <v>3785</v>
      </c>
      <c r="I57" s="746" t="s">
        <v>7486</v>
      </c>
      <c r="J57" s="747"/>
      <c r="K57" s="747"/>
      <c r="L57" s="747"/>
      <c r="M57" s="927" t="str">
        <f t="shared" si="11"/>
        <v xml:space="preserve">Quiral Ingeniería y Diseño, S.A. de C.V.  </v>
      </c>
      <c r="N57" s="749" t="s">
        <v>7263</v>
      </c>
      <c r="O57" s="749" t="s">
        <v>3941</v>
      </c>
      <c r="P57" s="749" t="s">
        <v>7263</v>
      </c>
      <c r="Q57" s="749" t="s">
        <v>7294</v>
      </c>
      <c r="R57" s="937" t="s">
        <v>7487</v>
      </c>
      <c r="S57" s="861">
        <v>2211725.86</v>
      </c>
      <c r="T57" s="861">
        <f t="shared" si="12"/>
        <v>353876.13759999996</v>
      </c>
      <c r="U57" s="864">
        <f t="shared" si="20"/>
        <v>2565601.9975999999</v>
      </c>
      <c r="V57" s="862">
        <v>2116484.48</v>
      </c>
      <c r="W57" s="861">
        <f t="shared" si="13"/>
        <v>338637.51679999998</v>
      </c>
      <c r="X57" s="864">
        <f t="shared" si="15"/>
        <v>2455121.9967999998</v>
      </c>
      <c r="Y57" s="866">
        <f t="shared" si="9"/>
        <v>2211725.86</v>
      </c>
      <c r="Z57" s="751" t="s">
        <v>7227</v>
      </c>
      <c r="AA57" s="739">
        <v>45659</v>
      </c>
      <c r="AB57" s="753" t="s">
        <v>6330</v>
      </c>
      <c r="AC57" s="752">
        <v>45658</v>
      </c>
      <c r="AD57" s="752">
        <v>46022</v>
      </c>
      <c r="AE57" s="908">
        <v>0.15</v>
      </c>
      <c r="AF57" s="908">
        <v>0.15</v>
      </c>
      <c r="AG57" s="900" t="s">
        <v>161</v>
      </c>
      <c r="AH57" s="900" t="s">
        <v>161</v>
      </c>
      <c r="AI57" s="900" t="s">
        <v>7488</v>
      </c>
      <c r="AJ57" s="749" t="s">
        <v>161</v>
      </c>
      <c r="AK57" s="772" t="s">
        <v>161</v>
      </c>
      <c r="AL57" s="873">
        <v>0</v>
      </c>
      <c r="AM57" s="862">
        <f t="shared" si="16"/>
        <v>2211725.86</v>
      </c>
      <c r="AN57" s="755" t="str">
        <f t="shared" ca="1" si="17"/>
        <v>VIGENTE</v>
      </c>
      <c r="AO57" s="753">
        <v>35701</v>
      </c>
      <c r="AP57" s="753" t="s">
        <v>1146</v>
      </c>
      <c r="AQ57" s="753" t="s">
        <v>6330</v>
      </c>
      <c r="AR57" s="753"/>
      <c r="AS57" s="753" t="s">
        <v>6330</v>
      </c>
      <c r="AT57" s="739" t="s">
        <v>7489</v>
      </c>
      <c r="AU57" s="739">
        <v>45632</v>
      </c>
      <c r="AV57" s="739">
        <v>45657</v>
      </c>
      <c r="AW57" s="739">
        <v>45670</v>
      </c>
      <c r="AX57" s="739" t="s">
        <v>7490</v>
      </c>
      <c r="AY57" s="882">
        <v>45674</v>
      </c>
      <c r="AZ57" s="739">
        <v>45674</v>
      </c>
      <c r="BA57" s="739">
        <v>45678</v>
      </c>
      <c r="BB57" s="739">
        <v>45678</v>
      </c>
      <c r="BC57" s="739">
        <v>45680</v>
      </c>
      <c r="BD57" s="739">
        <f t="shared" si="18"/>
        <v>45659</v>
      </c>
      <c r="BE57" s="739"/>
      <c r="BF57" s="882">
        <f t="shared" si="19"/>
        <v>45659</v>
      </c>
    </row>
    <row r="58" spans="1:58" ht="60" x14ac:dyDescent="0.25">
      <c r="A58" s="931" t="s">
        <v>7491</v>
      </c>
      <c r="B58" s="773">
        <v>44</v>
      </c>
      <c r="C58" s="897" t="s">
        <v>225</v>
      </c>
      <c r="D58" s="928" t="s">
        <v>7307</v>
      </c>
      <c r="E58" s="744" t="s">
        <v>7492</v>
      </c>
      <c r="F58" s="744" t="str">
        <f t="shared" si="14"/>
        <v xml:space="preserve">Licitación Pública Nacional </v>
      </c>
      <c r="G58" s="773" t="s">
        <v>161</v>
      </c>
      <c r="H58" s="773" t="s">
        <v>3785</v>
      </c>
      <c r="I58" s="746" t="s">
        <v>6580</v>
      </c>
      <c r="J58" s="747"/>
      <c r="K58" s="747"/>
      <c r="L58" s="747"/>
      <c r="M58" s="927" t="str">
        <f t="shared" si="11"/>
        <v xml:space="preserve">Abastecedora y Distribuidora del Sureste García Hnos., S.A. de C.V.  </v>
      </c>
      <c r="N58" s="749" t="s">
        <v>7263</v>
      </c>
      <c r="O58" s="749" t="s">
        <v>3941</v>
      </c>
      <c r="P58" s="749" t="s">
        <v>7263</v>
      </c>
      <c r="Q58" s="749" t="s">
        <v>7493</v>
      </c>
      <c r="R58" s="937" t="s">
        <v>7494</v>
      </c>
      <c r="S58" s="861">
        <v>4302356.17</v>
      </c>
      <c r="T58" s="861">
        <f t="shared" si="12"/>
        <v>688376.98719999997</v>
      </c>
      <c r="U58" s="864">
        <f t="shared" si="20"/>
        <v>4990733.1572000002</v>
      </c>
      <c r="V58" s="862">
        <v>1655317.79</v>
      </c>
      <c r="W58" s="861">
        <f t="shared" si="13"/>
        <v>264850.84640000004</v>
      </c>
      <c r="X58" s="864">
        <f t="shared" si="15"/>
        <v>1920168.6364000002</v>
      </c>
      <c r="Y58" s="866">
        <f t="shared" si="9"/>
        <v>4302356.17</v>
      </c>
      <c r="Z58" s="751" t="s">
        <v>7227</v>
      </c>
      <c r="AA58" s="739">
        <v>45659</v>
      </c>
      <c r="AB58" s="753" t="s">
        <v>6330</v>
      </c>
      <c r="AC58" s="752">
        <v>45658</v>
      </c>
      <c r="AD58" s="752">
        <v>46022</v>
      </c>
      <c r="AE58" s="908">
        <v>0.15</v>
      </c>
      <c r="AF58" s="900" t="s">
        <v>161</v>
      </c>
      <c r="AG58" s="900" t="s">
        <v>161</v>
      </c>
      <c r="AH58" s="900" t="s">
        <v>161</v>
      </c>
      <c r="AI58" s="900" t="s">
        <v>161</v>
      </c>
      <c r="AJ58" s="749" t="s">
        <v>161</v>
      </c>
      <c r="AK58" s="772" t="s">
        <v>161</v>
      </c>
      <c r="AL58" s="873">
        <v>0</v>
      </c>
      <c r="AM58" s="862">
        <f t="shared" si="16"/>
        <v>4302356.17</v>
      </c>
      <c r="AN58" s="755" t="str">
        <f t="shared" ca="1" si="17"/>
        <v>VIGENTE</v>
      </c>
      <c r="AO58" s="753">
        <v>21601</v>
      </c>
      <c r="AP58" s="753" t="s">
        <v>1146</v>
      </c>
      <c r="AQ58" s="753" t="s">
        <v>6330</v>
      </c>
      <c r="AR58" s="753" t="s">
        <v>7229</v>
      </c>
      <c r="AS58" s="753" t="s">
        <v>6330</v>
      </c>
      <c r="AT58" s="739" t="s">
        <v>7495</v>
      </c>
      <c r="AU58" s="739">
        <v>45941</v>
      </c>
      <c r="AV58" s="739">
        <v>46022</v>
      </c>
      <c r="AW58" s="739">
        <v>45670</v>
      </c>
      <c r="AX58" s="739" t="s">
        <v>7496</v>
      </c>
      <c r="AY58" s="882">
        <v>45674</v>
      </c>
      <c r="AZ58" s="739">
        <v>45674</v>
      </c>
      <c r="BA58" s="739">
        <v>45678</v>
      </c>
      <c r="BB58" s="739">
        <v>45678</v>
      </c>
      <c r="BC58" s="739">
        <v>45680</v>
      </c>
      <c r="BD58" s="739">
        <f t="shared" si="18"/>
        <v>45659</v>
      </c>
      <c r="BE58" s="739"/>
      <c r="BF58" s="882">
        <f t="shared" si="19"/>
        <v>45659</v>
      </c>
    </row>
    <row r="59" spans="1:58" ht="60" x14ac:dyDescent="0.25">
      <c r="A59" s="931" t="s">
        <v>7497</v>
      </c>
      <c r="B59" s="773">
        <v>45</v>
      </c>
      <c r="C59" s="897" t="s">
        <v>149</v>
      </c>
      <c r="D59" s="928" t="s">
        <v>163</v>
      </c>
      <c r="E59" s="744" t="s">
        <v>7415</v>
      </c>
      <c r="F59" s="744" t="str">
        <f t="shared" si="14"/>
        <v>Adjudicación Directa</v>
      </c>
      <c r="G59" s="773" t="s">
        <v>161</v>
      </c>
      <c r="H59" s="773" t="s">
        <v>7416</v>
      </c>
      <c r="I59" s="746" t="s">
        <v>7498</v>
      </c>
      <c r="J59" s="747"/>
      <c r="K59" s="747"/>
      <c r="L59" s="747"/>
      <c r="M59" s="927" t="str">
        <f t="shared" si="11"/>
        <v xml:space="preserve">Viajes G-Travel Express, S.A. de C.V.  </v>
      </c>
      <c r="N59" s="749" t="s">
        <v>4481</v>
      </c>
      <c r="O59" s="749" t="s">
        <v>4481</v>
      </c>
      <c r="P59" s="749" t="s">
        <v>4481</v>
      </c>
      <c r="Q59" s="749" t="s">
        <v>6892</v>
      </c>
      <c r="R59" s="937" t="s">
        <v>7417</v>
      </c>
      <c r="S59" s="861">
        <v>0</v>
      </c>
      <c r="T59" s="861">
        <f t="shared" si="12"/>
        <v>0</v>
      </c>
      <c r="U59" s="864">
        <f t="shared" si="20"/>
        <v>0</v>
      </c>
      <c r="V59" s="862">
        <v>0</v>
      </c>
      <c r="W59" s="861">
        <f t="shared" si="13"/>
        <v>0</v>
      </c>
      <c r="X59" s="864">
        <f t="shared" si="15"/>
        <v>0</v>
      </c>
      <c r="Y59" s="866">
        <f t="shared" si="9"/>
        <v>0</v>
      </c>
      <c r="Z59" s="751" t="s">
        <v>7227</v>
      </c>
      <c r="AA59" s="739">
        <v>45659</v>
      </c>
      <c r="AB59" s="753" t="s">
        <v>6330</v>
      </c>
      <c r="AC59" s="752">
        <v>45658</v>
      </c>
      <c r="AD59" s="752">
        <v>46022</v>
      </c>
      <c r="AE59" s="900" t="s">
        <v>161</v>
      </c>
      <c r="AF59" s="900" t="s">
        <v>161</v>
      </c>
      <c r="AG59" s="900" t="s">
        <v>161</v>
      </c>
      <c r="AH59" s="900" t="s">
        <v>161</v>
      </c>
      <c r="AI59" s="900" t="s">
        <v>161</v>
      </c>
      <c r="AJ59" s="749" t="s">
        <v>161</v>
      </c>
      <c r="AK59" s="772" t="s">
        <v>161</v>
      </c>
      <c r="AL59" s="873">
        <v>0</v>
      </c>
      <c r="AM59" s="862">
        <f t="shared" si="16"/>
        <v>0</v>
      </c>
      <c r="AN59" s="755" t="str">
        <f ca="1">IF(ISBLANK(AD59),"",IF(AD59&gt;=TODAY(),"VIGENTE","MUERTO"))</f>
        <v>VIGENTE</v>
      </c>
      <c r="AO59" s="753" t="s">
        <v>3772</v>
      </c>
      <c r="AP59" s="753" t="s">
        <v>1146</v>
      </c>
      <c r="AQ59" s="753" t="s">
        <v>6330</v>
      </c>
      <c r="AR59" s="753"/>
      <c r="AS59" s="753" t="s">
        <v>6330</v>
      </c>
      <c r="AT59" s="739" t="s">
        <v>7418</v>
      </c>
      <c r="AU59" s="739">
        <v>45646</v>
      </c>
      <c r="AV59" s="739">
        <v>45657</v>
      </c>
      <c r="AW59" s="739">
        <v>45670</v>
      </c>
      <c r="AX59" s="739" t="s">
        <v>7499</v>
      </c>
      <c r="AY59" s="882"/>
      <c r="AZ59" s="739"/>
      <c r="BA59" s="739"/>
      <c r="BB59" s="739"/>
      <c r="BC59" s="739"/>
      <c r="BD59" s="739">
        <f t="shared" si="18"/>
        <v>45659</v>
      </c>
      <c r="BE59" s="739"/>
      <c r="BF59" s="882">
        <f t="shared" si="19"/>
        <v>45659</v>
      </c>
    </row>
    <row r="60" spans="1:58" ht="30" x14ac:dyDescent="0.25">
      <c r="A60" s="931" t="s">
        <v>7500</v>
      </c>
      <c r="B60" s="773">
        <v>46</v>
      </c>
      <c r="C60" s="897" t="s">
        <v>225</v>
      </c>
      <c r="D60" s="928" t="s">
        <v>7307</v>
      </c>
      <c r="E60" s="744" t="s">
        <v>7492</v>
      </c>
      <c r="F60" s="744" t="str">
        <f t="shared" si="14"/>
        <v xml:space="preserve">Licitación Pública Nacional </v>
      </c>
      <c r="G60" s="773" t="s">
        <v>161</v>
      </c>
      <c r="H60" s="773" t="s">
        <v>3785</v>
      </c>
      <c r="I60" s="746" t="s">
        <v>7501</v>
      </c>
      <c r="J60" s="747"/>
      <c r="K60" s="747"/>
      <c r="L60" s="747"/>
      <c r="M60" s="927" t="str">
        <f t="shared" si="11"/>
        <v xml:space="preserve">Fit Energy, S.A. de C.V.  </v>
      </c>
      <c r="N60" s="749" t="s">
        <v>7263</v>
      </c>
      <c r="O60" s="749" t="s">
        <v>3941</v>
      </c>
      <c r="P60" s="749" t="s">
        <v>7263</v>
      </c>
      <c r="Q60" s="749" t="s">
        <v>199</v>
      </c>
      <c r="R60" s="937" t="s">
        <v>7502</v>
      </c>
      <c r="S60" s="861">
        <v>4840272.41</v>
      </c>
      <c r="T60" s="861">
        <f t="shared" si="12"/>
        <v>774443.58559999999</v>
      </c>
      <c r="U60" s="864">
        <f t="shared" si="20"/>
        <v>5614715.9956</v>
      </c>
      <c r="V60" s="862">
        <v>2241379.31</v>
      </c>
      <c r="W60" s="861">
        <f t="shared" si="13"/>
        <v>358620.68960000004</v>
      </c>
      <c r="X60" s="864">
        <f t="shared" si="15"/>
        <v>2599999.9996000002</v>
      </c>
      <c r="Y60" s="866">
        <f t="shared" si="9"/>
        <v>4840272.41</v>
      </c>
      <c r="Z60" s="751" t="s">
        <v>7227</v>
      </c>
      <c r="AA60" s="739">
        <v>45659</v>
      </c>
      <c r="AB60" s="753" t="s">
        <v>6330</v>
      </c>
      <c r="AC60" s="752">
        <v>45658</v>
      </c>
      <c r="AD60" s="752">
        <v>46022</v>
      </c>
      <c r="AE60" s="908">
        <v>0.15</v>
      </c>
      <c r="AF60" s="900" t="s">
        <v>161</v>
      </c>
      <c r="AG60" s="900" t="s">
        <v>161</v>
      </c>
      <c r="AH60" s="900" t="s">
        <v>161</v>
      </c>
      <c r="AI60" s="900" t="s">
        <v>161</v>
      </c>
      <c r="AJ60" s="749" t="s">
        <v>161</v>
      </c>
      <c r="AK60" s="772" t="s">
        <v>161</v>
      </c>
      <c r="AL60" s="873">
        <v>0</v>
      </c>
      <c r="AM60" s="862">
        <f>+S60+AL60</f>
        <v>4840272.41</v>
      </c>
      <c r="AN60" s="755" t="str">
        <f t="shared" ca="1" si="17"/>
        <v>VIGENTE</v>
      </c>
      <c r="AO60" s="753">
        <v>21601</v>
      </c>
      <c r="AP60" s="753" t="s">
        <v>1146</v>
      </c>
      <c r="AQ60" s="753" t="s">
        <v>6330</v>
      </c>
      <c r="AR60" s="753"/>
      <c r="AS60" s="753" t="s">
        <v>6330</v>
      </c>
      <c r="AT60" s="739" t="s">
        <v>7495</v>
      </c>
      <c r="AU60" s="739">
        <v>45941</v>
      </c>
      <c r="AV60" s="739">
        <v>45657</v>
      </c>
      <c r="AW60" s="739">
        <v>45670</v>
      </c>
      <c r="AX60" s="739" t="s">
        <v>7503</v>
      </c>
      <c r="AY60" s="882"/>
      <c r="AZ60" s="739"/>
      <c r="BA60" s="739"/>
      <c r="BB60" s="739"/>
      <c r="BC60" s="739"/>
      <c r="BD60" s="739">
        <f t="shared" si="18"/>
        <v>45659</v>
      </c>
      <c r="BE60" s="739"/>
      <c r="BF60" s="882">
        <f t="shared" si="19"/>
        <v>45659</v>
      </c>
    </row>
    <row r="61" spans="1:58" ht="60" x14ac:dyDescent="0.25">
      <c r="A61" s="931" t="s">
        <v>7504</v>
      </c>
      <c r="B61" s="773">
        <v>47</v>
      </c>
      <c r="C61" s="897" t="s">
        <v>149</v>
      </c>
      <c r="D61" s="928" t="s">
        <v>163</v>
      </c>
      <c r="E61" s="744" t="s">
        <v>7415</v>
      </c>
      <c r="F61" s="744" t="str">
        <f t="shared" si="14"/>
        <v>Adjudicación Directa</v>
      </c>
      <c r="G61" s="773" t="s">
        <v>161</v>
      </c>
      <c r="H61" s="773" t="s">
        <v>7416</v>
      </c>
      <c r="I61" s="746" t="s">
        <v>1391</v>
      </c>
      <c r="J61" s="747"/>
      <c r="K61" s="747"/>
      <c r="L61" s="747"/>
      <c r="M61" s="927" t="str">
        <f t="shared" si="11"/>
        <v xml:space="preserve">Viajes Helvetia, S.A. de C.V.  </v>
      </c>
      <c r="N61" s="749" t="s">
        <v>4481</v>
      </c>
      <c r="O61" s="749" t="s">
        <v>4481</v>
      </c>
      <c r="P61" s="749" t="s">
        <v>4481</v>
      </c>
      <c r="Q61" s="749" t="s">
        <v>6892</v>
      </c>
      <c r="R61" s="937" t="s">
        <v>7417</v>
      </c>
      <c r="S61" s="861">
        <v>0</v>
      </c>
      <c r="T61" s="861">
        <f t="shared" si="12"/>
        <v>0</v>
      </c>
      <c r="U61" s="864">
        <f t="shared" si="20"/>
        <v>0</v>
      </c>
      <c r="V61" s="862">
        <v>0</v>
      </c>
      <c r="W61" s="861">
        <f t="shared" si="13"/>
        <v>0</v>
      </c>
      <c r="X61" s="864">
        <f t="shared" si="15"/>
        <v>0</v>
      </c>
      <c r="Y61" s="866">
        <f t="shared" si="9"/>
        <v>0</v>
      </c>
      <c r="Z61" s="751" t="s">
        <v>7227</v>
      </c>
      <c r="AA61" s="739">
        <v>45659</v>
      </c>
      <c r="AB61" s="753" t="s">
        <v>6330</v>
      </c>
      <c r="AC61" s="752">
        <v>45658</v>
      </c>
      <c r="AD61" s="752">
        <v>46022</v>
      </c>
      <c r="AE61" s="900" t="s">
        <v>161</v>
      </c>
      <c r="AF61" s="900" t="s">
        <v>161</v>
      </c>
      <c r="AG61" s="900" t="s">
        <v>161</v>
      </c>
      <c r="AH61" s="900" t="s">
        <v>161</v>
      </c>
      <c r="AI61" s="900" t="s">
        <v>161</v>
      </c>
      <c r="AJ61" s="749" t="s">
        <v>161</v>
      </c>
      <c r="AK61" s="772" t="s">
        <v>161</v>
      </c>
      <c r="AL61" s="873">
        <v>0</v>
      </c>
      <c r="AM61" s="862">
        <f>+S61+AL61</f>
        <v>0</v>
      </c>
      <c r="AN61" s="755" t="str">
        <f t="shared" ca="1" si="17"/>
        <v>VIGENTE</v>
      </c>
      <c r="AO61" s="753" t="s">
        <v>3772</v>
      </c>
      <c r="AP61" s="753" t="s">
        <v>1146</v>
      </c>
      <c r="AQ61" s="753" t="s">
        <v>6330</v>
      </c>
      <c r="AR61" s="753"/>
      <c r="AS61" s="753" t="s">
        <v>6330</v>
      </c>
      <c r="AT61" s="739" t="s">
        <v>7418</v>
      </c>
      <c r="AU61" s="739">
        <v>45646</v>
      </c>
      <c r="AV61" s="739">
        <v>45657</v>
      </c>
      <c r="AW61" s="739">
        <v>45671</v>
      </c>
      <c r="AX61" s="739" t="s">
        <v>7505</v>
      </c>
      <c r="AY61" s="882"/>
      <c r="AZ61" s="739"/>
      <c r="BA61" s="739"/>
      <c r="BB61" s="739"/>
      <c r="BC61" s="739"/>
      <c r="BD61" s="739">
        <f t="shared" si="18"/>
        <v>45659</v>
      </c>
      <c r="BE61" s="739"/>
      <c r="BF61" s="882">
        <f t="shared" si="19"/>
        <v>45659</v>
      </c>
    </row>
    <row r="62" spans="1:58" ht="45" x14ac:dyDescent="0.25">
      <c r="A62" s="931" t="s">
        <v>7506</v>
      </c>
      <c r="B62" s="773">
        <v>48</v>
      </c>
      <c r="C62" s="897" t="s">
        <v>149</v>
      </c>
      <c r="D62" s="928" t="s">
        <v>7307</v>
      </c>
      <c r="E62" s="744" t="s">
        <v>7473</v>
      </c>
      <c r="F62" s="744" t="str">
        <f t="shared" si="14"/>
        <v xml:space="preserve">Licitación Pública Nacional </v>
      </c>
      <c r="G62" s="773" t="s">
        <v>161</v>
      </c>
      <c r="H62" s="773" t="s">
        <v>3785</v>
      </c>
      <c r="I62" s="746" t="s">
        <v>7452</v>
      </c>
      <c r="J62" s="747"/>
      <c r="K62" s="747"/>
      <c r="L62" s="747"/>
      <c r="M62" s="927" t="str">
        <f t="shared" si="11"/>
        <v xml:space="preserve">R. B. TEC México, S.A. de C.V.  </v>
      </c>
      <c r="N62" s="749" t="s">
        <v>315</v>
      </c>
      <c r="O62" s="749" t="s">
        <v>166</v>
      </c>
      <c r="P62" s="749" t="s">
        <v>315</v>
      </c>
      <c r="Q62" s="749" t="s">
        <v>6795</v>
      </c>
      <c r="R62" s="937" t="s">
        <v>7507</v>
      </c>
      <c r="S62" s="861">
        <v>722028.6</v>
      </c>
      <c r="T62" s="861">
        <f t="shared" si="12"/>
        <v>115524.576</v>
      </c>
      <c r="U62" s="864">
        <f t="shared" si="20"/>
        <v>837553.17599999998</v>
      </c>
      <c r="V62" s="862">
        <v>0</v>
      </c>
      <c r="W62" s="861">
        <f t="shared" si="13"/>
        <v>0</v>
      </c>
      <c r="X62" s="864">
        <f t="shared" si="15"/>
        <v>0</v>
      </c>
      <c r="Y62" s="866">
        <f t="shared" si="9"/>
        <v>722028.6</v>
      </c>
      <c r="Z62" s="751" t="s">
        <v>7227</v>
      </c>
      <c r="AA62" s="739">
        <v>45659</v>
      </c>
      <c r="AB62" s="753" t="s">
        <v>6330</v>
      </c>
      <c r="AC62" s="752">
        <v>45658</v>
      </c>
      <c r="AD62" s="752">
        <v>46022</v>
      </c>
      <c r="AE62" s="908">
        <v>0.15</v>
      </c>
      <c r="AF62" s="908">
        <v>0.15</v>
      </c>
      <c r="AG62" s="900" t="s">
        <v>161</v>
      </c>
      <c r="AH62" s="900" t="s">
        <v>161</v>
      </c>
      <c r="AI62" s="900" t="s">
        <v>161</v>
      </c>
      <c r="AJ62" s="749" t="s">
        <v>161</v>
      </c>
      <c r="AK62" s="772" t="s">
        <v>161</v>
      </c>
      <c r="AL62" s="873">
        <v>0</v>
      </c>
      <c r="AM62" s="862">
        <f t="shared" si="16"/>
        <v>722028.6</v>
      </c>
      <c r="AN62" s="755" t="str">
        <f t="shared" ca="1" si="17"/>
        <v>VIGENTE</v>
      </c>
      <c r="AO62" s="753">
        <v>35701</v>
      </c>
      <c r="AP62" s="753" t="s">
        <v>1146</v>
      </c>
      <c r="AQ62" s="753" t="s">
        <v>6330</v>
      </c>
      <c r="AR62" s="753" t="s">
        <v>7229</v>
      </c>
      <c r="AS62" s="753" t="s">
        <v>6330</v>
      </c>
      <c r="AT62" s="739" t="s">
        <v>7482</v>
      </c>
      <c r="AU62" s="739">
        <v>45941</v>
      </c>
      <c r="AV62" s="739">
        <v>46022</v>
      </c>
      <c r="AW62" s="739">
        <v>45671</v>
      </c>
      <c r="AX62" s="739" t="s">
        <v>7508</v>
      </c>
      <c r="AY62" s="882">
        <v>45673</v>
      </c>
      <c r="AZ62" s="739">
        <v>45674</v>
      </c>
      <c r="BA62" s="739">
        <v>45678</v>
      </c>
      <c r="BB62" s="739">
        <v>45678</v>
      </c>
      <c r="BC62" s="739">
        <v>45679</v>
      </c>
      <c r="BD62" s="739">
        <f t="shared" si="18"/>
        <v>45659</v>
      </c>
      <c r="BE62" s="739"/>
      <c r="BF62" s="882">
        <f t="shared" si="19"/>
        <v>45659</v>
      </c>
    </row>
    <row r="63" spans="1:58" ht="60" x14ac:dyDescent="0.25">
      <c r="A63" s="931" t="s">
        <v>7509</v>
      </c>
      <c r="B63" s="773">
        <v>49</v>
      </c>
      <c r="C63" s="897" t="s">
        <v>149</v>
      </c>
      <c r="D63" s="928" t="s">
        <v>151</v>
      </c>
      <c r="E63" s="744" t="s">
        <v>7510</v>
      </c>
      <c r="F63" s="744" t="str">
        <f t="shared" si="14"/>
        <v>Invitación</v>
      </c>
      <c r="G63" s="773" t="s">
        <v>161</v>
      </c>
      <c r="H63" s="773" t="s">
        <v>3793</v>
      </c>
      <c r="I63" s="746" t="s">
        <v>7511</v>
      </c>
      <c r="J63" s="747"/>
      <c r="K63" s="747"/>
      <c r="L63" s="747"/>
      <c r="M63" s="927" t="str">
        <f t="shared" si="11"/>
        <v xml:space="preserve">Colectivo Ejidal Ultra del Sur, S.C. de R.L. de C.V.  </v>
      </c>
      <c r="N63" s="749" t="s">
        <v>7263</v>
      </c>
      <c r="O63" s="749" t="s">
        <v>3941</v>
      </c>
      <c r="P63" s="749" t="s">
        <v>7263</v>
      </c>
      <c r="Q63" s="758" t="s">
        <v>7512</v>
      </c>
      <c r="R63" s="939" t="s">
        <v>7513</v>
      </c>
      <c r="S63" s="861">
        <v>1333260.3400000001</v>
      </c>
      <c r="T63" s="861">
        <f t="shared" si="12"/>
        <v>213321.65440000003</v>
      </c>
      <c r="U63" s="864">
        <f t="shared" si="20"/>
        <v>1546581.9944000002</v>
      </c>
      <c r="V63" s="862">
        <v>1194619.68</v>
      </c>
      <c r="W63" s="861">
        <f t="shared" si="13"/>
        <v>191139.1488</v>
      </c>
      <c r="X63" s="864">
        <f t="shared" si="15"/>
        <v>1385758.8288</v>
      </c>
      <c r="Y63" s="866">
        <f t="shared" si="9"/>
        <v>1333260.3400000001</v>
      </c>
      <c r="Z63" s="751" t="s">
        <v>7227</v>
      </c>
      <c r="AA63" s="739">
        <v>45659</v>
      </c>
      <c r="AB63" s="753" t="s">
        <v>7514</v>
      </c>
      <c r="AC63" s="752">
        <v>45658</v>
      </c>
      <c r="AD63" s="752">
        <v>46022</v>
      </c>
      <c r="AE63" s="908">
        <v>0.15</v>
      </c>
      <c r="AF63" s="908">
        <v>0.15</v>
      </c>
      <c r="AG63" s="900" t="s">
        <v>161</v>
      </c>
      <c r="AH63" s="900" t="s">
        <v>161</v>
      </c>
      <c r="AI63" s="904" t="s">
        <v>7515</v>
      </c>
      <c r="AJ63" s="749" t="s">
        <v>161</v>
      </c>
      <c r="AK63" s="772" t="s">
        <v>161</v>
      </c>
      <c r="AL63" s="873">
        <v>0</v>
      </c>
      <c r="AM63" s="862">
        <f t="shared" si="16"/>
        <v>1333260.3400000001</v>
      </c>
      <c r="AN63" s="755" t="str">
        <f t="shared" ca="1" si="17"/>
        <v>VIGENTE</v>
      </c>
      <c r="AO63" s="753">
        <v>35901</v>
      </c>
      <c r="AP63" s="753" t="s">
        <v>1146</v>
      </c>
      <c r="AQ63" s="753" t="s">
        <v>6330</v>
      </c>
      <c r="AR63" s="753"/>
      <c r="AS63" s="753" t="s">
        <v>6330</v>
      </c>
      <c r="AT63" s="739" t="s">
        <v>7516</v>
      </c>
      <c r="AU63" s="739">
        <v>45944</v>
      </c>
      <c r="AV63" s="739">
        <v>45656</v>
      </c>
      <c r="AW63" s="739">
        <v>45687</v>
      </c>
      <c r="AX63" s="739" t="s">
        <v>7517</v>
      </c>
      <c r="AY63" s="882"/>
      <c r="AZ63" s="739"/>
      <c r="BA63" s="739"/>
      <c r="BB63" s="739"/>
      <c r="BC63" s="739"/>
      <c r="BD63" s="739">
        <f t="shared" si="18"/>
        <v>45659</v>
      </c>
      <c r="BE63" s="739"/>
      <c r="BF63" s="882">
        <f t="shared" si="19"/>
        <v>45659</v>
      </c>
    </row>
    <row r="64" spans="1:58" x14ac:dyDescent="0.25">
      <c r="A64" s="931"/>
      <c r="B64" s="773"/>
      <c r="C64" s="897"/>
      <c r="D64" s="928"/>
      <c r="E64" s="744"/>
      <c r="F64" s="744">
        <f t="shared" si="14"/>
        <v>0</v>
      </c>
      <c r="G64" s="773"/>
      <c r="H64" s="773"/>
      <c r="I64" s="746"/>
      <c r="J64" s="747"/>
      <c r="K64" s="747"/>
      <c r="L64" s="747"/>
      <c r="M64" s="927" t="str">
        <f t="shared" si="11"/>
        <v xml:space="preserve">  </v>
      </c>
      <c r="N64" s="749"/>
      <c r="O64" s="749"/>
      <c r="P64" s="749"/>
      <c r="Q64" s="749"/>
      <c r="R64" s="937"/>
      <c r="S64" s="861"/>
      <c r="T64" s="861">
        <f t="shared" si="12"/>
        <v>0</v>
      </c>
      <c r="U64" s="864">
        <f t="shared" si="20"/>
        <v>0</v>
      </c>
      <c r="V64" s="862"/>
      <c r="W64" s="861">
        <f t="shared" si="13"/>
        <v>0</v>
      </c>
      <c r="X64" s="864">
        <f t="shared" si="15"/>
        <v>0</v>
      </c>
      <c r="Y64" s="866">
        <f t="shared" si="9"/>
        <v>0</v>
      </c>
      <c r="Z64" s="751"/>
      <c r="AA64" s="739"/>
      <c r="AB64" s="753"/>
      <c r="AC64" s="752">
        <f t="shared" ref="AC64:AC79" si="21">+AA64</f>
        <v>0</v>
      </c>
      <c r="AD64" s="739"/>
      <c r="AE64" s="891"/>
      <c r="AF64" s="891"/>
      <c r="AG64" s="891"/>
      <c r="AH64" s="891"/>
      <c r="AI64" s="900"/>
      <c r="AJ64" s="749"/>
      <c r="AK64" s="772"/>
      <c r="AL64" s="873"/>
      <c r="AM64" s="862">
        <f t="shared" si="16"/>
        <v>0</v>
      </c>
      <c r="AN64" s="755" t="str">
        <f t="shared" ca="1" si="17"/>
        <v/>
      </c>
      <c r="AO64" s="753"/>
      <c r="AP64" s="753"/>
      <c r="AQ64" s="753"/>
      <c r="AR64" s="753"/>
      <c r="AS64" s="753"/>
      <c r="AT64" s="739"/>
      <c r="AU64" s="739"/>
      <c r="AV64" s="739"/>
      <c r="AW64" s="739"/>
      <c r="AX64" s="739"/>
      <c r="AY64" s="882"/>
      <c r="AZ64" s="739"/>
      <c r="BA64" s="739"/>
      <c r="BB64" s="739"/>
      <c r="BC64" s="739"/>
      <c r="BD64" s="739">
        <f t="shared" si="18"/>
        <v>0</v>
      </c>
      <c r="BE64" s="739"/>
      <c r="BF64" s="882">
        <f t="shared" si="19"/>
        <v>0</v>
      </c>
    </row>
    <row r="65" spans="1:58" x14ac:dyDescent="0.25">
      <c r="A65" s="931"/>
      <c r="B65" s="773"/>
      <c r="C65" s="897"/>
      <c r="D65" s="928"/>
      <c r="E65" s="744"/>
      <c r="F65" s="744">
        <f t="shared" si="14"/>
        <v>0</v>
      </c>
      <c r="G65" s="773"/>
      <c r="H65" s="773"/>
      <c r="I65" s="746"/>
      <c r="J65" s="771"/>
      <c r="K65" s="771"/>
      <c r="L65" s="771"/>
      <c r="M65" s="927" t="str">
        <f t="shared" si="11"/>
        <v xml:space="preserve">  </v>
      </c>
      <c r="N65" s="749"/>
      <c r="O65" s="749"/>
      <c r="P65" s="749"/>
      <c r="Q65" s="749"/>
      <c r="R65" s="937"/>
      <c r="S65" s="861"/>
      <c r="T65" s="861">
        <f t="shared" si="12"/>
        <v>0</v>
      </c>
      <c r="U65" s="864">
        <f t="shared" si="20"/>
        <v>0</v>
      </c>
      <c r="V65" s="862"/>
      <c r="W65" s="861">
        <f t="shared" si="13"/>
        <v>0</v>
      </c>
      <c r="X65" s="864">
        <f t="shared" si="15"/>
        <v>0</v>
      </c>
      <c r="Y65" s="866">
        <f t="shared" si="9"/>
        <v>0</v>
      </c>
      <c r="Z65" s="751"/>
      <c r="AA65" s="739"/>
      <c r="AB65" s="753"/>
      <c r="AC65" s="752">
        <f t="shared" si="21"/>
        <v>0</v>
      </c>
      <c r="AD65" s="739"/>
      <c r="AE65" s="891"/>
      <c r="AF65" s="891"/>
      <c r="AG65" s="891"/>
      <c r="AH65" s="891"/>
      <c r="AI65" s="900"/>
      <c r="AJ65" s="749"/>
      <c r="AK65" s="772"/>
      <c r="AL65" s="873"/>
      <c r="AM65" s="862">
        <f t="shared" si="16"/>
        <v>0</v>
      </c>
      <c r="AN65" s="755" t="str">
        <f t="shared" ca="1" si="17"/>
        <v/>
      </c>
      <c r="AO65" s="753"/>
      <c r="AP65" s="753"/>
      <c r="AQ65" s="753"/>
      <c r="AR65" s="753"/>
      <c r="AS65" s="753"/>
      <c r="AT65" s="739"/>
      <c r="AU65" s="739"/>
      <c r="AV65" s="739"/>
      <c r="AW65" s="739"/>
      <c r="AX65" s="739"/>
      <c r="AY65" s="882"/>
      <c r="AZ65" s="739"/>
      <c r="BA65" s="739"/>
      <c r="BB65" s="739"/>
      <c r="BC65" s="739"/>
      <c r="BD65" s="739">
        <f t="shared" si="18"/>
        <v>0</v>
      </c>
      <c r="BE65" s="739"/>
      <c r="BF65" s="882">
        <f t="shared" si="19"/>
        <v>0</v>
      </c>
    </row>
    <row r="66" spans="1:58" x14ac:dyDescent="0.25">
      <c r="A66" s="931"/>
      <c r="B66" s="773"/>
      <c r="C66" s="897"/>
      <c r="D66" s="928"/>
      <c r="E66" s="744"/>
      <c r="F66" s="744">
        <f t="shared" si="14"/>
        <v>0</v>
      </c>
      <c r="G66" s="773"/>
      <c r="H66" s="773"/>
      <c r="I66" s="746"/>
      <c r="J66" s="747"/>
      <c r="K66" s="747"/>
      <c r="L66" s="747"/>
      <c r="M66" s="927" t="str">
        <f t="shared" si="11"/>
        <v xml:space="preserve">  </v>
      </c>
      <c r="N66" s="749"/>
      <c r="O66" s="749"/>
      <c r="P66" s="749"/>
      <c r="Q66" s="749"/>
      <c r="R66" s="937"/>
      <c r="S66" s="861"/>
      <c r="T66" s="861">
        <f t="shared" si="12"/>
        <v>0</v>
      </c>
      <c r="U66" s="864">
        <f t="shared" si="20"/>
        <v>0</v>
      </c>
      <c r="V66" s="862"/>
      <c r="W66" s="861">
        <f t="shared" si="13"/>
        <v>0</v>
      </c>
      <c r="X66" s="864">
        <f t="shared" si="15"/>
        <v>0</v>
      </c>
      <c r="Y66" s="866">
        <f t="shared" si="9"/>
        <v>0</v>
      </c>
      <c r="Z66" s="751"/>
      <c r="AA66" s="739"/>
      <c r="AB66" s="753"/>
      <c r="AC66" s="752">
        <f t="shared" si="21"/>
        <v>0</v>
      </c>
      <c r="AD66" s="739"/>
      <c r="AE66" s="891"/>
      <c r="AF66" s="891"/>
      <c r="AG66" s="891"/>
      <c r="AH66" s="891"/>
      <c r="AI66" s="900"/>
      <c r="AJ66" s="749"/>
      <c r="AK66" s="772"/>
      <c r="AL66" s="873"/>
      <c r="AM66" s="862">
        <f t="shared" si="16"/>
        <v>0</v>
      </c>
      <c r="AN66" s="755" t="str">
        <f t="shared" ca="1" si="17"/>
        <v/>
      </c>
      <c r="AO66" s="753"/>
      <c r="AP66" s="753"/>
      <c r="AQ66" s="753"/>
      <c r="AR66" s="753"/>
      <c r="AS66" s="753"/>
      <c r="AT66" s="739"/>
      <c r="AU66" s="739"/>
      <c r="AV66" s="739"/>
      <c r="AW66" s="739"/>
      <c r="AX66" s="739"/>
      <c r="AY66" s="882"/>
      <c r="AZ66" s="739"/>
      <c r="BA66" s="739"/>
      <c r="BB66" s="739"/>
      <c r="BC66" s="739"/>
      <c r="BD66" s="739">
        <f t="shared" si="18"/>
        <v>0</v>
      </c>
      <c r="BE66" s="739"/>
      <c r="BF66" s="882">
        <f t="shared" si="19"/>
        <v>0</v>
      </c>
    </row>
    <row r="67" spans="1:58" x14ac:dyDescent="0.25">
      <c r="A67" s="931"/>
      <c r="B67" s="773"/>
      <c r="C67" s="897"/>
      <c r="D67" s="928"/>
      <c r="E67" s="744"/>
      <c r="F67" s="744">
        <f t="shared" si="14"/>
        <v>0</v>
      </c>
      <c r="G67" s="773"/>
      <c r="H67" s="773"/>
      <c r="I67" s="746"/>
      <c r="J67" s="747"/>
      <c r="K67" s="747"/>
      <c r="L67" s="747"/>
      <c r="M67" s="927" t="str">
        <f t="shared" si="11"/>
        <v xml:space="preserve">  </v>
      </c>
      <c r="N67" s="749"/>
      <c r="O67" s="749"/>
      <c r="P67" s="749"/>
      <c r="Q67" s="749"/>
      <c r="R67" s="937"/>
      <c r="S67" s="861"/>
      <c r="T67" s="861">
        <f t="shared" si="12"/>
        <v>0</v>
      </c>
      <c r="U67" s="864">
        <f t="shared" si="20"/>
        <v>0</v>
      </c>
      <c r="V67" s="862"/>
      <c r="W67" s="861">
        <f t="shared" si="13"/>
        <v>0</v>
      </c>
      <c r="X67" s="864">
        <f t="shared" si="15"/>
        <v>0</v>
      </c>
      <c r="Y67" s="866">
        <f t="shared" si="9"/>
        <v>0</v>
      </c>
      <c r="Z67" s="751"/>
      <c r="AA67" s="739"/>
      <c r="AB67" s="753"/>
      <c r="AC67" s="752">
        <f t="shared" si="21"/>
        <v>0</v>
      </c>
      <c r="AD67" s="739"/>
      <c r="AE67" s="891"/>
      <c r="AF67" s="891"/>
      <c r="AG67" s="891"/>
      <c r="AH67" s="891"/>
      <c r="AI67" s="900"/>
      <c r="AJ67" s="749"/>
      <c r="AK67" s="772"/>
      <c r="AL67" s="873"/>
      <c r="AM67" s="862">
        <f t="shared" si="16"/>
        <v>0</v>
      </c>
      <c r="AN67" s="755" t="str">
        <f t="shared" ca="1" si="17"/>
        <v/>
      </c>
      <c r="AO67" s="753"/>
      <c r="AP67" s="753"/>
      <c r="AQ67" s="753"/>
      <c r="AR67" s="753"/>
      <c r="AS67" s="753"/>
      <c r="AT67" s="739"/>
      <c r="AU67" s="739"/>
      <c r="AV67" s="739"/>
      <c r="AW67" s="739"/>
      <c r="AX67" s="739"/>
      <c r="AY67" s="882"/>
      <c r="AZ67" s="739"/>
      <c r="BA67" s="739"/>
      <c r="BB67" s="739"/>
      <c r="BC67" s="739"/>
      <c r="BD67" s="739">
        <f t="shared" si="18"/>
        <v>0</v>
      </c>
      <c r="BE67" s="739"/>
      <c r="BF67" s="882">
        <f t="shared" si="19"/>
        <v>0</v>
      </c>
    </row>
    <row r="68" spans="1:58" x14ac:dyDescent="0.25">
      <c r="A68" s="931"/>
      <c r="B68" s="773"/>
      <c r="C68" s="897"/>
      <c r="D68" s="928"/>
      <c r="E68" s="744"/>
      <c r="F68" s="744">
        <f t="shared" si="14"/>
        <v>0</v>
      </c>
      <c r="G68" s="773"/>
      <c r="H68" s="773"/>
      <c r="I68" s="746"/>
      <c r="J68" s="771"/>
      <c r="K68" s="771"/>
      <c r="L68" s="771"/>
      <c r="M68" s="927" t="str">
        <f t="shared" si="11"/>
        <v xml:space="preserve">  </v>
      </c>
      <c r="N68" s="749"/>
      <c r="O68" s="749"/>
      <c r="P68" s="749"/>
      <c r="Q68" s="749"/>
      <c r="R68" s="937"/>
      <c r="S68" s="861"/>
      <c r="T68" s="861">
        <f t="shared" si="12"/>
        <v>0</v>
      </c>
      <c r="U68" s="864">
        <f t="shared" si="20"/>
        <v>0</v>
      </c>
      <c r="V68" s="862"/>
      <c r="W68" s="861">
        <f t="shared" si="13"/>
        <v>0</v>
      </c>
      <c r="X68" s="864">
        <f t="shared" si="15"/>
        <v>0</v>
      </c>
      <c r="Y68" s="866">
        <f t="shared" ref="Y68:Y131" si="22">+S68+AL68</f>
        <v>0</v>
      </c>
      <c r="Z68" s="751"/>
      <c r="AA68" s="739"/>
      <c r="AB68" s="753"/>
      <c r="AC68" s="752">
        <f t="shared" si="21"/>
        <v>0</v>
      </c>
      <c r="AD68" s="739"/>
      <c r="AE68" s="891"/>
      <c r="AF68" s="891"/>
      <c r="AG68" s="891"/>
      <c r="AH68" s="891"/>
      <c r="AI68" s="900"/>
      <c r="AJ68" s="749"/>
      <c r="AK68" s="772"/>
      <c r="AL68" s="873"/>
      <c r="AM68" s="862">
        <f t="shared" si="16"/>
        <v>0</v>
      </c>
      <c r="AN68" s="755" t="str">
        <f t="shared" ca="1" si="17"/>
        <v/>
      </c>
      <c r="AO68" s="753"/>
      <c r="AP68" s="753"/>
      <c r="AQ68" s="753"/>
      <c r="AR68" s="753"/>
      <c r="AS68" s="753"/>
      <c r="AT68" s="739"/>
      <c r="AU68" s="739"/>
      <c r="AV68" s="739"/>
      <c r="AW68" s="739"/>
      <c r="AX68" s="739"/>
      <c r="AY68" s="882"/>
      <c r="AZ68" s="739"/>
      <c r="BA68" s="739"/>
      <c r="BB68" s="739"/>
      <c r="BC68" s="739"/>
      <c r="BD68" s="739">
        <f t="shared" si="18"/>
        <v>0</v>
      </c>
      <c r="BE68" s="739"/>
      <c r="BF68" s="882">
        <f t="shared" si="19"/>
        <v>0</v>
      </c>
    </row>
    <row r="69" spans="1:58" x14ac:dyDescent="0.25">
      <c r="A69" s="931"/>
      <c r="B69" s="773"/>
      <c r="C69" s="897"/>
      <c r="D69" s="928"/>
      <c r="E69" s="744"/>
      <c r="F69" s="744">
        <f t="shared" si="14"/>
        <v>0</v>
      </c>
      <c r="G69" s="773"/>
      <c r="H69" s="773"/>
      <c r="I69" s="746"/>
      <c r="J69" s="771"/>
      <c r="K69" s="771"/>
      <c r="L69" s="771"/>
      <c r="M69" s="927" t="str">
        <f t="shared" si="11"/>
        <v xml:space="preserve">  </v>
      </c>
      <c r="N69" s="749"/>
      <c r="O69" s="749"/>
      <c r="P69" s="749"/>
      <c r="Q69" s="749"/>
      <c r="R69" s="937"/>
      <c r="S69" s="861"/>
      <c r="T69" s="861">
        <f t="shared" si="12"/>
        <v>0</v>
      </c>
      <c r="U69" s="864">
        <f t="shared" si="20"/>
        <v>0</v>
      </c>
      <c r="V69" s="862"/>
      <c r="W69" s="861">
        <f t="shared" si="13"/>
        <v>0</v>
      </c>
      <c r="X69" s="864">
        <f t="shared" si="15"/>
        <v>0</v>
      </c>
      <c r="Y69" s="866">
        <f t="shared" si="22"/>
        <v>0</v>
      </c>
      <c r="Z69" s="751"/>
      <c r="AA69" s="739"/>
      <c r="AB69" s="753"/>
      <c r="AC69" s="752">
        <f t="shared" si="21"/>
        <v>0</v>
      </c>
      <c r="AD69" s="739"/>
      <c r="AE69" s="891"/>
      <c r="AF69" s="891"/>
      <c r="AG69" s="891"/>
      <c r="AH69" s="891"/>
      <c r="AI69" s="900"/>
      <c r="AJ69" s="749"/>
      <c r="AK69" s="772"/>
      <c r="AL69" s="873"/>
      <c r="AM69" s="862">
        <f t="shared" si="16"/>
        <v>0</v>
      </c>
      <c r="AN69" s="755" t="str">
        <f t="shared" ca="1" si="17"/>
        <v/>
      </c>
      <c r="AO69" s="753"/>
      <c r="AP69" s="753"/>
      <c r="AQ69" s="753"/>
      <c r="AR69" s="753"/>
      <c r="AS69" s="753"/>
      <c r="AT69" s="739"/>
      <c r="AU69" s="739"/>
      <c r="AV69" s="739"/>
      <c r="AW69" s="739"/>
      <c r="AX69" s="739"/>
      <c r="AY69" s="882"/>
      <c r="AZ69" s="739"/>
      <c r="BA69" s="739"/>
      <c r="BB69" s="739"/>
      <c r="BC69" s="739"/>
      <c r="BD69" s="739">
        <f t="shared" si="18"/>
        <v>0</v>
      </c>
      <c r="BE69" s="739"/>
      <c r="BF69" s="882">
        <f t="shared" si="19"/>
        <v>0</v>
      </c>
    </row>
    <row r="70" spans="1:58" x14ac:dyDescent="0.25">
      <c r="A70" s="931"/>
      <c r="B70" s="773"/>
      <c r="C70" s="897"/>
      <c r="D70" s="928"/>
      <c r="E70" s="744"/>
      <c r="F70" s="744">
        <f t="shared" si="14"/>
        <v>0</v>
      </c>
      <c r="G70" s="773"/>
      <c r="H70" s="773"/>
      <c r="I70" s="746"/>
      <c r="J70" s="747"/>
      <c r="K70" s="747"/>
      <c r="L70" s="747"/>
      <c r="M70" s="927" t="str">
        <f t="shared" si="11"/>
        <v xml:space="preserve">  </v>
      </c>
      <c r="N70" s="749"/>
      <c r="O70" s="749"/>
      <c r="P70" s="749"/>
      <c r="Q70" s="749"/>
      <c r="R70" s="937"/>
      <c r="S70" s="861"/>
      <c r="T70" s="861">
        <f t="shared" si="12"/>
        <v>0</v>
      </c>
      <c r="U70" s="864">
        <f t="shared" si="20"/>
        <v>0</v>
      </c>
      <c r="V70" s="862"/>
      <c r="W70" s="861">
        <f t="shared" si="13"/>
        <v>0</v>
      </c>
      <c r="X70" s="864">
        <f t="shared" si="15"/>
        <v>0</v>
      </c>
      <c r="Y70" s="866">
        <f t="shared" si="22"/>
        <v>0</v>
      </c>
      <c r="Z70" s="751"/>
      <c r="AA70" s="739"/>
      <c r="AB70" s="753"/>
      <c r="AC70" s="752">
        <f t="shared" si="21"/>
        <v>0</v>
      </c>
      <c r="AD70" s="739"/>
      <c r="AE70" s="891"/>
      <c r="AF70" s="891"/>
      <c r="AG70" s="891"/>
      <c r="AH70" s="891"/>
      <c r="AI70" s="900"/>
      <c r="AJ70" s="749"/>
      <c r="AK70" s="772"/>
      <c r="AL70" s="873"/>
      <c r="AM70" s="862">
        <f t="shared" si="16"/>
        <v>0</v>
      </c>
      <c r="AN70" s="755" t="str">
        <f t="shared" ca="1" si="17"/>
        <v/>
      </c>
      <c r="AO70" s="753"/>
      <c r="AP70" s="753"/>
      <c r="AQ70" s="753"/>
      <c r="AR70" s="753"/>
      <c r="AS70" s="753"/>
      <c r="AT70" s="739"/>
      <c r="AU70" s="739"/>
      <c r="AV70" s="739"/>
      <c r="AW70" s="739"/>
      <c r="AX70" s="739"/>
      <c r="AY70" s="882"/>
      <c r="AZ70" s="739"/>
      <c r="BA70" s="739"/>
      <c r="BB70" s="739"/>
      <c r="BC70" s="739"/>
      <c r="BD70" s="739">
        <f t="shared" si="18"/>
        <v>0</v>
      </c>
      <c r="BE70" s="739"/>
      <c r="BF70" s="882">
        <f t="shared" si="19"/>
        <v>0</v>
      </c>
    </row>
    <row r="71" spans="1:58" x14ac:dyDescent="0.25">
      <c r="A71" s="931"/>
      <c r="B71" s="773"/>
      <c r="C71" s="897"/>
      <c r="D71" s="928"/>
      <c r="E71" s="744"/>
      <c r="F71" s="744">
        <f t="shared" si="14"/>
        <v>0</v>
      </c>
      <c r="G71" s="773"/>
      <c r="H71" s="773"/>
      <c r="I71" s="746"/>
      <c r="J71" s="747"/>
      <c r="K71" s="747"/>
      <c r="L71" s="747"/>
      <c r="M71" s="927" t="str">
        <f t="shared" si="11"/>
        <v xml:space="preserve">  </v>
      </c>
      <c r="N71" s="749"/>
      <c r="O71" s="749"/>
      <c r="P71" s="749"/>
      <c r="Q71" s="749"/>
      <c r="R71" s="937"/>
      <c r="S71" s="861"/>
      <c r="T71" s="861">
        <f t="shared" si="12"/>
        <v>0</v>
      </c>
      <c r="U71" s="864">
        <f t="shared" si="20"/>
        <v>0</v>
      </c>
      <c r="V71" s="862"/>
      <c r="W71" s="861">
        <f t="shared" si="13"/>
        <v>0</v>
      </c>
      <c r="X71" s="864">
        <f t="shared" si="15"/>
        <v>0</v>
      </c>
      <c r="Y71" s="866">
        <f t="shared" si="22"/>
        <v>0</v>
      </c>
      <c r="Z71" s="751"/>
      <c r="AA71" s="739"/>
      <c r="AB71" s="753"/>
      <c r="AC71" s="752">
        <f t="shared" si="21"/>
        <v>0</v>
      </c>
      <c r="AD71" s="739"/>
      <c r="AE71" s="891"/>
      <c r="AF71" s="891"/>
      <c r="AG71" s="891"/>
      <c r="AH71" s="891"/>
      <c r="AI71" s="900"/>
      <c r="AJ71" s="749"/>
      <c r="AK71" s="772"/>
      <c r="AL71" s="873"/>
      <c r="AM71" s="862">
        <f t="shared" si="16"/>
        <v>0</v>
      </c>
      <c r="AN71" s="755" t="str">
        <f t="shared" ca="1" si="17"/>
        <v/>
      </c>
      <c r="AO71" s="753"/>
      <c r="AP71" s="753"/>
      <c r="AQ71" s="753"/>
      <c r="AR71" s="753"/>
      <c r="AS71" s="753"/>
      <c r="AT71" s="739"/>
      <c r="AU71" s="739"/>
      <c r="AV71" s="739"/>
      <c r="AW71" s="739"/>
      <c r="AX71" s="739"/>
      <c r="AY71" s="882"/>
      <c r="AZ71" s="739"/>
      <c r="BA71" s="739"/>
      <c r="BB71" s="739"/>
      <c r="BC71" s="739"/>
      <c r="BD71" s="739">
        <f t="shared" si="18"/>
        <v>0</v>
      </c>
      <c r="BE71" s="739"/>
      <c r="BF71" s="882">
        <f t="shared" si="19"/>
        <v>0</v>
      </c>
    </row>
    <row r="72" spans="1:58" x14ac:dyDescent="0.25">
      <c r="A72" s="931"/>
      <c r="B72" s="773"/>
      <c r="C72" s="897"/>
      <c r="D72" s="928"/>
      <c r="E72" s="744"/>
      <c r="F72" s="744">
        <f t="shared" si="14"/>
        <v>0</v>
      </c>
      <c r="G72" s="773"/>
      <c r="H72" s="773"/>
      <c r="I72" s="746"/>
      <c r="J72" s="747"/>
      <c r="K72" s="747"/>
      <c r="L72" s="747"/>
      <c r="M72" s="927" t="str">
        <f t="shared" si="11"/>
        <v xml:space="preserve">  </v>
      </c>
      <c r="N72" s="749"/>
      <c r="O72" s="749"/>
      <c r="P72" s="749"/>
      <c r="Q72" s="749"/>
      <c r="R72" s="937"/>
      <c r="S72" s="861"/>
      <c r="T72" s="861">
        <f t="shared" si="12"/>
        <v>0</v>
      </c>
      <c r="U72" s="864">
        <f t="shared" si="20"/>
        <v>0</v>
      </c>
      <c r="V72" s="862"/>
      <c r="W72" s="861">
        <f t="shared" si="13"/>
        <v>0</v>
      </c>
      <c r="X72" s="864">
        <f t="shared" si="15"/>
        <v>0</v>
      </c>
      <c r="Y72" s="866">
        <f t="shared" si="22"/>
        <v>0</v>
      </c>
      <c r="Z72" s="751"/>
      <c r="AA72" s="739"/>
      <c r="AB72" s="753"/>
      <c r="AC72" s="752">
        <f t="shared" si="21"/>
        <v>0</v>
      </c>
      <c r="AD72" s="739"/>
      <c r="AE72" s="891"/>
      <c r="AF72" s="891"/>
      <c r="AG72" s="891"/>
      <c r="AH72" s="891"/>
      <c r="AI72" s="900"/>
      <c r="AJ72" s="749"/>
      <c r="AK72" s="772"/>
      <c r="AL72" s="873"/>
      <c r="AM72" s="862">
        <f t="shared" si="16"/>
        <v>0</v>
      </c>
      <c r="AN72" s="755" t="str">
        <f t="shared" ca="1" si="17"/>
        <v/>
      </c>
      <c r="AO72" s="753"/>
      <c r="AP72" s="753"/>
      <c r="AQ72" s="753"/>
      <c r="AR72" s="753"/>
      <c r="AS72" s="753"/>
      <c r="AT72" s="739"/>
      <c r="AU72" s="739"/>
      <c r="AV72" s="739"/>
      <c r="AW72" s="739"/>
      <c r="AX72" s="739"/>
      <c r="AY72" s="882"/>
      <c r="AZ72" s="739"/>
      <c r="BA72" s="739"/>
      <c r="BB72" s="739"/>
      <c r="BC72" s="739"/>
      <c r="BD72" s="739">
        <f t="shared" si="18"/>
        <v>0</v>
      </c>
      <c r="BE72" s="739"/>
      <c r="BF72" s="882">
        <f t="shared" si="19"/>
        <v>0</v>
      </c>
    </row>
    <row r="73" spans="1:58" x14ac:dyDescent="0.25">
      <c r="A73" s="931"/>
      <c r="B73" s="773"/>
      <c r="C73" s="897"/>
      <c r="D73" s="928"/>
      <c r="E73" s="744"/>
      <c r="F73" s="744">
        <f t="shared" si="14"/>
        <v>0</v>
      </c>
      <c r="G73" s="773"/>
      <c r="H73" s="773"/>
      <c r="I73" s="746"/>
      <c r="J73" s="833"/>
      <c r="K73" s="833"/>
      <c r="L73" s="833"/>
      <c r="M73" s="927" t="str">
        <f t="shared" si="11"/>
        <v xml:space="preserve">  </v>
      </c>
      <c r="N73" s="749"/>
      <c r="O73" s="749"/>
      <c r="P73" s="749"/>
      <c r="Q73" s="749"/>
      <c r="R73" s="937"/>
      <c r="S73" s="861"/>
      <c r="T73" s="861">
        <f t="shared" si="12"/>
        <v>0</v>
      </c>
      <c r="U73" s="864">
        <f t="shared" si="20"/>
        <v>0</v>
      </c>
      <c r="V73" s="862"/>
      <c r="W73" s="861">
        <f t="shared" si="13"/>
        <v>0</v>
      </c>
      <c r="X73" s="864">
        <f t="shared" si="15"/>
        <v>0</v>
      </c>
      <c r="Y73" s="866">
        <f t="shared" si="22"/>
        <v>0</v>
      </c>
      <c r="Z73" s="751"/>
      <c r="AA73" s="739"/>
      <c r="AB73" s="753"/>
      <c r="AC73" s="752">
        <f t="shared" si="21"/>
        <v>0</v>
      </c>
      <c r="AD73" s="739"/>
      <c r="AE73" s="891"/>
      <c r="AF73" s="891"/>
      <c r="AG73" s="891"/>
      <c r="AH73" s="891"/>
      <c r="AI73" s="900"/>
      <c r="AJ73" s="749"/>
      <c r="AK73" s="772"/>
      <c r="AL73" s="873"/>
      <c r="AM73" s="862">
        <f t="shared" si="16"/>
        <v>0</v>
      </c>
      <c r="AN73" s="755" t="str">
        <f t="shared" ca="1" si="17"/>
        <v/>
      </c>
      <c r="AO73" s="753"/>
      <c r="AP73" s="753"/>
      <c r="AQ73" s="753"/>
      <c r="AR73" s="753"/>
      <c r="AS73" s="753"/>
      <c r="AT73" s="739"/>
      <c r="AU73" s="739"/>
      <c r="AV73" s="739"/>
      <c r="AW73" s="739"/>
      <c r="AX73" s="739"/>
      <c r="AY73" s="882"/>
      <c r="AZ73" s="739"/>
      <c r="BA73" s="739"/>
      <c r="BB73" s="739"/>
      <c r="BC73" s="739"/>
      <c r="BD73" s="739">
        <f t="shared" si="18"/>
        <v>0</v>
      </c>
      <c r="BE73" s="739"/>
      <c r="BF73" s="882">
        <f t="shared" si="19"/>
        <v>0</v>
      </c>
    </row>
    <row r="74" spans="1:58" x14ac:dyDescent="0.25">
      <c r="A74" s="931"/>
      <c r="B74" s="773"/>
      <c r="C74" s="897"/>
      <c r="D74" s="928"/>
      <c r="E74" s="744"/>
      <c r="F74" s="744">
        <f t="shared" si="14"/>
        <v>0</v>
      </c>
      <c r="G74" s="773"/>
      <c r="H74" s="773"/>
      <c r="I74" s="746"/>
      <c r="J74" s="771"/>
      <c r="K74" s="771"/>
      <c r="L74" s="771"/>
      <c r="M74" s="927" t="str">
        <f t="shared" si="11"/>
        <v xml:space="preserve">  </v>
      </c>
      <c r="N74" s="779"/>
      <c r="O74" s="779"/>
      <c r="P74" s="780"/>
      <c r="Q74" s="780"/>
      <c r="R74" s="937"/>
      <c r="S74" s="861"/>
      <c r="T74" s="861">
        <f t="shared" si="12"/>
        <v>0</v>
      </c>
      <c r="U74" s="864">
        <f t="shared" si="20"/>
        <v>0</v>
      </c>
      <c r="V74" s="862"/>
      <c r="W74" s="861">
        <f t="shared" si="13"/>
        <v>0</v>
      </c>
      <c r="X74" s="864">
        <f t="shared" si="15"/>
        <v>0</v>
      </c>
      <c r="Y74" s="866">
        <f t="shared" si="22"/>
        <v>0</v>
      </c>
      <c r="Z74" s="751"/>
      <c r="AA74" s="739"/>
      <c r="AB74" s="753"/>
      <c r="AC74" s="752">
        <f t="shared" si="21"/>
        <v>0</v>
      </c>
      <c r="AD74" s="739"/>
      <c r="AE74" s="891"/>
      <c r="AF74" s="891"/>
      <c r="AG74" s="891"/>
      <c r="AH74" s="891"/>
      <c r="AI74" s="900"/>
      <c r="AJ74" s="749"/>
      <c r="AK74" s="772"/>
      <c r="AL74" s="873"/>
      <c r="AM74" s="862">
        <f t="shared" si="16"/>
        <v>0</v>
      </c>
      <c r="AN74" s="755" t="str">
        <f t="shared" ca="1" si="17"/>
        <v/>
      </c>
      <c r="AO74" s="753"/>
      <c r="AP74" s="753"/>
      <c r="AQ74" s="753"/>
      <c r="AR74" s="753"/>
      <c r="AS74" s="753"/>
      <c r="AT74" s="739"/>
      <c r="AU74" s="739"/>
      <c r="AV74" s="739"/>
      <c r="AW74" s="739"/>
      <c r="AX74" s="739"/>
      <c r="AY74" s="882"/>
      <c r="AZ74" s="739"/>
      <c r="BA74" s="739"/>
      <c r="BB74" s="739"/>
      <c r="BC74" s="739"/>
      <c r="BD74" s="739">
        <f t="shared" si="18"/>
        <v>0</v>
      </c>
      <c r="BE74" s="739"/>
      <c r="BF74" s="882">
        <f t="shared" si="19"/>
        <v>0</v>
      </c>
    </row>
    <row r="75" spans="1:58" x14ac:dyDescent="0.25">
      <c r="A75" s="931"/>
      <c r="B75" s="773"/>
      <c r="C75" s="897"/>
      <c r="D75" s="928"/>
      <c r="E75" s="744"/>
      <c r="F75" s="744">
        <f t="shared" si="14"/>
        <v>0</v>
      </c>
      <c r="G75" s="773"/>
      <c r="H75" s="744"/>
      <c r="I75" s="746"/>
      <c r="J75" s="771"/>
      <c r="K75" s="771"/>
      <c r="L75" s="771"/>
      <c r="M75" s="927" t="str">
        <f t="shared" si="11"/>
        <v xml:space="preserve">  </v>
      </c>
      <c r="N75" s="779"/>
      <c r="O75" s="779"/>
      <c r="P75" s="780"/>
      <c r="Q75" s="780"/>
      <c r="R75" s="937"/>
      <c r="S75" s="861"/>
      <c r="T75" s="861">
        <f t="shared" si="12"/>
        <v>0</v>
      </c>
      <c r="U75" s="864">
        <f t="shared" si="20"/>
        <v>0</v>
      </c>
      <c r="V75" s="862"/>
      <c r="W75" s="861">
        <f t="shared" si="13"/>
        <v>0</v>
      </c>
      <c r="X75" s="864">
        <f t="shared" si="15"/>
        <v>0</v>
      </c>
      <c r="Y75" s="866">
        <f t="shared" si="22"/>
        <v>0</v>
      </c>
      <c r="Z75" s="751"/>
      <c r="AA75" s="739"/>
      <c r="AB75" s="753"/>
      <c r="AC75" s="752">
        <f t="shared" si="21"/>
        <v>0</v>
      </c>
      <c r="AD75" s="739"/>
      <c r="AE75" s="891"/>
      <c r="AF75" s="891"/>
      <c r="AG75" s="891"/>
      <c r="AH75" s="891"/>
      <c r="AI75" s="900"/>
      <c r="AJ75" s="749"/>
      <c r="AK75" s="772"/>
      <c r="AL75" s="873"/>
      <c r="AM75" s="862">
        <f t="shared" si="16"/>
        <v>0</v>
      </c>
      <c r="AN75" s="755" t="str">
        <f t="shared" ca="1" si="17"/>
        <v/>
      </c>
      <c r="AO75" s="753"/>
      <c r="AP75" s="753"/>
      <c r="AQ75" s="753"/>
      <c r="AR75" s="753"/>
      <c r="AS75" s="753"/>
      <c r="AT75" s="739"/>
      <c r="AU75" s="739"/>
      <c r="AV75" s="739"/>
      <c r="AW75" s="739"/>
      <c r="AX75" s="739"/>
      <c r="AY75" s="882"/>
      <c r="AZ75" s="739"/>
      <c r="BA75" s="739"/>
      <c r="BB75" s="739"/>
      <c r="BC75" s="739"/>
      <c r="BD75" s="739">
        <f t="shared" si="18"/>
        <v>0</v>
      </c>
      <c r="BE75" s="739"/>
      <c r="BF75" s="882">
        <f t="shared" si="19"/>
        <v>0</v>
      </c>
    </row>
    <row r="76" spans="1:58" x14ac:dyDescent="0.25">
      <c r="A76" s="931"/>
      <c r="B76" s="773"/>
      <c r="C76" s="897"/>
      <c r="D76" s="928"/>
      <c r="E76" s="744"/>
      <c r="F76" s="744">
        <f t="shared" si="14"/>
        <v>0</v>
      </c>
      <c r="G76" s="773"/>
      <c r="H76" s="744"/>
      <c r="I76" s="746"/>
      <c r="J76" s="771"/>
      <c r="K76" s="771"/>
      <c r="L76" s="771"/>
      <c r="M76" s="927" t="str">
        <f t="shared" si="11"/>
        <v xml:space="preserve">  </v>
      </c>
      <c r="N76" s="781"/>
      <c r="O76" s="781"/>
      <c r="P76" s="782"/>
      <c r="Q76" s="782"/>
      <c r="R76" s="941"/>
      <c r="S76" s="861"/>
      <c r="T76" s="861">
        <f t="shared" si="12"/>
        <v>0</v>
      </c>
      <c r="U76" s="864">
        <f t="shared" si="20"/>
        <v>0</v>
      </c>
      <c r="V76" s="862"/>
      <c r="W76" s="861">
        <f t="shared" si="13"/>
        <v>0</v>
      </c>
      <c r="X76" s="864">
        <f t="shared" si="15"/>
        <v>0</v>
      </c>
      <c r="Y76" s="866">
        <f t="shared" si="22"/>
        <v>0</v>
      </c>
      <c r="Z76" s="751"/>
      <c r="AA76" s="739"/>
      <c r="AB76" s="753"/>
      <c r="AC76" s="752">
        <f t="shared" si="21"/>
        <v>0</v>
      </c>
      <c r="AD76" s="739"/>
      <c r="AE76" s="891"/>
      <c r="AF76" s="891"/>
      <c r="AG76" s="891"/>
      <c r="AH76" s="891"/>
      <c r="AI76" s="900"/>
      <c r="AJ76" s="749"/>
      <c r="AK76" s="772"/>
      <c r="AL76" s="873"/>
      <c r="AM76" s="862">
        <f t="shared" si="16"/>
        <v>0</v>
      </c>
      <c r="AN76" s="755" t="str">
        <f t="shared" ca="1" si="17"/>
        <v/>
      </c>
      <c r="AO76" s="753"/>
      <c r="AP76" s="753"/>
      <c r="AQ76" s="753"/>
      <c r="AR76" s="753"/>
      <c r="AS76" s="753"/>
      <c r="AT76" s="739"/>
      <c r="AU76" s="739"/>
      <c r="AV76" s="739"/>
      <c r="AW76" s="739"/>
      <c r="AX76" s="739"/>
      <c r="AY76" s="882"/>
      <c r="AZ76" s="739"/>
      <c r="BA76" s="739"/>
      <c r="BB76" s="739"/>
      <c r="BC76" s="739"/>
      <c r="BD76" s="739">
        <f t="shared" si="18"/>
        <v>0</v>
      </c>
      <c r="BE76" s="739"/>
      <c r="BF76" s="882">
        <f t="shared" si="19"/>
        <v>0</v>
      </c>
    </row>
    <row r="77" spans="1:58" x14ac:dyDescent="0.25">
      <c r="A77" s="931"/>
      <c r="B77" s="773"/>
      <c r="C77" s="897"/>
      <c r="D77" s="928"/>
      <c r="E77" s="744"/>
      <c r="F77" s="744">
        <f t="shared" si="14"/>
        <v>0</v>
      </c>
      <c r="G77" s="773"/>
      <c r="H77" s="744"/>
      <c r="I77" s="746"/>
      <c r="J77" s="771"/>
      <c r="K77" s="771"/>
      <c r="L77" s="771"/>
      <c r="M77" s="927" t="str">
        <f t="shared" si="11"/>
        <v xml:space="preserve">  </v>
      </c>
      <c r="N77" s="781"/>
      <c r="O77" s="781"/>
      <c r="P77" s="782"/>
      <c r="Q77" s="782"/>
      <c r="R77" s="941"/>
      <c r="S77" s="861"/>
      <c r="T77" s="861">
        <f t="shared" si="12"/>
        <v>0</v>
      </c>
      <c r="U77" s="864">
        <f t="shared" si="20"/>
        <v>0</v>
      </c>
      <c r="V77" s="862"/>
      <c r="W77" s="861">
        <f t="shared" si="13"/>
        <v>0</v>
      </c>
      <c r="X77" s="864">
        <f t="shared" si="15"/>
        <v>0</v>
      </c>
      <c r="Y77" s="866">
        <f t="shared" si="22"/>
        <v>0</v>
      </c>
      <c r="Z77" s="751"/>
      <c r="AA77" s="739"/>
      <c r="AB77" s="753"/>
      <c r="AC77" s="752">
        <f t="shared" si="21"/>
        <v>0</v>
      </c>
      <c r="AD77" s="739"/>
      <c r="AE77" s="891"/>
      <c r="AF77" s="891"/>
      <c r="AG77" s="891"/>
      <c r="AH77" s="891"/>
      <c r="AI77" s="900"/>
      <c r="AJ77" s="749"/>
      <c r="AK77" s="772"/>
      <c r="AL77" s="873"/>
      <c r="AM77" s="862">
        <f t="shared" si="16"/>
        <v>0</v>
      </c>
      <c r="AN77" s="755" t="str">
        <f t="shared" ca="1" si="17"/>
        <v/>
      </c>
      <c r="AO77" s="753"/>
      <c r="AP77" s="753"/>
      <c r="AQ77" s="753"/>
      <c r="AR77" s="753"/>
      <c r="AS77" s="753"/>
      <c r="AT77" s="739"/>
      <c r="AU77" s="739"/>
      <c r="AV77" s="739"/>
      <c r="AW77" s="739"/>
      <c r="AX77" s="739"/>
      <c r="AY77" s="882"/>
      <c r="AZ77" s="739"/>
      <c r="BA77" s="739"/>
      <c r="BB77" s="739"/>
      <c r="BC77" s="739"/>
      <c r="BD77" s="739">
        <f t="shared" si="18"/>
        <v>0</v>
      </c>
      <c r="BE77" s="739"/>
      <c r="BF77" s="882">
        <f t="shared" si="19"/>
        <v>0</v>
      </c>
    </row>
    <row r="78" spans="1:58" x14ac:dyDescent="0.25">
      <c r="A78" s="931"/>
      <c r="B78" s="773"/>
      <c r="C78" s="897"/>
      <c r="D78" s="928"/>
      <c r="E78" s="744"/>
      <c r="F78" s="744">
        <f t="shared" si="14"/>
        <v>0</v>
      </c>
      <c r="G78" s="773"/>
      <c r="H78" s="744"/>
      <c r="I78" s="746"/>
      <c r="J78" s="771"/>
      <c r="K78" s="771"/>
      <c r="L78" s="771"/>
      <c r="M78" s="927" t="str">
        <f t="shared" si="11"/>
        <v xml:space="preserve">  </v>
      </c>
      <c r="N78" s="781"/>
      <c r="O78" s="781"/>
      <c r="P78" s="782"/>
      <c r="Q78" s="782"/>
      <c r="R78" s="937"/>
      <c r="S78" s="861"/>
      <c r="T78" s="861">
        <f t="shared" si="12"/>
        <v>0</v>
      </c>
      <c r="U78" s="864">
        <f t="shared" si="20"/>
        <v>0</v>
      </c>
      <c r="V78" s="862"/>
      <c r="W78" s="861">
        <f t="shared" si="13"/>
        <v>0</v>
      </c>
      <c r="X78" s="864">
        <f t="shared" si="15"/>
        <v>0</v>
      </c>
      <c r="Y78" s="866">
        <f t="shared" si="22"/>
        <v>0</v>
      </c>
      <c r="Z78" s="751"/>
      <c r="AA78" s="739"/>
      <c r="AB78" s="753"/>
      <c r="AC78" s="752">
        <f t="shared" si="21"/>
        <v>0</v>
      </c>
      <c r="AD78" s="739"/>
      <c r="AE78" s="891"/>
      <c r="AF78" s="891"/>
      <c r="AG78" s="891"/>
      <c r="AH78" s="891"/>
      <c r="AI78" s="900"/>
      <c r="AJ78" s="749"/>
      <c r="AK78" s="772"/>
      <c r="AL78" s="873"/>
      <c r="AM78" s="862">
        <f t="shared" si="16"/>
        <v>0</v>
      </c>
      <c r="AN78" s="755" t="str">
        <f t="shared" ca="1" si="17"/>
        <v/>
      </c>
      <c r="AO78" s="753"/>
      <c r="AP78" s="753"/>
      <c r="AQ78" s="753"/>
      <c r="AR78" s="753"/>
      <c r="AS78" s="753"/>
      <c r="AT78" s="739"/>
      <c r="AU78" s="739"/>
      <c r="AV78" s="739"/>
      <c r="AW78" s="739"/>
      <c r="AX78" s="739"/>
      <c r="AY78" s="882"/>
      <c r="AZ78" s="739"/>
      <c r="BA78" s="739"/>
      <c r="BB78" s="739"/>
      <c r="BC78" s="739"/>
      <c r="BD78" s="739">
        <f t="shared" si="18"/>
        <v>0</v>
      </c>
      <c r="BE78" s="739"/>
      <c r="BF78" s="882">
        <f t="shared" si="19"/>
        <v>0</v>
      </c>
    </row>
    <row r="79" spans="1:58" x14ac:dyDescent="0.25">
      <c r="A79" s="931"/>
      <c r="B79" s="773"/>
      <c r="C79" s="897"/>
      <c r="D79" s="928"/>
      <c r="E79" s="744"/>
      <c r="F79" s="744">
        <f t="shared" si="14"/>
        <v>0</v>
      </c>
      <c r="G79" s="773"/>
      <c r="H79" s="744"/>
      <c r="I79" s="746"/>
      <c r="J79" s="771"/>
      <c r="K79" s="771"/>
      <c r="L79" s="771"/>
      <c r="M79" s="927" t="str">
        <f t="shared" ref="M79:M142" si="23">I79&amp;J79&amp;" "&amp;K79&amp;" "&amp;L79</f>
        <v xml:space="preserve">  </v>
      </c>
      <c r="N79" s="781"/>
      <c r="O79" s="781"/>
      <c r="P79" s="782"/>
      <c r="Q79" s="782"/>
      <c r="R79" s="937"/>
      <c r="S79" s="861"/>
      <c r="T79" s="861">
        <f t="shared" si="12"/>
        <v>0</v>
      </c>
      <c r="U79" s="864">
        <f t="shared" si="20"/>
        <v>0</v>
      </c>
      <c r="V79" s="862"/>
      <c r="W79" s="861">
        <f t="shared" ref="W79:W142" si="24">+V79*0.16</f>
        <v>0</v>
      </c>
      <c r="X79" s="864">
        <f t="shared" si="15"/>
        <v>0</v>
      </c>
      <c r="Y79" s="866">
        <f t="shared" si="22"/>
        <v>0</v>
      </c>
      <c r="Z79" s="751"/>
      <c r="AA79" s="739"/>
      <c r="AB79" s="753"/>
      <c r="AC79" s="752">
        <f t="shared" si="21"/>
        <v>0</v>
      </c>
      <c r="AD79" s="739"/>
      <c r="AE79" s="891"/>
      <c r="AF79" s="891"/>
      <c r="AG79" s="891"/>
      <c r="AH79" s="891"/>
      <c r="AI79" s="900"/>
      <c r="AJ79" s="749"/>
      <c r="AK79" s="772"/>
      <c r="AL79" s="873"/>
      <c r="AM79" s="862">
        <f t="shared" si="16"/>
        <v>0</v>
      </c>
      <c r="AN79" s="755" t="str">
        <f t="shared" ca="1" si="17"/>
        <v/>
      </c>
      <c r="AO79" s="753"/>
      <c r="AP79" s="753"/>
      <c r="AQ79" s="753"/>
      <c r="AR79" s="753"/>
      <c r="AS79" s="753"/>
      <c r="AT79" s="739"/>
      <c r="AU79" s="739"/>
      <c r="AV79" s="739"/>
      <c r="AW79" s="739"/>
      <c r="AX79" s="739"/>
      <c r="AY79" s="882"/>
      <c r="AZ79" s="739"/>
      <c r="BA79" s="739"/>
      <c r="BB79" s="739"/>
      <c r="BC79" s="739"/>
      <c r="BD79" s="739">
        <f t="shared" si="18"/>
        <v>0</v>
      </c>
      <c r="BE79" s="739"/>
      <c r="BF79" s="882">
        <f t="shared" si="19"/>
        <v>0</v>
      </c>
    </row>
    <row r="80" spans="1:58" x14ac:dyDescent="0.25">
      <c r="A80" s="931"/>
      <c r="B80" s="773"/>
      <c r="C80" s="897"/>
      <c r="D80" s="928"/>
      <c r="E80" s="744"/>
      <c r="F80" s="744">
        <f t="shared" ref="F80:F143" si="25">D80</f>
        <v>0</v>
      </c>
      <c r="G80" s="773"/>
      <c r="H80" s="744"/>
      <c r="I80" s="746"/>
      <c r="J80" s="771"/>
      <c r="K80" s="771"/>
      <c r="L80" s="771"/>
      <c r="M80" s="927" t="str">
        <f t="shared" si="23"/>
        <v xml:space="preserve">  </v>
      </c>
      <c r="N80" s="749"/>
      <c r="O80" s="749"/>
      <c r="P80" s="758"/>
      <c r="Q80" s="758"/>
      <c r="R80" s="937"/>
      <c r="S80" s="861"/>
      <c r="T80" s="861">
        <f t="shared" ref="T80:T143" si="26">+S80*0.16</f>
        <v>0</v>
      </c>
      <c r="U80" s="864">
        <f t="shared" ref="U80:U143" si="27">+S80+T80</f>
        <v>0</v>
      </c>
      <c r="V80" s="862"/>
      <c r="W80" s="861">
        <f t="shared" si="24"/>
        <v>0</v>
      </c>
      <c r="X80" s="864">
        <f t="shared" ref="X80:X143" si="28">+V80+W80</f>
        <v>0</v>
      </c>
      <c r="Y80" s="866">
        <f t="shared" si="22"/>
        <v>0</v>
      </c>
      <c r="Z80" s="751"/>
      <c r="AA80" s="739"/>
      <c r="AB80" s="753"/>
      <c r="AC80" s="752">
        <f t="shared" ref="AC80:AC143" si="29">+AA80</f>
        <v>0</v>
      </c>
      <c r="AD80" s="739"/>
      <c r="AE80" s="891"/>
      <c r="AF80" s="891"/>
      <c r="AG80" s="891"/>
      <c r="AH80" s="891"/>
      <c r="AI80" s="900"/>
      <c r="AJ80" s="749"/>
      <c r="AK80" s="772"/>
      <c r="AL80" s="873"/>
      <c r="AM80" s="862">
        <f t="shared" ref="AM80:AM143" si="30">+S80+AL80</f>
        <v>0</v>
      </c>
      <c r="AN80" s="755" t="str">
        <f t="shared" ref="AN80:AN143" ca="1" si="31">IF(ISBLANK(AD80),"",IF(AD80&gt;=TODAY(),"VIGENTE","MUERTO"))</f>
        <v/>
      </c>
      <c r="AO80" s="753"/>
      <c r="AP80" s="753"/>
      <c r="AQ80" s="753"/>
      <c r="AR80" s="753"/>
      <c r="AS80" s="753"/>
      <c r="AT80" s="739"/>
      <c r="AU80" s="739"/>
      <c r="AV80" s="739"/>
      <c r="AW80" s="739"/>
      <c r="AX80" s="739"/>
      <c r="AY80" s="882"/>
      <c r="AZ80" s="739"/>
      <c r="BA80" s="739"/>
      <c r="BB80" s="739"/>
      <c r="BC80" s="739"/>
      <c r="BD80" s="739">
        <f t="shared" ref="BD80:BD143" si="32">+AA80</f>
        <v>0</v>
      </c>
      <c r="BE80" s="739"/>
      <c r="BF80" s="882">
        <f t="shared" ref="BF80:BF143" si="33">+AA80</f>
        <v>0</v>
      </c>
    </row>
    <row r="81" spans="1:58" x14ac:dyDescent="0.25">
      <c r="A81" s="931"/>
      <c r="B81" s="773"/>
      <c r="C81" s="897"/>
      <c r="D81" s="928"/>
      <c r="E81" s="744"/>
      <c r="F81" s="744">
        <f t="shared" si="25"/>
        <v>0</v>
      </c>
      <c r="G81" s="773"/>
      <c r="H81" s="753"/>
      <c r="I81" s="746"/>
      <c r="J81" s="771"/>
      <c r="K81" s="771"/>
      <c r="L81" s="771"/>
      <c r="M81" s="927" t="str">
        <f t="shared" si="23"/>
        <v xml:space="preserve">  </v>
      </c>
      <c r="N81" s="749"/>
      <c r="O81" s="749"/>
      <c r="P81" s="758"/>
      <c r="Q81" s="758"/>
      <c r="R81" s="937"/>
      <c r="S81" s="861"/>
      <c r="T81" s="861">
        <f t="shared" si="26"/>
        <v>0</v>
      </c>
      <c r="U81" s="864">
        <f t="shared" si="27"/>
        <v>0</v>
      </c>
      <c r="V81" s="862"/>
      <c r="W81" s="861">
        <f t="shared" si="24"/>
        <v>0</v>
      </c>
      <c r="X81" s="864">
        <f t="shared" si="28"/>
        <v>0</v>
      </c>
      <c r="Y81" s="866">
        <f t="shared" si="22"/>
        <v>0</v>
      </c>
      <c r="Z81" s="751"/>
      <c r="AA81" s="739"/>
      <c r="AB81" s="753"/>
      <c r="AC81" s="752">
        <f t="shared" si="29"/>
        <v>0</v>
      </c>
      <c r="AD81" s="739"/>
      <c r="AE81" s="891"/>
      <c r="AF81" s="891"/>
      <c r="AG81" s="891"/>
      <c r="AH81" s="891"/>
      <c r="AI81" s="900"/>
      <c r="AJ81" s="749"/>
      <c r="AK81" s="772"/>
      <c r="AL81" s="873"/>
      <c r="AM81" s="862">
        <f t="shared" si="30"/>
        <v>0</v>
      </c>
      <c r="AN81" s="755" t="str">
        <f t="shared" ca="1" si="31"/>
        <v/>
      </c>
      <c r="AO81" s="753"/>
      <c r="AP81" s="753"/>
      <c r="AQ81" s="753"/>
      <c r="AR81" s="753"/>
      <c r="AS81" s="753"/>
      <c r="AT81" s="739"/>
      <c r="AU81" s="739"/>
      <c r="AV81" s="739"/>
      <c r="AW81" s="739"/>
      <c r="AX81" s="739"/>
      <c r="AY81" s="882"/>
      <c r="AZ81" s="739"/>
      <c r="BA81" s="739"/>
      <c r="BB81" s="739"/>
      <c r="BC81" s="739"/>
      <c r="BD81" s="739">
        <f t="shared" si="32"/>
        <v>0</v>
      </c>
      <c r="BE81" s="739"/>
      <c r="BF81" s="882">
        <f t="shared" si="33"/>
        <v>0</v>
      </c>
    </row>
    <row r="82" spans="1:58" x14ac:dyDescent="0.25">
      <c r="A82" s="931"/>
      <c r="B82" s="773"/>
      <c r="C82" s="897"/>
      <c r="D82" s="928"/>
      <c r="E82" s="744"/>
      <c r="F82" s="744">
        <f t="shared" si="25"/>
        <v>0</v>
      </c>
      <c r="G82" s="773"/>
      <c r="H82" s="753"/>
      <c r="I82" s="746"/>
      <c r="J82" s="771"/>
      <c r="K82" s="771"/>
      <c r="L82" s="771"/>
      <c r="M82" s="927" t="str">
        <f t="shared" si="23"/>
        <v xml:space="preserve">  </v>
      </c>
      <c r="N82" s="749"/>
      <c r="O82" s="749"/>
      <c r="P82" s="749"/>
      <c r="Q82" s="749"/>
      <c r="R82" s="937"/>
      <c r="S82" s="861"/>
      <c r="T82" s="861">
        <f t="shared" si="26"/>
        <v>0</v>
      </c>
      <c r="U82" s="864">
        <f t="shared" si="27"/>
        <v>0</v>
      </c>
      <c r="V82" s="862"/>
      <c r="W82" s="861">
        <f t="shared" si="24"/>
        <v>0</v>
      </c>
      <c r="X82" s="864">
        <f t="shared" si="28"/>
        <v>0</v>
      </c>
      <c r="Y82" s="866">
        <f t="shared" si="22"/>
        <v>0</v>
      </c>
      <c r="Z82" s="751"/>
      <c r="AA82" s="739"/>
      <c r="AB82" s="753"/>
      <c r="AC82" s="752">
        <f t="shared" si="29"/>
        <v>0</v>
      </c>
      <c r="AD82" s="739"/>
      <c r="AE82" s="891"/>
      <c r="AF82" s="891"/>
      <c r="AG82" s="891"/>
      <c r="AH82" s="891"/>
      <c r="AI82" s="900"/>
      <c r="AJ82" s="749"/>
      <c r="AK82" s="772"/>
      <c r="AL82" s="873"/>
      <c r="AM82" s="862">
        <f t="shared" si="30"/>
        <v>0</v>
      </c>
      <c r="AN82" s="755" t="str">
        <f t="shared" ca="1" si="31"/>
        <v/>
      </c>
      <c r="AO82" s="753"/>
      <c r="AP82" s="753"/>
      <c r="AQ82" s="753"/>
      <c r="AR82" s="753"/>
      <c r="AS82" s="753"/>
      <c r="AT82" s="739"/>
      <c r="AU82" s="739"/>
      <c r="AV82" s="739"/>
      <c r="AW82" s="739"/>
      <c r="AX82" s="739"/>
      <c r="AY82" s="882"/>
      <c r="AZ82" s="739"/>
      <c r="BA82" s="739"/>
      <c r="BB82" s="739"/>
      <c r="BC82" s="739"/>
      <c r="BD82" s="739">
        <f t="shared" si="32"/>
        <v>0</v>
      </c>
      <c r="BE82" s="739"/>
      <c r="BF82" s="882">
        <f t="shared" si="33"/>
        <v>0</v>
      </c>
    </row>
    <row r="83" spans="1:58" x14ac:dyDescent="0.25">
      <c r="A83" s="931"/>
      <c r="B83" s="773"/>
      <c r="C83" s="897"/>
      <c r="D83" s="928"/>
      <c r="E83" s="744"/>
      <c r="F83" s="744">
        <f t="shared" si="25"/>
        <v>0</v>
      </c>
      <c r="G83" s="773"/>
      <c r="H83" s="753"/>
      <c r="I83" s="746"/>
      <c r="J83" s="771"/>
      <c r="K83" s="771"/>
      <c r="L83" s="771"/>
      <c r="M83" s="927" t="str">
        <f t="shared" si="23"/>
        <v xml:space="preserve">  </v>
      </c>
      <c r="N83" s="749"/>
      <c r="O83" s="749"/>
      <c r="P83" s="749"/>
      <c r="Q83" s="749"/>
      <c r="R83" s="937"/>
      <c r="S83" s="861"/>
      <c r="T83" s="861">
        <f t="shared" si="26"/>
        <v>0</v>
      </c>
      <c r="U83" s="864">
        <f t="shared" si="27"/>
        <v>0</v>
      </c>
      <c r="V83" s="862"/>
      <c r="W83" s="861">
        <f t="shared" si="24"/>
        <v>0</v>
      </c>
      <c r="X83" s="864">
        <f t="shared" si="28"/>
        <v>0</v>
      </c>
      <c r="Y83" s="866">
        <f t="shared" si="22"/>
        <v>0</v>
      </c>
      <c r="Z83" s="751"/>
      <c r="AA83" s="739"/>
      <c r="AB83" s="753"/>
      <c r="AC83" s="752">
        <f t="shared" si="29"/>
        <v>0</v>
      </c>
      <c r="AD83" s="739"/>
      <c r="AE83" s="891"/>
      <c r="AF83" s="891"/>
      <c r="AG83" s="891"/>
      <c r="AH83" s="891"/>
      <c r="AI83" s="900"/>
      <c r="AJ83" s="749"/>
      <c r="AK83" s="772"/>
      <c r="AL83" s="873"/>
      <c r="AM83" s="862">
        <f t="shared" si="30"/>
        <v>0</v>
      </c>
      <c r="AN83" s="755" t="str">
        <f t="shared" ca="1" si="31"/>
        <v/>
      </c>
      <c r="AO83" s="753"/>
      <c r="AP83" s="753"/>
      <c r="AQ83" s="753"/>
      <c r="AR83" s="753"/>
      <c r="AS83" s="753"/>
      <c r="AT83" s="739"/>
      <c r="AU83" s="739"/>
      <c r="AV83" s="739"/>
      <c r="AW83" s="739"/>
      <c r="AX83" s="739"/>
      <c r="AY83" s="882"/>
      <c r="AZ83" s="739"/>
      <c r="BA83" s="739"/>
      <c r="BB83" s="739"/>
      <c r="BC83" s="739"/>
      <c r="BD83" s="739">
        <f t="shared" si="32"/>
        <v>0</v>
      </c>
      <c r="BE83" s="739"/>
      <c r="BF83" s="882">
        <f t="shared" si="33"/>
        <v>0</v>
      </c>
    </row>
    <row r="84" spans="1:58" x14ac:dyDescent="0.25">
      <c r="A84" s="931"/>
      <c r="B84" s="773"/>
      <c r="C84" s="897"/>
      <c r="D84" s="928"/>
      <c r="E84" s="744"/>
      <c r="F84" s="744">
        <f t="shared" si="25"/>
        <v>0</v>
      </c>
      <c r="G84" s="773"/>
      <c r="H84" s="756"/>
      <c r="I84" s="746"/>
      <c r="J84" s="783"/>
      <c r="K84" s="783"/>
      <c r="L84" s="783"/>
      <c r="M84" s="927" t="str">
        <f t="shared" si="23"/>
        <v xml:space="preserve">  </v>
      </c>
      <c r="N84" s="749"/>
      <c r="O84" s="749"/>
      <c r="P84" s="758"/>
      <c r="Q84" s="758"/>
      <c r="R84" s="937"/>
      <c r="S84" s="861"/>
      <c r="T84" s="861">
        <f t="shared" si="26"/>
        <v>0</v>
      </c>
      <c r="U84" s="864">
        <f t="shared" si="27"/>
        <v>0</v>
      </c>
      <c r="V84" s="862"/>
      <c r="W84" s="861">
        <f t="shared" si="24"/>
        <v>0</v>
      </c>
      <c r="X84" s="864">
        <f t="shared" si="28"/>
        <v>0</v>
      </c>
      <c r="Y84" s="866">
        <f t="shared" si="22"/>
        <v>0</v>
      </c>
      <c r="Z84" s="751"/>
      <c r="AA84" s="739"/>
      <c r="AB84" s="753"/>
      <c r="AC84" s="752">
        <f t="shared" si="29"/>
        <v>0</v>
      </c>
      <c r="AD84" s="739"/>
      <c r="AE84" s="891"/>
      <c r="AF84" s="891"/>
      <c r="AG84" s="891"/>
      <c r="AH84" s="891"/>
      <c r="AI84" s="900"/>
      <c r="AJ84" s="749"/>
      <c r="AK84" s="772"/>
      <c r="AL84" s="873"/>
      <c r="AM84" s="862">
        <f t="shared" si="30"/>
        <v>0</v>
      </c>
      <c r="AN84" s="755" t="str">
        <f t="shared" ca="1" si="31"/>
        <v/>
      </c>
      <c r="AO84" s="753"/>
      <c r="AP84" s="753"/>
      <c r="AQ84" s="753"/>
      <c r="AR84" s="753"/>
      <c r="AS84" s="753"/>
      <c r="AT84" s="739"/>
      <c r="AU84" s="739"/>
      <c r="AV84" s="739"/>
      <c r="AW84" s="739"/>
      <c r="AX84" s="739"/>
      <c r="AY84" s="882"/>
      <c r="AZ84" s="739"/>
      <c r="BA84" s="739"/>
      <c r="BB84" s="739"/>
      <c r="BC84" s="739"/>
      <c r="BD84" s="739">
        <f t="shared" si="32"/>
        <v>0</v>
      </c>
      <c r="BE84" s="739"/>
      <c r="BF84" s="882">
        <f t="shared" si="33"/>
        <v>0</v>
      </c>
    </row>
    <row r="85" spans="1:58" x14ac:dyDescent="0.25">
      <c r="A85" s="931"/>
      <c r="B85" s="773"/>
      <c r="C85" s="897"/>
      <c r="D85" s="928"/>
      <c r="E85" s="744"/>
      <c r="F85" s="744">
        <f t="shared" si="25"/>
        <v>0</v>
      </c>
      <c r="G85" s="773"/>
      <c r="H85" s="753"/>
      <c r="I85" s="746"/>
      <c r="J85" s="771"/>
      <c r="K85" s="771"/>
      <c r="L85" s="771"/>
      <c r="M85" s="927" t="str">
        <f t="shared" si="23"/>
        <v xml:space="preserve">  </v>
      </c>
      <c r="N85" s="749"/>
      <c r="O85" s="749"/>
      <c r="P85" s="749"/>
      <c r="Q85" s="749"/>
      <c r="R85" s="937"/>
      <c r="S85" s="861"/>
      <c r="T85" s="861">
        <f t="shared" si="26"/>
        <v>0</v>
      </c>
      <c r="U85" s="864">
        <f t="shared" si="27"/>
        <v>0</v>
      </c>
      <c r="V85" s="862"/>
      <c r="W85" s="861">
        <f t="shared" si="24"/>
        <v>0</v>
      </c>
      <c r="X85" s="864">
        <f t="shared" si="28"/>
        <v>0</v>
      </c>
      <c r="Y85" s="866">
        <f t="shared" si="22"/>
        <v>0</v>
      </c>
      <c r="Z85" s="751"/>
      <c r="AA85" s="739"/>
      <c r="AB85" s="753"/>
      <c r="AC85" s="752">
        <f t="shared" si="29"/>
        <v>0</v>
      </c>
      <c r="AD85" s="739"/>
      <c r="AE85" s="891"/>
      <c r="AF85" s="891"/>
      <c r="AG85" s="891"/>
      <c r="AH85" s="891"/>
      <c r="AI85" s="900"/>
      <c r="AJ85" s="749"/>
      <c r="AK85" s="772"/>
      <c r="AL85" s="873"/>
      <c r="AM85" s="862">
        <f t="shared" si="30"/>
        <v>0</v>
      </c>
      <c r="AN85" s="755" t="str">
        <f t="shared" ca="1" si="31"/>
        <v/>
      </c>
      <c r="AO85" s="753"/>
      <c r="AP85" s="753"/>
      <c r="AQ85" s="753"/>
      <c r="AR85" s="753"/>
      <c r="AS85" s="753"/>
      <c r="AT85" s="739"/>
      <c r="AU85" s="739"/>
      <c r="AV85" s="739"/>
      <c r="AW85" s="739"/>
      <c r="AX85" s="739"/>
      <c r="AY85" s="882"/>
      <c r="AZ85" s="739"/>
      <c r="BA85" s="739"/>
      <c r="BB85" s="739"/>
      <c r="BC85" s="739"/>
      <c r="BD85" s="739">
        <f t="shared" si="32"/>
        <v>0</v>
      </c>
      <c r="BE85" s="739"/>
      <c r="BF85" s="882">
        <f t="shared" si="33"/>
        <v>0</v>
      </c>
    </row>
    <row r="86" spans="1:58" x14ac:dyDescent="0.25">
      <c r="A86" s="931"/>
      <c r="B86" s="773"/>
      <c r="C86" s="897"/>
      <c r="D86" s="928"/>
      <c r="E86" s="744"/>
      <c r="F86" s="744">
        <f t="shared" si="25"/>
        <v>0</v>
      </c>
      <c r="G86" s="773"/>
      <c r="H86" s="753"/>
      <c r="I86" s="746"/>
      <c r="J86" s="771"/>
      <c r="K86" s="771"/>
      <c r="L86" s="771"/>
      <c r="M86" s="927" t="str">
        <f t="shared" si="23"/>
        <v xml:space="preserve">  </v>
      </c>
      <c r="N86" s="749"/>
      <c r="O86" s="749"/>
      <c r="P86" s="749"/>
      <c r="Q86" s="749"/>
      <c r="R86" s="937"/>
      <c r="S86" s="861"/>
      <c r="T86" s="861">
        <f t="shared" si="26"/>
        <v>0</v>
      </c>
      <c r="U86" s="864">
        <f t="shared" si="27"/>
        <v>0</v>
      </c>
      <c r="V86" s="862"/>
      <c r="W86" s="861">
        <f t="shared" si="24"/>
        <v>0</v>
      </c>
      <c r="X86" s="864">
        <f t="shared" si="28"/>
        <v>0</v>
      </c>
      <c r="Y86" s="866">
        <f t="shared" si="22"/>
        <v>0</v>
      </c>
      <c r="Z86" s="751"/>
      <c r="AA86" s="739"/>
      <c r="AB86" s="753"/>
      <c r="AC86" s="752">
        <f t="shared" si="29"/>
        <v>0</v>
      </c>
      <c r="AD86" s="739"/>
      <c r="AE86" s="891"/>
      <c r="AF86" s="891"/>
      <c r="AG86" s="891"/>
      <c r="AH86" s="891"/>
      <c r="AI86" s="900"/>
      <c r="AJ86" s="749"/>
      <c r="AK86" s="772"/>
      <c r="AL86" s="873"/>
      <c r="AM86" s="862">
        <f t="shared" si="30"/>
        <v>0</v>
      </c>
      <c r="AN86" s="755" t="str">
        <f t="shared" ca="1" si="31"/>
        <v/>
      </c>
      <c r="AO86" s="753"/>
      <c r="AP86" s="753"/>
      <c r="AQ86" s="753"/>
      <c r="AR86" s="753"/>
      <c r="AS86" s="753"/>
      <c r="AT86" s="739"/>
      <c r="AU86" s="739"/>
      <c r="AV86" s="739"/>
      <c r="AW86" s="739"/>
      <c r="AX86" s="739"/>
      <c r="AY86" s="882"/>
      <c r="AZ86" s="739"/>
      <c r="BA86" s="739"/>
      <c r="BB86" s="739"/>
      <c r="BC86" s="739"/>
      <c r="BD86" s="739">
        <f t="shared" si="32"/>
        <v>0</v>
      </c>
      <c r="BE86" s="739"/>
      <c r="BF86" s="882">
        <f t="shared" si="33"/>
        <v>0</v>
      </c>
    </row>
    <row r="87" spans="1:58" x14ac:dyDescent="0.25">
      <c r="A87" s="931"/>
      <c r="B87" s="773"/>
      <c r="C87" s="897"/>
      <c r="D87" s="928"/>
      <c r="E87" s="744"/>
      <c r="F87" s="744">
        <f t="shared" si="25"/>
        <v>0</v>
      </c>
      <c r="G87" s="773"/>
      <c r="H87" s="753"/>
      <c r="I87" s="746"/>
      <c r="J87" s="833"/>
      <c r="K87" s="833"/>
      <c r="L87" s="833"/>
      <c r="M87" s="927" t="str">
        <f t="shared" si="23"/>
        <v xml:space="preserve">  </v>
      </c>
      <c r="N87" s="749"/>
      <c r="O87" s="749"/>
      <c r="P87" s="749"/>
      <c r="Q87" s="749"/>
      <c r="R87" s="937"/>
      <c r="S87" s="861"/>
      <c r="T87" s="861">
        <f t="shared" si="26"/>
        <v>0</v>
      </c>
      <c r="U87" s="864">
        <f t="shared" si="27"/>
        <v>0</v>
      </c>
      <c r="V87" s="862"/>
      <c r="W87" s="861">
        <f t="shared" si="24"/>
        <v>0</v>
      </c>
      <c r="X87" s="864">
        <f t="shared" si="28"/>
        <v>0</v>
      </c>
      <c r="Y87" s="866">
        <f t="shared" si="22"/>
        <v>0</v>
      </c>
      <c r="Z87" s="751"/>
      <c r="AA87" s="739"/>
      <c r="AB87" s="753"/>
      <c r="AC87" s="752">
        <f t="shared" si="29"/>
        <v>0</v>
      </c>
      <c r="AD87" s="739"/>
      <c r="AE87" s="891"/>
      <c r="AF87" s="891"/>
      <c r="AG87" s="891"/>
      <c r="AH87" s="891"/>
      <c r="AI87" s="900"/>
      <c r="AJ87" s="749"/>
      <c r="AK87" s="772"/>
      <c r="AL87" s="873"/>
      <c r="AM87" s="862">
        <f t="shared" si="30"/>
        <v>0</v>
      </c>
      <c r="AN87" s="755" t="str">
        <f t="shared" ca="1" si="31"/>
        <v/>
      </c>
      <c r="AO87" s="753"/>
      <c r="AP87" s="753"/>
      <c r="AQ87" s="753"/>
      <c r="AR87" s="753"/>
      <c r="AS87" s="753"/>
      <c r="AT87" s="739"/>
      <c r="AU87" s="739"/>
      <c r="AV87" s="739"/>
      <c r="AW87" s="739"/>
      <c r="AX87" s="739"/>
      <c r="AY87" s="882"/>
      <c r="AZ87" s="739"/>
      <c r="BA87" s="739"/>
      <c r="BB87" s="739"/>
      <c r="BC87" s="739"/>
      <c r="BD87" s="739">
        <f t="shared" si="32"/>
        <v>0</v>
      </c>
      <c r="BE87" s="739"/>
      <c r="BF87" s="882">
        <f t="shared" si="33"/>
        <v>0</v>
      </c>
    </row>
    <row r="88" spans="1:58" x14ac:dyDescent="0.25">
      <c r="A88" s="931"/>
      <c r="B88" s="773"/>
      <c r="C88" s="897"/>
      <c r="D88" s="928"/>
      <c r="E88" s="744"/>
      <c r="F88" s="744">
        <f t="shared" si="25"/>
        <v>0</v>
      </c>
      <c r="G88" s="773"/>
      <c r="H88" s="753"/>
      <c r="I88" s="746"/>
      <c r="J88" s="832"/>
      <c r="K88" s="832"/>
      <c r="L88" s="832"/>
      <c r="M88" s="927" t="str">
        <f t="shared" si="23"/>
        <v xml:space="preserve">  </v>
      </c>
      <c r="N88" s="783"/>
      <c r="O88" s="783"/>
      <c r="P88" s="749"/>
      <c r="Q88" s="749"/>
      <c r="R88" s="937"/>
      <c r="S88" s="861"/>
      <c r="T88" s="861">
        <f t="shared" si="26"/>
        <v>0</v>
      </c>
      <c r="U88" s="864">
        <f t="shared" si="27"/>
        <v>0</v>
      </c>
      <c r="V88" s="862"/>
      <c r="W88" s="861">
        <f t="shared" si="24"/>
        <v>0</v>
      </c>
      <c r="X88" s="864">
        <f t="shared" si="28"/>
        <v>0</v>
      </c>
      <c r="Y88" s="866">
        <f t="shared" si="22"/>
        <v>0</v>
      </c>
      <c r="Z88" s="751"/>
      <c r="AA88" s="739"/>
      <c r="AB88" s="753"/>
      <c r="AC88" s="752">
        <f t="shared" si="29"/>
        <v>0</v>
      </c>
      <c r="AD88" s="739"/>
      <c r="AE88" s="891"/>
      <c r="AF88" s="891"/>
      <c r="AG88" s="891"/>
      <c r="AH88" s="891"/>
      <c r="AI88" s="900"/>
      <c r="AJ88" s="749"/>
      <c r="AK88" s="772"/>
      <c r="AL88" s="873"/>
      <c r="AM88" s="862">
        <f t="shared" si="30"/>
        <v>0</v>
      </c>
      <c r="AN88" s="755" t="str">
        <f t="shared" ca="1" si="31"/>
        <v/>
      </c>
      <c r="AO88" s="753"/>
      <c r="AP88" s="753"/>
      <c r="AQ88" s="753"/>
      <c r="AR88" s="753"/>
      <c r="AS88" s="753"/>
      <c r="AT88" s="739"/>
      <c r="AU88" s="739"/>
      <c r="AV88" s="739"/>
      <c r="AW88" s="739"/>
      <c r="AX88" s="739"/>
      <c r="AY88" s="882"/>
      <c r="AZ88" s="739"/>
      <c r="BA88" s="739"/>
      <c r="BB88" s="739"/>
      <c r="BC88" s="739"/>
      <c r="BD88" s="739">
        <f t="shared" si="32"/>
        <v>0</v>
      </c>
      <c r="BE88" s="739"/>
      <c r="BF88" s="882">
        <f t="shared" si="33"/>
        <v>0</v>
      </c>
    </row>
    <row r="89" spans="1:58" x14ac:dyDescent="0.25">
      <c r="A89" s="931"/>
      <c r="B89" s="773"/>
      <c r="C89" s="897"/>
      <c r="D89" s="928"/>
      <c r="E89" s="744"/>
      <c r="F89" s="744">
        <f t="shared" si="25"/>
        <v>0</v>
      </c>
      <c r="G89" s="773"/>
      <c r="H89" s="753"/>
      <c r="I89" s="746"/>
      <c r="J89" s="832"/>
      <c r="K89" s="832"/>
      <c r="L89" s="832"/>
      <c r="M89" s="927" t="str">
        <f t="shared" si="23"/>
        <v xml:space="preserve">  </v>
      </c>
      <c r="N89" s="783"/>
      <c r="O89" s="783"/>
      <c r="P89" s="749"/>
      <c r="Q89" s="749"/>
      <c r="R89" s="937"/>
      <c r="S89" s="861"/>
      <c r="T89" s="861">
        <f t="shared" si="26"/>
        <v>0</v>
      </c>
      <c r="U89" s="864">
        <f t="shared" si="27"/>
        <v>0</v>
      </c>
      <c r="V89" s="862"/>
      <c r="W89" s="861">
        <f t="shared" si="24"/>
        <v>0</v>
      </c>
      <c r="X89" s="864">
        <f t="shared" si="28"/>
        <v>0</v>
      </c>
      <c r="Y89" s="866">
        <f t="shared" si="22"/>
        <v>0</v>
      </c>
      <c r="Z89" s="751"/>
      <c r="AA89" s="739"/>
      <c r="AB89" s="753"/>
      <c r="AC89" s="752">
        <f t="shared" si="29"/>
        <v>0</v>
      </c>
      <c r="AD89" s="739"/>
      <c r="AE89" s="891"/>
      <c r="AF89" s="891"/>
      <c r="AG89" s="891"/>
      <c r="AH89" s="891"/>
      <c r="AI89" s="900"/>
      <c r="AJ89" s="749"/>
      <c r="AK89" s="772"/>
      <c r="AL89" s="873"/>
      <c r="AM89" s="862">
        <f t="shared" si="30"/>
        <v>0</v>
      </c>
      <c r="AN89" s="755" t="str">
        <f t="shared" ca="1" si="31"/>
        <v/>
      </c>
      <c r="AO89" s="753"/>
      <c r="AP89" s="753"/>
      <c r="AQ89" s="753"/>
      <c r="AR89" s="753"/>
      <c r="AS89" s="753"/>
      <c r="AT89" s="739"/>
      <c r="AU89" s="739"/>
      <c r="AV89" s="739"/>
      <c r="AW89" s="739"/>
      <c r="AX89" s="739"/>
      <c r="AY89" s="882"/>
      <c r="AZ89" s="739"/>
      <c r="BA89" s="739"/>
      <c r="BB89" s="739"/>
      <c r="BC89" s="739"/>
      <c r="BD89" s="739">
        <f t="shared" si="32"/>
        <v>0</v>
      </c>
      <c r="BE89" s="739"/>
      <c r="BF89" s="882">
        <f t="shared" si="33"/>
        <v>0</v>
      </c>
    </row>
    <row r="90" spans="1:58" x14ac:dyDescent="0.25">
      <c r="A90" s="931"/>
      <c r="B90" s="773"/>
      <c r="C90" s="897"/>
      <c r="D90" s="928"/>
      <c r="E90" s="744"/>
      <c r="F90" s="744">
        <f t="shared" si="25"/>
        <v>0</v>
      </c>
      <c r="G90" s="773"/>
      <c r="H90" s="756"/>
      <c r="I90" s="784"/>
      <c r="J90" s="832"/>
      <c r="K90" s="832"/>
      <c r="L90" s="832"/>
      <c r="M90" s="927" t="str">
        <f t="shared" si="23"/>
        <v xml:space="preserve">  </v>
      </c>
      <c r="N90" s="783"/>
      <c r="O90" s="783"/>
      <c r="P90" s="749"/>
      <c r="Q90" s="749"/>
      <c r="R90" s="937"/>
      <c r="S90" s="861"/>
      <c r="T90" s="861">
        <f t="shared" si="26"/>
        <v>0</v>
      </c>
      <c r="U90" s="864">
        <f t="shared" si="27"/>
        <v>0</v>
      </c>
      <c r="V90" s="862"/>
      <c r="W90" s="861">
        <f t="shared" si="24"/>
        <v>0</v>
      </c>
      <c r="X90" s="864">
        <f t="shared" si="28"/>
        <v>0</v>
      </c>
      <c r="Y90" s="866">
        <f t="shared" si="22"/>
        <v>0</v>
      </c>
      <c r="Z90" s="751"/>
      <c r="AA90" s="739"/>
      <c r="AB90" s="753"/>
      <c r="AC90" s="752">
        <f t="shared" si="29"/>
        <v>0</v>
      </c>
      <c r="AD90" s="739"/>
      <c r="AE90" s="891"/>
      <c r="AF90" s="891"/>
      <c r="AG90" s="891"/>
      <c r="AH90" s="891"/>
      <c r="AI90" s="900"/>
      <c r="AJ90" s="749"/>
      <c r="AK90" s="772"/>
      <c r="AL90" s="873"/>
      <c r="AM90" s="862">
        <f t="shared" si="30"/>
        <v>0</v>
      </c>
      <c r="AN90" s="755" t="str">
        <f t="shared" ca="1" si="31"/>
        <v/>
      </c>
      <c r="AO90" s="753"/>
      <c r="AP90" s="753"/>
      <c r="AQ90" s="753"/>
      <c r="AR90" s="753"/>
      <c r="AS90" s="753"/>
      <c r="AT90" s="739"/>
      <c r="AU90" s="739"/>
      <c r="AV90" s="739"/>
      <c r="AW90" s="739"/>
      <c r="AX90" s="739"/>
      <c r="AY90" s="882"/>
      <c r="AZ90" s="739"/>
      <c r="BA90" s="739"/>
      <c r="BB90" s="739"/>
      <c r="BC90" s="739"/>
      <c r="BD90" s="739">
        <f t="shared" si="32"/>
        <v>0</v>
      </c>
      <c r="BE90" s="739"/>
      <c r="BF90" s="882">
        <f t="shared" si="33"/>
        <v>0</v>
      </c>
    </row>
    <row r="91" spans="1:58" x14ac:dyDescent="0.25">
      <c r="A91" s="931"/>
      <c r="B91" s="773"/>
      <c r="C91" s="897"/>
      <c r="D91" s="928"/>
      <c r="E91" s="744"/>
      <c r="F91" s="744">
        <f t="shared" si="25"/>
        <v>0</v>
      </c>
      <c r="G91" s="773"/>
      <c r="H91" s="756"/>
      <c r="I91" s="762"/>
      <c r="J91" s="834"/>
      <c r="K91" s="835"/>
      <c r="L91" s="747"/>
      <c r="M91" s="927" t="str">
        <f t="shared" si="23"/>
        <v xml:space="preserve">  </v>
      </c>
      <c r="N91" s="783"/>
      <c r="O91" s="783"/>
      <c r="P91" s="749"/>
      <c r="Q91" s="749"/>
      <c r="R91" s="937"/>
      <c r="S91" s="861"/>
      <c r="T91" s="861">
        <f t="shared" si="26"/>
        <v>0</v>
      </c>
      <c r="U91" s="864">
        <f t="shared" si="27"/>
        <v>0</v>
      </c>
      <c r="V91" s="862"/>
      <c r="W91" s="861">
        <f t="shared" si="24"/>
        <v>0</v>
      </c>
      <c r="X91" s="864">
        <f t="shared" si="28"/>
        <v>0</v>
      </c>
      <c r="Y91" s="866">
        <f t="shared" si="22"/>
        <v>0</v>
      </c>
      <c r="Z91" s="751"/>
      <c r="AA91" s="739"/>
      <c r="AB91" s="753"/>
      <c r="AC91" s="752">
        <f t="shared" si="29"/>
        <v>0</v>
      </c>
      <c r="AD91" s="739"/>
      <c r="AE91" s="891"/>
      <c r="AF91" s="891"/>
      <c r="AG91" s="891"/>
      <c r="AH91" s="891"/>
      <c r="AI91" s="900"/>
      <c r="AJ91" s="749"/>
      <c r="AK91" s="772"/>
      <c r="AL91" s="873"/>
      <c r="AM91" s="862">
        <f t="shared" si="30"/>
        <v>0</v>
      </c>
      <c r="AN91" s="755" t="str">
        <f t="shared" ca="1" si="31"/>
        <v/>
      </c>
      <c r="AO91" s="753"/>
      <c r="AP91" s="753"/>
      <c r="AQ91" s="753"/>
      <c r="AR91" s="753"/>
      <c r="AS91" s="753"/>
      <c r="AT91" s="739"/>
      <c r="AU91" s="739"/>
      <c r="AV91" s="739"/>
      <c r="AW91" s="739"/>
      <c r="AX91" s="739"/>
      <c r="AY91" s="882"/>
      <c r="AZ91" s="739"/>
      <c r="BA91" s="739"/>
      <c r="BB91" s="739"/>
      <c r="BC91" s="739"/>
      <c r="BD91" s="739">
        <f t="shared" si="32"/>
        <v>0</v>
      </c>
      <c r="BE91" s="739"/>
      <c r="BF91" s="882">
        <f t="shared" si="33"/>
        <v>0</v>
      </c>
    </row>
    <row r="92" spans="1:58" x14ac:dyDescent="0.25">
      <c r="A92" s="931"/>
      <c r="B92" s="773"/>
      <c r="C92" s="897"/>
      <c r="D92" s="928"/>
      <c r="E92" s="744"/>
      <c r="F92" s="744">
        <f t="shared" si="25"/>
        <v>0</v>
      </c>
      <c r="G92" s="773"/>
      <c r="H92" s="753"/>
      <c r="I92" s="784"/>
      <c r="J92" s="747"/>
      <c r="K92" s="747"/>
      <c r="L92" s="747"/>
      <c r="M92" s="927" t="str">
        <f t="shared" si="23"/>
        <v xml:space="preserve">  </v>
      </c>
      <c r="N92" s="749"/>
      <c r="O92" s="749"/>
      <c r="P92" s="749"/>
      <c r="Q92" s="749"/>
      <c r="R92" s="937"/>
      <c r="S92" s="861"/>
      <c r="T92" s="861">
        <f t="shared" si="26"/>
        <v>0</v>
      </c>
      <c r="U92" s="864">
        <f t="shared" si="27"/>
        <v>0</v>
      </c>
      <c r="V92" s="862"/>
      <c r="W92" s="861">
        <f t="shared" si="24"/>
        <v>0</v>
      </c>
      <c r="X92" s="864">
        <f t="shared" si="28"/>
        <v>0</v>
      </c>
      <c r="Y92" s="866">
        <f t="shared" si="22"/>
        <v>0</v>
      </c>
      <c r="Z92" s="751"/>
      <c r="AA92" s="739"/>
      <c r="AB92" s="753"/>
      <c r="AC92" s="752">
        <f t="shared" si="29"/>
        <v>0</v>
      </c>
      <c r="AD92" s="739"/>
      <c r="AE92" s="891"/>
      <c r="AF92" s="891"/>
      <c r="AG92" s="891"/>
      <c r="AH92" s="891"/>
      <c r="AI92" s="900"/>
      <c r="AJ92" s="749"/>
      <c r="AK92" s="772"/>
      <c r="AL92" s="873"/>
      <c r="AM92" s="862">
        <f t="shared" si="30"/>
        <v>0</v>
      </c>
      <c r="AN92" s="755" t="str">
        <f t="shared" ca="1" si="31"/>
        <v/>
      </c>
      <c r="AO92" s="753"/>
      <c r="AP92" s="753"/>
      <c r="AQ92" s="753"/>
      <c r="AR92" s="753"/>
      <c r="AS92" s="753"/>
      <c r="AT92" s="739"/>
      <c r="AU92" s="739"/>
      <c r="AV92" s="739"/>
      <c r="AW92" s="739"/>
      <c r="AX92" s="739"/>
      <c r="AY92" s="882"/>
      <c r="AZ92" s="739"/>
      <c r="BA92" s="739"/>
      <c r="BB92" s="739"/>
      <c r="BC92" s="739"/>
      <c r="BD92" s="739">
        <f t="shared" si="32"/>
        <v>0</v>
      </c>
      <c r="BE92" s="739"/>
      <c r="BF92" s="882">
        <f t="shared" si="33"/>
        <v>0</v>
      </c>
    </row>
    <row r="93" spans="1:58" x14ac:dyDescent="0.25">
      <c r="A93" s="931"/>
      <c r="B93" s="773"/>
      <c r="C93" s="897"/>
      <c r="D93" s="928"/>
      <c r="E93" s="744"/>
      <c r="F93" s="744">
        <f t="shared" si="25"/>
        <v>0</v>
      </c>
      <c r="G93" s="773"/>
      <c r="H93" s="756"/>
      <c r="I93" s="746"/>
      <c r="J93" s="747"/>
      <c r="K93" s="747"/>
      <c r="L93" s="747"/>
      <c r="M93" s="927" t="str">
        <f t="shared" si="23"/>
        <v xml:space="preserve">  </v>
      </c>
      <c r="N93" s="749"/>
      <c r="O93" s="749"/>
      <c r="P93" s="749"/>
      <c r="Q93" s="749"/>
      <c r="R93" s="937"/>
      <c r="S93" s="861"/>
      <c r="T93" s="861">
        <f t="shared" si="26"/>
        <v>0</v>
      </c>
      <c r="U93" s="864">
        <f t="shared" si="27"/>
        <v>0</v>
      </c>
      <c r="V93" s="862"/>
      <c r="W93" s="861">
        <f t="shared" si="24"/>
        <v>0</v>
      </c>
      <c r="X93" s="864">
        <f t="shared" si="28"/>
        <v>0</v>
      </c>
      <c r="Y93" s="866">
        <f t="shared" si="22"/>
        <v>0</v>
      </c>
      <c r="Z93" s="751"/>
      <c r="AA93" s="739"/>
      <c r="AB93" s="753"/>
      <c r="AC93" s="752">
        <f t="shared" si="29"/>
        <v>0</v>
      </c>
      <c r="AD93" s="739"/>
      <c r="AE93" s="891"/>
      <c r="AF93" s="891"/>
      <c r="AG93" s="891"/>
      <c r="AH93" s="891"/>
      <c r="AI93" s="900"/>
      <c r="AJ93" s="749"/>
      <c r="AK93" s="772"/>
      <c r="AL93" s="873"/>
      <c r="AM93" s="862">
        <f t="shared" si="30"/>
        <v>0</v>
      </c>
      <c r="AN93" s="755" t="str">
        <f t="shared" ca="1" si="31"/>
        <v/>
      </c>
      <c r="AO93" s="753"/>
      <c r="AP93" s="753"/>
      <c r="AQ93" s="753"/>
      <c r="AR93" s="753"/>
      <c r="AS93" s="753"/>
      <c r="AT93" s="739"/>
      <c r="AU93" s="739"/>
      <c r="AV93" s="739"/>
      <c r="AW93" s="739"/>
      <c r="AX93" s="739"/>
      <c r="AY93" s="882"/>
      <c r="AZ93" s="739"/>
      <c r="BA93" s="739"/>
      <c r="BB93" s="739"/>
      <c r="BC93" s="739"/>
      <c r="BD93" s="739">
        <f t="shared" si="32"/>
        <v>0</v>
      </c>
      <c r="BE93" s="739"/>
      <c r="BF93" s="882">
        <f t="shared" si="33"/>
        <v>0</v>
      </c>
    </row>
    <row r="94" spans="1:58" x14ac:dyDescent="0.25">
      <c r="A94" s="931"/>
      <c r="B94" s="773"/>
      <c r="C94" s="897"/>
      <c r="D94" s="928"/>
      <c r="E94" s="744"/>
      <c r="F94" s="744">
        <f t="shared" si="25"/>
        <v>0</v>
      </c>
      <c r="G94" s="773"/>
      <c r="H94" s="756"/>
      <c r="I94" s="746"/>
      <c r="J94" s="747"/>
      <c r="K94" s="747"/>
      <c r="L94" s="747"/>
      <c r="M94" s="927" t="str">
        <f t="shared" si="23"/>
        <v xml:space="preserve">  </v>
      </c>
      <c r="N94" s="749"/>
      <c r="O94" s="749"/>
      <c r="P94" s="749"/>
      <c r="Q94" s="749"/>
      <c r="R94" s="937"/>
      <c r="S94" s="861"/>
      <c r="T94" s="861">
        <f t="shared" si="26"/>
        <v>0</v>
      </c>
      <c r="U94" s="864">
        <f t="shared" si="27"/>
        <v>0</v>
      </c>
      <c r="V94" s="862"/>
      <c r="W94" s="861">
        <f t="shared" si="24"/>
        <v>0</v>
      </c>
      <c r="X94" s="864">
        <f t="shared" si="28"/>
        <v>0</v>
      </c>
      <c r="Y94" s="866">
        <f t="shared" si="22"/>
        <v>0</v>
      </c>
      <c r="Z94" s="751"/>
      <c r="AA94" s="739"/>
      <c r="AB94" s="753"/>
      <c r="AC94" s="752">
        <f t="shared" si="29"/>
        <v>0</v>
      </c>
      <c r="AD94" s="739"/>
      <c r="AE94" s="891"/>
      <c r="AF94" s="891"/>
      <c r="AG94" s="891"/>
      <c r="AH94" s="891"/>
      <c r="AI94" s="900"/>
      <c r="AJ94" s="749"/>
      <c r="AK94" s="772"/>
      <c r="AL94" s="877"/>
      <c r="AM94" s="862">
        <f t="shared" si="30"/>
        <v>0</v>
      </c>
      <c r="AN94" s="755" t="str">
        <f t="shared" ca="1" si="31"/>
        <v/>
      </c>
      <c r="AO94" s="753"/>
      <c r="AP94" s="753"/>
      <c r="AQ94" s="753"/>
      <c r="AR94" s="753"/>
      <c r="AS94" s="753"/>
      <c r="AT94" s="739"/>
      <c r="AU94" s="739"/>
      <c r="AV94" s="739"/>
      <c r="AW94" s="739"/>
      <c r="AX94" s="739"/>
      <c r="AY94" s="882"/>
      <c r="AZ94" s="739"/>
      <c r="BA94" s="739"/>
      <c r="BB94" s="739"/>
      <c r="BC94" s="739"/>
      <c r="BD94" s="739">
        <f t="shared" si="32"/>
        <v>0</v>
      </c>
      <c r="BE94" s="739"/>
      <c r="BF94" s="882">
        <f t="shared" si="33"/>
        <v>0</v>
      </c>
    </row>
    <row r="95" spans="1:58" x14ac:dyDescent="0.25">
      <c r="A95" s="931"/>
      <c r="B95" s="773"/>
      <c r="C95" s="897"/>
      <c r="D95" s="928"/>
      <c r="E95" s="744"/>
      <c r="F95" s="744">
        <f t="shared" si="25"/>
        <v>0</v>
      </c>
      <c r="G95" s="773"/>
      <c r="H95" s="753"/>
      <c r="I95" s="746"/>
      <c r="J95" s="747"/>
      <c r="K95" s="747"/>
      <c r="L95" s="747"/>
      <c r="M95" s="927" t="str">
        <f t="shared" si="23"/>
        <v xml:space="preserve">  </v>
      </c>
      <c r="N95" s="749"/>
      <c r="O95" s="749"/>
      <c r="P95" s="749"/>
      <c r="Q95" s="749"/>
      <c r="R95" s="937"/>
      <c r="S95" s="861"/>
      <c r="T95" s="861">
        <f t="shared" si="26"/>
        <v>0</v>
      </c>
      <c r="U95" s="864">
        <f t="shared" si="27"/>
        <v>0</v>
      </c>
      <c r="V95" s="862"/>
      <c r="W95" s="861">
        <f t="shared" si="24"/>
        <v>0</v>
      </c>
      <c r="X95" s="864">
        <f t="shared" si="28"/>
        <v>0</v>
      </c>
      <c r="Y95" s="866">
        <f t="shared" si="22"/>
        <v>0</v>
      </c>
      <c r="Z95" s="751"/>
      <c r="AA95" s="739"/>
      <c r="AB95" s="753"/>
      <c r="AC95" s="752">
        <f t="shared" si="29"/>
        <v>0</v>
      </c>
      <c r="AD95" s="739"/>
      <c r="AE95" s="891"/>
      <c r="AF95" s="891"/>
      <c r="AG95" s="891"/>
      <c r="AH95" s="891"/>
      <c r="AI95" s="900"/>
      <c r="AJ95" s="749"/>
      <c r="AK95" s="772"/>
      <c r="AL95" s="873"/>
      <c r="AM95" s="862">
        <f t="shared" si="30"/>
        <v>0</v>
      </c>
      <c r="AN95" s="755" t="str">
        <f t="shared" ca="1" si="31"/>
        <v/>
      </c>
      <c r="AO95" s="753"/>
      <c r="AP95" s="753"/>
      <c r="AQ95" s="753"/>
      <c r="AR95" s="753"/>
      <c r="AS95" s="753"/>
      <c r="AT95" s="739"/>
      <c r="AU95" s="739"/>
      <c r="AV95" s="739"/>
      <c r="AW95" s="739"/>
      <c r="AX95" s="739"/>
      <c r="AY95" s="882"/>
      <c r="AZ95" s="739"/>
      <c r="BA95" s="739"/>
      <c r="BB95" s="739"/>
      <c r="BC95" s="739"/>
      <c r="BD95" s="739">
        <f t="shared" si="32"/>
        <v>0</v>
      </c>
      <c r="BE95" s="739"/>
      <c r="BF95" s="882">
        <f t="shared" si="33"/>
        <v>0</v>
      </c>
    </row>
    <row r="96" spans="1:58" x14ac:dyDescent="0.25">
      <c r="A96" s="931"/>
      <c r="B96" s="773"/>
      <c r="C96" s="897"/>
      <c r="D96" s="928"/>
      <c r="E96" s="744"/>
      <c r="F96" s="744">
        <f t="shared" si="25"/>
        <v>0</v>
      </c>
      <c r="G96" s="773"/>
      <c r="H96" s="753"/>
      <c r="I96" s="746"/>
      <c r="J96" s="747"/>
      <c r="K96" s="747"/>
      <c r="L96" s="747"/>
      <c r="M96" s="927" t="str">
        <f t="shared" si="23"/>
        <v xml:space="preserve">  </v>
      </c>
      <c r="N96" s="749"/>
      <c r="O96" s="749"/>
      <c r="P96" s="749"/>
      <c r="Q96" s="749"/>
      <c r="R96" s="937"/>
      <c r="S96" s="861"/>
      <c r="T96" s="861">
        <f t="shared" si="26"/>
        <v>0</v>
      </c>
      <c r="U96" s="864">
        <f t="shared" si="27"/>
        <v>0</v>
      </c>
      <c r="V96" s="862"/>
      <c r="W96" s="861">
        <f t="shared" si="24"/>
        <v>0</v>
      </c>
      <c r="X96" s="864">
        <f t="shared" si="28"/>
        <v>0</v>
      </c>
      <c r="Y96" s="866">
        <f t="shared" si="22"/>
        <v>0</v>
      </c>
      <c r="Z96" s="751"/>
      <c r="AA96" s="739"/>
      <c r="AB96" s="753"/>
      <c r="AC96" s="752">
        <f t="shared" si="29"/>
        <v>0</v>
      </c>
      <c r="AD96" s="739"/>
      <c r="AE96" s="891"/>
      <c r="AF96" s="891"/>
      <c r="AG96" s="891"/>
      <c r="AH96" s="891"/>
      <c r="AI96" s="900"/>
      <c r="AJ96" s="749"/>
      <c r="AK96" s="772"/>
      <c r="AL96" s="873"/>
      <c r="AM96" s="862">
        <f t="shared" si="30"/>
        <v>0</v>
      </c>
      <c r="AN96" s="755" t="str">
        <f t="shared" ca="1" si="31"/>
        <v/>
      </c>
      <c r="AO96" s="753"/>
      <c r="AP96" s="753"/>
      <c r="AQ96" s="756"/>
      <c r="AR96" s="756"/>
      <c r="AS96" s="753"/>
      <c r="AT96" s="739"/>
      <c r="AU96" s="739"/>
      <c r="AV96" s="739"/>
      <c r="AW96" s="739"/>
      <c r="AX96" s="739"/>
      <c r="AY96" s="882"/>
      <c r="AZ96" s="739"/>
      <c r="BA96" s="739"/>
      <c r="BB96" s="739"/>
      <c r="BC96" s="739"/>
      <c r="BD96" s="739">
        <f t="shared" si="32"/>
        <v>0</v>
      </c>
      <c r="BE96" s="739"/>
      <c r="BF96" s="882">
        <f t="shared" si="33"/>
        <v>0</v>
      </c>
    </row>
    <row r="97" spans="1:58" x14ac:dyDescent="0.25">
      <c r="A97" s="931"/>
      <c r="B97" s="773"/>
      <c r="C97" s="897"/>
      <c r="D97" s="928"/>
      <c r="E97" s="744"/>
      <c r="F97" s="744">
        <f t="shared" si="25"/>
        <v>0</v>
      </c>
      <c r="G97" s="773"/>
      <c r="H97" s="753"/>
      <c r="I97" s="746"/>
      <c r="J97" s="747"/>
      <c r="K97" s="747"/>
      <c r="L97" s="747"/>
      <c r="M97" s="927" t="str">
        <f t="shared" si="23"/>
        <v xml:space="preserve">  </v>
      </c>
      <c r="N97" s="749"/>
      <c r="O97" s="749"/>
      <c r="P97" s="749"/>
      <c r="Q97" s="749"/>
      <c r="R97" s="937"/>
      <c r="S97" s="861"/>
      <c r="T97" s="861">
        <f t="shared" si="26"/>
        <v>0</v>
      </c>
      <c r="U97" s="864">
        <f t="shared" si="27"/>
        <v>0</v>
      </c>
      <c r="V97" s="862"/>
      <c r="W97" s="861">
        <f t="shared" si="24"/>
        <v>0</v>
      </c>
      <c r="X97" s="864">
        <f t="shared" si="28"/>
        <v>0</v>
      </c>
      <c r="Y97" s="866">
        <f t="shared" si="22"/>
        <v>0</v>
      </c>
      <c r="Z97" s="751"/>
      <c r="AA97" s="739"/>
      <c r="AB97" s="753"/>
      <c r="AC97" s="752">
        <f t="shared" si="29"/>
        <v>0</v>
      </c>
      <c r="AD97" s="739"/>
      <c r="AE97" s="891"/>
      <c r="AF97" s="891"/>
      <c r="AG97" s="891"/>
      <c r="AH97" s="891"/>
      <c r="AI97" s="900"/>
      <c r="AJ97" s="749"/>
      <c r="AK97" s="772"/>
      <c r="AL97" s="873"/>
      <c r="AM97" s="862">
        <f t="shared" si="30"/>
        <v>0</v>
      </c>
      <c r="AN97" s="755" t="str">
        <f t="shared" ca="1" si="31"/>
        <v/>
      </c>
      <c r="AO97" s="753"/>
      <c r="AP97" s="753"/>
      <c r="AQ97" s="753"/>
      <c r="AR97" s="753"/>
      <c r="AS97" s="753"/>
      <c r="AT97" s="739"/>
      <c r="AU97" s="739"/>
      <c r="AV97" s="739"/>
      <c r="AW97" s="739"/>
      <c r="AX97" s="739"/>
      <c r="AY97" s="882"/>
      <c r="AZ97" s="739"/>
      <c r="BA97" s="739"/>
      <c r="BB97" s="739"/>
      <c r="BC97" s="739"/>
      <c r="BD97" s="739">
        <f t="shared" si="32"/>
        <v>0</v>
      </c>
      <c r="BE97" s="739"/>
      <c r="BF97" s="882">
        <f t="shared" si="33"/>
        <v>0</v>
      </c>
    </row>
    <row r="98" spans="1:58" x14ac:dyDescent="0.25">
      <c r="A98" s="931"/>
      <c r="B98" s="773"/>
      <c r="C98" s="897"/>
      <c r="D98" s="928"/>
      <c r="E98" s="744"/>
      <c r="F98" s="744">
        <f t="shared" si="25"/>
        <v>0</v>
      </c>
      <c r="G98" s="773"/>
      <c r="H98" s="753"/>
      <c r="I98" s="746"/>
      <c r="J98" s="747"/>
      <c r="K98" s="747"/>
      <c r="L98" s="747"/>
      <c r="M98" s="927" t="str">
        <f t="shared" si="23"/>
        <v xml:space="preserve">  </v>
      </c>
      <c r="N98" s="749"/>
      <c r="O98" s="749"/>
      <c r="P98" s="749"/>
      <c r="Q98" s="749"/>
      <c r="R98" s="937"/>
      <c r="S98" s="861"/>
      <c r="T98" s="861">
        <f t="shared" si="26"/>
        <v>0</v>
      </c>
      <c r="U98" s="864">
        <f t="shared" si="27"/>
        <v>0</v>
      </c>
      <c r="V98" s="862"/>
      <c r="W98" s="861">
        <f t="shared" si="24"/>
        <v>0</v>
      </c>
      <c r="X98" s="864">
        <f t="shared" si="28"/>
        <v>0</v>
      </c>
      <c r="Y98" s="866">
        <f t="shared" si="22"/>
        <v>0</v>
      </c>
      <c r="Z98" s="751"/>
      <c r="AA98" s="739"/>
      <c r="AB98" s="753"/>
      <c r="AC98" s="752">
        <f t="shared" si="29"/>
        <v>0</v>
      </c>
      <c r="AD98" s="739"/>
      <c r="AE98" s="891"/>
      <c r="AF98" s="891"/>
      <c r="AG98" s="891"/>
      <c r="AH98" s="891"/>
      <c r="AI98" s="900"/>
      <c r="AJ98" s="749"/>
      <c r="AK98" s="772"/>
      <c r="AL98" s="873"/>
      <c r="AM98" s="862">
        <f t="shared" si="30"/>
        <v>0</v>
      </c>
      <c r="AN98" s="755" t="str">
        <f t="shared" ca="1" si="31"/>
        <v/>
      </c>
      <c r="AO98" s="753"/>
      <c r="AP98" s="753"/>
      <c r="AQ98" s="753"/>
      <c r="AR98" s="753"/>
      <c r="AS98" s="753"/>
      <c r="AT98" s="739"/>
      <c r="AU98" s="739"/>
      <c r="AV98" s="739"/>
      <c r="AW98" s="739"/>
      <c r="AX98" s="739"/>
      <c r="AY98" s="882"/>
      <c r="AZ98" s="739"/>
      <c r="BA98" s="739"/>
      <c r="BB98" s="739"/>
      <c r="BC98" s="739"/>
      <c r="BD98" s="739">
        <f t="shared" si="32"/>
        <v>0</v>
      </c>
      <c r="BE98" s="739"/>
      <c r="BF98" s="882">
        <f t="shared" si="33"/>
        <v>0</v>
      </c>
    </row>
    <row r="99" spans="1:58" x14ac:dyDescent="0.25">
      <c r="A99" s="931"/>
      <c r="B99" s="773"/>
      <c r="C99" s="897"/>
      <c r="D99" s="928"/>
      <c r="E99" s="744"/>
      <c r="F99" s="744">
        <f t="shared" si="25"/>
        <v>0</v>
      </c>
      <c r="G99" s="773"/>
      <c r="H99" s="753"/>
      <c r="I99" s="746"/>
      <c r="J99" s="747"/>
      <c r="K99" s="747"/>
      <c r="L99" s="747"/>
      <c r="M99" s="927" t="str">
        <f t="shared" si="23"/>
        <v xml:space="preserve">  </v>
      </c>
      <c r="N99" s="749"/>
      <c r="O99" s="749"/>
      <c r="P99" s="749"/>
      <c r="Q99" s="749"/>
      <c r="R99" s="937"/>
      <c r="S99" s="861"/>
      <c r="T99" s="861">
        <f t="shared" si="26"/>
        <v>0</v>
      </c>
      <c r="U99" s="864">
        <f t="shared" si="27"/>
        <v>0</v>
      </c>
      <c r="V99" s="862"/>
      <c r="W99" s="861">
        <f t="shared" si="24"/>
        <v>0</v>
      </c>
      <c r="X99" s="864">
        <f t="shared" si="28"/>
        <v>0</v>
      </c>
      <c r="Y99" s="866">
        <f t="shared" si="22"/>
        <v>0</v>
      </c>
      <c r="Z99" s="751"/>
      <c r="AA99" s="739"/>
      <c r="AB99" s="753"/>
      <c r="AC99" s="752">
        <f t="shared" si="29"/>
        <v>0</v>
      </c>
      <c r="AD99" s="739"/>
      <c r="AE99" s="891"/>
      <c r="AF99" s="891"/>
      <c r="AG99" s="891"/>
      <c r="AH99" s="891"/>
      <c r="AI99" s="900"/>
      <c r="AJ99" s="749"/>
      <c r="AK99" s="772"/>
      <c r="AL99" s="873"/>
      <c r="AM99" s="862">
        <f t="shared" si="30"/>
        <v>0</v>
      </c>
      <c r="AN99" s="755" t="str">
        <f t="shared" ca="1" si="31"/>
        <v/>
      </c>
      <c r="AO99" s="753"/>
      <c r="AP99" s="753"/>
      <c r="AQ99" s="753"/>
      <c r="AR99" s="753"/>
      <c r="AS99" s="753"/>
      <c r="AT99" s="739"/>
      <c r="AU99" s="739"/>
      <c r="AV99" s="739"/>
      <c r="AW99" s="739"/>
      <c r="AX99" s="739"/>
      <c r="AY99" s="882"/>
      <c r="AZ99" s="739"/>
      <c r="BA99" s="739"/>
      <c r="BB99" s="739"/>
      <c r="BC99" s="739"/>
      <c r="BD99" s="739">
        <f t="shared" si="32"/>
        <v>0</v>
      </c>
      <c r="BE99" s="739"/>
      <c r="BF99" s="882">
        <f t="shared" si="33"/>
        <v>0</v>
      </c>
    </row>
    <row r="100" spans="1:58" x14ac:dyDescent="0.25">
      <c r="A100" s="931"/>
      <c r="B100" s="773"/>
      <c r="C100" s="897"/>
      <c r="D100" s="928"/>
      <c r="E100" s="744"/>
      <c r="F100" s="744">
        <f t="shared" si="25"/>
        <v>0</v>
      </c>
      <c r="G100" s="773"/>
      <c r="H100" s="753"/>
      <c r="I100" s="746"/>
      <c r="J100" s="747"/>
      <c r="K100" s="747"/>
      <c r="L100" s="747"/>
      <c r="M100" s="927" t="str">
        <f t="shared" si="23"/>
        <v xml:space="preserve">  </v>
      </c>
      <c r="N100" s="749"/>
      <c r="O100" s="749"/>
      <c r="P100" s="749"/>
      <c r="Q100" s="749"/>
      <c r="R100" s="937"/>
      <c r="S100" s="861"/>
      <c r="T100" s="861">
        <f t="shared" si="26"/>
        <v>0</v>
      </c>
      <c r="U100" s="864">
        <f t="shared" si="27"/>
        <v>0</v>
      </c>
      <c r="V100" s="862"/>
      <c r="W100" s="861">
        <f t="shared" si="24"/>
        <v>0</v>
      </c>
      <c r="X100" s="864">
        <f t="shared" si="28"/>
        <v>0</v>
      </c>
      <c r="Y100" s="866">
        <f t="shared" si="22"/>
        <v>0</v>
      </c>
      <c r="Z100" s="751"/>
      <c r="AA100" s="739"/>
      <c r="AB100" s="753"/>
      <c r="AC100" s="752">
        <f t="shared" si="29"/>
        <v>0</v>
      </c>
      <c r="AD100" s="739"/>
      <c r="AE100" s="891"/>
      <c r="AF100" s="891"/>
      <c r="AG100" s="891"/>
      <c r="AH100" s="891"/>
      <c r="AI100" s="900"/>
      <c r="AJ100" s="749"/>
      <c r="AK100" s="772"/>
      <c r="AL100" s="873"/>
      <c r="AM100" s="862">
        <f t="shared" si="30"/>
        <v>0</v>
      </c>
      <c r="AN100" s="755" t="str">
        <f t="shared" ca="1" si="31"/>
        <v/>
      </c>
      <c r="AO100" s="753"/>
      <c r="AP100" s="753"/>
      <c r="AQ100" s="753"/>
      <c r="AR100" s="753"/>
      <c r="AS100" s="753"/>
      <c r="AT100" s="739"/>
      <c r="AU100" s="739"/>
      <c r="AV100" s="739"/>
      <c r="AW100" s="739"/>
      <c r="AX100" s="739"/>
      <c r="AY100" s="882"/>
      <c r="AZ100" s="739"/>
      <c r="BA100" s="739"/>
      <c r="BB100" s="739"/>
      <c r="BC100" s="739"/>
      <c r="BD100" s="739">
        <f t="shared" si="32"/>
        <v>0</v>
      </c>
      <c r="BE100" s="739"/>
      <c r="BF100" s="882">
        <f t="shared" si="33"/>
        <v>0</v>
      </c>
    </row>
    <row r="101" spans="1:58" x14ac:dyDescent="0.25">
      <c r="A101" s="931"/>
      <c r="B101" s="773"/>
      <c r="C101" s="897"/>
      <c r="D101" s="928"/>
      <c r="E101" s="744"/>
      <c r="F101" s="744">
        <f t="shared" si="25"/>
        <v>0</v>
      </c>
      <c r="G101" s="773"/>
      <c r="H101" s="753"/>
      <c r="I101" s="746"/>
      <c r="J101" s="747"/>
      <c r="K101" s="747"/>
      <c r="L101" s="747"/>
      <c r="M101" s="927" t="str">
        <f t="shared" si="23"/>
        <v xml:space="preserve">  </v>
      </c>
      <c r="N101" s="749"/>
      <c r="O101" s="749"/>
      <c r="P101" s="749"/>
      <c r="Q101" s="749"/>
      <c r="R101" s="937"/>
      <c r="S101" s="861"/>
      <c r="T101" s="861">
        <f t="shared" si="26"/>
        <v>0</v>
      </c>
      <c r="U101" s="864">
        <f t="shared" si="27"/>
        <v>0</v>
      </c>
      <c r="V101" s="862"/>
      <c r="W101" s="861">
        <f t="shared" si="24"/>
        <v>0</v>
      </c>
      <c r="X101" s="864">
        <f t="shared" si="28"/>
        <v>0</v>
      </c>
      <c r="Y101" s="866">
        <f t="shared" si="22"/>
        <v>0</v>
      </c>
      <c r="Z101" s="751"/>
      <c r="AA101" s="739"/>
      <c r="AB101" s="753"/>
      <c r="AC101" s="752">
        <f t="shared" si="29"/>
        <v>0</v>
      </c>
      <c r="AD101" s="739"/>
      <c r="AE101" s="891"/>
      <c r="AF101" s="891"/>
      <c r="AG101" s="891"/>
      <c r="AH101" s="891"/>
      <c r="AI101" s="900"/>
      <c r="AJ101" s="749"/>
      <c r="AK101" s="772"/>
      <c r="AL101" s="873"/>
      <c r="AM101" s="862">
        <f t="shared" si="30"/>
        <v>0</v>
      </c>
      <c r="AN101" s="755" t="str">
        <f t="shared" ca="1" si="31"/>
        <v/>
      </c>
      <c r="AO101" s="753"/>
      <c r="AP101" s="753"/>
      <c r="AQ101" s="753"/>
      <c r="AR101" s="753"/>
      <c r="AS101" s="753"/>
      <c r="AT101" s="739"/>
      <c r="AU101" s="739"/>
      <c r="AV101" s="739"/>
      <c r="AW101" s="739"/>
      <c r="AX101" s="739"/>
      <c r="AY101" s="882"/>
      <c r="AZ101" s="739"/>
      <c r="BA101" s="739"/>
      <c r="BB101" s="739"/>
      <c r="BC101" s="739"/>
      <c r="BD101" s="739">
        <f t="shared" si="32"/>
        <v>0</v>
      </c>
      <c r="BE101" s="739"/>
      <c r="BF101" s="882">
        <f t="shared" si="33"/>
        <v>0</v>
      </c>
    </row>
    <row r="102" spans="1:58" x14ac:dyDescent="0.25">
      <c r="A102" s="931"/>
      <c r="B102" s="773"/>
      <c r="C102" s="897"/>
      <c r="D102" s="928"/>
      <c r="E102" s="744"/>
      <c r="F102" s="744">
        <f t="shared" si="25"/>
        <v>0</v>
      </c>
      <c r="G102" s="773"/>
      <c r="H102" s="753"/>
      <c r="I102" s="746"/>
      <c r="J102" s="747"/>
      <c r="K102" s="747"/>
      <c r="L102" s="747"/>
      <c r="M102" s="927" t="str">
        <f t="shared" si="23"/>
        <v xml:space="preserve">  </v>
      </c>
      <c r="N102" s="749"/>
      <c r="O102" s="749"/>
      <c r="P102" s="749"/>
      <c r="Q102" s="779"/>
      <c r="R102" s="937"/>
      <c r="S102" s="861"/>
      <c r="T102" s="861">
        <f t="shared" si="26"/>
        <v>0</v>
      </c>
      <c r="U102" s="864">
        <f t="shared" si="27"/>
        <v>0</v>
      </c>
      <c r="V102" s="862"/>
      <c r="W102" s="861">
        <f t="shared" si="24"/>
        <v>0</v>
      </c>
      <c r="X102" s="864">
        <f t="shared" si="28"/>
        <v>0</v>
      </c>
      <c r="Y102" s="866">
        <f t="shared" si="22"/>
        <v>0</v>
      </c>
      <c r="Z102" s="751"/>
      <c r="AA102" s="739"/>
      <c r="AB102" s="753"/>
      <c r="AC102" s="752">
        <f t="shared" si="29"/>
        <v>0</v>
      </c>
      <c r="AD102" s="739"/>
      <c r="AE102" s="891"/>
      <c r="AF102" s="891"/>
      <c r="AG102" s="891"/>
      <c r="AH102" s="891"/>
      <c r="AI102" s="900"/>
      <c r="AJ102" s="749"/>
      <c r="AK102" s="772"/>
      <c r="AL102" s="873"/>
      <c r="AM102" s="862">
        <f t="shared" si="30"/>
        <v>0</v>
      </c>
      <c r="AN102" s="755" t="str">
        <f t="shared" ca="1" si="31"/>
        <v/>
      </c>
      <c r="AO102" s="753"/>
      <c r="AP102" s="753"/>
      <c r="AQ102" s="753"/>
      <c r="AR102" s="753"/>
      <c r="AS102" s="753"/>
      <c r="AT102" s="739"/>
      <c r="AU102" s="739"/>
      <c r="AV102" s="739"/>
      <c r="AW102" s="739"/>
      <c r="AX102" s="739"/>
      <c r="AY102" s="882"/>
      <c r="AZ102" s="739"/>
      <c r="BA102" s="739"/>
      <c r="BB102" s="739"/>
      <c r="BC102" s="739"/>
      <c r="BD102" s="739">
        <f t="shared" si="32"/>
        <v>0</v>
      </c>
      <c r="BE102" s="739"/>
      <c r="BF102" s="882">
        <f t="shared" si="33"/>
        <v>0</v>
      </c>
    </row>
    <row r="103" spans="1:58" x14ac:dyDescent="0.25">
      <c r="A103" s="932"/>
      <c r="B103" s="773"/>
      <c r="C103" s="898"/>
      <c r="D103" s="928"/>
      <c r="E103" s="744"/>
      <c r="F103" s="744">
        <f t="shared" si="25"/>
        <v>0</v>
      </c>
      <c r="G103" s="773"/>
      <c r="H103" s="786"/>
      <c r="I103" s="787"/>
      <c r="J103" s="833"/>
      <c r="K103" s="833"/>
      <c r="L103" s="833"/>
      <c r="M103" s="927" t="str">
        <f t="shared" si="23"/>
        <v xml:space="preserve">  </v>
      </c>
      <c r="N103" s="779"/>
      <c r="O103" s="779"/>
      <c r="P103" s="779"/>
      <c r="Q103" s="788"/>
      <c r="R103" s="942"/>
      <c r="S103" s="861"/>
      <c r="T103" s="861">
        <f t="shared" si="26"/>
        <v>0</v>
      </c>
      <c r="U103" s="864">
        <f t="shared" si="27"/>
        <v>0</v>
      </c>
      <c r="V103" s="862"/>
      <c r="W103" s="861">
        <f t="shared" si="24"/>
        <v>0</v>
      </c>
      <c r="X103" s="864">
        <f t="shared" si="28"/>
        <v>0</v>
      </c>
      <c r="Y103" s="866">
        <f t="shared" si="22"/>
        <v>0</v>
      </c>
      <c r="Z103" s="789"/>
      <c r="AA103" s="790"/>
      <c r="AB103" s="786"/>
      <c r="AC103" s="752">
        <f t="shared" si="29"/>
        <v>0</v>
      </c>
      <c r="AD103" s="790"/>
      <c r="AE103" s="893"/>
      <c r="AF103" s="893"/>
      <c r="AG103" s="893"/>
      <c r="AH103" s="893"/>
      <c r="AI103" s="905"/>
      <c r="AJ103" s="779"/>
      <c r="AK103" s="791"/>
      <c r="AL103" s="878"/>
      <c r="AM103" s="862">
        <f t="shared" si="30"/>
        <v>0</v>
      </c>
      <c r="AN103" s="755" t="str">
        <f t="shared" ca="1" si="31"/>
        <v/>
      </c>
      <c r="AO103" s="786"/>
      <c r="AP103" s="786"/>
      <c r="AQ103" s="786"/>
      <c r="AR103" s="786"/>
      <c r="AS103" s="786"/>
      <c r="AT103" s="790"/>
      <c r="AU103" s="739"/>
      <c r="AV103" s="739"/>
      <c r="AW103" s="739"/>
      <c r="AX103" s="739"/>
      <c r="AY103" s="882"/>
      <c r="AZ103" s="739"/>
      <c r="BA103" s="739"/>
      <c r="BB103" s="739"/>
      <c r="BC103" s="739"/>
      <c r="BD103" s="739">
        <f t="shared" si="32"/>
        <v>0</v>
      </c>
      <c r="BE103" s="790"/>
      <c r="BF103" s="882">
        <f t="shared" si="33"/>
        <v>0</v>
      </c>
    </row>
    <row r="104" spans="1:58" x14ac:dyDescent="0.25">
      <c r="A104" s="933"/>
      <c r="B104" s="773"/>
      <c r="C104" s="761"/>
      <c r="D104" s="928"/>
      <c r="E104" s="744"/>
      <c r="F104" s="744">
        <f t="shared" si="25"/>
        <v>0</v>
      </c>
      <c r="G104" s="773"/>
      <c r="H104" s="761"/>
      <c r="I104" s="762"/>
      <c r="J104" s="832"/>
      <c r="K104" s="832"/>
      <c r="L104" s="832"/>
      <c r="M104" s="927" t="str">
        <f t="shared" si="23"/>
        <v xml:space="preserve">  </v>
      </c>
      <c r="N104" s="760"/>
      <c r="O104" s="760"/>
      <c r="P104" s="760"/>
      <c r="Q104" s="760"/>
      <c r="R104" s="938"/>
      <c r="S104" s="861"/>
      <c r="T104" s="861">
        <f t="shared" si="26"/>
        <v>0</v>
      </c>
      <c r="U104" s="864">
        <f t="shared" si="27"/>
        <v>0</v>
      </c>
      <c r="V104" s="862"/>
      <c r="W104" s="861">
        <f t="shared" si="24"/>
        <v>0</v>
      </c>
      <c r="X104" s="864">
        <f t="shared" si="28"/>
        <v>0</v>
      </c>
      <c r="Y104" s="866">
        <f t="shared" si="22"/>
        <v>0</v>
      </c>
      <c r="Z104" s="764"/>
      <c r="AA104" s="768"/>
      <c r="AB104" s="761"/>
      <c r="AC104" s="752">
        <f t="shared" si="29"/>
        <v>0</v>
      </c>
      <c r="AD104" s="768"/>
      <c r="AE104" s="892"/>
      <c r="AF104" s="892"/>
      <c r="AG104" s="892"/>
      <c r="AH104" s="892"/>
      <c r="AI104" s="903"/>
      <c r="AJ104" s="760"/>
      <c r="AK104" s="792"/>
      <c r="AL104" s="879"/>
      <c r="AM104" s="862">
        <f t="shared" si="30"/>
        <v>0</v>
      </c>
      <c r="AN104" s="755" t="str">
        <f t="shared" ca="1" si="31"/>
        <v/>
      </c>
      <c r="AO104" s="761"/>
      <c r="AP104" s="761"/>
      <c r="AQ104" s="761"/>
      <c r="AR104" s="761"/>
      <c r="AS104" s="761"/>
      <c r="AT104" s="768"/>
      <c r="AU104" s="739"/>
      <c r="AV104" s="739"/>
      <c r="AW104" s="739"/>
      <c r="AX104" s="739"/>
      <c r="AY104" s="882"/>
      <c r="AZ104" s="739"/>
      <c r="BA104" s="739"/>
      <c r="BB104" s="739"/>
      <c r="BC104" s="739"/>
      <c r="BD104" s="739">
        <f t="shared" si="32"/>
        <v>0</v>
      </c>
      <c r="BE104" s="768"/>
      <c r="BF104" s="882">
        <f t="shared" si="33"/>
        <v>0</v>
      </c>
    </row>
    <row r="105" spans="1:58" x14ac:dyDescent="0.25">
      <c r="A105" s="933"/>
      <c r="B105" s="773"/>
      <c r="C105" s="897"/>
      <c r="D105" s="928"/>
      <c r="E105" s="744"/>
      <c r="F105" s="744">
        <f t="shared" si="25"/>
        <v>0</v>
      </c>
      <c r="G105" s="773"/>
      <c r="H105" s="761"/>
      <c r="I105" s="762"/>
      <c r="J105" s="832"/>
      <c r="K105" s="832"/>
      <c r="L105" s="832"/>
      <c r="M105" s="927" t="str">
        <f t="shared" si="23"/>
        <v xml:space="preserve">  </v>
      </c>
      <c r="N105" s="760"/>
      <c r="O105" s="760"/>
      <c r="P105" s="760"/>
      <c r="Q105" s="760"/>
      <c r="R105" s="938"/>
      <c r="S105" s="861"/>
      <c r="T105" s="861">
        <f t="shared" si="26"/>
        <v>0</v>
      </c>
      <c r="U105" s="864">
        <f t="shared" si="27"/>
        <v>0</v>
      </c>
      <c r="V105" s="862"/>
      <c r="W105" s="861">
        <f t="shared" si="24"/>
        <v>0</v>
      </c>
      <c r="X105" s="864">
        <f t="shared" si="28"/>
        <v>0</v>
      </c>
      <c r="Y105" s="866">
        <f t="shared" si="22"/>
        <v>0</v>
      </c>
      <c r="Z105" s="764"/>
      <c r="AA105" s="768"/>
      <c r="AB105" s="761"/>
      <c r="AC105" s="752">
        <f t="shared" si="29"/>
        <v>0</v>
      </c>
      <c r="AD105" s="739"/>
      <c r="AE105" s="892"/>
      <c r="AF105" s="892"/>
      <c r="AG105" s="892"/>
      <c r="AH105" s="892"/>
      <c r="AI105" s="903"/>
      <c r="AJ105" s="760"/>
      <c r="AK105" s="768"/>
      <c r="AL105" s="879"/>
      <c r="AM105" s="862">
        <f t="shared" si="30"/>
        <v>0</v>
      </c>
      <c r="AN105" s="755" t="str">
        <f t="shared" ca="1" si="31"/>
        <v/>
      </c>
      <c r="AO105" s="761"/>
      <c r="AP105" s="761"/>
      <c r="AQ105" s="756"/>
      <c r="AR105" s="756"/>
      <c r="AS105" s="753"/>
      <c r="AT105" s="768"/>
      <c r="AU105" s="739"/>
      <c r="AV105" s="739"/>
      <c r="AW105" s="739"/>
      <c r="AX105" s="739"/>
      <c r="AY105" s="882"/>
      <c r="AZ105" s="739"/>
      <c r="BA105" s="739"/>
      <c r="BB105" s="739"/>
      <c r="BC105" s="739"/>
      <c r="BD105" s="739">
        <f t="shared" si="32"/>
        <v>0</v>
      </c>
      <c r="BE105" s="768"/>
      <c r="BF105" s="882">
        <f t="shared" si="33"/>
        <v>0</v>
      </c>
    </row>
    <row r="106" spans="1:58" x14ac:dyDescent="0.25">
      <c r="A106" s="934"/>
      <c r="B106" s="773"/>
      <c r="C106" s="794"/>
      <c r="D106" s="928"/>
      <c r="E106" s="744"/>
      <c r="F106" s="744">
        <f t="shared" si="25"/>
        <v>0</v>
      </c>
      <c r="G106" s="773"/>
      <c r="H106" s="794"/>
      <c r="I106" s="795"/>
      <c r="J106" s="796"/>
      <c r="K106" s="796"/>
      <c r="L106" s="796"/>
      <c r="M106" s="927" t="str">
        <f t="shared" si="23"/>
        <v xml:space="preserve">  </v>
      </c>
      <c r="N106" s="793"/>
      <c r="O106" s="793"/>
      <c r="P106" s="793"/>
      <c r="Q106" s="793"/>
      <c r="R106" s="943"/>
      <c r="S106" s="861"/>
      <c r="T106" s="861">
        <f t="shared" si="26"/>
        <v>0</v>
      </c>
      <c r="U106" s="864">
        <f t="shared" si="27"/>
        <v>0</v>
      </c>
      <c r="V106" s="862"/>
      <c r="W106" s="861">
        <f t="shared" si="24"/>
        <v>0</v>
      </c>
      <c r="X106" s="864">
        <f t="shared" si="28"/>
        <v>0</v>
      </c>
      <c r="Y106" s="866">
        <f t="shared" si="22"/>
        <v>0</v>
      </c>
      <c r="Z106" s="797"/>
      <c r="AA106" s="798"/>
      <c r="AB106" s="799"/>
      <c r="AC106" s="752">
        <f t="shared" si="29"/>
        <v>0</v>
      </c>
      <c r="AD106" s="798"/>
      <c r="AE106" s="894"/>
      <c r="AF106" s="894"/>
      <c r="AG106" s="894"/>
      <c r="AH106" s="894"/>
      <c r="AI106" s="906"/>
      <c r="AJ106" s="781"/>
      <c r="AK106" s="800"/>
      <c r="AL106" s="880"/>
      <c r="AM106" s="862">
        <f t="shared" si="30"/>
        <v>0</v>
      </c>
      <c r="AN106" s="755" t="str">
        <f t="shared" ca="1" si="31"/>
        <v/>
      </c>
      <c r="AO106" s="799"/>
      <c r="AP106" s="799"/>
      <c r="AQ106" s="799"/>
      <c r="AR106" s="799"/>
      <c r="AS106" s="799"/>
      <c r="AT106" s="798"/>
      <c r="AU106" s="739"/>
      <c r="AV106" s="739"/>
      <c r="AW106" s="739"/>
      <c r="AX106" s="739"/>
      <c r="AY106" s="882"/>
      <c r="AZ106" s="739"/>
      <c r="BA106" s="739"/>
      <c r="BB106" s="739"/>
      <c r="BC106" s="739"/>
      <c r="BD106" s="739">
        <f t="shared" si="32"/>
        <v>0</v>
      </c>
      <c r="BE106" s="798"/>
      <c r="BF106" s="882">
        <f t="shared" si="33"/>
        <v>0</v>
      </c>
    </row>
    <row r="107" spans="1:58" x14ac:dyDescent="0.25">
      <c r="A107" s="933"/>
      <c r="B107" s="773"/>
      <c r="C107" s="761"/>
      <c r="D107" s="928"/>
      <c r="E107" s="744"/>
      <c r="F107" s="744">
        <f t="shared" si="25"/>
        <v>0</v>
      </c>
      <c r="G107" s="773"/>
      <c r="H107" s="761"/>
      <c r="I107" s="762"/>
      <c r="J107" s="832"/>
      <c r="K107" s="832"/>
      <c r="L107" s="832"/>
      <c r="M107" s="927" t="str">
        <f t="shared" si="23"/>
        <v xml:space="preserve">  </v>
      </c>
      <c r="N107" s="760"/>
      <c r="O107" s="760"/>
      <c r="P107" s="760"/>
      <c r="Q107" s="760"/>
      <c r="R107" s="938"/>
      <c r="S107" s="861"/>
      <c r="T107" s="861">
        <f t="shared" si="26"/>
        <v>0</v>
      </c>
      <c r="U107" s="864">
        <f t="shared" si="27"/>
        <v>0</v>
      </c>
      <c r="V107" s="862"/>
      <c r="W107" s="861">
        <f t="shared" si="24"/>
        <v>0</v>
      </c>
      <c r="X107" s="864">
        <f t="shared" si="28"/>
        <v>0</v>
      </c>
      <c r="Y107" s="866">
        <f t="shared" si="22"/>
        <v>0</v>
      </c>
      <c r="Z107" s="751"/>
      <c r="AA107" s="739"/>
      <c r="AB107" s="753"/>
      <c r="AC107" s="752">
        <f t="shared" si="29"/>
        <v>0</v>
      </c>
      <c r="AD107" s="739"/>
      <c r="AE107" s="891"/>
      <c r="AF107" s="891"/>
      <c r="AG107" s="891"/>
      <c r="AH107" s="891"/>
      <c r="AI107" s="900"/>
      <c r="AJ107" s="749"/>
      <c r="AK107" s="772"/>
      <c r="AL107" s="873"/>
      <c r="AM107" s="862">
        <f t="shared" si="30"/>
        <v>0</v>
      </c>
      <c r="AN107" s="755" t="str">
        <f t="shared" ca="1" si="31"/>
        <v/>
      </c>
      <c r="AO107" s="753"/>
      <c r="AP107" s="753"/>
      <c r="AQ107" s="753"/>
      <c r="AR107" s="753"/>
      <c r="AS107" s="753"/>
      <c r="AT107" s="739"/>
      <c r="AU107" s="739"/>
      <c r="AV107" s="739"/>
      <c r="AW107" s="739"/>
      <c r="AX107" s="739"/>
      <c r="AY107" s="882"/>
      <c r="AZ107" s="739"/>
      <c r="BA107" s="739"/>
      <c r="BB107" s="739"/>
      <c r="BC107" s="739"/>
      <c r="BD107" s="739">
        <f t="shared" si="32"/>
        <v>0</v>
      </c>
      <c r="BE107" s="739"/>
      <c r="BF107" s="882">
        <f t="shared" si="33"/>
        <v>0</v>
      </c>
    </row>
    <row r="108" spans="1:58" s="740" customFormat="1" x14ac:dyDescent="0.25">
      <c r="A108" s="935"/>
      <c r="B108" s="773"/>
      <c r="C108" s="899"/>
      <c r="D108" s="928"/>
      <c r="E108" s="744"/>
      <c r="F108" s="744">
        <f t="shared" si="25"/>
        <v>0</v>
      </c>
      <c r="G108" s="773"/>
      <c r="H108" s="761"/>
      <c r="I108" s="802"/>
      <c r="J108" s="836"/>
      <c r="K108" s="837"/>
      <c r="L108" s="835"/>
      <c r="M108" s="927" t="str">
        <f t="shared" si="23"/>
        <v xml:space="preserve">  </v>
      </c>
      <c r="N108" s="803"/>
      <c r="O108" s="803"/>
      <c r="P108" s="803"/>
      <c r="Q108" s="793"/>
      <c r="R108" s="944"/>
      <c r="S108" s="861"/>
      <c r="T108" s="861">
        <f t="shared" si="26"/>
        <v>0</v>
      </c>
      <c r="U108" s="864">
        <f t="shared" si="27"/>
        <v>0</v>
      </c>
      <c r="V108" s="862"/>
      <c r="W108" s="861">
        <f t="shared" si="24"/>
        <v>0</v>
      </c>
      <c r="X108" s="864">
        <f t="shared" si="28"/>
        <v>0</v>
      </c>
      <c r="Y108" s="866">
        <f t="shared" si="22"/>
        <v>0</v>
      </c>
      <c r="Z108" s="751"/>
      <c r="AA108" s="739"/>
      <c r="AB108" s="753"/>
      <c r="AC108" s="752">
        <f t="shared" si="29"/>
        <v>0</v>
      </c>
      <c r="AD108" s="739"/>
      <c r="AE108" s="891"/>
      <c r="AF108" s="891"/>
      <c r="AG108" s="891"/>
      <c r="AH108" s="891"/>
      <c r="AI108" s="900"/>
      <c r="AJ108" s="749"/>
      <c r="AK108" s="772"/>
      <c r="AL108" s="873"/>
      <c r="AM108" s="862">
        <f t="shared" si="30"/>
        <v>0</v>
      </c>
      <c r="AN108" s="755" t="str">
        <f t="shared" ca="1" si="31"/>
        <v/>
      </c>
      <c r="AO108" s="753"/>
      <c r="AP108" s="753"/>
      <c r="AQ108" s="753"/>
      <c r="AR108" s="753"/>
      <c r="AS108" s="753"/>
      <c r="AT108" s="739"/>
      <c r="AU108" s="739"/>
      <c r="AV108" s="739"/>
      <c r="AW108" s="739"/>
      <c r="AX108" s="739"/>
      <c r="AY108" s="882"/>
      <c r="AZ108" s="739"/>
      <c r="BA108" s="739"/>
      <c r="BB108" s="739"/>
      <c r="BC108" s="739"/>
      <c r="BD108" s="739">
        <f t="shared" si="32"/>
        <v>0</v>
      </c>
      <c r="BE108" s="739"/>
      <c r="BF108" s="882">
        <f t="shared" si="33"/>
        <v>0</v>
      </c>
    </row>
    <row r="109" spans="1:58" x14ac:dyDescent="0.25">
      <c r="A109" s="931"/>
      <c r="B109" s="773"/>
      <c r="C109" s="897"/>
      <c r="D109" s="928"/>
      <c r="E109" s="744"/>
      <c r="F109" s="744">
        <f t="shared" si="25"/>
        <v>0</v>
      </c>
      <c r="G109" s="773"/>
      <c r="H109" s="761"/>
      <c r="I109" s="762"/>
      <c r="J109" s="833"/>
      <c r="K109" s="832"/>
      <c r="L109" s="747"/>
      <c r="M109" s="927" t="str">
        <f t="shared" si="23"/>
        <v xml:space="preserve">  </v>
      </c>
      <c r="N109" s="749"/>
      <c r="O109" s="749"/>
      <c r="P109" s="749"/>
      <c r="Q109" s="801"/>
      <c r="R109" s="937"/>
      <c r="S109" s="861"/>
      <c r="T109" s="861">
        <f t="shared" si="26"/>
        <v>0</v>
      </c>
      <c r="U109" s="864">
        <f t="shared" si="27"/>
        <v>0</v>
      </c>
      <c r="V109" s="862"/>
      <c r="W109" s="861">
        <f t="shared" si="24"/>
        <v>0</v>
      </c>
      <c r="X109" s="864">
        <f t="shared" si="28"/>
        <v>0</v>
      </c>
      <c r="Y109" s="866">
        <f t="shared" si="22"/>
        <v>0</v>
      </c>
      <c r="Z109" s="751"/>
      <c r="AA109" s="739"/>
      <c r="AB109" s="753"/>
      <c r="AC109" s="752">
        <f t="shared" si="29"/>
        <v>0</v>
      </c>
      <c r="AD109" s="739"/>
      <c r="AE109" s="891"/>
      <c r="AF109" s="891"/>
      <c r="AG109" s="891"/>
      <c r="AH109" s="891"/>
      <c r="AI109" s="900"/>
      <c r="AJ109" s="749"/>
      <c r="AK109" s="772"/>
      <c r="AL109" s="873"/>
      <c r="AM109" s="862">
        <f t="shared" si="30"/>
        <v>0</v>
      </c>
      <c r="AN109" s="755" t="str">
        <f t="shared" ca="1" si="31"/>
        <v/>
      </c>
      <c r="AO109" s="753"/>
      <c r="AP109" s="753"/>
      <c r="AQ109" s="753"/>
      <c r="AR109" s="753"/>
      <c r="AS109" s="753"/>
      <c r="AT109" s="739"/>
      <c r="AU109" s="739"/>
      <c r="AV109" s="739"/>
      <c r="AW109" s="739"/>
      <c r="AX109" s="739"/>
      <c r="AY109" s="882"/>
      <c r="AZ109" s="739"/>
      <c r="BA109" s="739"/>
      <c r="BB109" s="739"/>
      <c r="BC109" s="739"/>
      <c r="BD109" s="739">
        <f t="shared" si="32"/>
        <v>0</v>
      </c>
      <c r="BE109" s="739"/>
      <c r="BF109" s="882">
        <f t="shared" si="33"/>
        <v>0</v>
      </c>
    </row>
    <row r="110" spans="1:58" x14ac:dyDescent="0.25">
      <c r="A110" s="931"/>
      <c r="B110" s="773"/>
      <c r="C110" s="897"/>
      <c r="D110" s="928"/>
      <c r="E110" s="744"/>
      <c r="F110" s="744">
        <f t="shared" si="25"/>
        <v>0</v>
      </c>
      <c r="G110" s="773"/>
      <c r="H110" s="761"/>
      <c r="I110" s="781"/>
      <c r="J110" s="833"/>
      <c r="K110" s="835"/>
      <c r="L110" s="747"/>
      <c r="M110" s="927" t="str">
        <f t="shared" si="23"/>
        <v xml:space="preserve">  </v>
      </c>
      <c r="N110" s="803"/>
      <c r="O110" s="803"/>
      <c r="P110" s="785"/>
      <c r="Q110" s="788"/>
      <c r="R110" s="944"/>
      <c r="S110" s="861"/>
      <c r="T110" s="861">
        <f t="shared" si="26"/>
        <v>0</v>
      </c>
      <c r="U110" s="864">
        <f t="shared" si="27"/>
        <v>0</v>
      </c>
      <c r="V110" s="862"/>
      <c r="W110" s="861">
        <f t="shared" si="24"/>
        <v>0</v>
      </c>
      <c r="X110" s="864">
        <f t="shared" si="28"/>
        <v>0</v>
      </c>
      <c r="Y110" s="866">
        <f t="shared" si="22"/>
        <v>0</v>
      </c>
      <c r="Z110" s="751"/>
      <c r="AA110" s="739"/>
      <c r="AB110" s="753"/>
      <c r="AC110" s="752">
        <f t="shared" si="29"/>
        <v>0</v>
      </c>
      <c r="AD110" s="739"/>
      <c r="AE110" s="891"/>
      <c r="AF110" s="891"/>
      <c r="AG110" s="891"/>
      <c r="AH110" s="891"/>
      <c r="AI110" s="900"/>
      <c r="AJ110" s="749"/>
      <c r="AK110" s="772"/>
      <c r="AL110" s="873"/>
      <c r="AM110" s="862">
        <f t="shared" si="30"/>
        <v>0</v>
      </c>
      <c r="AN110" s="755" t="str">
        <f t="shared" ca="1" si="31"/>
        <v/>
      </c>
      <c r="AO110" s="753"/>
      <c r="AP110" s="753"/>
      <c r="AQ110" s="753"/>
      <c r="AR110" s="753"/>
      <c r="AS110" s="753"/>
      <c r="AT110" s="739"/>
      <c r="AU110" s="739"/>
      <c r="AV110" s="739"/>
      <c r="AW110" s="739"/>
      <c r="AX110" s="739"/>
      <c r="AY110" s="882"/>
      <c r="AZ110" s="739"/>
      <c r="BA110" s="739"/>
      <c r="BB110" s="739"/>
      <c r="BC110" s="739"/>
      <c r="BD110" s="739">
        <f t="shared" si="32"/>
        <v>0</v>
      </c>
      <c r="BE110" s="739"/>
      <c r="BF110" s="882">
        <f t="shared" si="33"/>
        <v>0</v>
      </c>
    </row>
    <row r="111" spans="1:58" x14ac:dyDescent="0.25">
      <c r="A111" s="931"/>
      <c r="B111" s="773"/>
      <c r="C111" s="897"/>
      <c r="D111" s="928"/>
      <c r="E111" s="744"/>
      <c r="F111" s="744">
        <f t="shared" si="25"/>
        <v>0</v>
      </c>
      <c r="G111" s="773"/>
      <c r="H111" s="761"/>
      <c r="I111" s="746"/>
      <c r="J111" s="747"/>
      <c r="K111" s="747"/>
      <c r="L111" s="747"/>
      <c r="M111" s="927" t="str">
        <f t="shared" si="23"/>
        <v xml:space="preserve">  </v>
      </c>
      <c r="N111" s="804"/>
      <c r="O111" s="804"/>
      <c r="P111" s="804"/>
      <c r="Q111" s="804"/>
      <c r="R111" s="937"/>
      <c r="S111" s="861"/>
      <c r="T111" s="861">
        <f t="shared" si="26"/>
        <v>0</v>
      </c>
      <c r="U111" s="864">
        <f t="shared" si="27"/>
        <v>0</v>
      </c>
      <c r="V111" s="862"/>
      <c r="W111" s="861">
        <f t="shared" si="24"/>
        <v>0</v>
      </c>
      <c r="X111" s="864">
        <f t="shared" si="28"/>
        <v>0</v>
      </c>
      <c r="Y111" s="866">
        <f t="shared" si="22"/>
        <v>0</v>
      </c>
      <c r="Z111" s="751"/>
      <c r="AA111" s="739"/>
      <c r="AB111" s="753"/>
      <c r="AC111" s="752">
        <f t="shared" si="29"/>
        <v>0</v>
      </c>
      <c r="AD111" s="739"/>
      <c r="AE111" s="891"/>
      <c r="AF111" s="891"/>
      <c r="AG111" s="891"/>
      <c r="AH111" s="891"/>
      <c r="AI111" s="900"/>
      <c r="AJ111" s="749"/>
      <c r="AK111" s="772"/>
      <c r="AL111" s="873"/>
      <c r="AM111" s="862">
        <f t="shared" si="30"/>
        <v>0</v>
      </c>
      <c r="AN111" s="755" t="str">
        <f t="shared" ca="1" si="31"/>
        <v/>
      </c>
      <c r="AO111" s="753"/>
      <c r="AP111" s="753"/>
      <c r="AQ111" s="753"/>
      <c r="AR111" s="753"/>
      <c r="AS111" s="753"/>
      <c r="AT111" s="739"/>
      <c r="AU111" s="739"/>
      <c r="AV111" s="739"/>
      <c r="AW111" s="739"/>
      <c r="AX111" s="739"/>
      <c r="AY111" s="882"/>
      <c r="AZ111" s="739"/>
      <c r="BA111" s="739"/>
      <c r="BB111" s="739"/>
      <c r="BC111" s="739"/>
      <c r="BD111" s="739">
        <f t="shared" si="32"/>
        <v>0</v>
      </c>
      <c r="BE111" s="739"/>
      <c r="BF111" s="882">
        <f t="shared" si="33"/>
        <v>0</v>
      </c>
    </row>
    <row r="112" spans="1:58" x14ac:dyDescent="0.25">
      <c r="A112" s="931"/>
      <c r="B112" s="773"/>
      <c r="C112" s="897"/>
      <c r="D112" s="928"/>
      <c r="E112" s="744"/>
      <c r="F112" s="744">
        <f t="shared" si="25"/>
        <v>0</v>
      </c>
      <c r="G112" s="773"/>
      <c r="H112" s="761"/>
      <c r="I112" s="746"/>
      <c r="J112" s="833"/>
      <c r="K112" s="747"/>
      <c r="L112" s="747"/>
      <c r="M112" s="927" t="str">
        <f t="shared" si="23"/>
        <v xml:space="preserve">  </v>
      </c>
      <c r="N112" s="749"/>
      <c r="O112" s="749"/>
      <c r="P112" s="749"/>
      <c r="Q112" s="788"/>
      <c r="R112" s="937"/>
      <c r="S112" s="861"/>
      <c r="T112" s="861">
        <f t="shared" si="26"/>
        <v>0</v>
      </c>
      <c r="U112" s="864">
        <f t="shared" si="27"/>
        <v>0</v>
      </c>
      <c r="V112" s="862"/>
      <c r="W112" s="861">
        <f t="shared" si="24"/>
        <v>0</v>
      </c>
      <c r="X112" s="864">
        <f t="shared" si="28"/>
        <v>0</v>
      </c>
      <c r="Y112" s="866">
        <f t="shared" si="22"/>
        <v>0</v>
      </c>
      <c r="Z112" s="751"/>
      <c r="AA112" s="739"/>
      <c r="AB112" s="753"/>
      <c r="AC112" s="752">
        <f t="shared" si="29"/>
        <v>0</v>
      </c>
      <c r="AD112" s="739"/>
      <c r="AE112" s="891"/>
      <c r="AF112" s="891"/>
      <c r="AG112" s="891"/>
      <c r="AH112" s="891"/>
      <c r="AI112" s="900"/>
      <c r="AJ112" s="749"/>
      <c r="AK112" s="772"/>
      <c r="AL112" s="873"/>
      <c r="AM112" s="862">
        <f t="shared" si="30"/>
        <v>0</v>
      </c>
      <c r="AN112" s="755" t="str">
        <f t="shared" ca="1" si="31"/>
        <v/>
      </c>
      <c r="AO112" s="753"/>
      <c r="AP112" s="753"/>
      <c r="AQ112" s="753"/>
      <c r="AR112" s="753"/>
      <c r="AS112" s="753"/>
      <c r="AT112" s="739"/>
      <c r="AU112" s="739"/>
      <c r="AV112" s="739"/>
      <c r="AW112" s="739"/>
      <c r="AX112" s="739"/>
      <c r="AY112" s="882"/>
      <c r="AZ112" s="739"/>
      <c r="BA112" s="739"/>
      <c r="BB112" s="739"/>
      <c r="BC112" s="739"/>
      <c r="BD112" s="739">
        <f t="shared" si="32"/>
        <v>0</v>
      </c>
      <c r="BE112" s="739"/>
      <c r="BF112" s="882">
        <f t="shared" si="33"/>
        <v>0</v>
      </c>
    </row>
    <row r="113" spans="1:58" x14ac:dyDescent="0.25">
      <c r="A113" s="931"/>
      <c r="B113" s="773"/>
      <c r="C113" s="897"/>
      <c r="D113" s="928"/>
      <c r="E113" s="744"/>
      <c r="F113" s="744">
        <f t="shared" si="25"/>
        <v>0</v>
      </c>
      <c r="G113" s="773"/>
      <c r="H113" s="761"/>
      <c r="I113" s="746"/>
      <c r="J113" s="833"/>
      <c r="K113" s="747"/>
      <c r="L113" s="747"/>
      <c r="M113" s="927" t="str">
        <f t="shared" si="23"/>
        <v xml:space="preserve">  </v>
      </c>
      <c r="N113" s="749"/>
      <c r="O113" s="749"/>
      <c r="P113" s="749"/>
      <c r="Q113" s="805"/>
      <c r="R113" s="937"/>
      <c r="S113" s="861"/>
      <c r="T113" s="861">
        <f t="shared" si="26"/>
        <v>0</v>
      </c>
      <c r="U113" s="864">
        <f t="shared" si="27"/>
        <v>0</v>
      </c>
      <c r="V113" s="862"/>
      <c r="W113" s="861">
        <f t="shared" si="24"/>
        <v>0</v>
      </c>
      <c r="X113" s="864">
        <f t="shared" si="28"/>
        <v>0</v>
      </c>
      <c r="Y113" s="866">
        <f t="shared" si="22"/>
        <v>0</v>
      </c>
      <c r="Z113" s="751"/>
      <c r="AA113" s="739"/>
      <c r="AB113" s="753"/>
      <c r="AC113" s="752">
        <f t="shared" si="29"/>
        <v>0</v>
      </c>
      <c r="AD113" s="739"/>
      <c r="AE113" s="891"/>
      <c r="AF113" s="891"/>
      <c r="AG113" s="891"/>
      <c r="AH113" s="891"/>
      <c r="AI113" s="900"/>
      <c r="AJ113" s="749"/>
      <c r="AK113" s="772"/>
      <c r="AL113" s="873"/>
      <c r="AM113" s="862">
        <f t="shared" si="30"/>
        <v>0</v>
      </c>
      <c r="AN113" s="755" t="str">
        <f t="shared" ca="1" si="31"/>
        <v/>
      </c>
      <c r="AO113" s="753"/>
      <c r="AP113" s="753"/>
      <c r="AQ113" s="753"/>
      <c r="AR113" s="753"/>
      <c r="AS113" s="753"/>
      <c r="AT113" s="739"/>
      <c r="AU113" s="739"/>
      <c r="AV113" s="739"/>
      <c r="AW113" s="739"/>
      <c r="AX113" s="739"/>
      <c r="AY113" s="882"/>
      <c r="AZ113" s="739"/>
      <c r="BA113" s="739"/>
      <c r="BB113" s="739"/>
      <c r="BC113" s="739"/>
      <c r="BD113" s="739">
        <f t="shared" si="32"/>
        <v>0</v>
      </c>
      <c r="BE113" s="739"/>
      <c r="BF113" s="882">
        <f t="shared" si="33"/>
        <v>0</v>
      </c>
    </row>
    <row r="114" spans="1:58" x14ac:dyDescent="0.25">
      <c r="A114" s="931"/>
      <c r="B114" s="773"/>
      <c r="C114" s="897"/>
      <c r="D114" s="928"/>
      <c r="E114" s="744"/>
      <c r="F114" s="744">
        <f t="shared" si="25"/>
        <v>0</v>
      </c>
      <c r="G114" s="773"/>
      <c r="H114" s="753"/>
      <c r="I114" s="746"/>
      <c r="J114" s="833"/>
      <c r="K114" s="747"/>
      <c r="L114" s="747"/>
      <c r="M114" s="927" t="str">
        <f t="shared" si="23"/>
        <v xml:space="preserve">  </v>
      </c>
      <c r="N114" s="749"/>
      <c r="O114" s="749"/>
      <c r="P114" s="749"/>
      <c r="Q114" s="749"/>
      <c r="R114" s="937"/>
      <c r="S114" s="861"/>
      <c r="T114" s="861">
        <f t="shared" si="26"/>
        <v>0</v>
      </c>
      <c r="U114" s="864">
        <f t="shared" si="27"/>
        <v>0</v>
      </c>
      <c r="V114" s="862"/>
      <c r="W114" s="861">
        <f t="shared" si="24"/>
        <v>0</v>
      </c>
      <c r="X114" s="864">
        <f t="shared" si="28"/>
        <v>0</v>
      </c>
      <c r="Y114" s="866">
        <f t="shared" si="22"/>
        <v>0</v>
      </c>
      <c r="Z114" s="751"/>
      <c r="AA114" s="739"/>
      <c r="AB114" s="753"/>
      <c r="AC114" s="752">
        <f t="shared" si="29"/>
        <v>0</v>
      </c>
      <c r="AD114" s="739"/>
      <c r="AE114" s="891"/>
      <c r="AF114" s="891"/>
      <c r="AG114" s="891"/>
      <c r="AH114" s="891"/>
      <c r="AI114" s="900"/>
      <c r="AJ114" s="749"/>
      <c r="AK114" s="772"/>
      <c r="AL114" s="873"/>
      <c r="AM114" s="862">
        <f t="shared" si="30"/>
        <v>0</v>
      </c>
      <c r="AN114" s="755" t="str">
        <f t="shared" ca="1" si="31"/>
        <v/>
      </c>
      <c r="AO114" s="753"/>
      <c r="AP114" s="753"/>
      <c r="AQ114" s="753"/>
      <c r="AR114" s="753"/>
      <c r="AS114" s="753"/>
      <c r="AT114" s="739"/>
      <c r="AU114" s="739"/>
      <c r="AV114" s="739"/>
      <c r="AW114" s="739"/>
      <c r="AX114" s="739"/>
      <c r="AY114" s="882"/>
      <c r="AZ114" s="739"/>
      <c r="BA114" s="739"/>
      <c r="BB114" s="739"/>
      <c r="BC114" s="739"/>
      <c r="BD114" s="739">
        <f t="shared" si="32"/>
        <v>0</v>
      </c>
      <c r="BE114" s="739"/>
      <c r="BF114" s="882">
        <f t="shared" si="33"/>
        <v>0</v>
      </c>
    </row>
    <row r="115" spans="1:58" x14ac:dyDescent="0.25">
      <c r="A115" s="931"/>
      <c r="B115" s="773"/>
      <c r="C115" s="897"/>
      <c r="D115" s="928"/>
      <c r="E115" s="744"/>
      <c r="F115" s="744">
        <f t="shared" si="25"/>
        <v>0</v>
      </c>
      <c r="G115" s="773"/>
      <c r="H115" s="753"/>
      <c r="I115" s="748"/>
      <c r="J115" s="838"/>
      <c r="K115" s="839"/>
      <c r="L115" s="839"/>
      <c r="M115" s="927" t="str">
        <f t="shared" si="23"/>
        <v xml:space="preserve">  </v>
      </c>
      <c r="N115" s="749"/>
      <c r="O115" s="749"/>
      <c r="P115" s="749"/>
      <c r="Q115" s="788"/>
      <c r="R115" s="944"/>
      <c r="S115" s="861"/>
      <c r="T115" s="861">
        <f t="shared" si="26"/>
        <v>0</v>
      </c>
      <c r="U115" s="864">
        <f t="shared" si="27"/>
        <v>0</v>
      </c>
      <c r="V115" s="862"/>
      <c r="W115" s="861">
        <f t="shared" si="24"/>
        <v>0</v>
      </c>
      <c r="X115" s="864">
        <f t="shared" si="28"/>
        <v>0</v>
      </c>
      <c r="Y115" s="866">
        <f t="shared" si="22"/>
        <v>0</v>
      </c>
      <c r="Z115" s="751"/>
      <c r="AA115" s="739"/>
      <c r="AB115" s="753"/>
      <c r="AC115" s="752">
        <f t="shared" si="29"/>
        <v>0</v>
      </c>
      <c r="AD115" s="739"/>
      <c r="AE115" s="891"/>
      <c r="AF115" s="891"/>
      <c r="AG115" s="891"/>
      <c r="AH115" s="891"/>
      <c r="AI115" s="900"/>
      <c r="AJ115" s="753"/>
      <c r="AK115" s="739"/>
      <c r="AL115" s="874"/>
      <c r="AM115" s="862">
        <f t="shared" si="30"/>
        <v>0</v>
      </c>
      <c r="AN115" s="755" t="str">
        <f t="shared" ca="1" si="31"/>
        <v/>
      </c>
      <c r="AO115" s="753"/>
      <c r="AP115" s="753"/>
      <c r="AQ115" s="753"/>
      <c r="AR115" s="753"/>
      <c r="AS115" s="753"/>
      <c r="AT115" s="739"/>
      <c r="AU115" s="739"/>
      <c r="AV115" s="739"/>
      <c r="AW115" s="739"/>
      <c r="AX115" s="739"/>
      <c r="AY115" s="882"/>
      <c r="AZ115" s="739"/>
      <c r="BA115" s="739"/>
      <c r="BB115" s="739"/>
      <c r="BC115" s="739"/>
      <c r="BD115" s="739">
        <f t="shared" si="32"/>
        <v>0</v>
      </c>
      <c r="BE115" s="739"/>
      <c r="BF115" s="882">
        <f t="shared" si="33"/>
        <v>0</v>
      </c>
    </row>
    <row r="116" spans="1:58" x14ac:dyDescent="0.25">
      <c r="A116" s="931"/>
      <c r="B116" s="773"/>
      <c r="C116" s="897"/>
      <c r="D116" s="928"/>
      <c r="E116" s="744"/>
      <c r="F116" s="744">
        <f t="shared" si="25"/>
        <v>0</v>
      </c>
      <c r="G116" s="773"/>
      <c r="H116" s="753"/>
      <c r="I116" s="806"/>
      <c r="J116" s="839"/>
      <c r="K116" s="839"/>
      <c r="L116" s="839"/>
      <c r="M116" s="927" t="str">
        <f t="shared" si="23"/>
        <v xml:space="preserve">  </v>
      </c>
      <c r="N116" s="749"/>
      <c r="O116" s="749"/>
      <c r="P116" s="749"/>
      <c r="Q116" s="749"/>
      <c r="R116" s="937"/>
      <c r="S116" s="861"/>
      <c r="T116" s="861">
        <f t="shared" si="26"/>
        <v>0</v>
      </c>
      <c r="U116" s="864">
        <f t="shared" si="27"/>
        <v>0</v>
      </c>
      <c r="V116" s="862"/>
      <c r="W116" s="861">
        <f t="shared" si="24"/>
        <v>0</v>
      </c>
      <c r="X116" s="864">
        <f t="shared" si="28"/>
        <v>0</v>
      </c>
      <c r="Y116" s="866">
        <f t="shared" si="22"/>
        <v>0</v>
      </c>
      <c r="Z116" s="751"/>
      <c r="AA116" s="739"/>
      <c r="AB116" s="753"/>
      <c r="AC116" s="752">
        <f t="shared" si="29"/>
        <v>0</v>
      </c>
      <c r="AD116" s="739"/>
      <c r="AE116" s="891"/>
      <c r="AF116" s="891"/>
      <c r="AG116" s="891"/>
      <c r="AH116" s="891"/>
      <c r="AI116" s="900"/>
      <c r="AJ116" s="753"/>
      <c r="AK116" s="739"/>
      <c r="AL116" s="874"/>
      <c r="AM116" s="862">
        <f t="shared" si="30"/>
        <v>0</v>
      </c>
      <c r="AN116" s="755" t="str">
        <f t="shared" ca="1" si="31"/>
        <v/>
      </c>
      <c r="AO116" s="753"/>
      <c r="AP116" s="753"/>
      <c r="AQ116" s="753"/>
      <c r="AR116" s="753"/>
      <c r="AS116" s="753"/>
      <c r="AT116" s="739"/>
      <c r="AU116" s="739"/>
      <c r="AV116" s="739"/>
      <c r="AW116" s="739"/>
      <c r="AX116" s="739"/>
      <c r="AY116" s="882"/>
      <c r="AZ116" s="739"/>
      <c r="BA116" s="739"/>
      <c r="BB116" s="739"/>
      <c r="BC116" s="739"/>
      <c r="BD116" s="739">
        <f t="shared" si="32"/>
        <v>0</v>
      </c>
      <c r="BE116" s="739"/>
      <c r="BF116" s="882">
        <f t="shared" si="33"/>
        <v>0</v>
      </c>
    </row>
    <row r="117" spans="1:58" x14ac:dyDescent="0.25">
      <c r="A117" s="931"/>
      <c r="B117" s="773"/>
      <c r="C117" s="897"/>
      <c r="D117" s="928"/>
      <c r="E117" s="744"/>
      <c r="F117" s="744">
        <f t="shared" si="25"/>
        <v>0</v>
      </c>
      <c r="G117" s="773"/>
      <c r="H117" s="753"/>
      <c r="I117" s="806"/>
      <c r="J117" s="838"/>
      <c r="K117" s="839"/>
      <c r="L117" s="839"/>
      <c r="M117" s="927" t="str">
        <f t="shared" si="23"/>
        <v xml:space="preserve">  </v>
      </c>
      <c r="N117" s="749"/>
      <c r="O117" s="749"/>
      <c r="P117" s="749"/>
      <c r="Q117" s="749"/>
      <c r="R117" s="937"/>
      <c r="S117" s="861"/>
      <c r="T117" s="861">
        <f t="shared" si="26"/>
        <v>0</v>
      </c>
      <c r="U117" s="864">
        <f t="shared" si="27"/>
        <v>0</v>
      </c>
      <c r="V117" s="862"/>
      <c r="W117" s="861">
        <f t="shared" si="24"/>
        <v>0</v>
      </c>
      <c r="X117" s="864">
        <f t="shared" si="28"/>
        <v>0</v>
      </c>
      <c r="Y117" s="866">
        <f t="shared" si="22"/>
        <v>0</v>
      </c>
      <c r="Z117" s="751"/>
      <c r="AA117" s="739"/>
      <c r="AB117" s="753"/>
      <c r="AC117" s="752">
        <f t="shared" si="29"/>
        <v>0</v>
      </c>
      <c r="AD117" s="739"/>
      <c r="AE117" s="891"/>
      <c r="AF117" s="891"/>
      <c r="AG117" s="891"/>
      <c r="AH117" s="891"/>
      <c r="AI117" s="900"/>
      <c r="AJ117" s="753"/>
      <c r="AK117" s="739"/>
      <c r="AL117" s="874"/>
      <c r="AM117" s="862">
        <f t="shared" si="30"/>
        <v>0</v>
      </c>
      <c r="AN117" s="755" t="str">
        <f t="shared" ca="1" si="31"/>
        <v/>
      </c>
      <c r="AO117" s="753"/>
      <c r="AP117" s="753"/>
      <c r="AQ117" s="753"/>
      <c r="AR117" s="753"/>
      <c r="AS117" s="753"/>
      <c r="AT117" s="739"/>
      <c r="AU117" s="739"/>
      <c r="AV117" s="739"/>
      <c r="AW117" s="739"/>
      <c r="AX117" s="739"/>
      <c r="AY117" s="882"/>
      <c r="AZ117" s="739"/>
      <c r="BA117" s="739"/>
      <c r="BB117" s="739"/>
      <c r="BC117" s="739"/>
      <c r="BD117" s="739">
        <f t="shared" si="32"/>
        <v>0</v>
      </c>
      <c r="BE117" s="739"/>
      <c r="BF117" s="882">
        <f t="shared" si="33"/>
        <v>0</v>
      </c>
    </row>
    <row r="118" spans="1:58" x14ac:dyDescent="0.25">
      <c r="A118" s="931"/>
      <c r="B118" s="773"/>
      <c r="C118" s="897"/>
      <c r="D118" s="928"/>
      <c r="E118" s="744"/>
      <c r="F118" s="744">
        <f t="shared" si="25"/>
        <v>0</v>
      </c>
      <c r="G118" s="773"/>
      <c r="H118" s="753"/>
      <c r="I118" s="746"/>
      <c r="J118" s="833"/>
      <c r="K118" s="747"/>
      <c r="L118" s="747"/>
      <c r="M118" s="927" t="str">
        <f t="shared" si="23"/>
        <v xml:space="preserve">  </v>
      </c>
      <c r="N118" s="749"/>
      <c r="O118" s="749"/>
      <c r="P118" s="749"/>
      <c r="Q118" s="788"/>
      <c r="R118" s="937"/>
      <c r="S118" s="861"/>
      <c r="T118" s="861">
        <f t="shared" si="26"/>
        <v>0</v>
      </c>
      <c r="U118" s="864">
        <f t="shared" si="27"/>
        <v>0</v>
      </c>
      <c r="V118" s="862"/>
      <c r="W118" s="861">
        <f t="shared" si="24"/>
        <v>0</v>
      </c>
      <c r="X118" s="864">
        <f t="shared" si="28"/>
        <v>0</v>
      </c>
      <c r="Y118" s="866">
        <f t="shared" si="22"/>
        <v>0</v>
      </c>
      <c r="Z118" s="751"/>
      <c r="AA118" s="739"/>
      <c r="AB118" s="753"/>
      <c r="AC118" s="752">
        <f t="shared" si="29"/>
        <v>0</v>
      </c>
      <c r="AD118" s="739"/>
      <c r="AE118" s="891"/>
      <c r="AF118" s="891"/>
      <c r="AG118" s="891"/>
      <c r="AH118" s="891"/>
      <c r="AI118" s="900"/>
      <c r="AJ118" s="749"/>
      <c r="AK118" s="772"/>
      <c r="AL118" s="873"/>
      <c r="AM118" s="862">
        <f t="shared" si="30"/>
        <v>0</v>
      </c>
      <c r="AN118" s="755" t="str">
        <f t="shared" ca="1" si="31"/>
        <v/>
      </c>
      <c r="AO118" s="753"/>
      <c r="AP118" s="753"/>
      <c r="AQ118" s="753"/>
      <c r="AR118" s="753"/>
      <c r="AS118" s="753"/>
      <c r="AT118" s="739"/>
      <c r="AU118" s="739"/>
      <c r="AV118" s="739"/>
      <c r="AW118" s="739"/>
      <c r="AX118" s="739"/>
      <c r="AY118" s="882"/>
      <c r="AZ118" s="739"/>
      <c r="BA118" s="739"/>
      <c r="BB118" s="739"/>
      <c r="BC118" s="739"/>
      <c r="BD118" s="739">
        <f t="shared" si="32"/>
        <v>0</v>
      </c>
      <c r="BE118" s="739"/>
      <c r="BF118" s="882">
        <f t="shared" si="33"/>
        <v>0</v>
      </c>
    </row>
    <row r="119" spans="1:58" x14ac:dyDescent="0.25">
      <c r="A119" s="931"/>
      <c r="B119" s="773"/>
      <c r="C119" s="897"/>
      <c r="D119" s="928"/>
      <c r="E119" s="744"/>
      <c r="F119" s="744">
        <f t="shared" si="25"/>
        <v>0</v>
      </c>
      <c r="G119" s="773"/>
      <c r="H119" s="753"/>
      <c r="I119" s="746"/>
      <c r="J119" s="833"/>
      <c r="K119" s="747"/>
      <c r="L119" s="747"/>
      <c r="M119" s="927" t="str">
        <f t="shared" si="23"/>
        <v xml:space="preserve">  </v>
      </c>
      <c r="N119" s="749"/>
      <c r="O119" s="749"/>
      <c r="P119" s="749"/>
      <c r="Q119" s="805"/>
      <c r="R119" s="945"/>
      <c r="S119" s="861"/>
      <c r="T119" s="861">
        <f t="shared" si="26"/>
        <v>0</v>
      </c>
      <c r="U119" s="864">
        <f t="shared" si="27"/>
        <v>0</v>
      </c>
      <c r="V119" s="862"/>
      <c r="W119" s="861">
        <f t="shared" si="24"/>
        <v>0</v>
      </c>
      <c r="X119" s="864">
        <f t="shared" si="28"/>
        <v>0</v>
      </c>
      <c r="Y119" s="866">
        <f t="shared" si="22"/>
        <v>0</v>
      </c>
      <c r="Z119" s="751"/>
      <c r="AA119" s="739"/>
      <c r="AB119" s="753"/>
      <c r="AC119" s="752">
        <f t="shared" si="29"/>
        <v>0</v>
      </c>
      <c r="AD119" s="739"/>
      <c r="AE119" s="891"/>
      <c r="AF119" s="891"/>
      <c r="AG119" s="891"/>
      <c r="AH119" s="891"/>
      <c r="AI119" s="900"/>
      <c r="AJ119" s="749"/>
      <c r="AK119" s="772"/>
      <c r="AL119" s="873"/>
      <c r="AM119" s="862">
        <f t="shared" si="30"/>
        <v>0</v>
      </c>
      <c r="AN119" s="755" t="str">
        <f t="shared" ca="1" si="31"/>
        <v/>
      </c>
      <c r="AO119" s="753"/>
      <c r="AP119" s="753"/>
      <c r="AQ119" s="753"/>
      <c r="AR119" s="753"/>
      <c r="AS119" s="753"/>
      <c r="AT119" s="739"/>
      <c r="AU119" s="739"/>
      <c r="AV119" s="739"/>
      <c r="AW119" s="739"/>
      <c r="AX119" s="739"/>
      <c r="AY119" s="882"/>
      <c r="AZ119" s="739"/>
      <c r="BA119" s="739"/>
      <c r="BB119" s="739"/>
      <c r="BC119" s="739"/>
      <c r="BD119" s="739">
        <f t="shared" si="32"/>
        <v>0</v>
      </c>
      <c r="BE119" s="739"/>
      <c r="BF119" s="882">
        <f t="shared" si="33"/>
        <v>0</v>
      </c>
    </row>
    <row r="120" spans="1:58" x14ac:dyDescent="0.25">
      <c r="A120" s="931"/>
      <c r="B120" s="773"/>
      <c r="C120" s="897"/>
      <c r="D120" s="928"/>
      <c r="E120" s="758"/>
      <c r="F120" s="744">
        <f t="shared" si="25"/>
        <v>0</v>
      </c>
      <c r="G120" s="773"/>
      <c r="H120" s="753"/>
      <c r="I120" s="746"/>
      <c r="J120" s="833"/>
      <c r="K120" s="747"/>
      <c r="L120" s="747"/>
      <c r="M120" s="927" t="str">
        <f t="shared" si="23"/>
        <v xml:space="preserve">  </v>
      </c>
      <c r="N120" s="749"/>
      <c r="O120" s="749"/>
      <c r="P120" s="749"/>
      <c r="Q120" s="805"/>
      <c r="R120" s="945"/>
      <c r="S120" s="861"/>
      <c r="T120" s="861">
        <f t="shared" si="26"/>
        <v>0</v>
      </c>
      <c r="U120" s="864">
        <f t="shared" si="27"/>
        <v>0</v>
      </c>
      <c r="V120" s="862"/>
      <c r="W120" s="861">
        <f t="shared" si="24"/>
        <v>0</v>
      </c>
      <c r="X120" s="864">
        <f t="shared" si="28"/>
        <v>0</v>
      </c>
      <c r="Y120" s="866">
        <f t="shared" si="22"/>
        <v>0</v>
      </c>
      <c r="Z120" s="751"/>
      <c r="AA120" s="739"/>
      <c r="AB120" s="753"/>
      <c r="AC120" s="752">
        <f t="shared" si="29"/>
        <v>0</v>
      </c>
      <c r="AD120" s="739"/>
      <c r="AE120" s="891"/>
      <c r="AF120" s="891"/>
      <c r="AG120" s="891"/>
      <c r="AH120" s="891"/>
      <c r="AI120" s="900"/>
      <c r="AJ120" s="749"/>
      <c r="AK120" s="772"/>
      <c r="AL120" s="873"/>
      <c r="AM120" s="862">
        <f t="shared" si="30"/>
        <v>0</v>
      </c>
      <c r="AN120" s="755" t="str">
        <f t="shared" ca="1" si="31"/>
        <v/>
      </c>
      <c r="AO120" s="753"/>
      <c r="AP120" s="753"/>
      <c r="AQ120" s="753"/>
      <c r="AR120" s="753"/>
      <c r="AS120" s="753"/>
      <c r="AT120" s="739"/>
      <c r="AU120" s="739"/>
      <c r="AV120" s="739"/>
      <c r="AW120" s="739"/>
      <c r="AX120" s="739"/>
      <c r="AY120" s="882"/>
      <c r="AZ120" s="739"/>
      <c r="BA120" s="739"/>
      <c r="BB120" s="739"/>
      <c r="BC120" s="739"/>
      <c r="BD120" s="739">
        <f t="shared" si="32"/>
        <v>0</v>
      </c>
      <c r="BE120" s="739"/>
      <c r="BF120" s="882">
        <f t="shared" si="33"/>
        <v>0</v>
      </c>
    </row>
    <row r="121" spans="1:58" x14ac:dyDescent="0.25">
      <c r="A121" s="931"/>
      <c r="B121" s="773"/>
      <c r="C121" s="897"/>
      <c r="D121" s="928"/>
      <c r="E121" s="744"/>
      <c r="F121" s="744">
        <f t="shared" si="25"/>
        <v>0</v>
      </c>
      <c r="G121" s="773"/>
      <c r="H121" s="753"/>
      <c r="I121" s="746"/>
      <c r="J121" s="747"/>
      <c r="K121" s="747"/>
      <c r="L121" s="747"/>
      <c r="M121" s="927" t="str">
        <f t="shared" si="23"/>
        <v xml:space="preserve">  </v>
      </c>
      <c r="N121" s="749"/>
      <c r="O121" s="749"/>
      <c r="P121" s="749"/>
      <c r="Q121" s="749"/>
      <c r="R121" s="937"/>
      <c r="S121" s="861"/>
      <c r="T121" s="861">
        <f t="shared" si="26"/>
        <v>0</v>
      </c>
      <c r="U121" s="864">
        <f t="shared" si="27"/>
        <v>0</v>
      </c>
      <c r="V121" s="862"/>
      <c r="W121" s="861">
        <f t="shared" si="24"/>
        <v>0</v>
      </c>
      <c r="X121" s="864">
        <f t="shared" si="28"/>
        <v>0</v>
      </c>
      <c r="Y121" s="866">
        <f t="shared" si="22"/>
        <v>0</v>
      </c>
      <c r="Z121" s="751"/>
      <c r="AA121" s="739"/>
      <c r="AB121" s="753"/>
      <c r="AC121" s="752">
        <f t="shared" si="29"/>
        <v>0</v>
      </c>
      <c r="AD121" s="739"/>
      <c r="AE121" s="891"/>
      <c r="AF121" s="891"/>
      <c r="AG121" s="891"/>
      <c r="AH121" s="891"/>
      <c r="AI121" s="900"/>
      <c r="AJ121" s="749"/>
      <c r="AK121" s="772"/>
      <c r="AL121" s="873"/>
      <c r="AM121" s="862">
        <f t="shared" si="30"/>
        <v>0</v>
      </c>
      <c r="AN121" s="755" t="str">
        <f t="shared" ca="1" si="31"/>
        <v/>
      </c>
      <c r="AO121" s="753"/>
      <c r="AP121" s="753"/>
      <c r="AQ121" s="753"/>
      <c r="AR121" s="753"/>
      <c r="AS121" s="753"/>
      <c r="AT121" s="739"/>
      <c r="AU121" s="739"/>
      <c r="AV121" s="739"/>
      <c r="AW121" s="739"/>
      <c r="AX121" s="739"/>
      <c r="AY121" s="882"/>
      <c r="AZ121" s="739"/>
      <c r="BA121" s="739"/>
      <c r="BB121" s="739"/>
      <c r="BC121" s="739"/>
      <c r="BD121" s="739">
        <f t="shared" si="32"/>
        <v>0</v>
      </c>
      <c r="BE121" s="739"/>
      <c r="BF121" s="882">
        <f t="shared" si="33"/>
        <v>0</v>
      </c>
    </row>
    <row r="122" spans="1:58" x14ac:dyDescent="0.25">
      <c r="A122" s="931"/>
      <c r="B122" s="773"/>
      <c r="C122" s="897"/>
      <c r="D122" s="928"/>
      <c r="E122" s="744"/>
      <c r="F122" s="744">
        <f t="shared" si="25"/>
        <v>0</v>
      </c>
      <c r="G122" s="773"/>
      <c r="H122" s="753"/>
      <c r="I122" s="746"/>
      <c r="J122" s="747"/>
      <c r="K122" s="747"/>
      <c r="L122" s="747"/>
      <c r="M122" s="927" t="str">
        <f t="shared" si="23"/>
        <v xml:space="preserve">  </v>
      </c>
      <c r="N122" s="749"/>
      <c r="O122" s="749"/>
      <c r="P122" s="749"/>
      <c r="Q122" s="1087"/>
      <c r="R122" s="937"/>
      <c r="S122" s="861"/>
      <c r="T122" s="861">
        <f t="shared" si="26"/>
        <v>0</v>
      </c>
      <c r="U122" s="864">
        <f t="shared" si="27"/>
        <v>0</v>
      </c>
      <c r="V122" s="862"/>
      <c r="W122" s="861">
        <f t="shared" si="24"/>
        <v>0</v>
      </c>
      <c r="X122" s="864">
        <f t="shared" si="28"/>
        <v>0</v>
      </c>
      <c r="Y122" s="866">
        <f t="shared" si="22"/>
        <v>0</v>
      </c>
      <c r="Z122" s="751"/>
      <c r="AA122" s="739"/>
      <c r="AB122" s="753"/>
      <c r="AC122" s="752">
        <f t="shared" si="29"/>
        <v>0</v>
      </c>
      <c r="AD122" s="739"/>
      <c r="AE122" s="891"/>
      <c r="AF122" s="891"/>
      <c r="AG122" s="891"/>
      <c r="AH122" s="891"/>
      <c r="AI122" s="900"/>
      <c r="AJ122" s="749"/>
      <c r="AK122" s="772"/>
      <c r="AL122" s="873"/>
      <c r="AM122" s="862">
        <f t="shared" si="30"/>
        <v>0</v>
      </c>
      <c r="AN122" s="755" t="str">
        <f t="shared" ca="1" si="31"/>
        <v/>
      </c>
      <c r="AO122" s="753"/>
      <c r="AP122" s="753"/>
      <c r="AQ122" s="753"/>
      <c r="AR122" s="753"/>
      <c r="AS122" s="753"/>
      <c r="AT122" s="739"/>
      <c r="AU122" s="739"/>
      <c r="AV122" s="739"/>
      <c r="AW122" s="739"/>
      <c r="AX122" s="739"/>
      <c r="AY122" s="882"/>
      <c r="AZ122" s="739"/>
      <c r="BA122" s="739"/>
      <c r="BB122" s="739"/>
      <c r="BC122" s="739"/>
      <c r="BD122" s="739">
        <f t="shared" si="32"/>
        <v>0</v>
      </c>
      <c r="BE122" s="739"/>
      <c r="BF122" s="882">
        <f t="shared" si="33"/>
        <v>0</v>
      </c>
    </row>
    <row r="123" spans="1:58" x14ac:dyDescent="0.25">
      <c r="A123" s="931"/>
      <c r="B123" s="773"/>
      <c r="C123" s="897"/>
      <c r="D123" s="928"/>
      <c r="E123" s="744"/>
      <c r="F123" s="744">
        <f t="shared" si="25"/>
        <v>0</v>
      </c>
      <c r="G123" s="773"/>
      <c r="H123" s="753"/>
      <c r="I123" s="746"/>
      <c r="J123" s="747"/>
      <c r="K123" s="747"/>
      <c r="L123" s="747"/>
      <c r="M123" s="927" t="str">
        <f t="shared" si="23"/>
        <v xml:space="preserve">  </v>
      </c>
      <c r="N123" s="785"/>
      <c r="O123" s="785"/>
      <c r="P123" s="785"/>
      <c r="Q123" s="788"/>
      <c r="R123" s="937"/>
      <c r="S123" s="861"/>
      <c r="T123" s="861">
        <f t="shared" si="26"/>
        <v>0</v>
      </c>
      <c r="U123" s="864">
        <f t="shared" si="27"/>
        <v>0</v>
      </c>
      <c r="V123" s="862"/>
      <c r="W123" s="861">
        <f t="shared" si="24"/>
        <v>0</v>
      </c>
      <c r="X123" s="864">
        <f t="shared" si="28"/>
        <v>0</v>
      </c>
      <c r="Y123" s="866">
        <f t="shared" si="22"/>
        <v>0</v>
      </c>
      <c r="Z123" s="751"/>
      <c r="AA123" s="739"/>
      <c r="AB123" s="753"/>
      <c r="AC123" s="752">
        <f t="shared" si="29"/>
        <v>0</v>
      </c>
      <c r="AD123" s="739"/>
      <c r="AE123" s="891"/>
      <c r="AF123" s="891"/>
      <c r="AG123" s="891"/>
      <c r="AH123" s="891"/>
      <c r="AI123" s="900"/>
      <c r="AJ123" s="749"/>
      <c r="AK123" s="772"/>
      <c r="AL123" s="873"/>
      <c r="AM123" s="862">
        <f t="shared" si="30"/>
        <v>0</v>
      </c>
      <c r="AN123" s="755" t="str">
        <f t="shared" ca="1" si="31"/>
        <v/>
      </c>
      <c r="AO123" s="753"/>
      <c r="AP123" s="753"/>
      <c r="AQ123" s="753"/>
      <c r="AR123" s="753"/>
      <c r="AS123" s="753"/>
      <c r="AT123" s="739"/>
      <c r="AU123" s="739"/>
      <c r="AV123" s="739"/>
      <c r="AW123" s="739"/>
      <c r="AX123" s="739"/>
      <c r="AY123" s="882"/>
      <c r="AZ123" s="739"/>
      <c r="BA123" s="739"/>
      <c r="BB123" s="739"/>
      <c r="BC123" s="739"/>
      <c r="BD123" s="739">
        <f t="shared" si="32"/>
        <v>0</v>
      </c>
      <c r="BE123" s="739"/>
      <c r="BF123" s="882">
        <f t="shared" si="33"/>
        <v>0</v>
      </c>
    </row>
    <row r="124" spans="1:58" x14ac:dyDescent="0.25">
      <c r="A124" s="931"/>
      <c r="B124" s="773"/>
      <c r="C124" s="897"/>
      <c r="D124" s="928"/>
      <c r="E124" s="744"/>
      <c r="F124" s="744">
        <f t="shared" si="25"/>
        <v>0</v>
      </c>
      <c r="G124" s="773"/>
      <c r="H124" s="753"/>
      <c r="I124" s="746"/>
      <c r="J124" s="747"/>
      <c r="K124" s="747"/>
      <c r="L124" s="747"/>
      <c r="M124" s="927" t="str">
        <f t="shared" si="23"/>
        <v xml:space="preserve">  </v>
      </c>
      <c r="N124" s="785"/>
      <c r="O124" s="785"/>
      <c r="P124" s="785"/>
      <c r="Q124" s="779"/>
      <c r="R124" s="944"/>
      <c r="S124" s="861"/>
      <c r="T124" s="861">
        <f t="shared" si="26"/>
        <v>0</v>
      </c>
      <c r="U124" s="864">
        <f t="shared" si="27"/>
        <v>0</v>
      </c>
      <c r="V124" s="862"/>
      <c r="W124" s="861">
        <f t="shared" si="24"/>
        <v>0</v>
      </c>
      <c r="X124" s="864">
        <f t="shared" si="28"/>
        <v>0</v>
      </c>
      <c r="Y124" s="866">
        <f t="shared" si="22"/>
        <v>0</v>
      </c>
      <c r="Z124" s="751"/>
      <c r="AA124" s="739"/>
      <c r="AB124" s="753"/>
      <c r="AC124" s="752">
        <f t="shared" si="29"/>
        <v>0</v>
      </c>
      <c r="AD124" s="739"/>
      <c r="AE124" s="891"/>
      <c r="AF124" s="891"/>
      <c r="AG124" s="891"/>
      <c r="AH124" s="891"/>
      <c r="AI124" s="900"/>
      <c r="AJ124" s="749"/>
      <c r="AK124" s="772"/>
      <c r="AL124" s="873"/>
      <c r="AM124" s="862">
        <f t="shared" si="30"/>
        <v>0</v>
      </c>
      <c r="AN124" s="755" t="str">
        <f t="shared" ca="1" si="31"/>
        <v/>
      </c>
      <c r="AO124" s="753"/>
      <c r="AP124" s="753"/>
      <c r="AQ124" s="753"/>
      <c r="AR124" s="753"/>
      <c r="AS124" s="753"/>
      <c r="AT124" s="739"/>
      <c r="AU124" s="739"/>
      <c r="AV124" s="739"/>
      <c r="AW124" s="739"/>
      <c r="AX124" s="739"/>
      <c r="AY124" s="882"/>
      <c r="AZ124" s="739"/>
      <c r="BA124" s="739"/>
      <c r="BB124" s="739"/>
      <c r="BC124" s="739"/>
      <c r="BD124" s="739">
        <f t="shared" si="32"/>
        <v>0</v>
      </c>
      <c r="BE124" s="739"/>
      <c r="BF124" s="882">
        <f t="shared" si="33"/>
        <v>0</v>
      </c>
    </row>
    <row r="125" spans="1:58" x14ac:dyDescent="0.25">
      <c r="A125" s="931"/>
      <c r="B125" s="773"/>
      <c r="C125" s="897"/>
      <c r="D125" s="928"/>
      <c r="E125" s="744"/>
      <c r="F125" s="744">
        <f t="shared" si="25"/>
        <v>0</v>
      </c>
      <c r="G125" s="773"/>
      <c r="H125" s="753"/>
      <c r="I125" s="746"/>
      <c r="J125" s="747"/>
      <c r="K125" s="747"/>
      <c r="L125" s="747"/>
      <c r="M125" s="927" t="str">
        <f t="shared" si="23"/>
        <v xml:space="preserve">  </v>
      </c>
      <c r="N125" s="749"/>
      <c r="O125" s="749"/>
      <c r="P125" s="749"/>
      <c r="Q125" s="807"/>
      <c r="R125" s="938"/>
      <c r="S125" s="861"/>
      <c r="T125" s="861">
        <f t="shared" si="26"/>
        <v>0</v>
      </c>
      <c r="U125" s="864">
        <f t="shared" si="27"/>
        <v>0</v>
      </c>
      <c r="V125" s="862"/>
      <c r="W125" s="861">
        <f t="shared" si="24"/>
        <v>0</v>
      </c>
      <c r="X125" s="864">
        <f t="shared" si="28"/>
        <v>0</v>
      </c>
      <c r="Y125" s="866">
        <f t="shared" si="22"/>
        <v>0</v>
      </c>
      <c r="Z125" s="751"/>
      <c r="AA125" s="739"/>
      <c r="AB125" s="753"/>
      <c r="AC125" s="752">
        <f t="shared" si="29"/>
        <v>0</v>
      </c>
      <c r="AD125" s="739"/>
      <c r="AE125" s="891"/>
      <c r="AF125" s="891"/>
      <c r="AG125" s="891"/>
      <c r="AH125" s="891"/>
      <c r="AI125" s="900"/>
      <c r="AJ125" s="749"/>
      <c r="AK125" s="772"/>
      <c r="AL125" s="873"/>
      <c r="AM125" s="862">
        <f t="shared" si="30"/>
        <v>0</v>
      </c>
      <c r="AN125" s="755" t="str">
        <f t="shared" ca="1" si="31"/>
        <v/>
      </c>
      <c r="AO125" s="753"/>
      <c r="AP125" s="753"/>
      <c r="AQ125" s="753"/>
      <c r="AR125" s="753"/>
      <c r="AS125" s="753"/>
      <c r="AT125" s="739"/>
      <c r="AU125" s="739"/>
      <c r="AV125" s="739"/>
      <c r="AW125" s="739"/>
      <c r="AX125" s="739"/>
      <c r="AY125" s="882"/>
      <c r="AZ125" s="739"/>
      <c r="BA125" s="739"/>
      <c r="BB125" s="739"/>
      <c r="BC125" s="739"/>
      <c r="BD125" s="739">
        <f t="shared" si="32"/>
        <v>0</v>
      </c>
      <c r="BE125" s="739"/>
      <c r="BF125" s="882">
        <f t="shared" si="33"/>
        <v>0</v>
      </c>
    </row>
    <row r="126" spans="1:58" x14ac:dyDescent="0.25">
      <c r="A126" s="931"/>
      <c r="B126" s="773"/>
      <c r="C126" s="897"/>
      <c r="D126" s="928"/>
      <c r="E126" s="744"/>
      <c r="F126" s="744">
        <f t="shared" si="25"/>
        <v>0</v>
      </c>
      <c r="G126" s="773"/>
      <c r="H126" s="753"/>
      <c r="I126" s="746"/>
      <c r="J126" s="747"/>
      <c r="K126" s="747"/>
      <c r="L126" s="747"/>
      <c r="M126" s="927" t="str">
        <f t="shared" si="23"/>
        <v xml:space="preserve">  </v>
      </c>
      <c r="N126" s="749"/>
      <c r="O126" s="749"/>
      <c r="P126" s="749"/>
      <c r="Q126" s="807"/>
      <c r="R126" s="938"/>
      <c r="S126" s="861"/>
      <c r="T126" s="861">
        <f t="shared" si="26"/>
        <v>0</v>
      </c>
      <c r="U126" s="864">
        <f t="shared" si="27"/>
        <v>0</v>
      </c>
      <c r="V126" s="862"/>
      <c r="W126" s="861">
        <f t="shared" si="24"/>
        <v>0</v>
      </c>
      <c r="X126" s="864">
        <f t="shared" si="28"/>
        <v>0</v>
      </c>
      <c r="Y126" s="866">
        <f t="shared" si="22"/>
        <v>0</v>
      </c>
      <c r="Z126" s="751"/>
      <c r="AA126" s="739"/>
      <c r="AB126" s="753"/>
      <c r="AC126" s="752">
        <f t="shared" si="29"/>
        <v>0</v>
      </c>
      <c r="AD126" s="739"/>
      <c r="AE126" s="891"/>
      <c r="AF126" s="891"/>
      <c r="AG126" s="891"/>
      <c r="AH126" s="891"/>
      <c r="AI126" s="900"/>
      <c r="AJ126" s="749"/>
      <c r="AK126" s="772"/>
      <c r="AL126" s="873"/>
      <c r="AM126" s="862">
        <f t="shared" si="30"/>
        <v>0</v>
      </c>
      <c r="AN126" s="755" t="str">
        <f t="shared" ca="1" si="31"/>
        <v/>
      </c>
      <c r="AO126" s="753"/>
      <c r="AP126" s="753"/>
      <c r="AQ126" s="753"/>
      <c r="AR126" s="753"/>
      <c r="AS126" s="753"/>
      <c r="AT126" s="739"/>
      <c r="AU126" s="739"/>
      <c r="AV126" s="739"/>
      <c r="AW126" s="739"/>
      <c r="AX126" s="739"/>
      <c r="AY126" s="882"/>
      <c r="AZ126" s="739"/>
      <c r="BA126" s="739"/>
      <c r="BB126" s="739"/>
      <c r="BC126" s="739"/>
      <c r="BD126" s="739">
        <f t="shared" si="32"/>
        <v>0</v>
      </c>
      <c r="BE126" s="739"/>
      <c r="BF126" s="882">
        <f t="shared" si="33"/>
        <v>0</v>
      </c>
    </row>
    <row r="127" spans="1:58" x14ac:dyDescent="0.25">
      <c r="A127" s="931"/>
      <c r="B127" s="773"/>
      <c r="C127" s="897"/>
      <c r="D127" s="928"/>
      <c r="E127" s="744"/>
      <c r="F127" s="744">
        <f t="shared" si="25"/>
        <v>0</v>
      </c>
      <c r="G127" s="773"/>
      <c r="H127" s="753"/>
      <c r="I127" s="746"/>
      <c r="J127" s="747"/>
      <c r="K127" s="747"/>
      <c r="L127" s="747"/>
      <c r="M127" s="927" t="str">
        <f t="shared" si="23"/>
        <v xml:space="preserve">  </v>
      </c>
      <c r="N127" s="749"/>
      <c r="O127" s="749"/>
      <c r="P127" s="749"/>
      <c r="Q127" s="760"/>
      <c r="R127" s="946"/>
      <c r="S127" s="861"/>
      <c r="T127" s="861">
        <f t="shared" si="26"/>
        <v>0</v>
      </c>
      <c r="U127" s="864">
        <f t="shared" si="27"/>
        <v>0</v>
      </c>
      <c r="V127" s="862"/>
      <c r="W127" s="861">
        <f t="shared" si="24"/>
        <v>0</v>
      </c>
      <c r="X127" s="864">
        <f t="shared" si="28"/>
        <v>0</v>
      </c>
      <c r="Y127" s="866">
        <f t="shared" si="22"/>
        <v>0</v>
      </c>
      <c r="Z127" s="751"/>
      <c r="AA127" s="739"/>
      <c r="AB127" s="753"/>
      <c r="AC127" s="752">
        <f t="shared" si="29"/>
        <v>0</v>
      </c>
      <c r="AD127" s="739"/>
      <c r="AE127" s="891"/>
      <c r="AF127" s="891"/>
      <c r="AG127" s="891"/>
      <c r="AH127" s="891"/>
      <c r="AI127" s="900"/>
      <c r="AJ127" s="749"/>
      <c r="AK127" s="772"/>
      <c r="AL127" s="873"/>
      <c r="AM127" s="862">
        <f t="shared" si="30"/>
        <v>0</v>
      </c>
      <c r="AN127" s="755" t="str">
        <f t="shared" ca="1" si="31"/>
        <v/>
      </c>
      <c r="AO127" s="753"/>
      <c r="AP127" s="753"/>
      <c r="AQ127" s="753"/>
      <c r="AR127" s="753"/>
      <c r="AS127" s="753"/>
      <c r="AT127" s="739"/>
      <c r="AU127" s="739"/>
      <c r="AV127" s="739"/>
      <c r="AW127" s="739"/>
      <c r="AX127" s="739"/>
      <c r="AY127" s="882"/>
      <c r="AZ127" s="739"/>
      <c r="BA127" s="739"/>
      <c r="BB127" s="739"/>
      <c r="BC127" s="739"/>
      <c r="BD127" s="739">
        <f t="shared" si="32"/>
        <v>0</v>
      </c>
      <c r="BE127" s="739"/>
      <c r="BF127" s="882">
        <f t="shared" si="33"/>
        <v>0</v>
      </c>
    </row>
    <row r="128" spans="1:58" x14ac:dyDescent="0.25">
      <c r="A128" s="931"/>
      <c r="B128" s="773"/>
      <c r="C128" s="897"/>
      <c r="D128" s="928"/>
      <c r="E128" s="744"/>
      <c r="F128" s="744">
        <f t="shared" si="25"/>
        <v>0</v>
      </c>
      <c r="G128" s="773"/>
      <c r="H128" s="753"/>
      <c r="I128" s="746"/>
      <c r="J128" s="747"/>
      <c r="K128" s="747"/>
      <c r="L128" s="747"/>
      <c r="M128" s="927" t="str">
        <f t="shared" si="23"/>
        <v xml:space="preserve">  </v>
      </c>
      <c r="N128" s="749"/>
      <c r="O128" s="749"/>
      <c r="P128" s="749"/>
      <c r="Q128" s="760"/>
      <c r="R128" s="946"/>
      <c r="S128" s="861"/>
      <c r="T128" s="861">
        <f t="shared" si="26"/>
        <v>0</v>
      </c>
      <c r="U128" s="864">
        <f t="shared" si="27"/>
        <v>0</v>
      </c>
      <c r="V128" s="862"/>
      <c r="W128" s="861">
        <f t="shared" si="24"/>
        <v>0</v>
      </c>
      <c r="X128" s="864">
        <f t="shared" si="28"/>
        <v>0</v>
      </c>
      <c r="Y128" s="866">
        <f t="shared" si="22"/>
        <v>0</v>
      </c>
      <c r="Z128" s="751"/>
      <c r="AA128" s="739"/>
      <c r="AB128" s="753"/>
      <c r="AC128" s="752">
        <f t="shared" si="29"/>
        <v>0</v>
      </c>
      <c r="AD128" s="739"/>
      <c r="AE128" s="891"/>
      <c r="AF128" s="891"/>
      <c r="AG128" s="891"/>
      <c r="AH128" s="891"/>
      <c r="AI128" s="900"/>
      <c r="AJ128" s="749"/>
      <c r="AK128" s="772"/>
      <c r="AL128" s="873"/>
      <c r="AM128" s="862">
        <f t="shared" si="30"/>
        <v>0</v>
      </c>
      <c r="AN128" s="755" t="str">
        <f t="shared" ca="1" si="31"/>
        <v/>
      </c>
      <c r="AO128" s="753"/>
      <c r="AP128" s="753"/>
      <c r="AQ128" s="753"/>
      <c r="AR128" s="753"/>
      <c r="AS128" s="753"/>
      <c r="AT128" s="739"/>
      <c r="AU128" s="739"/>
      <c r="AV128" s="739"/>
      <c r="AW128" s="739"/>
      <c r="AX128" s="739"/>
      <c r="AY128" s="882"/>
      <c r="AZ128" s="739"/>
      <c r="BA128" s="739"/>
      <c r="BB128" s="739"/>
      <c r="BC128" s="739"/>
      <c r="BD128" s="739">
        <f t="shared" si="32"/>
        <v>0</v>
      </c>
      <c r="BE128" s="739"/>
      <c r="BF128" s="882">
        <f t="shared" si="33"/>
        <v>0</v>
      </c>
    </row>
    <row r="129" spans="1:58" x14ac:dyDescent="0.25">
      <c r="A129" s="931"/>
      <c r="B129" s="773"/>
      <c r="C129" s="897"/>
      <c r="D129" s="928"/>
      <c r="E129" s="744"/>
      <c r="F129" s="744">
        <f t="shared" si="25"/>
        <v>0</v>
      </c>
      <c r="G129" s="773"/>
      <c r="H129" s="753"/>
      <c r="I129" s="746"/>
      <c r="J129" s="747"/>
      <c r="K129" s="747"/>
      <c r="L129" s="747"/>
      <c r="M129" s="927" t="str">
        <f t="shared" si="23"/>
        <v xml:space="preserve">  </v>
      </c>
      <c r="N129" s="749"/>
      <c r="O129" s="749"/>
      <c r="P129" s="749"/>
      <c r="Q129" s="749"/>
      <c r="R129" s="937"/>
      <c r="S129" s="861"/>
      <c r="T129" s="861">
        <f t="shared" si="26"/>
        <v>0</v>
      </c>
      <c r="U129" s="864">
        <f t="shared" si="27"/>
        <v>0</v>
      </c>
      <c r="V129" s="862"/>
      <c r="W129" s="861">
        <f t="shared" si="24"/>
        <v>0</v>
      </c>
      <c r="X129" s="864">
        <f t="shared" si="28"/>
        <v>0</v>
      </c>
      <c r="Y129" s="866">
        <f t="shared" si="22"/>
        <v>0</v>
      </c>
      <c r="Z129" s="751"/>
      <c r="AA129" s="739"/>
      <c r="AB129" s="753"/>
      <c r="AC129" s="752">
        <f t="shared" si="29"/>
        <v>0</v>
      </c>
      <c r="AD129" s="739"/>
      <c r="AE129" s="891"/>
      <c r="AF129" s="891"/>
      <c r="AG129" s="891"/>
      <c r="AH129" s="891"/>
      <c r="AI129" s="900"/>
      <c r="AJ129" s="749"/>
      <c r="AK129" s="772"/>
      <c r="AL129" s="873"/>
      <c r="AM129" s="862">
        <f t="shared" si="30"/>
        <v>0</v>
      </c>
      <c r="AN129" s="755" t="str">
        <f t="shared" ca="1" si="31"/>
        <v/>
      </c>
      <c r="AO129" s="753"/>
      <c r="AP129" s="753"/>
      <c r="AQ129" s="753"/>
      <c r="AR129" s="753"/>
      <c r="AS129" s="753"/>
      <c r="AT129" s="739"/>
      <c r="AU129" s="739"/>
      <c r="AV129" s="739"/>
      <c r="AW129" s="739"/>
      <c r="AX129" s="739"/>
      <c r="AY129" s="882"/>
      <c r="AZ129" s="739"/>
      <c r="BA129" s="739"/>
      <c r="BB129" s="739"/>
      <c r="BC129" s="739"/>
      <c r="BD129" s="739">
        <f t="shared" si="32"/>
        <v>0</v>
      </c>
      <c r="BE129" s="739"/>
      <c r="BF129" s="882">
        <f t="shared" si="33"/>
        <v>0</v>
      </c>
    </row>
    <row r="130" spans="1:58" x14ac:dyDescent="0.25">
      <c r="A130" s="931"/>
      <c r="B130" s="773"/>
      <c r="C130" s="897"/>
      <c r="D130" s="928"/>
      <c r="E130" s="744"/>
      <c r="F130" s="744">
        <f t="shared" si="25"/>
        <v>0</v>
      </c>
      <c r="G130" s="773"/>
      <c r="H130" s="753"/>
      <c r="I130" s="746"/>
      <c r="J130" s="747"/>
      <c r="K130" s="747"/>
      <c r="L130" s="747"/>
      <c r="M130" s="927" t="str">
        <f t="shared" si="23"/>
        <v xml:space="preserve">  </v>
      </c>
      <c r="N130" s="749"/>
      <c r="O130" s="749"/>
      <c r="P130" s="749"/>
      <c r="Q130" s="749"/>
      <c r="R130" s="944"/>
      <c r="S130" s="861"/>
      <c r="T130" s="861">
        <f t="shared" si="26"/>
        <v>0</v>
      </c>
      <c r="U130" s="864">
        <f t="shared" si="27"/>
        <v>0</v>
      </c>
      <c r="V130" s="862"/>
      <c r="W130" s="861">
        <f t="shared" si="24"/>
        <v>0</v>
      </c>
      <c r="X130" s="864">
        <f t="shared" si="28"/>
        <v>0</v>
      </c>
      <c r="Y130" s="866">
        <f t="shared" si="22"/>
        <v>0</v>
      </c>
      <c r="Z130" s="751"/>
      <c r="AA130" s="739"/>
      <c r="AB130" s="753"/>
      <c r="AC130" s="752">
        <f t="shared" si="29"/>
        <v>0</v>
      </c>
      <c r="AD130" s="739"/>
      <c r="AE130" s="891"/>
      <c r="AF130" s="891"/>
      <c r="AG130" s="891"/>
      <c r="AH130" s="891"/>
      <c r="AI130" s="900"/>
      <c r="AJ130" s="749"/>
      <c r="AK130" s="772"/>
      <c r="AL130" s="873"/>
      <c r="AM130" s="862">
        <f t="shared" si="30"/>
        <v>0</v>
      </c>
      <c r="AN130" s="755" t="str">
        <f t="shared" ca="1" si="31"/>
        <v/>
      </c>
      <c r="AO130" s="753"/>
      <c r="AP130" s="753"/>
      <c r="AQ130" s="753"/>
      <c r="AR130" s="753"/>
      <c r="AS130" s="753"/>
      <c r="AT130" s="739"/>
      <c r="AU130" s="739"/>
      <c r="AV130" s="739"/>
      <c r="AW130" s="739"/>
      <c r="AX130" s="739"/>
      <c r="AY130" s="882"/>
      <c r="AZ130" s="739"/>
      <c r="BA130" s="739"/>
      <c r="BB130" s="739"/>
      <c r="BC130" s="739"/>
      <c r="BD130" s="739">
        <f t="shared" si="32"/>
        <v>0</v>
      </c>
      <c r="BE130" s="739"/>
      <c r="BF130" s="882">
        <f t="shared" si="33"/>
        <v>0</v>
      </c>
    </row>
    <row r="131" spans="1:58" x14ac:dyDescent="0.25">
      <c r="A131" s="931"/>
      <c r="B131" s="773"/>
      <c r="C131" s="897"/>
      <c r="D131" s="928"/>
      <c r="E131" s="744"/>
      <c r="F131" s="744">
        <f t="shared" si="25"/>
        <v>0</v>
      </c>
      <c r="G131" s="773"/>
      <c r="H131" s="753"/>
      <c r="I131" s="746"/>
      <c r="J131" s="747"/>
      <c r="K131" s="747"/>
      <c r="L131" s="747"/>
      <c r="M131" s="927" t="str">
        <f t="shared" si="23"/>
        <v xml:space="preserve">  </v>
      </c>
      <c r="N131" s="749"/>
      <c r="O131" s="749"/>
      <c r="P131" s="749"/>
      <c r="Q131" s="749"/>
      <c r="R131" s="944"/>
      <c r="S131" s="861"/>
      <c r="T131" s="861">
        <f t="shared" si="26"/>
        <v>0</v>
      </c>
      <c r="U131" s="864">
        <f t="shared" si="27"/>
        <v>0</v>
      </c>
      <c r="V131" s="862"/>
      <c r="W131" s="861">
        <f t="shared" si="24"/>
        <v>0</v>
      </c>
      <c r="X131" s="864">
        <f t="shared" si="28"/>
        <v>0</v>
      </c>
      <c r="Y131" s="866">
        <f t="shared" si="22"/>
        <v>0</v>
      </c>
      <c r="Z131" s="751"/>
      <c r="AA131" s="739"/>
      <c r="AB131" s="753"/>
      <c r="AC131" s="752">
        <f t="shared" si="29"/>
        <v>0</v>
      </c>
      <c r="AD131" s="739"/>
      <c r="AE131" s="891"/>
      <c r="AF131" s="891"/>
      <c r="AG131" s="891"/>
      <c r="AH131" s="891"/>
      <c r="AI131" s="900"/>
      <c r="AJ131" s="749"/>
      <c r="AK131" s="772"/>
      <c r="AL131" s="873"/>
      <c r="AM131" s="862">
        <f t="shared" si="30"/>
        <v>0</v>
      </c>
      <c r="AN131" s="755" t="str">
        <f t="shared" ca="1" si="31"/>
        <v/>
      </c>
      <c r="AO131" s="753"/>
      <c r="AP131" s="753"/>
      <c r="AQ131" s="753"/>
      <c r="AR131" s="753"/>
      <c r="AS131" s="753"/>
      <c r="AT131" s="739"/>
      <c r="AU131" s="739"/>
      <c r="AV131" s="739"/>
      <c r="AW131" s="739"/>
      <c r="AX131" s="739"/>
      <c r="AY131" s="882"/>
      <c r="AZ131" s="739"/>
      <c r="BA131" s="739"/>
      <c r="BB131" s="739"/>
      <c r="BC131" s="739"/>
      <c r="BD131" s="739">
        <f t="shared" si="32"/>
        <v>0</v>
      </c>
      <c r="BE131" s="739"/>
      <c r="BF131" s="882">
        <f t="shared" si="33"/>
        <v>0</v>
      </c>
    </row>
    <row r="132" spans="1:58" x14ac:dyDescent="0.25">
      <c r="A132" s="931"/>
      <c r="B132" s="773"/>
      <c r="C132" s="897"/>
      <c r="D132" s="928"/>
      <c r="E132" s="744"/>
      <c r="F132" s="744">
        <f t="shared" si="25"/>
        <v>0</v>
      </c>
      <c r="G132" s="773"/>
      <c r="H132" s="753"/>
      <c r="I132" s="746"/>
      <c r="J132" s="747"/>
      <c r="K132" s="747"/>
      <c r="L132" s="747"/>
      <c r="M132" s="927" t="str">
        <f t="shared" si="23"/>
        <v xml:space="preserve">  </v>
      </c>
      <c r="N132" s="749"/>
      <c r="O132" s="749"/>
      <c r="P132" s="749"/>
      <c r="Q132" s="749"/>
      <c r="R132" s="937"/>
      <c r="S132" s="861"/>
      <c r="T132" s="861">
        <f t="shared" si="26"/>
        <v>0</v>
      </c>
      <c r="U132" s="864">
        <f t="shared" si="27"/>
        <v>0</v>
      </c>
      <c r="V132" s="862"/>
      <c r="W132" s="861">
        <f t="shared" si="24"/>
        <v>0</v>
      </c>
      <c r="X132" s="864">
        <f t="shared" si="28"/>
        <v>0</v>
      </c>
      <c r="Y132" s="866">
        <f t="shared" ref="Y132:Y195" si="34">+S132+AL132</f>
        <v>0</v>
      </c>
      <c r="Z132" s="751"/>
      <c r="AA132" s="739"/>
      <c r="AB132" s="753"/>
      <c r="AC132" s="752">
        <f t="shared" si="29"/>
        <v>0</v>
      </c>
      <c r="AD132" s="739"/>
      <c r="AE132" s="891"/>
      <c r="AF132" s="891"/>
      <c r="AG132" s="891"/>
      <c r="AH132" s="891"/>
      <c r="AI132" s="900"/>
      <c r="AJ132" s="749"/>
      <c r="AK132" s="772"/>
      <c r="AL132" s="873"/>
      <c r="AM132" s="862">
        <f t="shared" si="30"/>
        <v>0</v>
      </c>
      <c r="AN132" s="755" t="str">
        <f t="shared" ca="1" si="31"/>
        <v/>
      </c>
      <c r="AO132" s="753"/>
      <c r="AP132" s="753"/>
      <c r="AQ132" s="753"/>
      <c r="AR132" s="753"/>
      <c r="AS132" s="753"/>
      <c r="AT132" s="739"/>
      <c r="AU132" s="739"/>
      <c r="AV132" s="739"/>
      <c r="AW132" s="739"/>
      <c r="AX132" s="739"/>
      <c r="AY132" s="882"/>
      <c r="AZ132" s="739"/>
      <c r="BA132" s="739"/>
      <c r="BB132" s="739"/>
      <c r="BC132" s="739"/>
      <c r="BD132" s="739">
        <f t="shared" si="32"/>
        <v>0</v>
      </c>
      <c r="BE132" s="739"/>
      <c r="BF132" s="882">
        <f t="shared" si="33"/>
        <v>0</v>
      </c>
    </row>
    <row r="133" spans="1:58" x14ac:dyDescent="0.25">
      <c r="A133" s="931"/>
      <c r="B133" s="773"/>
      <c r="C133" s="897"/>
      <c r="D133" s="928"/>
      <c r="E133" s="744"/>
      <c r="F133" s="744">
        <f t="shared" si="25"/>
        <v>0</v>
      </c>
      <c r="G133" s="773"/>
      <c r="H133" s="753"/>
      <c r="I133" s="748"/>
      <c r="J133" s="747"/>
      <c r="K133" s="747"/>
      <c r="L133" s="747"/>
      <c r="M133" s="927" t="str">
        <f t="shared" si="23"/>
        <v xml:space="preserve">  </v>
      </c>
      <c r="N133" s="749"/>
      <c r="O133" s="749"/>
      <c r="P133" s="749"/>
      <c r="Q133" s="749"/>
      <c r="R133" s="937"/>
      <c r="S133" s="861"/>
      <c r="T133" s="861">
        <f t="shared" si="26"/>
        <v>0</v>
      </c>
      <c r="U133" s="864">
        <f t="shared" si="27"/>
        <v>0</v>
      </c>
      <c r="V133" s="862"/>
      <c r="W133" s="861">
        <f t="shared" si="24"/>
        <v>0</v>
      </c>
      <c r="X133" s="864">
        <f t="shared" si="28"/>
        <v>0</v>
      </c>
      <c r="Y133" s="866">
        <f t="shared" si="34"/>
        <v>0</v>
      </c>
      <c r="Z133" s="751"/>
      <c r="AA133" s="739"/>
      <c r="AB133" s="753"/>
      <c r="AC133" s="752">
        <f t="shared" si="29"/>
        <v>0</v>
      </c>
      <c r="AD133" s="739"/>
      <c r="AE133" s="891"/>
      <c r="AF133" s="891"/>
      <c r="AG133" s="891"/>
      <c r="AH133" s="891"/>
      <c r="AI133" s="900"/>
      <c r="AJ133" s="749"/>
      <c r="AK133" s="772"/>
      <c r="AL133" s="873"/>
      <c r="AM133" s="862">
        <f t="shared" si="30"/>
        <v>0</v>
      </c>
      <c r="AN133" s="755" t="str">
        <f t="shared" ca="1" si="31"/>
        <v/>
      </c>
      <c r="AO133" s="753"/>
      <c r="AP133" s="753"/>
      <c r="AQ133" s="753"/>
      <c r="AR133" s="753"/>
      <c r="AS133" s="753"/>
      <c r="AT133" s="739"/>
      <c r="AU133" s="739"/>
      <c r="AV133" s="739"/>
      <c r="AW133" s="739"/>
      <c r="AX133" s="739"/>
      <c r="AY133" s="882"/>
      <c r="AZ133" s="739"/>
      <c r="BA133" s="739"/>
      <c r="BB133" s="739"/>
      <c r="BC133" s="739"/>
      <c r="BD133" s="739">
        <f t="shared" si="32"/>
        <v>0</v>
      </c>
      <c r="BE133" s="739"/>
      <c r="BF133" s="882">
        <f t="shared" si="33"/>
        <v>0</v>
      </c>
    </row>
    <row r="134" spans="1:58" x14ac:dyDescent="0.25">
      <c r="A134" s="931"/>
      <c r="B134" s="773"/>
      <c r="C134" s="897"/>
      <c r="D134" s="928"/>
      <c r="E134" s="744"/>
      <c r="F134" s="744">
        <f t="shared" si="25"/>
        <v>0</v>
      </c>
      <c r="G134" s="773"/>
      <c r="H134" s="753"/>
      <c r="I134" s="746"/>
      <c r="J134" s="771"/>
      <c r="K134" s="771"/>
      <c r="L134" s="771"/>
      <c r="M134" s="927" t="str">
        <f t="shared" si="23"/>
        <v xml:space="preserve">  </v>
      </c>
      <c r="N134" s="749"/>
      <c r="O134" s="749"/>
      <c r="P134" s="749"/>
      <c r="Q134" s="749"/>
      <c r="R134" s="937"/>
      <c r="S134" s="861"/>
      <c r="T134" s="861">
        <f t="shared" si="26"/>
        <v>0</v>
      </c>
      <c r="U134" s="864">
        <f t="shared" si="27"/>
        <v>0</v>
      </c>
      <c r="V134" s="862"/>
      <c r="W134" s="861">
        <f t="shared" si="24"/>
        <v>0</v>
      </c>
      <c r="X134" s="864">
        <f t="shared" si="28"/>
        <v>0</v>
      </c>
      <c r="Y134" s="866">
        <f t="shared" si="34"/>
        <v>0</v>
      </c>
      <c r="Z134" s="751"/>
      <c r="AA134" s="739"/>
      <c r="AB134" s="753"/>
      <c r="AC134" s="752">
        <f t="shared" si="29"/>
        <v>0</v>
      </c>
      <c r="AD134" s="739"/>
      <c r="AE134" s="891"/>
      <c r="AF134" s="891"/>
      <c r="AG134" s="891"/>
      <c r="AH134" s="891"/>
      <c r="AI134" s="900"/>
      <c r="AJ134" s="750"/>
      <c r="AK134" s="772"/>
      <c r="AL134" s="873"/>
      <c r="AM134" s="862">
        <f t="shared" si="30"/>
        <v>0</v>
      </c>
      <c r="AN134" s="755" t="str">
        <f t="shared" ca="1" si="31"/>
        <v/>
      </c>
      <c r="AO134" s="753"/>
      <c r="AP134" s="753"/>
      <c r="AQ134" s="753"/>
      <c r="AR134" s="753"/>
      <c r="AS134" s="753"/>
      <c r="AT134" s="739"/>
      <c r="AU134" s="739"/>
      <c r="AV134" s="739"/>
      <c r="AW134" s="739"/>
      <c r="AX134" s="739"/>
      <c r="AY134" s="882"/>
      <c r="AZ134" s="739"/>
      <c r="BA134" s="739"/>
      <c r="BB134" s="739"/>
      <c r="BC134" s="739"/>
      <c r="BD134" s="739">
        <f t="shared" si="32"/>
        <v>0</v>
      </c>
      <c r="BE134" s="739"/>
      <c r="BF134" s="882">
        <f t="shared" si="33"/>
        <v>0</v>
      </c>
    </row>
    <row r="135" spans="1:58" x14ac:dyDescent="0.25">
      <c r="A135" s="931"/>
      <c r="B135" s="773"/>
      <c r="C135" s="897"/>
      <c r="D135" s="928"/>
      <c r="E135" s="744"/>
      <c r="F135" s="744">
        <f t="shared" si="25"/>
        <v>0</v>
      </c>
      <c r="G135" s="773"/>
      <c r="H135" s="753"/>
      <c r="I135" s="748"/>
      <c r="J135" s="747"/>
      <c r="K135" s="747"/>
      <c r="L135" s="747"/>
      <c r="M135" s="927" t="str">
        <f t="shared" si="23"/>
        <v xml:space="preserve">  </v>
      </c>
      <c r="N135" s="749"/>
      <c r="O135" s="749"/>
      <c r="P135" s="749"/>
      <c r="Q135" s="808"/>
      <c r="R135" s="937"/>
      <c r="S135" s="861"/>
      <c r="T135" s="861">
        <f t="shared" si="26"/>
        <v>0</v>
      </c>
      <c r="U135" s="864">
        <f t="shared" si="27"/>
        <v>0</v>
      </c>
      <c r="V135" s="862"/>
      <c r="W135" s="861">
        <f t="shared" si="24"/>
        <v>0</v>
      </c>
      <c r="X135" s="864">
        <f t="shared" si="28"/>
        <v>0</v>
      </c>
      <c r="Y135" s="866">
        <f t="shared" si="34"/>
        <v>0</v>
      </c>
      <c r="Z135" s="751"/>
      <c r="AA135" s="739"/>
      <c r="AB135" s="753"/>
      <c r="AC135" s="752">
        <f t="shared" si="29"/>
        <v>0</v>
      </c>
      <c r="AD135" s="739"/>
      <c r="AE135" s="891"/>
      <c r="AF135" s="891"/>
      <c r="AG135" s="891"/>
      <c r="AH135" s="891"/>
      <c r="AI135" s="900"/>
      <c r="AJ135" s="749"/>
      <c r="AK135" s="772"/>
      <c r="AL135" s="873"/>
      <c r="AM135" s="862">
        <f t="shared" si="30"/>
        <v>0</v>
      </c>
      <c r="AN135" s="755" t="str">
        <f t="shared" ca="1" si="31"/>
        <v/>
      </c>
      <c r="AO135" s="753"/>
      <c r="AP135" s="753"/>
      <c r="AQ135" s="753"/>
      <c r="AR135" s="753"/>
      <c r="AS135" s="753"/>
      <c r="AT135" s="739"/>
      <c r="AU135" s="739"/>
      <c r="AV135" s="739"/>
      <c r="AW135" s="739"/>
      <c r="AX135" s="739"/>
      <c r="AY135" s="882"/>
      <c r="AZ135" s="739"/>
      <c r="BA135" s="739"/>
      <c r="BB135" s="739"/>
      <c r="BC135" s="739"/>
      <c r="BD135" s="739">
        <f t="shared" si="32"/>
        <v>0</v>
      </c>
      <c r="BE135" s="739"/>
      <c r="BF135" s="882">
        <f t="shared" si="33"/>
        <v>0</v>
      </c>
    </row>
    <row r="136" spans="1:58" x14ac:dyDescent="0.25">
      <c r="A136" s="931"/>
      <c r="B136" s="773"/>
      <c r="C136" s="897"/>
      <c r="D136" s="928"/>
      <c r="E136" s="744"/>
      <c r="F136" s="744">
        <f t="shared" si="25"/>
        <v>0</v>
      </c>
      <c r="G136" s="773"/>
      <c r="H136" s="753"/>
      <c r="I136" s="748"/>
      <c r="J136" s="747"/>
      <c r="K136" s="747"/>
      <c r="L136" s="747"/>
      <c r="M136" s="927" t="str">
        <f t="shared" si="23"/>
        <v xml:space="preserve">  </v>
      </c>
      <c r="N136" s="749"/>
      <c r="O136" s="749"/>
      <c r="P136" s="749"/>
      <c r="Q136" s="808"/>
      <c r="R136" s="937"/>
      <c r="S136" s="861"/>
      <c r="T136" s="861">
        <f t="shared" si="26"/>
        <v>0</v>
      </c>
      <c r="U136" s="864">
        <f t="shared" si="27"/>
        <v>0</v>
      </c>
      <c r="V136" s="862"/>
      <c r="W136" s="861">
        <f t="shared" si="24"/>
        <v>0</v>
      </c>
      <c r="X136" s="864">
        <f t="shared" si="28"/>
        <v>0</v>
      </c>
      <c r="Y136" s="866">
        <f t="shared" si="34"/>
        <v>0</v>
      </c>
      <c r="Z136" s="751"/>
      <c r="AA136" s="739"/>
      <c r="AB136" s="753"/>
      <c r="AC136" s="752">
        <f t="shared" si="29"/>
        <v>0</v>
      </c>
      <c r="AD136" s="739"/>
      <c r="AE136" s="891"/>
      <c r="AF136" s="891"/>
      <c r="AG136" s="891"/>
      <c r="AH136" s="891"/>
      <c r="AI136" s="900"/>
      <c r="AJ136" s="749"/>
      <c r="AK136" s="772"/>
      <c r="AL136" s="873"/>
      <c r="AM136" s="862">
        <f t="shared" si="30"/>
        <v>0</v>
      </c>
      <c r="AN136" s="755" t="str">
        <f t="shared" ca="1" si="31"/>
        <v/>
      </c>
      <c r="AO136" s="753"/>
      <c r="AP136" s="753"/>
      <c r="AQ136" s="753"/>
      <c r="AR136" s="753"/>
      <c r="AS136" s="753"/>
      <c r="AT136" s="739"/>
      <c r="AU136" s="739"/>
      <c r="AV136" s="739"/>
      <c r="AW136" s="739"/>
      <c r="AX136" s="739"/>
      <c r="AY136" s="882"/>
      <c r="AZ136" s="739"/>
      <c r="BA136" s="739"/>
      <c r="BB136" s="739"/>
      <c r="BC136" s="739"/>
      <c r="BD136" s="739">
        <f t="shared" si="32"/>
        <v>0</v>
      </c>
      <c r="BE136" s="739"/>
      <c r="BF136" s="882">
        <f t="shared" si="33"/>
        <v>0</v>
      </c>
    </row>
    <row r="137" spans="1:58" x14ac:dyDescent="0.25">
      <c r="A137" s="931"/>
      <c r="B137" s="773"/>
      <c r="C137" s="897"/>
      <c r="D137" s="928"/>
      <c r="E137" s="744"/>
      <c r="F137" s="744">
        <f t="shared" si="25"/>
        <v>0</v>
      </c>
      <c r="G137" s="773"/>
      <c r="H137" s="753"/>
      <c r="I137" s="748"/>
      <c r="J137" s="747"/>
      <c r="K137" s="747"/>
      <c r="L137" s="747"/>
      <c r="M137" s="927" t="str">
        <f t="shared" si="23"/>
        <v xml:space="preserve">  </v>
      </c>
      <c r="N137" s="749"/>
      <c r="O137" s="749"/>
      <c r="P137" s="749"/>
      <c r="Q137" s="808"/>
      <c r="R137" s="937"/>
      <c r="S137" s="861"/>
      <c r="T137" s="861">
        <f t="shared" si="26"/>
        <v>0</v>
      </c>
      <c r="U137" s="864">
        <f t="shared" si="27"/>
        <v>0</v>
      </c>
      <c r="V137" s="862"/>
      <c r="W137" s="861">
        <f t="shared" si="24"/>
        <v>0</v>
      </c>
      <c r="X137" s="864">
        <f t="shared" si="28"/>
        <v>0</v>
      </c>
      <c r="Y137" s="866">
        <f t="shared" si="34"/>
        <v>0</v>
      </c>
      <c r="Z137" s="751"/>
      <c r="AA137" s="739"/>
      <c r="AB137" s="753"/>
      <c r="AC137" s="752">
        <f t="shared" si="29"/>
        <v>0</v>
      </c>
      <c r="AD137" s="739"/>
      <c r="AE137" s="891"/>
      <c r="AF137" s="891"/>
      <c r="AG137" s="891"/>
      <c r="AH137" s="891"/>
      <c r="AI137" s="900"/>
      <c r="AJ137" s="749"/>
      <c r="AK137" s="772"/>
      <c r="AL137" s="873"/>
      <c r="AM137" s="862">
        <f t="shared" si="30"/>
        <v>0</v>
      </c>
      <c r="AN137" s="755" t="str">
        <f t="shared" ca="1" si="31"/>
        <v/>
      </c>
      <c r="AO137" s="753"/>
      <c r="AP137" s="753"/>
      <c r="AQ137" s="753"/>
      <c r="AR137" s="753"/>
      <c r="AS137" s="753"/>
      <c r="AT137" s="739"/>
      <c r="AU137" s="739"/>
      <c r="AV137" s="739"/>
      <c r="AW137" s="739"/>
      <c r="AX137" s="739"/>
      <c r="AY137" s="882"/>
      <c r="AZ137" s="739"/>
      <c r="BA137" s="739"/>
      <c r="BB137" s="739"/>
      <c r="BC137" s="739"/>
      <c r="BD137" s="739">
        <f t="shared" si="32"/>
        <v>0</v>
      </c>
      <c r="BE137" s="739"/>
      <c r="BF137" s="882">
        <f t="shared" si="33"/>
        <v>0</v>
      </c>
    </row>
    <row r="138" spans="1:58" x14ac:dyDescent="0.25">
      <c r="A138" s="931"/>
      <c r="B138" s="773"/>
      <c r="C138" s="897"/>
      <c r="D138" s="928"/>
      <c r="E138" s="744"/>
      <c r="F138" s="744">
        <f t="shared" si="25"/>
        <v>0</v>
      </c>
      <c r="G138" s="773"/>
      <c r="H138" s="753"/>
      <c r="I138" s="748"/>
      <c r="J138" s="747"/>
      <c r="K138" s="747"/>
      <c r="L138" s="747"/>
      <c r="M138" s="927" t="str">
        <f t="shared" si="23"/>
        <v xml:space="preserve">  </v>
      </c>
      <c r="N138" s="749"/>
      <c r="O138" s="749"/>
      <c r="P138" s="749"/>
      <c r="Q138" s="808"/>
      <c r="R138" s="937"/>
      <c r="S138" s="861"/>
      <c r="T138" s="861">
        <f t="shared" si="26"/>
        <v>0</v>
      </c>
      <c r="U138" s="864">
        <f t="shared" si="27"/>
        <v>0</v>
      </c>
      <c r="V138" s="862"/>
      <c r="W138" s="861">
        <f t="shared" si="24"/>
        <v>0</v>
      </c>
      <c r="X138" s="864">
        <f t="shared" si="28"/>
        <v>0</v>
      </c>
      <c r="Y138" s="866">
        <f t="shared" si="34"/>
        <v>0</v>
      </c>
      <c r="Z138" s="751"/>
      <c r="AA138" s="739"/>
      <c r="AB138" s="753"/>
      <c r="AC138" s="752">
        <f t="shared" si="29"/>
        <v>0</v>
      </c>
      <c r="AD138" s="739"/>
      <c r="AE138" s="891"/>
      <c r="AF138" s="891"/>
      <c r="AG138" s="891"/>
      <c r="AH138" s="891"/>
      <c r="AI138" s="900"/>
      <c r="AJ138" s="749"/>
      <c r="AK138" s="772"/>
      <c r="AL138" s="873"/>
      <c r="AM138" s="862">
        <f t="shared" si="30"/>
        <v>0</v>
      </c>
      <c r="AN138" s="755" t="str">
        <f t="shared" ca="1" si="31"/>
        <v/>
      </c>
      <c r="AO138" s="753"/>
      <c r="AP138" s="753"/>
      <c r="AQ138" s="753"/>
      <c r="AR138" s="753"/>
      <c r="AS138" s="753"/>
      <c r="AT138" s="739"/>
      <c r="AU138" s="739"/>
      <c r="AV138" s="739"/>
      <c r="AW138" s="739"/>
      <c r="AX138" s="739"/>
      <c r="AY138" s="882"/>
      <c r="AZ138" s="739"/>
      <c r="BA138" s="739"/>
      <c r="BB138" s="739"/>
      <c r="BC138" s="739"/>
      <c r="BD138" s="739">
        <f t="shared" si="32"/>
        <v>0</v>
      </c>
      <c r="BE138" s="739"/>
      <c r="BF138" s="882">
        <f t="shared" si="33"/>
        <v>0</v>
      </c>
    </row>
    <row r="139" spans="1:58" x14ac:dyDescent="0.25">
      <c r="A139" s="931"/>
      <c r="B139" s="773"/>
      <c r="C139" s="897"/>
      <c r="D139" s="928"/>
      <c r="E139" s="744"/>
      <c r="F139" s="744">
        <f t="shared" si="25"/>
        <v>0</v>
      </c>
      <c r="G139" s="773"/>
      <c r="H139" s="753"/>
      <c r="I139" s="748"/>
      <c r="J139" s="747"/>
      <c r="K139" s="747"/>
      <c r="L139" s="747"/>
      <c r="M139" s="927" t="str">
        <f t="shared" si="23"/>
        <v xml:space="preserve">  </v>
      </c>
      <c r="N139" s="749"/>
      <c r="O139" s="749"/>
      <c r="P139" s="749"/>
      <c r="Q139" s="749"/>
      <c r="R139" s="937"/>
      <c r="S139" s="861"/>
      <c r="T139" s="861">
        <f t="shared" si="26"/>
        <v>0</v>
      </c>
      <c r="U139" s="864">
        <f t="shared" si="27"/>
        <v>0</v>
      </c>
      <c r="V139" s="862"/>
      <c r="W139" s="861">
        <f t="shared" si="24"/>
        <v>0</v>
      </c>
      <c r="X139" s="864">
        <f t="shared" si="28"/>
        <v>0</v>
      </c>
      <c r="Y139" s="866">
        <f t="shared" si="34"/>
        <v>0</v>
      </c>
      <c r="Z139" s="751"/>
      <c r="AA139" s="739"/>
      <c r="AB139" s="753"/>
      <c r="AC139" s="752">
        <f t="shared" si="29"/>
        <v>0</v>
      </c>
      <c r="AD139" s="739"/>
      <c r="AE139" s="891"/>
      <c r="AF139" s="891"/>
      <c r="AG139" s="891"/>
      <c r="AH139" s="891"/>
      <c r="AI139" s="900"/>
      <c r="AJ139" s="749"/>
      <c r="AK139" s="772"/>
      <c r="AL139" s="873"/>
      <c r="AM139" s="862">
        <f t="shared" si="30"/>
        <v>0</v>
      </c>
      <c r="AN139" s="755" t="str">
        <f t="shared" ca="1" si="31"/>
        <v/>
      </c>
      <c r="AO139" s="753"/>
      <c r="AP139" s="753"/>
      <c r="AQ139" s="753"/>
      <c r="AR139" s="753"/>
      <c r="AS139" s="753"/>
      <c r="AT139" s="739"/>
      <c r="AU139" s="739"/>
      <c r="AV139" s="739"/>
      <c r="AW139" s="739"/>
      <c r="AX139" s="739"/>
      <c r="AY139" s="882"/>
      <c r="AZ139" s="739"/>
      <c r="BA139" s="739"/>
      <c r="BB139" s="739"/>
      <c r="BC139" s="739"/>
      <c r="BD139" s="739">
        <f t="shared" si="32"/>
        <v>0</v>
      </c>
      <c r="BE139" s="739"/>
      <c r="BF139" s="882">
        <f t="shared" si="33"/>
        <v>0</v>
      </c>
    </row>
    <row r="140" spans="1:58" x14ac:dyDescent="0.25">
      <c r="A140" s="931"/>
      <c r="B140" s="773"/>
      <c r="C140" s="897"/>
      <c r="D140" s="928"/>
      <c r="E140" s="744"/>
      <c r="F140" s="744">
        <f t="shared" si="25"/>
        <v>0</v>
      </c>
      <c r="G140" s="773"/>
      <c r="H140" s="753"/>
      <c r="I140" s="746"/>
      <c r="J140" s="747"/>
      <c r="K140" s="747"/>
      <c r="L140" s="747"/>
      <c r="M140" s="927" t="str">
        <f t="shared" si="23"/>
        <v xml:space="preserve">  </v>
      </c>
      <c r="N140" s="749"/>
      <c r="O140" s="749"/>
      <c r="P140" s="749"/>
      <c r="Q140" s="805"/>
      <c r="R140" s="937"/>
      <c r="S140" s="861"/>
      <c r="T140" s="861">
        <f t="shared" si="26"/>
        <v>0</v>
      </c>
      <c r="U140" s="864">
        <f t="shared" si="27"/>
        <v>0</v>
      </c>
      <c r="V140" s="862"/>
      <c r="W140" s="861">
        <f t="shared" si="24"/>
        <v>0</v>
      </c>
      <c r="X140" s="864">
        <f t="shared" si="28"/>
        <v>0</v>
      </c>
      <c r="Y140" s="866">
        <f t="shared" si="34"/>
        <v>0</v>
      </c>
      <c r="Z140" s="751"/>
      <c r="AA140" s="739"/>
      <c r="AB140" s="753"/>
      <c r="AC140" s="752">
        <f t="shared" si="29"/>
        <v>0</v>
      </c>
      <c r="AD140" s="739"/>
      <c r="AE140" s="891"/>
      <c r="AF140" s="891"/>
      <c r="AG140" s="891"/>
      <c r="AH140" s="891"/>
      <c r="AI140" s="900"/>
      <c r="AJ140" s="749"/>
      <c r="AK140" s="772"/>
      <c r="AL140" s="873"/>
      <c r="AM140" s="862">
        <f t="shared" si="30"/>
        <v>0</v>
      </c>
      <c r="AN140" s="755" t="str">
        <f t="shared" ca="1" si="31"/>
        <v/>
      </c>
      <c r="AO140" s="753"/>
      <c r="AP140" s="753"/>
      <c r="AQ140" s="753"/>
      <c r="AR140" s="753"/>
      <c r="AS140" s="753"/>
      <c r="AT140" s="739"/>
      <c r="AU140" s="739"/>
      <c r="AV140" s="739"/>
      <c r="AW140" s="739"/>
      <c r="AX140" s="739"/>
      <c r="AY140" s="882"/>
      <c r="AZ140" s="739"/>
      <c r="BA140" s="739"/>
      <c r="BB140" s="739"/>
      <c r="BC140" s="739"/>
      <c r="BD140" s="739">
        <f t="shared" si="32"/>
        <v>0</v>
      </c>
      <c r="BE140" s="739"/>
      <c r="BF140" s="882">
        <f t="shared" si="33"/>
        <v>0</v>
      </c>
    </row>
    <row r="141" spans="1:58" x14ac:dyDescent="0.25">
      <c r="A141" s="931"/>
      <c r="B141" s="773"/>
      <c r="C141" s="897"/>
      <c r="D141" s="928"/>
      <c r="E141" s="744"/>
      <c r="F141" s="744">
        <f t="shared" si="25"/>
        <v>0</v>
      </c>
      <c r="G141" s="773"/>
      <c r="H141" s="753"/>
      <c r="I141" s="746"/>
      <c r="J141" s="747"/>
      <c r="K141" s="747"/>
      <c r="L141" s="747"/>
      <c r="M141" s="927" t="str">
        <f t="shared" si="23"/>
        <v xml:space="preserve">  </v>
      </c>
      <c r="N141" s="749"/>
      <c r="O141" s="749"/>
      <c r="P141" s="749"/>
      <c r="Q141" s="805"/>
      <c r="R141" s="937"/>
      <c r="S141" s="861"/>
      <c r="T141" s="861">
        <f t="shared" si="26"/>
        <v>0</v>
      </c>
      <c r="U141" s="864">
        <f t="shared" si="27"/>
        <v>0</v>
      </c>
      <c r="V141" s="862"/>
      <c r="W141" s="861">
        <f t="shared" si="24"/>
        <v>0</v>
      </c>
      <c r="X141" s="864">
        <f t="shared" si="28"/>
        <v>0</v>
      </c>
      <c r="Y141" s="866">
        <f t="shared" si="34"/>
        <v>0</v>
      </c>
      <c r="Z141" s="751"/>
      <c r="AA141" s="739"/>
      <c r="AB141" s="753"/>
      <c r="AC141" s="752">
        <f t="shared" si="29"/>
        <v>0</v>
      </c>
      <c r="AD141" s="739"/>
      <c r="AE141" s="891"/>
      <c r="AF141" s="891"/>
      <c r="AG141" s="891"/>
      <c r="AH141" s="891"/>
      <c r="AI141" s="900"/>
      <c r="AJ141" s="749"/>
      <c r="AK141" s="772"/>
      <c r="AL141" s="873"/>
      <c r="AM141" s="862">
        <f t="shared" si="30"/>
        <v>0</v>
      </c>
      <c r="AN141" s="755" t="str">
        <f t="shared" ca="1" si="31"/>
        <v/>
      </c>
      <c r="AO141" s="753"/>
      <c r="AP141" s="753"/>
      <c r="AQ141" s="753"/>
      <c r="AR141" s="753"/>
      <c r="AS141" s="753"/>
      <c r="AT141" s="739"/>
      <c r="AU141" s="739"/>
      <c r="AV141" s="739"/>
      <c r="AW141" s="739"/>
      <c r="AX141" s="739"/>
      <c r="AY141" s="882"/>
      <c r="AZ141" s="739"/>
      <c r="BA141" s="739"/>
      <c r="BB141" s="739"/>
      <c r="BC141" s="739"/>
      <c r="BD141" s="739">
        <f t="shared" si="32"/>
        <v>0</v>
      </c>
      <c r="BE141" s="739"/>
      <c r="BF141" s="882">
        <f t="shared" si="33"/>
        <v>0</v>
      </c>
    </row>
    <row r="142" spans="1:58" x14ac:dyDescent="0.25">
      <c r="A142" s="931"/>
      <c r="B142" s="773"/>
      <c r="C142" s="897"/>
      <c r="D142" s="928"/>
      <c r="E142" s="744"/>
      <c r="F142" s="744">
        <f t="shared" si="25"/>
        <v>0</v>
      </c>
      <c r="G142" s="773"/>
      <c r="H142" s="753"/>
      <c r="I142" s="746"/>
      <c r="J142" s="747"/>
      <c r="K142" s="747"/>
      <c r="L142" s="747"/>
      <c r="M142" s="927" t="str">
        <f t="shared" si="23"/>
        <v xml:space="preserve">  </v>
      </c>
      <c r="N142" s="749"/>
      <c r="O142" s="749"/>
      <c r="P142" s="749"/>
      <c r="Q142" s="749"/>
      <c r="R142" s="937"/>
      <c r="S142" s="861"/>
      <c r="T142" s="861">
        <f t="shared" si="26"/>
        <v>0</v>
      </c>
      <c r="U142" s="864">
        <f t="shared" si="27"/>
        <v>0</v>
      </c>
      <c r="V142" s="862"/>
      <c r="W142" s="861">
        <f t="shared" si="24"/>
        <v>0</v>
      </c>
      <c r="X142" s="864">
        <f t="shared" si="28"/>
        <v>0</v>
      </c>
      <c r="Y142" s="866">
        <f t="shared" si="34"/>
        <v>0</v>
      </c>
      <c r="Z142" s="751"/>
      <c r="AA142" s="739"/>
      <c r="AB142" s="753"/>
      <c r="AC142" s="752">
        <f t="shared" si="29"/>
        <v>0</v>
      </c>
      <c r="AD142" s="739"/>
      <c r="AE142" s="891"/>
      <c r="AF142" s="891"/>
      <c r="AG142" s="891"/>
      <c r="AH142" s="891"/>
      <c r="AI142" s="900"/>
      <c r="AJ142" s="749"/>
      <c r="AK142" s="772"/>
      <c r="AL142" s="873"/>
      <c r="AM142" s="862">
        <f t="shared" si="30"/>
        <v>0</v>
      </c>
      <c r="AN142" s="755" t="str">
        <f t="shared" ca="1" si="31"/>
        <v/>
      </c>
      <c r="AO142" s="753"/>
      <c r="AP142" s="753"/>
      <c r="AQ142" s="753"/>
      <c r="AR142" s="753"/>
      <c r="AS142" s="753"/>
      <c r="AT142" s="739"/>
      <c r="AU142" s="739"/>
      <c r="AV142" s="739"/>
      <c r="AW142" s="739"/>
      <c r="AX142" s="739"/>
      <c r="AY142" s="882"/>
      <c r="AZ142" s="739"/>
      <c r="BA142" s="739"/>
      <c r="BB142" s="739"/>
      <c r="BC142" s="739"/>
      <c r="BD142" s="739">
        <f t="shared" si="32"/>
        <v>0</v>
      </c>
      <c r="BE142" s="739"/>
      <c r="BF142" s="882">
        <f t="shared" si="33"/>
        <v>0</v>
      </c>
    </row>
    <row r="143" spans="1:58" x14ac:dyDescent="0.25">
      <c r="A143" s="931"/>
      <c r="B143" s="773"/>
      <c r="C143" s="897"/>
      <c r="D143" s="928"/>
      <c r="E143" s="744"/>
      <c r="F143" s="744">
        <f t="shared" si="25"/>
        <v>0</v>
      </c>
      <c r="G143" s="773"/>
      <c r="H143" s="753"/>
      <c r="I143" s="746"/>
      <c r="J143" s="747"/>
      <c r="K143" s="747"/>
      <c r="L143" s="747"/>
      <c r="M143" s="927" t="str">
        <f t="shared" ref="M143:M206" si="35">I143&amp;J143&amp;" "&amp;K143&amp;" "&amp;L143</f>
        <v xml:space="preserve">  </v>
      </c>
      <c r="N143" s="749"/>
      <c r="O143" s="749"/>
      <c r="P143" s="749"/>
      <c r="Q143" s="749"/>
      <c r="R143" s="937"/>
      <c r="S143" s="861"/>
      <c r="T143" s="861">
        <f t="shared" si="26"/>
        <v>0</v>
      </c>
      <c r="U143" s="864">
        <f t="shared" si="27"/>
        <v>0</v>
      </c>
      <c r="V143" s="862"/>
      <c r="W143" s="861">
        <f t="shared" ref="W143:W206" si="36">+V143*0.16</f>
        <v>0</v>
      </c>
      <c r="X143" s="864">
        <f t="shared" si="28"/>
        <v>0</v>
      </c>
      <c r="Y143" s="866">
        <f t="shared" si="34"/>
        <v>0</v>
      </c>
      <c r="Z143" s="751"/>
      <c r="AA143" s="739"/>
      <c r="AB143" s="753"/>
      <c r="AC143" s="752">
        <f t="shared" si="29"/>
        <v>0</v>
      </c>
      <c r="AD143" s="739"/>
      <c r="AE143" s="891"/>
      <c r="AF143" s="891"/>
      <c r="AG143" s="891"/>
      <c r="AH143" s="891"/>
      <c r="AI143" s="900"/>
      <c r="AJ143" s="749"/>
      <c r="AK143" s="772"/>
      <c r="AL143" s="873"/>
      <c r="AM143" s="862">
        <f t="shared" si="30"/>
        <v>0</v>
      </c>
      <c r="AN143" s="755" t="str">
        <f t="shared" ca="1" si="31"/>
        <v/>
      </c>
      <c r="AO143" s="753"/>
      <c r="AP143" s="753"/>
      <c r="AQ143" s="753"/>
      <c r="AR143" s="753"/>
      <c r="AS143" s="753"/>
      <c r="AT143" s="739"/>
      <c r="AU143" s="739"/>
      <c r="AV143" s="739"/>
      <c r="AW143" s="739"/>
      <c r="AX143" s="739"/>
      <c r="AY143" s="882"/>
      <c r="AZ143" s="739"/>
      <c r="BA143" s="739"/>
      <c r="BB143" s="739"/>
      <c r="BC143" s="739"/>
      <c r="BD143" s="739">
        <f t="shared" si="32"/>
        <v>0</v>
      </c>
      <c r="BE143" s="739"/>
      <c r="BF143" s="882">
        <f t="shared" si="33"/>
        <v>0</v>
      </c>
    </row>
    <row r="144" spans="1:58" x14ac:dyDescent="0.25">
      <c r="A144" s="931"/>
      <c r="B144" s="773"/>
      <c r="C144" s="897"/>
      <c r="D144" s="928"/>
      <c r="E144" s="744"/>
      <c r="F144" s="744">
        <f t="shared" ref="F144:F207" si="37">D144</f>
        <v>0</v>
      </c>
      <c r="G144" s="773"/>
      <c r="H144" s="753"/>
      <c r="I144" s="746"/>
      <c r="J144" s="747"/>
      <c r="K144" s="747"/>
      <c r="L144" s="747"/>
      <c r="M144" s="927" t="str">
        <f t="shared" si="35"/>
        <v xml:space="preserve">  </v>
      </c>
      <c r="N144" s="749"/>
      <c r="O144" s="749"/>
      <c r="P144" s="749"/>
      <c r="Q144" s="749"/>
      <c r="R144" s="937"/>
      <c r="S144" s="861"/>
      <c r="T144" s="861">
        <f t="shared" ref="T144:T207" si="38">+S144*0.16</f>
        <v>0</v>
      </c>
      <c r="U144" s="864">
        <f t="shared" ref="U144:U207" si="39">+S144+T144</f>
        <v>0</v>
      </c>
      <c r="V144" s="862"/>
      <c r="W144" s="861">
        <f t="shared" si="36"/>
        <v>0</v>
      </c>
      <c r="X144" s="864">
        <f t="shared" ref="X144:X207" si="40">+V144+W144</f>
        <v>0</v>
      </c>
      <c r="Y144" s="866">
        <f t="shared" si="34"/>
        <v>0</v>
      </c>
      <c r="Z144" s="751"/>
      <c r="AA144" s="739"/>
      <c r="AB144" s="753"/>
      <c r="AC144" s="752">
        <f t="shared" ref="AC144:AC207" si="41">+AA144</f>
        <v>0</v>
      </c>
      <c r="AD144" s="739"/>
      <c r="AE144" s="891"/>
      <c r="AF144" s="891"/>
      <c r="AG144" s="891"/>
      <c r="AH144" s="891"/>
      <c r="AI144" s="900"/>
      <c r="AJ144" s="749"/>
      <c r="AK144" s="772"/>
      <c r="AL144" s="873"/>
      <c r="AM144" s="862">
        <f t="shared" ref="AM144:AM207" si="42">+S144+AL144</f>
        <v>0</v>
      </c>
      <c r="AN144" s="755" t="str">
        <f t="shared" ref="AN144:AN207" ca="1" si="43">IF(ISBLANK(AD144),"",IF(AD144&gt;=TODAY(),"VIGENTE","MUERTO"))</f>
        <v/>
      </c>
      <c r="AO144" s="753"/>
      <c r="AP144" s="753"/>
      <c r="AQ144" s="753"/>
      <c r="AR144" s="753"/>
      <c r="AS144" s="753"/>
      <c r="AT144" s="739"/>
      <c r="AU144" s="739"/>
      <c r="AV144" s="739"/>
      <c r="AW144" s="739"/>
      <c r="AX144" s="739"/>
      <c r="AY144" s="882"/>
      <c r="AZ144" s="739"/>
      <c r="BA144" s="739"/>
      <c r="BB144" s="739"/>
      <c r="BC144" s="739"/>
      <c r="BD144" s="739">
        <f t="shared" ref="BD144:BD188" si="44">+AA144</f>
        <v>0</v>
      </c>
      <c r="BE144" s="739"/>
      <c r="BF144" s="882">
        <f t="shared" ref="BF144:BF207" si="45">+AA144</f>
        <v>0</v>
      </c>
    </row>
    <row r="145" spans="1:58" x14ac:dyDescent="0.25">
      <c r="A145" s="931"/>
      <c r="B145" s="773"/>
      <c r="C145" s="897"/>
      <c r="D145" s="928"/>
      <c r="E145" s="744"/>
      <c r="F145" s="744">
        <f t="shared" si="37"/>
        <v>0</v>
      </c>
      <c r="G145" s="773"/>
      <c r="H145" s="753"/>
      <c r="I145" s="746"/>
      <c r="J145" s="747"/>
      <c r="K145" s="747"/>
      <c r="L145" s="747"/>
      <c r="M145" s="927" t="str">
        <f t="shared" si="35"/>
        <v xml:space="preserve">  </v>
      </c>
      <c r="N145" s="749"/>
      <c r="O145" s="749"/>
      <c r="P145" s="749"/>
      <c r="Q145" s="749"/>
      <c r="R145" s="937"/>
      <c r="S145" s="861"/>
      <c r="T145" s="861">
        <f t="shared" si="38"/>
        <v>0</v>
      </c>
      <c r="U145" s="864">
        <f t="shared" si="39"/>
        <v>0</v>
      </c>
      <c r="V145" s="862"/>
      <c r="W145" s="861">
        <f t="shared" si="36"/>
        <v>0</v>
      </c>
      <c r="X145" s="864">
        <f t="shared" si="40"/>
        <v>0</v>
      </c>
      <c r="Y145" s="866">
        <f t="shared" si="34"/>
        <v>0</v>
      </c>
      <c r="Z145" s="751"/>
      <c r="AA145" s="739"/>
      <c r="AB145" s="753"/>
      <c r="AC145" s="752">
        <f t="shared" si="41"/>
        <v>0</v>
      </c>
      <c r="AD145" s="739"/>
      <c r="AE145" s="891"/>
      <c r="AF145" s="891"/>
      <c r="AG145" s="891"/>
      <c r="AH145" s="891"/>
      <c r="AI145" s="900"/>
      <c r="AJ145" s="749"/>
      <c r="AK145" s="772"/>
      <c r="AL145" s="873"/>
      <c r="AM145" s="862">
        <f t="shared" si="42"/>
        <v>0</v>
      </c>
      <c r="AN145" s="755" t="str">
        <f t="shared" ca="1" si="43"/>
        <v/>
      </c>
      <c r="AO145" s="753"/>
      <c r="AP145" s="753"/>
      <c r="AQ145" s="753"/>
      <c r="AR145" s="753"/>
      <c r="AS145" s="753"/>
      <c r="AT145" s="739"/>
      <c r="AU145" s="739"/>
      <c r="AV145" s="739"/>
      <c r="AW145" s="739"/>
      <c r="AX145" s="739"/>
      <c r="AY145" s="882"/>
      <c r="AZ145" s="739"/>
      <c r="BA145" s="739"/>
      <c r="BB145" s="739"/>
      <c r="BC145" s="739"/>
      <c r="BD145" s="739">
        <f t="shared" si="44"/>
        <v>0</v>
      </c>
      <c r="BE145" s="739"/>
      <c r="BF145" s="882">
        <f t="shared" si="45"/>
        <v>0</v>
      </c>
    </row>
    <row r="146" spans="1:58" x14ac:dyDescent="0.25">
      <c r="A146" s="931"/>
      <c r="B146" s="773"/>
      <c r="C146" s="897"/>
      <c r="D146" s="928"/>
      <c r="E146" s="744"/>
      <c r="F146" s="744">
        <f t="shared" si="37"/>
        <v>0</v>
      </c>
      <c r="G146" s="773"/>
      <c r="H146" s="753"/>
      <c r="I146" s="746"/>
      <c r="J146" s="747"/>
      <c r="K146" s="747"/>
      <c r="L146" s="747"/>
      <c r="M146" s="927" t="str">
        <f t="shared" si="35"/>
        <v xml:space="preserve">  </v>
      </c>
      <c r="N146" s="749"/>
      <c r="O146" s="749"/>
      <c r="P146" s="749"/>
      <c r="Q146" s="749"/>
      <c r="R146" s="937"/>
      <c r="S146" s="861"/>
      <c r="T146" s="861">
        <f t="shared" si="38"/>
        <v>0</v>
      </c>
      <c r="U146" s="864">
        <f t="shared" si="39"/>
        <v>0</v>
      </c>
      <c r="V146" s="862"/>
      <c r="W146" s="861">
        <f t="shared" si="36"/>
        <v>0</v>
      </c>
      <c r="X146" s="864">
        <f t="shared" si="40"/>
        <v>0</v>
      </c>
      <c r="Y146" s="866">
        <f t="shared" si="34"/>
        <v>0</v>
      </c>
      <c r="Z146" s="751"/>
      <c r="AA146" s="739"/>
      <c r="AB146" s="753"/>
      <c r="AC146" s="752">
        <f t="shared" si="41"/>
        <v>0</v>
      </c>
      <c r="AD146" s="739"/>
      <c r="AE146" s="891"/>
      <c r="AF146" s="891"/>
      <c r="AG146" s="891"/>
      <c r="AH146" s="891"/>
      <c r="AI146" s="900"/>
      <c r="AJ146" s="749"/>
      <c r="AK146" s="772"/>
      <c r="AL146" s="873"/>
      <c r="AM146" s="862">
        <f t="shared" si="42"/>
        <v>0</v>
      </c>
      <c r="AN146" s="755" t="str">
        <f t="shared" ca="1" si="43"/>
        <v/>
      </c>
      <c r="AO146" s="753"/>
      <c r="AP146" s="753"/>
      <c r="AQ146" s="753"/>
      <c r="AR146" s="753"/>
      <c r="AS146" s="753"/>
      <c r="AT146" s="739"/>
      <c r="AU146" s="739"/>
      <c r="AV146" s="739"/>
      <c r="AW146" s="739"/>
      <c r="AX146" s="739"/>
      <c r="AY146" s="882"/>
      <c r="AZ146" s="739"/>
      <c r="BA146" s="739"/>
      <c r="BB146" s="739"/>
      <c r="BC146" s="739"/>
      <c r="BD146" s="739">
        <f t="shared" si="44"/>
        <v>0</v>
      </c>
      <c r="BE146" s="739"/>
      <c r="BF146" s="882">
        <f t="shared" si="45"/>
        <v>0</v>
      </c>
    </row>
    <row r="147" spans="1:58" x14ac:dyDescent="0.25">
      <c r="A147" s="931"/>
      <c r="B147" s="773"/>
      <c r="C147" s="897"/>
      <c r="D147" s="928"/>
      <c r="E147" s="744"/>
      <c r="F147" s="744">
        <f t="shared" si="37"/>
        <v>0</v>
      </c>
      <c r="G147" s="773"/>
      <c r="H147" s="753"/>
      <c r="I147" s="746"/>
      <c r="J147" s="747"/>
      <c r="K147" s="747"/>
      <c r="L147" s="747"/>
      <c r="M147" s="927" t="str">
        <f t="shared" si="35"/>
        <v xml:space="preserve">  </v>
      </c>
      <c r="N147" s="749"/>
      <c r="O147" s="749"/>
      <c r="P147" s="749"/>
      <c r="Q147" s="749"/>
      <c r="R147" s="937"/>
      <c r="S147" s="861"/>
      <c r="T147" s="861">
        <f t="shared" si="38"/>
        <v>0</v>
      </c>
      <c r="U147" s="864">
        <f t="shared" si="39"/>
        <v>0</v>
      </c>
      <c r="V147" s="862"/>
      <c r="W147" s="861">
        <f t="shared" si="36"/>
        <v>0</v>
      </c>
      <c r="X147" s="864">
        <f t="shared" si="40"/>
        <v>0</v>
      </c>
      <c r="Y147" s="866">
        <f t="shared" si="34"/>
        <v>0</v>
      </c>
      <c r="Z147" s="751"/>
      <c r="AA147" s="739"/>
      <c r="AB147" s="753"/>
      <c r="AC147" s="752">
        <f t="shared" si="41"/>
        <v>0</v>
      </c>
      <c r="AD147" s="739"/>
      <c r="AE147" s="891"/>
      <c r="AF147" s="891"/>
      <c r="AG147" s="891"/>
      <c r="AH147" s="891"/>
      <c r="AI147" s="900"/>
      <c r="AJ147" s="749"/>
      <c r="AK147" s="772"/>
      <c r="AL147" s="873"/>
      <c r="AM147" s="862">
        <f t="shared" si="42"/>
        <v>0</v>
      </c>
      <c r="AN147" s="755" t="str">
        <f t="shared" ca="1" si="43"/>
        <v/>
      </c>
      <c r="AO147" s="753"/>
      <c r="AP147" s="753"/>
      <c r="AQ147" s="753"/>
      <c r="AR147" s="753"/>
      <c r="AS147" s="753"/>
      <c r="AT147" s="739"/>
      <c r="AU147" s="739"/>
      <c r="AV147" s="739"/>
      <c r="AW147" s="739"/>
      <c r="AX147" s="739"/>
      <c r="AY147" s="882"/>
      <c r="AZ147" s="739"/>
      <c r="BA147" s="739"/>
      <c r="BB147" s="739"/>
      <c r="BC147" s="739"/>
      <c r="BD147" s="739">
        <f t="shared" si="44"/>
        <v>0</v>
      </c>
      <c r="BE147" s="739"/>
      <c r="BF147" s="882">
        <f t="shared" si="45"/>
        <v>0</v>
      </c>
    </row>
    <row r="148" spans="1:58" x14ac:dyDescent="0.25">
      <c r="A148" s="931"/>
      <c r="B148" s="773"/>
      <c r="C148" s="897"/>
      <c r="D148" s="928"/>
      <c r="E148" s="744"/>
      <c r="F148" s="744">
        <f t="shared" si="37"/>
        <v>0</v>
      </c>
      <c r="G148" s="773"/>
      <c r="H148" s="756"/>
      <c r="I148" s="763"/>
      <c r="J148" s="840"/>
      <c r="K148" s="747"/>
      <c r="L148" s="747"/>
      <c r="M148" s="927" t="str">
        <f t="shared" si="35"/>
        <v xml:space="preserve">  </v>
      </c>
      <c r="N148" s="749"/>
      <c r="O148" s="749"/>
      <c r="P148" s="749"/>
      <c r="Q148" s="749"/>
      <c r="R148" s="937"/>
      <c r="S148" s="861"/>
      <c r="T148" s="861">
        <f t="shared" si="38"/>
        <v>0</v>
      </c>
      <c r="U148" s="864">
        <f t="shared" si="39"/>
        <v>0</v>
      </c>
      <c r="V148" s="862"/>
      <c r="W148" s="861">
        <f t="shared" si="36"/>
        <v>0</v>
      </c>
      <c r="X148" s="864">
        <f t="shared" si="40"/>
        <v>0</v>
      </c>
      <c r="Y148" s="866">
        <f t="shared" si="34"/>
        <v>0</v>
      </c>
      <c r="Z148" s="751"/>
      <c r="AA148" s="739"/>
      <c r="AB148" s="753"/>
      <c r="AC148" s="752">
        <f t="shared" si="41"/>
        <v>0</v>
      </c>
      <c r="AD148" s="739"/>
      <c r="AE148" s="891"/>
      <c r="AF148" s="891"/>
      <c r="AG148" s="891"/>
      <c r="AH148" s="891"/>
      <c r="AI148" s="900"/>
      <c r="AJ148" s="749"/>
      <c r="AK148" s="772"/>
      <c r="AL148" s="873"/>
      <c r="AM148" s="862">
        <f t="shared" si="42"/>
        <v>0</v>
      </c>
      <c r="AN148" s="755" t="str">
        <f t="shared" ca="1" si="43"/>
        <v/>
      </c>
      <c r="AO148" s="753"/>
      <c r="AP148" s="753"/>
      <c r="AQ148" s="753"/>
      <c r="AR148" s="753"/>
      <c r="AS148" s="753"/>
      <c r="AT148" s="739"/>
      <c r="AU148" s="739"/>
      <c r="AV148" s="739"/>
      <c r="AW148" s="739"/>
      <c r="AX148" s="739"/>
      <c r="AY148" s="882"/>
      <c r="AZ148" s="739"/>
      <c r="BA148" s="739"/>
      <c r="BB148" s="739"/>
      <c r="BC148" s="739"/>
      <c r="BD148" s="739">
        <f t="shared" si="44"/>
        <v>0</v>
      </c>
      <c r="BE148" s="739"/>
      <c r="BF148" s="882">
        <f t="shared" si="45"/>
        <v>0</v>
      </c>
    </row>
    <row r="149" spans="1:58" x14ac:dyDescent="0.25">
      <c r="A149" s="931"/>
      <c r="B149" s="773"/>
      <c r="C149" s="897"/>
      <c r="D149" s="928"/>
      <c r="E149" s="744"/>
      <c r="F149" s="744">
        <f t="shared" si="37"/>
        <v>0</v>
      </c>
      <c r="G149" s="773"/>
      <c r="H149" s="753"/>
      <c r="I149" s="746"/>
      <c r="J149" s="746"/>
      <c r="K149" s="746"/>
      <c r="L149" s="746"/>
      <c r="M149" s="927" t="str">
        <f t="shared" si="35"/>
        <v xml:space="preserve">  </v>
      </c>
      <c r="N149" s="749"/>
      <c r="O149" s="749"/>
      <c r="P149" s="749"/>
      <c r="Q149" s="749"/>
      <c r="R149" s="937"/>
      <c r="S149" s="861"/>
      <c r="T149" s="861">
        <f t="shared" si="38"/>
        <v>0</v>
      </c>
      <c r="U149" s="864">
        <f t="shared" si="39"/>
        <v>0</v>
      </c>
      <c r="V149" s="862"/>
      <c r="W149" s="861">
        <f t="shared" si="36"/>
        <v>0</v>
      </c>
      <c r="X149" s="864">
        <f t="shared" si="40"/>
        <v>0</v>
      </c>
      <c r="Y149" s="866">
        <f t="shared" si="34"/>
        <v>0</v>
      </c>
      <c r="Z149" s="751"/>
      <c r="AA149" s="739"/>
      <c r="AB149" s="753"/>
      <c r="AC149" s="752">
        <f t="shared" si="41"/>
        <v>0</v>
      </c>
      <c r="AD149" s="739"/>
      <c r="AE149" s="891"/>
      <c r="AF149" s="891"/>
      <c r="AG149" s="891"/>
      <c r="AH149" s="891"/>
      <c r="AI149" s="900"/>
      <c r="AJ149" s="749"/>
      <c r="AK149" s="772"/>
      <c r="AL149" s="873"/>
      <c r="AM149" s="862">
        <f t="shared" si="42"/>
        <v>0</v>
      </c>
      <c r="AN149" s="755" t="str">
        <f t="shared" ca="1" si="43"/>
        <v/>
      </c>
      <c r="AO149" s="753"/>
      <c r="AP149" s="753"/>
      <c r="AQ149" s="753"/>
      <c r="AR149" s="753"/>
      <c r="AS149" s="753"/>
      <c r="AT149" s="739"/>
      <c r="AU149" s="739"/>
      <c r="AV149" s="739"/>
      <c r="AW149" s="739"/>
      <c r="AX149" s="739"/>
      <c r="AY149" s="882"/>
      <c r="AZ149" s="739"/>
      <c r="BA149" s="739"/>
      <c r="BB149" s="739"/>
      <c r="BC149" s="739"/>
      <c r="BD149" s="739">
        <f t="shared" si="44"/>
        <v>0</v>
      </c>
      <c r="BE149" s="739"/>
      <c r="BF149" s="882">
        <f t="shared" si="45"/>
        <v>0</v>
      </c>
    </row>
    <row r="150" spans="1:58" x14ac:dyDescent="0.25">
      <c r="A150" s="931"/>
      <c r="B150" s="773"/>
      <c r="C150" s="897"/>
      <c r="D150" s="928"/>
      <c r="E150" s="744"/>
      <c r="F150" s="744">
        <f t="shared" si="37"/>
        <v>0</v>
      </c>
      <c r="G150" s="773"/>
      <c r="H150" s="753"/>
      <c r="I150" s="746"/>
      <c r="J150" s="747"/>
      <c r="K150" s="747"/>
      <c r="L150" s="747"/>
      <c r="M150" s="927" t="str">
        <f t="shared" si="35"/>
        <v xml:space="preserve">  </v>
      </c>
      <c r="N150" s="749"/>
      <c r="O150" s="749"/>
      <c r="P150" s="749"/>
      <c r="Q150" s="749"/>
      <c r="R150" s="937"/>
      <c r="S150" s="861"/>
      <c r="T150" s="861">
        <f t="shared" si="38"/>
        <v>0</v>
      </c>
      <c r="U150" s="864">
        <f t="shared" si="39"/>
        <v>0</v>
      </c>
      <c r="V150" s="862"/>
      <c r="W150" s="861">
        <f t="shared" si="36"/>
        <v>0</v>
      </c>
      <c r="X150" s="864">
        <f t="shared" si="40"/>
        <v>0</v>
      </c>
      <c r="Y150" s="866">
        <f t="shared" si="34"/>
        <v>0</v>
      </c>
      <c r="Z150" s="751"/>
      <c r="AA150" s="739"/>
      <c r="AB150" s="753"/>
      <c r="AC150" s="752">
        <f t="shared" si="41"/>
        <v>0</v>
      </c>
      <c r="AD150" s="739"/>
      <c r="AE150" s="891"/>
      <c r="AF150" s="891"/>
      <c r="AG150" s="891"/>
      <c r="AH150" s="891"/>
      <c r="AI150" s="900"/>
      <c r="AJ150" s="749"/>
      <c r="AK150" s="772"/>
      <c r="AL150" s="873"/>
      <c r="AM150" s="862">
        <f t="shared" si="42"/>
        <v>0</v>
      </c>
      <c r="AN150" s="755" t="str">
        <f t="shared" ca="1" si="43"/>
        <v/>
      </c>
      <c r="AO150" s="753"/>
      <c r="AP150" s="753"/>
      <c r="AQ150" s="753"/>
      <c r="AR150" s="753"/>
      <c r="AS150" s="753"/>
      <c r="AT150" s="739"/>
      <c r="AU150" s="739"/>
      <c r="AV150" s="739"/>
      <c r="AW150" s="739"/>
      <c r="AX150" s="739"/>
      <c r="AY150" s="882"/>
      <c r="AZ150" s="739"/>
      <c r="BA150" s="739"/>
      <c r="BB150" s="739"/>
      <c r="BC150" s="739"/>
      <c r="BD150" s="739">
        <f t="shared" si="44"/>
        <v>0</v>
      </c>
      <c r="BE150" s="739"/>
      <c r="BF150" s="882">
        <f t="shared" si="45"/>
        <v>0</v>
      </c>
    </row>
    <row r="151" spans="1:58" x14ac:dyDescent="0.25">
      <c r="A151" s="931"/>
      <c r="B151" s="773"/>
      <c r="C151" s="897"/>
      <c r="D151" s="928"/>
      <c r="E151" s="744"/>
      <c r="F151" s="744">
        <f t="shared" si="37"/>
        <v>0</v>
      </c>
      <c r="G151" s="773"/>
      <c r="H151" s="753"/>
      <c r="I151" s="746"/>
      <c r="J151" s="747"/>
      <c r="K151" s="747"/>
      <c r="L151" s="747"/>
      <c r="M151" s="927" t="str">
        <f t="shared" si="35"/>
        <v xml:space="preserve">  </v>
      </c>
      <c r="N151" s="749"/>
      <c r="O151" s="749"/>
      <c r="P151" s="809"/>
      <c r="Q151" s="809"/>
      <c r="R151" s="937"/>
      <c r="S151" s="861"/>
      <c r="T151" s="861">
        <f t="shared" si="38"/>
        <v>0</v>
      </c>
      <c r="U151" s="864">
        <f t="shared" si="39"/>
        <v>0</v>
      </c>
      <c r="V151" s="862"/>
      <c r="W151" s="861">
        <f t="shared" si="36"/>
        <v>0</v>
      </c>
      <c r="X151" s="864">
        <f t="shared" si="40"/>
        <v>0</v>
      </c>
      <c r="Y151" s="866">
        <f t="shared" si="34"/>
        <v>0</v>
      </c>
      <c r="Z151" s="751"/>
      <c r="AA151" s="739"/>
      <c r="AB151" s="753"/>
      <c r="AC151" s="752">
        <f t="shared" si="41"/>
        <v>0</v>
      </c>
      <c r="AD151" s="739"/>
      <c r="AE151" s="891"/>
      <c r="AF151" s="891"/>
      <c r="AG151" s="891"/>
      <c r="AH151" s="891"/>
      <c r="AI151" s="900"/>
      <c r="AJ151" s="749"/>
      <c r="AK151" s="772"/>
      <c r="AL151" s="873"/>
      <c r="AM151" s="862">
        <f t="shared" si="42"/>
        <v>0</v>
      </c>
      <c r="AN151" s="755" t="str">
        <f t="shared" ca="1" si="43"/>
        <v/>
      </c>
      <c r="AO151" s="753"/>
      <c r="AP151" s="753"/>
      <c r="AQ151" s="753"/>
      <c r="AR151" s="753"/>
      <c r="AS151" s="753"/>
      <c r="AT151" s="739"/>
      <c r="AU151" s="739"/>
      <c r="AV151" s="739"/>
      <c r="AW151" s="739"/>
      <c r="AX151" s="739"/>
      <c r="AY151" s="882"/>
      <c r="AZ151" s="739"/>
      <c r="BA151" s="739"/>
      <c r="BB151" s="739"/>
      <c r="BC151" s="739"/>
      <c r="BD151" s="739">
        <f t="shared" si="44"/>
        <v>0</v>
      </c>
      <c r="BE151" s="739"/>
      <c r="BF151" s="882">
        <f t="shared" si="45"/>
        <v>0</v>
      </c>
    </row>
    <row r="152" spans="1:58" x14ac:dyDescent="0.25">
      <c r="A152" s="931"/>
      <c r="B152" s="773"/>
      <c r="C152" s="897"/>
      <c r="D152" s="928"/>
      <c r="E152" s="744"/>
      <c r="F152" s="744">
        <f t="shared" si="37"/>
        <v>0</v>
      </c>
      <c r="G152" s="773"/>
      <c r="H152" s="756"/>
      <c r="I152" s="762"/>
      <c r="J152" s="810"/>
      <c r="K152" s="771"/>
      <c r="L152" s="771"/>
      <c r="M152" s="927" t="str">
        <f t="shared" si="35"/>
        <v xml:space="preserve">  </v>
      </c>
      <c r="N152" s="749"/>
      <c r="O152" s="749"/>
      <c r="P152" s="749"/>
      <c r="Q152" s="749"/>
      <c r="R152" s="937"/>
      <c r="S152" s="861"/>
      <c r="T152" s="861">
        <f t="shared" si="38"/>
        <v>0</v>
      </c>
      <c r="U152" s="864">
        <f t="shared" si="39"/>
        <v>0</v>
      </c>
      <c r="V152" s="862"/>
      <c r="W152" s="861">
        <f t="shared" si="36"/>
        <v>0</v>
      </c>
      <c r="X152" s="864">
        <f t="shared" si="40"/>
        <v>0</v>
      </c>
      <c r="Y152" s="866">
        <f t="shared" si="34"/>
        <v>0</v>
      </c>
      <c r="Z152" s="751"/>
      <c r="AA152" s="739"/>
      <c r="AB152" s="753"/>
      <c r="AC152" s="752">
        <f t="shared" si="41"/>
        <v>0</v>
      </c>
      <c r="AD152" s="739"/>
      <c r="AE152" s="891"/>
      <c r="AF152" s="891"/>
      <c r="AG152" s="891"/>
      <c r="AH152" s="891"/>
      <c r="AI152" s="900"/>
      <c r="AJ152" s="749"/>
      <c r="AK152" s="772"/>
      <c r="AL152" s="873"/>
      <c r="AM152" s="862">
        <f t="shared" si="42"/>
        <v>0</v>
      </c>
      <c r="AN152" s="755" t="str">
        <f t="shared" ca="1" si="43"/>
        <v/>
      </c>
      <c r="AO152" s="753"/>
      <c r="AP152" s="753"/>
      <c r="AQ152" s="753"/>
      <c r="AR152" s="753"/>
      <c r="AS152" s="753"/>
      <c r="AT152" s="739"/>
      <c r="AU152" s="739"/>
      <c r="AV152" s="739"/>
      <c r="AW152" s="739"/>
      <c r="AX152" s="739"/>
      <c r="AY152" s="882"/>
      <c r="AZ152" s="739"/>
      <c r="BA152" s="739"/>
      <c r="BB152" s="739"/>
      <c r="BC152" s="739"/>
      <c r="BD152" s="739">
        <f t="shared" si="44"/>
        <v>0</v>
      </c>
      <c r="BE152" s="739"/>
      <c r="BF152" s="882">
        <f t="shared" si="45"/>
        <v>0</v>
      </c>
    </row>
    <row r="153" spans="1:58" x14ac:dyDescent="0.25">
      <c r="A153" s="931"/>
      <c r="B153" s="773"/>
      <c r="C153" s="897"/>
      <c r="D153" s="928"/>
      <c r="E153" s="744"/>
      <c r="F153" s="744">
        <f t="shared" si="37"/>
        <v>0</v>
      </c>
      <c r="G153" s="773"/>
      <c r="H153" s="753"/>
      <c r="I153" s="811"/>
      <c r="J153" s="771"/>
      <c r="K153" s="771"/>
      <c r="L153" s="771"/>
      <c r="M153" s="927" t="str">
        <f t="shared" si="35"/>
        <v xml:space="preserve">  </v>
      </c>
      <c r="N153" s="749"/>
      <c r="O153" s="749"/>
      <c r="P153" s="749"/>
      <c r="Q153" s="749"/>
      <c r="R153" s="937"/>
      <c r="S153" s="861"/>
      <c r="T153" s="861">
        <f t="shared" si="38"/>
        <v>0</v>
      </c>
      <c r="U153" s="864">
        <f t="shared" si="39"/>
        <v>0</v>
      </c>
      <c r="V153" s="862"/>
      <c r="W153" s="861">
        <f t="shared" si="36"/>
        <v>0</v>
      </c>
      <c r="X153" s="864">
        <f t="shared" si="40"/>
        <v>0</v>
      </c>
      <c r="Y153" s="866">
        <f t="shared" si="34"/>
        <v>0</v>
      </c>
      <c r="Z153" s="751"/>
      <c r="AA153" s="739"/>
      <c r="AB153" s="753"/>
      <c r="AC153" s="752">
        <f t="shared" si="41"/>
        <v>0</v>
      </c>
      <c r="AD153" s="739"/>
      <c r="AE153" s="891"/>
      <c r="AF153" s="891"/>
      <c r="AG153" s="891"/>
      <c r="AH153" s="891"/>
      <c r="AI153" s="900"/>
      <c r="AJ153" s="749"/>
      <c r="AK153" s="772"/>
      <c r="AL153" s="873"/>
      <c r="AM153" s="862">
        <f t="shared" si="42"/>
        <v>0</v>
      </c>
      <c r="AN153" s="755" t="str">
        <f t="shared" ca="1" si="43"/>
        <v/>
      </c>
      <c r="AO153" s="753"/>
      <c r="AP153" s="753"/>
      <c r="AQ153" s="753"/>
      <c r="AR153" s="753"/>
      <c r="AS153" s="753"/>
      <c r="AT153" s="739"/>
      <c r="AU153" s="739"/>
      <c r="AV153" s="739"/>
      <c r="AW153" s="739"/>
      <c r="AX153" s="739"/>
      <c r="AY153" s="882"/>
      <c r="AZ153" s="739"/>
      <c r="BA153" s="739"/>
      <c r="BB153" s="739"/>
      <c r="BC153" s="739"/>
      <c r="BD153" s="739">
        <f t="shared" si="44"/>
        <v>0</v>
      </c>
      <c r="BE153" s="739"/>
      <c r="BF153" s="882">
        <f t="shared" si="45"/>
        <v>0</v>
      </c>
    </row>
    <row r="154" spans="1:58" x14ac:dyDescent="0.25">
      <c r="A154" s="931"/>
      <c r="B154" s="773"/>
      <c r="C154" s="897"/>
      <c r="D154" s="928"/>
      <c r="E154" s="744"/>
      <c r="F154" s="744">
        <f t="shared" si="37"/>
        <v>0</v>
      </c>
      <c r="G154" s="773"/>
      <c r="H154" s="753"/>
      <c r="I154" s="746"/>
      <c r="J154" s="771"/>
      <c r="K154" s="771"/>
      <c r="L154" s="771"/>
      <c r="M154" s="927" t="str">
        <f t="shared" si="35"/>
        <v xml:space="preserve">  </v>
      </c>
      <c r="N154" s="749"/>
      <c r="O154" s="749"/>
      <c r="P154" s="749"/>
      <c r="Q154" s="749"/>
      <c r="R154" s="937"/>
      <c r="S154" s="861"/>
      <c r="T154" s="861">
        <f t="shared" si="38"/>
        <v>0</v>
      </c>
      <c r="U154" s="864">
        <f t="shared" si="39"/>
        <v>0</v>
      </c>
      <c r="V154" s="862"/>
      <c r="W154" s="861">
        <f t="shared" si="36"/>
        <v>0</v>
      </c>
      <c r="X154" s="864">
        <f t="shared" si="40"/>
        <v>0</v>
      </c>
      <c r="Y154" s="866">
        <f t="shared" si="34"/>
        <v>0</v>
      </c>
      <c r="Z154" s="751"/>
      <c r="AA154" s="739"/>
      <c r="AB154" s="753"/>
      <c r="AC154" s="752">
        <f t="shared" si="41"/>
        <v>0</v>
      </c>
      <c r="AD154" s="739"/>
      <c r="AE154" s="891"/>
      <c r="AF154" s="891"/>
      <c r="AG154" s="891"/>
      <c r="AH154" s="891"/>
      <c r="AI154" s="900"/>
      <c r="AJ154" s="749"/>
      <c r="AK154" s="772"/>
      <c r="AL154" s="873"/>
      <c r="AM154" s="862">
        <f t="shared" si="42"/>
        <v>0</v>
      </c>
      <c r="AN154" s="755" t="str">
        <f t="shared" ca="1" si="43"/>
        <v/>
      </c>
      <c r="AO154" s="753"/>
      <c r="AP154" s="753"/>
      <c r="AQ154" s="753"/>
      <c r="AR154" s="753"/>
      <c r="AS154" s="753"/>
      <c r="AT154" s="739"/>
      <c r="AU154" s="739"/>
      <c r="AV154" s="739"/>
      <c r="AW154" s="739"/>
      <c r="AX154" s="739"/>
      <c r="AY154" s="882"/>
      <c r="AZ154" s="739"/>
      <c r="BA154" s="739"/>
      <c r="BB154" s="739"/>
      <c r="BC154" s="739"/>
      <c r="BD154" s="739">
        <f t="shared" si="44"/>
        <v>0</v>
      </c>
      <c r="BE154" s="739"/>
      <c r="BF154" s="882">
        <f t="shared" si="45"/>
        <v>0</v>
      </c>
    </row>
    <row r="155" spans="1:58" x14ac:dyDescent="0.25">
      <c r="A155" s="936"/>
      <c r="B155" s="773"/>
      <c r="C155" s="897"/>
      <c r="D155" s="928"/>
      <c r="E155" s="744"/>
      <c r="F155" s="744">
        <f t="shared" si="37"/>
        <v>0</v>
      </c>
      <c r="G155" s="773"/>
      <c r="H155" s="753"/>
      <c r="I155" s="746"/>
      <c r="J155" s="747"/>
      <c r="K155" s="747"/>
      <c r="L155" s="747"/>
      <c r="M155" s="927" t="str">
        <f t="shared" si="35"/>
        <v xml:space="preserve">  </v>
      </c>
      <c r="N155" s="749"/>
      <c r="O155" s="749"/>
      <c r="P155" s="749"/>
      <c r="Q155" s="749"/>
      <c r="R155" s="937"/>
      <c r="S155" s="861"/>
      <c r="T155" s="861">
        <f t="shared" si="38"/>
        <v>0</v>
      </c>
      <c r="U155" s="864">
        <f t="shared" si="39"/>
        <v>0</v>
      </c>
      <c r="V155" s="862"/>
      <c r="W155" s="861">
        <f t="shared" si="36"/>
        <v>0</v>
      </c>
      <c r="X155" s="864">
        <f t="shared" si="40"/>
        <v>0</v>
      </c>
      <c r="Y155" s="866">
        <f t="shared" si="34"/>
        <v>0</v>
      </c>
      <c r="Z155" s="751"/>
      <c r="AA155" s="739"/>
      <c r="AB155" s="753"/>
      <c r="AC155" s="752">
        <f t="shared" si="41"/>
        <v>0</v>
      </c>
      <c r="AD155" s="739"/>
      <c r="AE155" s="891"/>
      <c r="AF155" s="891"/>
      <c r="AG155" s="891"/>
      <c r="AH155" s="891"/>
      <c r="AI155" s="900"/>
      <c r="AJ155" s="749"/>
      <c r="AK155" s="772"/>
      <c r="AL155" s="873"/>
      <c r="AM155" s="862">
        <f t="shared" si="42"/>
        <v>0</v>
      </c>
      <c r="AN155" s="755" t="str">
        <f t="shared" ca="1" si="43"/>
        <v/>
      </c>
      <c r="AO155" s="753"/>
      <c r="AP155" s="753"/>
      <c r="AQ155" s="753"/>
      <c r="AR155" s="753"/>
      <c r="AS155" s="753"/>
      <c r="AT155" s="739"/>
      <c r="AU155" s="739"/>
      <c r="AV155" s="739"/>
      <c r="AW155" s="739"/>
      <c r="AX155" s="739"/>
      <c r="AY155" s="882"/>
      <c r="AZ155" s="739"/>
      <c r="BA155" s="739"/>
      <c r="BB155" s="739"/>
      <c r="BC155" s="739"/>
      <c r="BD155" s="739">
        <f t="shared" si="44"/>
        <v>0</v>
      </c>
      <c r="BE155" s="739"/>
      <c r="BF155" s="882">
        <f t="shared" si="45"/>
        <v>0</v>
      </c>
    </row>
    <row r="156" spans="1:58" x14ac:dyDescent="0.25">
      <c r="A156" s="931"/>
      <c r="B156" s="773"/>
      <c r="C156" s="897"/>
      <c r="D156" s="928"/>
      <c r="E156" s="744"/>
      <c r="F156" s="744">
        <f t="shared" si="37"/>
        <v>0</v>
      </c>
      <c r="G156" s="773"/>
      <c r="H156" s="753"/>
      <c r="I156" s="746"/>
      <c r="J156" s="747"/>
      <c r="K156" s="747"/>
      <c r="L156" s="747"/>
      <c r="M156" s="927" t="str">
        <f t="shared" si="35"/>
        <v xml:space="preserve">  </v>
      </c>
      <c r="N156" s="749"/>
      <c r="O156" s="749"/>
      <c r="P156" s="749"/>
      <c r="Q156" s="749"/>
      <c r="R156" s="937"/>
      <c r="S156" s="861"/>
      <c r="T156" s="861">
        <f t="shared" si="38"/>
        <v>0</v>
      </c>
      <c r="U156" s="864">
        <f t="shared" si="39"/>
        <v>0</v>
      </c>
      <c r="V156" s="862"/>
      <c r="W156" s="861">
        <f t="shared" si="36"/>
        <v>0</v>
      </c>
      <c r="X156" s="864">
        <f t="shared" si="40"/>
        <v>0</v>
      </c>
      <c r="Y156" s="866">
        <f t="shared" si="34"/>
        <v>0</v>
      </c>
      <c r="Z156" s="751"/>
      <c r="AA156" s="739"/>
      <c r="AB156" s="753"/>
      <c r="AC156" s="752">
        <f t="shared" si="41"/>
        <v>0</v>
      </c>
      <c r="AD156" s="739"/>
      <c r="AE156" s="891"/>
      <c r="AF156" s="891"/>
      <c r="AG156" s="891"/>
      <c r="AH156" s="891"/>
      <c r="AI156" s="900"/>
      <c r="AJ156" s="749"/>
      <c r="AK156" s="772"/>
      <c r="AL156" s="873"/>
      <c r="AM156" s="862">
        <f t="shared" si="42"/>
        <v>0</v>
      </c>
      <c r="AN156" s="755" t="str">
        <f t="shared" ca="1" si="43"/>
        <v/>
      </c>
      <c r="AO156" s="753"/>
      <c r="AP156" s="753"/>
      <c r="AQ156" s="753"/>
      <c r="AR156" s="753"/>
      <c r="AS156" s="753"/>
      <c r="AT156" s="739"/>
      <c r="AU156" s="739"/>
      <c r="AV156" s="739"/>
      <c r="AW156" s="739"/>
      <c r="AX156" s="739"/>
      <c r="AY156" s="882"/>
      <c r="AZ156" s="739"/>
      <c r="BA156" s="739"/>
      <c r="BB156" s="739"/>
      <c r="BC156" s="739"/>
      <c r="BD156" s="739">
        <f t="shared" si="44"/>
        <v>0</v>
      </c>
      <c r="BE156" s="739"/>
      <c r="BF156" s="882">
        <f t="shared" si="45"/>
        <v>0</v>
      </c>
    </row>
    <row r="157" spans="1:58" x14ac:dyDescent="0.25">
      <c r="A157" s="931"/>
      <c r="B157" s="773"/>
      <c r="C157" s="897"/>
      <c r="D157" s="928"/>
      <c r="E157" s="744"/>
      <c r="F157" s="744">
        <f t="shared" si="37"/>
        <v>0</v>
      </c>
      <c r="G157" s="773"/>
      <c r="H157" s="753"/>
      <c r="I157" s="746"/>
      <c r="J157" s="747"/>
      <c r="K157" s="747"/>
      <c r="L157" s="747"/>
      <c r="M157" s="927" t="str">
        <f t="shared" si="35"/>
        <v xml:space="preserve">  </v>
      </c>
      <c r="N157" s="749"/>
      <c r="O157" s="749"/>
      <c r="P157" s="749"/>
      <c r="Q157" s="749"/>
      <c r="R157" s="937"/>
      <c r="S157" s="861"/>
      <c r="T157" s="861">
        <f t="shared" si="38"/>
        <v>0</v>
      </c>
      <c r="U157" s="864">
        <f t="shared" si="39"/>
        <v>0</v>
      </c>
      <c r="V157" s="862"/>
      <c r="W157" s="861">
        <f t="shared" si="36"/>
        <v>0</v>
      </c>
      <c r="X157" s="864">
        <f t="shared" si="40"/>
        <v>0</v>
      </c>
      <c r="Y157" s="866">
        <f t="shared" si="34"/>
        <v>0</v>
      </c>
      <c r="Z157" s="751"/>
      <c r="AA157" s="739"/>
      <c r="AB157" s="753"/>
      <c r="AC157" s="752">
        <f t="shared" si="41"/>
        <v>0</v>
      </c>
      <c r="AD157" s="739"/>
      <c r="AE157" s="891"/>
      <c r="AF157" s="891"/>
      <c r="AG157" s="891"/>
      <c r="AH157" s="891"/>
      <c r="AI157" s="900"/>
      <c r="AJ157" s="749"/>
      <c r="AK157" s="772"/>
      <c r="AL157" s="873"/>
      <c r="AM157" s="862">
        <f t="shared" si="42"/>
        <v>0</v>
      </c>
      <c r="AN157" s="755" t="str">
        <f t="shared" ca="1" si="43"/>
        <v/>
      </c>
      <c r="AO157" s="753"/>
      <c r="AP157" s="753"/>
      <c r="AQ157" s="753"/>
      <c r="AR157" s="753"/>
      <c r="AS157" s="753"/>
      <c r="AT157" s="739"/>
      <c r="AU157" s="739"/>
      <c r="AV157" s="739"/>
      <c r="AW157" s="739"/>
      <c r="AX157" s="739"/>
      <c r="AY157" s="882"/>
      <c r="AZ157" s="739"/>
      <c r="BA157" s="739"/>
      <c r="BB157" s="739"/>
      <c r="BC157" s="739"/>
      <c r="BD157" s="739">
        <f t="shared" si="44"/>
        <v>0</v>
      </c>
      <c r="BE157" s="739"/>
      <c r="BF157" s="882">
        <f t="shared" si="45"/>
        <v>0</v>
      </c>
    </row>
    <row r="158" spans="1:58" s="774" customFormat="1" x14ac:dyDescent="0.25">
      <c r="A158" s="931"/>
      <c r="B158" s="773"/>
      <c r="C158" s="896"/>
      <c r="D158" s="928"/>
      <c r="E158" s="744"/>
      <c r="F158" s="744">
        <f t="shared" si="37"/>
        <v>0</v>
      </c>
      <c r="G158" s="773"/>
      <c r="H158" s="773"/>
      <c r="I158" s="758"/>
      <c r="J158" s="744"/>
      <c r="K158" s="744"/>
      <c r="L158" s="744"/>
      <c r="M158" s="927" t="str">
        <f t="shared" si="35"/>
        <v xml:space="preserve">  </v>
      </c>
      <c r="N158" s="758"/>
      <c r="O158" s="758"/>
      <c r="P158" s="758"/>
      <c r="Q158" s="758"/>
      <c r="R158" s="939"/>
      <c r="S158" s="861"/>
      <c r="T158" s="861">
        <f t="shared" si="38"/>
        <v>0</v>
      </c>
      <c r="U158" s="864">
        <f t="shared" si="39"/>
        <v>0</v>
      </c>
      <c r="V158" s="862"/>
      <c r="W158" s="861">
        <f t="shared" si="36"/>
        <v>0</v>
      </c>
      <c r="X158" s="864">
        <f t="shared" si="40"/>
        <v>0</v>
      </c>
      <c r="Y158" s="866">
        <f t="shared" si="34"/>
        <v>0</v>
      </c>
      <c r="Z158" s="744"/>
      <c r="AA158" s="770"/>
      <c r="AB158" s="744"/>
      <c r="AC158" s="752">
        <f t="shared" si="41"/>
        <v>0</v>
      </c>
      <c r="AD158" s="770"/>
      <c r="AE158" s="890"/>
      <c r="AF158" s="890"/>
      <c r="AG158" s="890"/>
      <c r="AH158" s="890"/>
      <c r="AI158" s="904"/>
      <c r="AJ158" s="744"/>
      <c r="AK158" s="770"/>
      <c r="AL158" s="872"/>
      <c r="AM158" s="862">
        <f t="shared" si="42"/>
        <v>0</v>
      </c>
      <c r="AN158" s="755" t="str">
        <f t="shared" ca="1" si="43"/>
        <v/>
      </c>
      <c r="AO158" s="744"/>
      <c r="AP158" s="744"/>
      <c r="AQ158" s="753"/>
      <c r="AR158" s="753"/>
      <c r="AS158" s="753"/>
      <c r="AT158" s="770"/>
      <c r="AU158" s="739"/>
      <c r="AV158" s="739"/>
      <c r="AW158" s="739"/>
      <c r="AX158" s="739"/>
      <c r="AY158" s="882"/>
      <c r="AZ158" s="739"/>
      <c r="BA158" s="739"/>
      <c r="BB158" s="739"/>
      <c r="BC158" s="739"/>
      <c r="BD158" s="739">
        <f t="shared" si="44"/>
        <v>0</v>
      </c>
      <c r="BE158" s="739"/>
      <c r="BF158" s="882">
        <f t="shared" si="45"/>
        <v>0</v>
      </c>
    </row>
    <row r="159" spans="1:58" x14ac:dyDescent="0.25">
      <c r="A159" s="931"/>
      <c r="B159" s="773"/>
      <c r="C159" s="896"/>
      <c r="D159" s="928"/>
      <c r="E159" s="744"/>
      <c r="F159" s="744">
        <f t="shared" si="37"/>
        <v>0</v>
      </c>
      <c r="G159" s="773"/>
      <c r="H159" s="773"/>
      <c r="I159" s="746"/>
      <c r="J159" s="747"/>
      <c r="K159" s="747"/>
      <c r="L159" s="747"/>
      <c r="M159" s="927" t="str">
        <f t="shared" si="35"/>
        <v xml:space="preserve">  </v>
      </c>
      <c r="N159" s="749"/>
      <c r="O159" s="749"/>
      <c r="P159" s="749"/>
      <c r="Q159" s="749"/>
      <c r="R159" s="937"/>
      <c r="S159" s="861"/>
      <c r="T159" s="861">
        <f t="shared" si="38"/>
        <v>0</v>
      </c>
      <c r="U159" s="864">
        <f t="shared" si="39"/>
        <v>0</v>
      </c>
      <c r="V159" s="862"/>
      <c r="W159" s="861">
        <f t="shared" si="36"/>
        <v>0</v>
      </c>
      <c r="X159" s="864">
        <f t="shared" si="40"/>
        <v>0</v>
      </c>
      <c r="Y159" s="866">
        <f t="shared" si="34"/>
        <v>0</v>
      </c>
      <c r="Z159" s="751"/>
      <c r="AA159" s="739"/>
      <c r="AB159" s="744"/>
      <c r="AC159" s="752">
        <f t="shared" si="41"/>
        <v>0</v>
      </c>
      <c r="AD159" s="739"/>
      <c r="AE159" s="891"/>
      <c r="AF159" s="891"/>
      <c r="AG159" s="891"/>
      <c r="AH159" s="891"/>
      <c r="AI159" s="900"/>
      <c r="AJ159" s="749"/>
      <c r="AK159" s="772"/>
      <c r="AL159" s="873"/>
      <c r="AM159" s="862">
        <f t="shared" si="42"/>
        <v>0</v>
      </c>
      <c r="AN159" s="755" t="str">
        <f t="shared" ca="1" si="43"/>
        <v/>
      </c>
      <c r="AO159" s="753"/>
      <c r="AP159" s="753"/>
      <c r="AQ159" s="753"/>
      <c r="AR159" s="753"/>
      <c r="AS159" s="753"/>
      <c r="AT159" s="739"/>
      <c r="AU159" s="739"/>
      <c r="AV159" s="739"/>
      <c r="AW159" s="739"/>
      <c r="AX159" s="739"/>
      <c r="AY159" s="882"/>
      <c r="AZ159" s="739"/>
      <c r="BA159" s="739"/>
      <c r="BB159" s="739"/>
      <c r="BC159" s="739"/>
      <c r="BD159" s="739">
        <f t="shared" si="44"/>
        <v>0</v>
      </c>
      <c r="BE159" s="739"/>
      <c r="BF159" s="882">
        <f t="shared" si="45"/>
        <v>0</v>
      </c>
    </row>
    <row r="160" spans="1:58" x14ac:dyDescent="0.25">
      <c r="A160" s="931"/>
      <c r="B160" s="773"/>
      <c r="C160" s="897"/>
      <c r="D160" s="928"/>
      <c r="E160" s="744"/>
      <c r="F160" s="744">
        <f t="shared" si="37"/>
        <v>0</v>
      </c>
      <c r="G160" s="773"/>
      <c r="H160" s="753"/>
      <c r="I160" s="746"/>
      <c r="J160" s="747"/>
      <c r="K160" s="747"/>
      <c r="L160" s="747"/>
      <c r="M160" s="927" t="str">
        <f t="shared" si="35"/>
        <v xml:space="preserve">  </v>
      </c>
      <c r="N160" s="749"/>
      <c r="O160" s="749"/>
      <c r="P160" s="758"/>
      <c r="Q160" s="758"/>
      <c r="R160" s="939"/>
      <c r="S160" s="861"/>
      <c r="T160" s="861">
        <f t="shared" si="38"/>
        <v>0</v>
      </c>
      <c r="U160" s="864">
        <f t="shared" si="39"/>
        <v>0</v>
      </c>
      <c r="V160" s="862"/>
      <c r="W160" s="861">
        <f t="shared" si="36"/>
        <v>0</v>
      </c>
      <c r="X160" s="864">
        <f t="shared" si="40"/>
        <v>0</v>
      </c>
      <c r="Y160" s="866">
        <f t="shared" si="34"/>
        <v>0</v>
      </c>
      <c r="Z160" s="751"/>
      <c r="AA160" s="739"/>
      <c r="AB160" s="753"/>
      <c r="AC160" s="752">
        <f t="shared" si="41"/>
        <v>0</v>
      </c>
      <c r="AD160" s="739"/>
      <c r="AE160" s="891"/>
      <c r="AF160" s="891"/>
      <c r="AG160" s="891"/>
      <c r="AH160" s="890"/>
      <c r="AI160" s="904"/>
      <c r="AJ160" s="749"/>
      <c r="AK160" s="772"/>
      <c r="AL160" s="873"/>
      <c r="AM160" s="862">
        <f t="shared" si="42"/>
        <v>0</v>
      </c>
      <c r="AN160" s="755" t="str">
        <f t="shared" ca="1" si="43"/>
        <v/>
      </c>
      <c r="AO160" s="753"/>
      <c r="AP160" s="753"/>
      <c r="AQ160" s="753"/>
      <c r="AR160" s="753"/>
      <c r="AS160" s="753"/>
      <c r="AT160" s="739"/>
      <c r="AU160" s="739"/>
      <c r="AV160" s="739"/>
      <c r="AW160" s="739"/>
      <c r="AX160" s="739"/>
      <c r="AY160" s="882"/>
      <c r="AZ160" s="739"/>
      <c r="BA160" s="739"/>
      <c r="BB160" s="739"/>
      <c r="BC160" s="739"/>
      <c r="BD160" s="739">
        <f t="shared" si="44"/>
        <v>0</v>
      </c>
      <c r="BE160" s="739"/>
      <c r="BF160" s="882">
        <f t="shared" si="45"/>
        <v>0</v>
      </c>
    </row>
    <row r="161" spans="1:58" x14ac:dyDescent="0.25">
      <c r="A161" s="931"/>
      <c r="B161" s="773"/>
      <c r="C161" s="897"/>
      <c r="D161" s="928"/>
      <c r="E161" s="744"/>
      <c r="F161" s="744">
        <f t="shared" si="37"/>
        <v>0</v>
      </c>
      <c r="G161" s="773"/>
      <c r="H161" s="753"/>
      <c r="I161" s="746"/>
      <c r="J161" s="747"/>
      <c r="K161" s="747"/>
      <c r="L161" s="747"/>
      <c r="M161" s="927" t="str">
        <f t="shared" si="35"/>
        <v xml:space="preserve">  </v>
      </c>
      <c r="N161" s="749"/>
      <c r="O161" s="749"/>
      <c r="P161" s="758"/>
      <c r="Q161" s="758"/>
      <c r="R161" s="939"/>
      <c r="S161" s="861"/>
      <c r="T161" s="861">
        <f t="shared" si="38"/>
        <v>0</v>
      </c>
      <c r="U161" s="864">
        <f t="shared" si="39"/>
        <v>0</v>
      </c>
      <c r="V161" s="862"/>
      <c r="W161" s="861">
        <f t="shared" si="36"/>
        <v>0</v>
      </c>
      <c r="X161" s="864">
        <f t="shared" si="40"/>
        <v>0</v>
      </c>
      <c r="Y161" s="866">
        <f t="shared" si="34"/>
        <v>0</v>
      </c>
      <c r="Z161" s="751"/>
      <c r="AA161" s="739"/>
      <c r="AB161" s="753"/>
      <c r="AC161" s="752">
        <f t="shared" si="41"/>
        <v>0</v>
      </c>
      <c r="AD161" s="739"/>
      <c r="AE161" s="891"/>
      <c r="AF161" s="891"/>
      <c r="AG161" s="891"/>
      <c r="AH161" s="890"/>
      <c r="AI161" s="904"/>
      <c r="AJ161" s="749"/>
      <c r="AK161" s="772"/>
      <c r="AL161" s="873"/>
      <c r="AM161" s="862">
        <f t="shared" si="42"/>
        <v>0</v>
      </c>
      <c r="AN161" s="755" t="str">
        <f t="shared" ca="1" si="43"/>
        <v/>
      </c>
      <c r="AO161" s="753"/>
      <c r="AP161" s="753"/>
      <c r="AQ161" s="753"/>
      <c r="AR161" s="753"/>
      <c r="AS161" s="753"/>
      <c r="AT161" s="739"/>
      <c r="AU161" s="739"/>
      <c r="AV161" s="739"/>
      <c r="AW161" s="739"/>
      <c r="AX161" s="739"/>
      <c r="AY161" s="882"/>
      <c r="AZ161" s="739"/>
      <c r="BA161" s="739"/>
      <c r="BB161" s="739"/>
      <c r="BC161" s="739"/>
      <c r="BD161" s="739">
        <f t="shared" si="44"/>
        <v>0</v>
      </c>
      <c r="BE161" s="739"/>
      <c r="BF161" s="882">
        <f t="shared" si="45"/>
        <v>0</v>
      </c>
    </row>
    <row r="162" spans="1:58" x14ac:dyDescent="0.25">
      <c r="A162" s="931"/>
      <c r="B162" s="773"/>
      <c r="C162" s="897"/>
      <c r="D162" s="928"/>
      <c r="E162" s="744"/>
      <c r="F162" s="744">
        <f t="shared" si="37"/>
        <v>0</v>
      </c>
      <c r="G162" s="773"/>
      <c r="H162" s="753"/>
      <c r="I162" s="746"/>
      <c r="J162" s="747"/>
      <c r="K162" s="747"/>
      <c r="L162" s="747"/>
      <c r="M162" s="927" t="str">
        <f t="shared" si="35"/>
        <v xml:space="preserve">  </v>
      </c>
      <c r="N162" s="749"/>
      <c r="O162" s="749"/>
      <c r="P162" s="758"/>
      <c r="Q162" s="758"/>
      <c r="R162" s="939"/>
      <c r="S162" s="861"/>
      <c r="T162" s="861">
        <f t="shared" si="38"/>
        <v>0</v>
      </c>
      <c r="U162" s="864">
        <f t="shared" si="39"/>
        <v>0</v>
      </c>
      <c r="V162" s="862"/>
      <c r="W162" s="861">
        <f t="shared" si="36"/>
        <v>0</v>
      </c>
      <c r="X162" s="864">
        <f t="shared" si="40"/>
        <v>0</v>
      </c>
      <c r="Y162" s="866">
        <f t="shared" si="34"/>
        <v>0</v>
      </c>
      <c r="Z162" s="751"/>
      <c r="AA162" s="739"/>
      <c r="AB162" s="753"/>
      <c r="AC162" s="752">
        <f t="shared" si="41"/>
        <v>0</v>
      </c>
      <c r="AD162" s="739"/>
      <c r="AE162" s="891"/>
      <c r="AF162" s="891"/>
      <c r="AG162" s="891"/>
      <c r="AH162" s="890"/>
      <c r="AI162" s="904"/>
      <c r="AJ162" s="749"/>
      <c r="AK162" s="772"/>
      <c r="AL162" s="873"/>
      <c r="AM162" s="862">
        <f t="shared" si="42"/>
        <v>0</v>
      </c>
      <c r="AN162" s="755" t="str">
        <f t="shared" ca="1" si="43"/>
        <v/>
      </c>
      <c r="AO162" s="753"/>
      <c r="AP162" s="753"/>
      <c r="AQ162" s="753"/>
      <c r="AR162" s="753"/>
      <c r="AS162" s="753"/>
      <c r="AT162" s="739"/>
      <c r="AU162" s="739"/>
      <c r="AV162" s="739"/>
      <c r="AW162" s="739"/>
      <c r="AX162" s="739"/>
      <c r="AY162" s="882"/>
      <c r="AZ162" s="739"/>
      <c r="BA162" s="739"/>
      <c r="BB162" s="739"/>
      <c r="BC162" s="739"/>
      <c r="BD162" s="739">
        <f t="shared" si="44"/>
        <v>0</v>
      </c>
      <c r="BE162" s="739"/>
      <c r="BF162" s="882">
        <f t="shared" si="45"/>
        <v>0</v>
      </c>
    </row>
    <row r="163" spans="1:58" x14ac:dyDescent="0.25">
      <c r="A163" s="931"/>
      <c r="B163" s="773"/>
      <c r="C163" s="897"/>
      <c r="D163" s="928"/>
      <c r="E163" s="744"/>
      <c r="F163" s="744">
        <f t="shared" si="37"/>
        <v>0</v>
      </c>
      <c r="G163" s="773"/>
      <c r="H163" s="753"/>
      <c r="I163" s="746"/>
      <c r="J163" s="747"/>
      <c r="K163" s="747"/>
      <c r="L163" s="747"/>
      <c r="M163" s="927" t="str">
        <f t="shared" si="35"/>
        <v xml:space="preserve">  </v>
      </c>
      <c r="N163" s="749"/>
      <c r="O163" s="749"/>
      <c r="P163" s="758"/>
      <c r="Q163" s="758"/>
      <c r="R163" s="939"/>
      <c r="S163" s="861"/>
      <c r="T163" s="861">
        <f t="shared" si="38"/>
        <v>0</v>
      </c>
      <c r="U163" s="864">
        <f t="shared" si="39"/>
        <v>0</v>
      </c>
      <c r="V163" s="862"/>
      <c r="W163" s="861">
        <f t="shared" si="36"/>
        <v>0</v>
      </c>
      <c r="X163" s="864">
        <f t="shared" si="40"/>
        <v>0</v>
      </c>
      <c r="Y163" s="866">
        <f t="shared" si="34"/>
        <v>0</v>
      </c>
      <c r="Z163" s="751"/>
      <c r="AA163" s="739"/>
      <c r="AB163" s="753"/>
      <c r="AC163" s="752">
        <f t="shared" si="41"/>
        <v>0</v>
      </c>
      <c r="AD163" s="739"/>
      <c r="AE163" s="891"/>
      <c r="AF163" s="891"/>
      <c r="AG163" s="891"/>
      <c r="AH163" s="890"/>
      <c r="AI163" s="904"/>
      <c r="AJ163" s="749"/>
      <c r="AK163" s="772"/>
      <c r="AL163" s="873"/>
      <c r="AM163" s="862">
        <f t="shared" si="42"/>
        <v>0</v>
      </c>
      <c r="AN163" s="755" t="str">
        <f t="shared" ca="1" si="43"/>
        <v/>
      </c>
      <c r="AO163" s="753"/>
      <c r="AP163" s="753"/>
      <c r="AQ163" s="753"/>
      <c r="AR163" s="753"/>
      <c r="AS163" s="753"/>
      <c r="AT163" s="739"/>
      <c r="AU163" s="739"/>
      <c r="AV163" s="739"/>
      <c r="AW163" s="739"/>
      <c r="AX163" s="739"/>
      <c r="AY163" s="882"/>
      <c r="AZ163" s="739"/>
      <c r="BA163" s="739"/>
      <c r="BB163" s="739"/>
      <c r="BC163" s="739"/>
      <c r="BD163" s="739">
        <f t="shared" si="44"/>
        <v>0</v>
      </c>
      <c r="BE163" s="739"/>
      <c r="BF163" s="882">
        <f t="shared" si="45"/>
        <v>0</v>
      </c>
    </row>
    <row r="164" spans="1:58" x14ac:dyDescent="0.25">
      <c r="A164" s="931"/>
      <c r="B164" s="773"/>
      <c r="C164" s="896"/>
      <c r="D164" s="928"/>
      <c r="E164" s="744"/>
      <c r="F164" s="744">
        <f t="shared" si="37"/>
        <v>0</v>
      </c>
      <c r="G164" s="773"/>
      <c r="H164" s="744"/>
      <c r="I164" s="748"/>
      <c r="J164" s="747"/>
      <c r="K164" s="747"/>
      <c r="L164" s="747"/>
      <c r="M164" s="927" t="str">
        <f t="shared" si="35"/>
        <v xml:space="preserve">  </v>
      </c>
      <c r="N164" s="749"/>
      <c r="O164" s="749"/>
      <c r="P164" s="749"/>
      <c r="Q164" s="749"/>
      <c r="R164" s="937"/>
      <c r="S164" s="861"/>
      <c r="T164" s="861">
        <f t="shared" si="38"/>
        <v>0</v>
      </c>
      <c r="U164" s="864">
        <f t="shared" si="39"/>
        <v>0</v>
      </c>
      <c r="V164" s="862"/>
      <c r="W164" s="861">
        <f t="shared" si="36"/>
        <v>0</v>
      </c>
      <c r="X164" s="864">
        <f t="shared" si="40"/>
        <v>0</v>
      </c>
      <c r="Y164" s="866">
        <f t="shared" si="34"/>
        <v>0</v>
      </c>
      <c r="Z164" s="751"/>
      <c r="AA164" s="739"/>
      <c r="AB164" s="753"/>
      <c r="AC164" s="752">
        <f t="shared" si="41"/>
        <v>0</v>
      </c>
      <c r="AD164" s="739"/>
      <c r="AE164" s="891"/>
      <c r="AF164" s="891"/>
      <c r="AG164" s="891"/>
      <c r="AH164" s="891"/>
      <c r="AI164" s="900"/>
      <c r="AJ164" s="739"/>
      <c r="AK164" s="739"/>
      <c r="AL164" s="875"/>
      <c r="AM164" s="862">
        <f t="shared" si="42"/>
        <v>0</v>
      </c>
      <c r="AN164" s="755" t="str">
        <f t="shared" ca="1" si="43"/>
        <v/>
      </c>
      <c r="AO164" s="753"/>
      <c r="AP164" s="753"/>
      <c r="AQ164" s="753"/>
      <c r="AR164" s="753"/>
      <c r="AS164" s="753"/>
      <c r="AT164" s="739"/>
      <c r="AU164" s="739"/>
      <c r="AV164" s="739"/>
      <c r="AW164" s="739"/>
      <c r="AX164" s="739"/>
      <c r="AY164" s="882"/>
      <c r="AZ164" s="739"/>
      <c r="BA164" s="739"/>
      <c r="BB164" s="739"/>
      <c r="BC164" s="739"/>
      <c r="BD164" s="739">
        <f t="shared" si="44"/>
        <v>0</v>
      </c>
      <c r="BE164" s="739"/>
      <c r="BF164" s="882">
        <f t="shared" si="45"/>
        <v>0</v>
      </c>
    </row>
    <row r="165" spans="1:58" x14ac:dyDescent="0.25">
      <c r="A165" s="931"/>
      <c r="B165" s="773"/>
      <c r="C165" s="897"/>
      <c r="D165" s="928"/>
      <c r="E165" s="744"/>
      <c r="F165" s="744">
        <f t="shared" si="37"/>
        <v>0</v>
      </c>
      <c r="G165" s="773"/>
      <c r="H165" s="753"/>
      <c r="I165" s="771"/>
      <c r="J165" s="747"/>
      <c r="K165" s="747"/>
      <c r="L165" s="747"/>
      <c r="M165" s="927" t="str">
        <f t="shared" si="35"/>
        <v xml:space="preserve">  </v>
      </c>
      <c r="N165" s="749"/>
      <c r="O165" s="749"/>
      <c r="P165" s="749"/>
      <c r="Q165" s="749"/>
      <c r="R165" s="937"/>
      <c r="S165" s="861"/>
      <c r="T165" s="861">
        <f t="shared" si="38"/>
        <v>0</v>
      </c>
      <c r="U165" s="864">
        <f t="shared" si="39"/>
        <v>0</v>
      </c>
      <c r="V165" s="862"/>
      <c r="W165" s="861">
        <f t="shared" si="36"/>
        <v>0</v>
      </c>
      <c r="X165" s="864">
        <f t="shared" si="40"/>
        <v>0</v>
      </c>
      <c r="Y165" s="866">
        <f t="shared" si="34"/>
        <v>0</v>
      </c>
      <c r="Z165" s="751"/>
      <c r="AA165" s="739"/>
      <c r="AB165" s="753"/>
      <c r="AC165" s="752">
        <f t="shared" si="41"/>
        <v>0</v>
      </c>
      <c r="AD165" s="739"/>
      <c r="AE165" s="891"/>
      <c r="AF165" s="891"/>
      <c r="AG165" s="891"/>
      <c r="AH165" s="891"/>
      <c r="AI165" s="900"/>
      <c r="AJ165" s="749"/>
      <c r="AK165" s="772"/>
      <c r="AL165" s="873"/>
      <c r="AM165" s="862">
        <f t="shared" si="42"/>
        <v>0</v>
      </c>
      <c r="AN165" s="755" t="str">
        <f t="shared" ca="1" si="43"/>
        <v/>
      </c>
      <c r="AO165" s="753"/>
      <c r="AP165" s="753"/>
      <c r="AQ165" s="753"/>
      <c r="AR165" s="753"/>
      <c r="AS165" s="753"/>
      <c r="AT165" s="739"/>
      <c r="AU165" s="739"/>
      <c r="AV165" s="739"/>
      <c r="AW165" s="739"/>
      <c r="AX165" s="739"/>
      <c r="AY165" s="882"/>
      <c r="AZ165" s="739"/>
      <c r="BA165" s="739"/>
      <c r="BB165" s="739"/>
      <c r="BC165" s="739"/>
      <c r="BD165" s="739">
        <f t="shared" si="44"/>
        <v>0</v>
      </c>
      <c r="BE165" s="739"/>
      <c r="BF165" s="882">
        <f t="shared" si="45"/>
        <v>0</v>
      </c>
    </row>
    <row r="166" spans="1:58" x14ac:dyDescent="0.25">
      <c r="A166" s="931"/>
      <c r="B166" s="773"/>
      <c r="C166" s="897"/>
      <c r="D166" s="928"/>
      <c r="E166" s="744"/>
      <c r="F166" s="744">
        <f t="shared" si="37"/>
        <v>0</v>
      </c>
      <c r="G166" s="773"/>
      <c r="H166" s="744"/>
      <c r="I166" s="746"/>
      <c r="J166" s="771"/>
      <c r="K166" s="771"/>
      <c r="L166" s="771"/>
      <c r="M166" s="927" t="str">
        <f t="shared" si="35"/>
        <v xml:space="preserve">  </v>
      </c>
      <c r="N166" s="749"/>
      <c r="O166" s="749"/>
      <c r="P166" s="758"/>
      <c r="Q166" s="758"/>
      <c r="R166" s="937"/>
      <c r="S166" s="861"/>
      <c r="T166" s="861">
        <f t="shared" si="38"/>
        <v>0</v>
      </c>
      <c r="U166" s="864">
        <f t="shared" si="39"/>
        <v>0</v>
      </c>
      <c r="V166" s="862"/>
      <c r="W166" s="861">
        <f t="shared" si="36"/>
        <v>0</v>
      </c>
      <c r="X166" s="864">
        <f t="shared" si="40"/>
        <v>0</v>
      </c>
      <c r="Y166" s="866">
        <f t="shared" si="34"/>
        <v>0</v>
      </c>
      <c r="Z166" s="751"/>
      <c r="AA166" s="739"/>
      <c r="AB166" s="739"/>
      <c r="AC166" s="752">
        <f t="shared" si="41"/>
        <v>0</v>
      </c>
      <c r="AD166" s="739"/>
      <c r="AE166" s="891"/>
      <c r="AF166" s="891"/>
      <c r="AG166" s="891"/>
      <c r="AH166" s="891"/>
      <c r="AI166" s="900"/>
      <c r="AJ166" s="749"/>
      <c r="AK166" s="772"/>
      <c r="AL166" s="873"/>
      <c r="AM166" s="862">
        <f t="shared" si="42"/>
        <v>0</v>
      </c>
      <c r="AN166" s="755" t="str">
        <f t="shared" ca="1" si="43"/>
        <v/>
      </c>
      <c r="AO166" s="753"/>
      <c r="AP166" s="753"/>
      <c r="AQ166" s="753"/>
      <c r="AR166" s="753"/>
      <c r="AS166" s="753"/>
      <c r="AT166" s="739"/>
      <c r="AU166" s="739"/>
      <c r="AV166" s="739"/>
      <c r="AW166" s="739"/>
      <c r="AX166" s="739"/>
      <c r="AY166" s="882"/>
      <c r="AZ166" s="739"/>
      <c r="BA166" s="739"/>
      <c r="BB166" s="739"/>
      <c r="BC166" s="739"/>
      <c r="BD166" s="739">
        <f t="shared" si="44"/>
        <v>0</v>
      </c>
      <c r="BE166" s="739"/>
      <c r="BF166" s="882">
        <f t="shared" si="45"/>
        <v>0</v>
      </c>
    </row>
    <row r="167" spans="1:58" x14ac:dyDescent="0.25">
      <c r="A167" s="931"/>
      <c r="B167" s="773"/>
      <c r="C167" s="897"/>
      <c r="D167" s="928"/>
      <c r="E167" s="744"/>
      <c r="F167" s="744">
        <f t="shared" si="37"/>
        <v>0</v>
      </c>
      <c r="G167" s="773"/>
      <c r="H167" s="753"/>
      <c r="I167" s="746"/>
      <c r="J167" s="771"/>
      <c r="K167" s="771"/>
      <c r="L167" s="771"/>
      <c r="M167" s="927" t="str">
        <f t="shared" si="35"/>
        <v xml:space="preserve">  </v>
      </c>
      <c r="N167" s="749"/>
      <c r="O167" s="749"/>
      <c r="P167" s="749"/>
      <c r="Q167" s="749"/>
      <c r="R167" s="937"/>
      <c r="S167" s="861"/>
      <c r="T167" s="861">
        <f t="shared" si="38"/>
        <v>0</v>
      </c>
      <c r="U167" s="864">
        <f t="shared" si="39"/>
        <v>0</v>
      </c>
      <c r="V167" s="862"/>
      <c r="W167" s="861">
        <f t="shared" si="36"/>
        <v>0</v>
      </c>
      <c r="X167" s="864">
        <f t="shared" si="40"/>
        <v>0</v>
      </c>
      <c r="Y167" s="866">
        <f t="shared" si="34"/>
        <v>0</v>
      </c>
      <c r="Z167" s="751"/>
      <c r="AA167" s="739"/>
      <c r="AB167" s="753"/>
      <c r="AC167" s="752">
        <f t="shared" si="41"/>
        <v>0</v>
      </c>
      <c r="AD167" s="739"/>
      <c r="AE167" s="891"/>
      <c r="AF167" s="891"/>
      <c r="AG167" s="891"/>
      <c r="AH167" s="891"/>
      <c r="AI167" s="900"/>
      <c r="AJ167" s="749"/>
      <c r="AK167" s="772"/>
      <c r="AL167" s="873"/>
      <c r="AM167" s="862">
        <f t="shared" si="42"/>
        <v>0</v>
      </c>
      <c r="AN167" s="755" t="str">
        <f t="shared" ca="1" si="43"/>
        <v/>
      </c>
      <c r="AO167" s="753"/>
      <c r="AP167" s="753"/>
      <c r="AQ167" s="753"/>
      <c r="AR167" s="753"/>
      <c r="AS167" s="753"/>
      <c r="AT167" s="739"/>
      <c r="AU167" s="739"/>
      <c r="AV167" s="739"/>
      <c r="AW167" s="739"/>
      <c r="AX167" s="739"/>
      <c r="AY167" s="882"/>
      <c r="AZ167" s="739"/>
      <c r="BA167" s="739"/>
      <c r="BB167" s="739"/>
      <c r="BC167" s="739"/>
      <c r="BD167" s="739">
        <f t="shared" si="44"/>
        <v>0</v>
      </c>
      <c r="BE167" s="739"/>
      <c r="BF167" s="882">
        <f t="shared" si="45"/>
        <v>0</v>
      </c>
    </row>
    <row r="168" spans="1:58" x14ac:dyDescent="0.25">
      <c r="A168" s="931"/>
      <c r="B168" s="773"/>
      <c r="C168" s="897"/>
      <c r="D168" s="928"/>
      <c r="E168" s="744"/>
      <c r="F168" s="744">
        <f t="shared" si="37"/>
        <v>0</v>
      </c>
      <c r="G168" s="773"/>
      <c r="H168" s="753"/>
      <c r="I168" s="746"/>
      <c r="J168" s="771"/>
      <c r="K168" s="771"/>
      <c r="L168" s="771"/>
      <c r="M168" s="927" t="str">
        <f t="shared" si="35"/>
        <v xml:space="preserve">  </v>
      </c>
      <c r="N168" s="749"/>
      <c r="O168" s="749"/>
      <c r="P168" s="749"/>
      <c r="Q168" s="749"/>
      <c r="R168" s="937"/>
      <c r="S168" s="861"/>
      <c r="T168" s="861">
        <f t="shared" si="38"/>
        <v>0</v>
      </c>
      <c r="U168" s="864">
        <f t="shared" si="39"/>
        <v>0</v>
      </c>
      <c r="V168" s="862"/>
      <c r="W168" s="861">
        <f t="shared" si="36"/>
        <v>0</v>
      </c>
      <c r="X168" s="864">
        <f t="shared" si="40"/>
        <v>0</v>
      </c>
      <c r="Y168" s="866">
        <f t="shared" si="34"/>
        <v>0</v>
      </c>
      <c r="Z168" s="751"/>
      <c r="AA168" s="739"/>
      <c r="AB168" s="753"/>
      <c r="AC168" s="752">
        <f t="shared" si="41"/>
        <v>0</v>
      </c>
      <c r="AD168" s="739"/>
      <c r="AE168" s="891"/>
      <c r="AF168" s="891"/>
      <c r="AG168" s="891"/>
      <c r="AH168" s="891"/>
      <c r="AI168" s="900"/>
      <c r="AJ168" s="749"/>
      <c r="AK168" s="772"/>
      <c r="AL168" s="873"/>
      <c r="AM168" s="862">
        <f t="shared" si="42"/>
        <v>0</v>
      </c>
      <c r="AN168" s="755" t="str">
        <f t="shared" ca="1" si="43"/>
        <v/>
      </c>
      <c r="AO168" s="753"/>
      <c r="AP168" s="753"/>
      <c r="AQ168" s="753"/>
      <c r="AR168" s="753"/>
      <c r="AS168" s="753"/>
      <c r="AT168" s="739"/>
      <c r="AU168" s="739"/>
      <c r="AV168" s="739"/>
      <c r="AW168" s="739"/>
      <c r="AX168" s="739"/>
      <c r="AY168" s="882"/>
      <c r="AZ168" s="739"/>
      <c r="BA168" s="739"/>
      <c r="BB168" s="739"/>
      <c r="BC168" s="739"/>
      <c r="BD168" s="739">
        <f t="shared" si="44"/>
        <v>0</v>
      </c>
      <c r="BE168" s="739"/>
      <c r="BF168" s="882">
        <f t="shared" si="45"/>
        <v>0</v>
      </c>
    </row>
    <row r="169" spans="1:58" x14ac:dyDescent="0.25">
      <c r="A169" s="931"/>
      <c r="B169" s="773"/>
      <c r="C169" s="897"/>
      <c r="D169" s="928"/>
      <c r="E169" s="744"/>
      <c r="F169" s="744">
        <f t="shared" si="37"/>
        <v>0</v>
      </c>
      <c r="G169" s="773"/>
      <c r="H169" s="744"/>
      <c r="I169" s="746"/>
      <c r="J169" s="771"/>
      <c r="K169" s="771"/>
      <c r="L169" s="771"/>
      <c r="M169" s="927" t="str">
        <f t="shared" si="35"/>
        <v xml:space="preserve">  </v>
      </c>
      <c r="N169" s="749"/>
      <c r="O169" s="749"/>
      <c r="P169" s="758"/>
      <c r="Q169" s="758"/>
      <c r="R169" s="937"/>
      <c r="S169" s="861"/>
      <c r="T169" s="861">
        <f t="shared" si="38"/>
        <v>0</v>
      </c>
      <c r="U169" s="864">
        <f t="shared" si="39"/>
        <v>0</v>
      </c>
      <c r="V169" s="862"/>
      <c r="W169" s="861">
        <f t="shared" si="36"/>
        <v>0</v>
      </c>
      <c r="X169" s="864">
        <f t="shared" si="40"/>
        <v>0</v>
      </c>
      <c r="Y169" s="866">
        <f t="shared" si="34"/>
        <v>0</v>
      </c>
      <c r="Z169" s="751"/>
      <c r="AA169" s="739"/>
      <c r="AB169" s="753"/>
      <c r="AC169" s="752">
        <f t="shared" si="41"/>
        <v>0</v>
      </c>
      <c r="AD169" s="739"/>
      <c r="AE169" s="891"/>
      <c r="AF169" s="891"/>
      <c r="AG169" s="891"/>
      <c r="AH169" s="891"/>
      <c r="AI169" s="900"/>
      <c r="AJ169" s="749"/>
      <c r="AK169" s="772"/>
      <c r="AL169" s="873"/>
      <c r="AM169" s="862">
        <f t="shared" si="42"/>
        <v>0</v>
      </c>
      <c r="AN169" s="755" t="str">
        <f t="shared" ca="1" si="43"/>
        <v/>
      </c>
      <c r="AO169" s="753"/>
      <c r="AP169" s="753"/>
      <c r="AQ169" s="753"/>
      <c r="AR169" s="753"/>
      <c r="AS169" s="753"/>
      <c r="AT169" s="739"/>
      <c r="AU169" s="739"/>
      <c r="AV169" s="739"/>
      <c r="AW169" s="739"/>
      <c r="AX169" s="739"/>
      <c r="AY169" s="882"/>
      <c r="AZ169" s="739"/>
      <c r="BA169" s="739"/>
      <c r="BB169" s="739"/>
      <c r="BC169" s="739"/>
      <c r="BD169" s="739">
        <f t="shared" si="44"/>
        <v>0</v>
      </c>
      <c r="BE169" s="739"/>
      <c r="BF169" s="882">
        <f t="shared" si="45"/>
        <v>0</v>
      </c>
    </row>
    <row r="170" spans="1:58" x14ac:dyDescent="0.25">
      <c r="A170" s="931"/>
      <c r="B170" s="773"/>
      <c r="C170" s="897"/>
      <c r="D170" s="928"/>
      <c r="E170" s="744"/>
      <c r="F170" s="744">
        <f t="shared" si="37"/>
        <v>0</v>
      </c>
      <c r="G170" s="773"/>
      <c r="H170" s="753"/>
      <c r="I170" s="746"/>
      <c r="J170" s="771"/>
      <c r="K170" s="771"/>
      <c r="L170" s="771"/>
      <c r="M170" s="927" t="str">
        <f t="shared" si="35"/>
        <v xml:space="preserve">  </v>
      </c>
      <c r="N170" s="749"/>
      <c r="O170" s="749"/>
      <c r="P170" s="758"/>
      <c r="Q170" s="758"/>
      <c r="R170" s="937"/>
      <c r="S170" s="861"/>
      <c r="T170" s="861">
        <f t="shared" si="38"/>
        <v>0</v>
      </c>
      <c r="U170" s="864">
        <f t="shared" si="39"/>
        <v>0</v>
      </c>
      <c r="V170" s="862"/>
      <c r="W170" s="861">
        <f t="shared" si="36"/>
        <v>0</v>
      </c>
      <c r="X170" s="864">
        <f t="shared" si="40"/>
        <v>0</v>
      </c>
      <c r="Y170" s="866">
        <f t="shared" si="34"/>
        <v>0</v>
      </c>
      <c r="Z170" s="751"/>
      <c r="AA170" s="739"/>
      <c r="AB170" s="753"/>
      <c r="AC170" s="752">
        <f t="shared" si="41"/>
        <v>0</v>
      </c>
      <c r="AD170" s="739"/>
      <c r="AE170" s="891"/>
      <c r="AF170" s="891"/>
      <c r="AG170" s="891"/>
      <c r="AH170" s="891"/>
      <c r="AI170" s="900"/>
      <c r="AJ170" s="749"/>
      <c r="AK170" s="772"/>
      <c r="AL170" s="873"/>
      <c r="AM170" s="862">
        <f t="shared" si="42"/>
        <v>0</v>
      </c>
      <c r="AN170" s="755" t="str">
        <f t="shared" ca="1" si="43"/>
        <v/>
      </c>
      <c r="AO170" s="753"/>
      <c r="AP170" s="753"/>
      <c r="AQ170" s="753"/>
      <c r="AR170" s="753"/>
      <c r="AS170" s="753"/>
      <c r="AT170" s="739"/>
      <c r="AU170" s="739"/>
      <c r="AV170" s="739"/>
      <c r="AW170" s="739"/>
      <c r="AX170" s="739"/>
      <c r="AY170" s="882"/>
      <c r="AZ170" s="739"/>
      <c r="BA170" s="739"/>
      <c r="BB170" s="739"/>
      <c r="BC170" s="739"/>
      <c r="BD170" s="739">
        <f t="shared" si="44"/>
        <v>0</v>
      </c>
      <c r="BE170" s="739"/>
      <c r="BF170" s="882">
        <f t="shared" si="45"/>
        <v>0</v>
      </c>
    </row>
    <row r="171" spans="1:58" x14ac:dyDescent="0.25">
      <c r="A171" s="931"/>
      <c r="B171" s="773"/>
      <c r="C171" s="897"/>
      <c r="D171" s="928"/>
      <c r="E171" s="744"/>
      <c r="F171" s="744">
        <f t="shared" si="37"/>
        <v>0</v>
      </c>
      <c r="G171" s="773"/>
      <c r="H171" s="753"/>
      <c r="I171" s="771"/>
      <c r="J171" s="771"/>
      <c r="K171" s="771"/>
      <c r="L171" s="771"/>
      <c r="M171" s="927" t="str">
        <f t="shared" si="35"/>
        <v xml:space="preserve">  </v>
      </c>
      <c r="N171" s="749"/>
      <c r="O171" s="749"/>
      <c r="P171" s="758"/>
      <c r="Q171" s="749"/>
      <c r="R171" s="937"/>
      <c r="S171" s="861"/>
      <c r="T171" s="861">
        <f t="shared" si="38"/>
        <v>0</v>
      </c>
      <c r="U171" s="864">
        <f t="shared" si="39"/>
        <v>0</v>
      </c>
      <c r="V171" s="862"/>
      <c r="W171" s="861">
        <f t="shared" si="36"/>
        <v>0</v>
      </c>
      <c r="X171" s="864">
        <f t="shared" si="40"/>
        <v>0</v>
      </c>
      <c r="Y171" s="866">
        <f t="shared" si="34"/>
        <v>0</v>
      </c>
      <c r="Z171" s="751"/>
      <c r="AA171" s="739"/>
      <c r="AB171" s="753"/>
      <c r="AC171" s="752">
        <f t="shared" si="41"/>
        <v>0</v>
      </c>
      <c r="AD171" s="739"/>
      <c r="AE171" s="891"/>
      <c r="AF171" s="891"/>
      <c r="AG171" s="891"/>
      <c r="AH171" s="891"/>
      <c r="AI171" s="900"/>
      <c r="AJ171" s="749"/>
      <c r="AK171" s="772"/>
      <c r="AL171" s="873"/>
      <c r="AM171" s="862">
        <f t="shared" si="42"/>
        <v>0</v>
      </c>
      <c r="AN171" s="755" t="str">
        <f t="shared" ca="1" si="43"/>
        <v/>
      </c>
      <c r="AO171" s="812"/>
      <c r="AP171" s="753"/>
      <c r="AQ171" s="753"/>
      <c r="AR171" s="753"/>
      <c r="AS171" s="753"/>
      <c r="AT171" s="739"/>
      <c r="AU171" s="739"/>
      <c r="AV171" s="739"/>
      <c r="AW171" s="739"/>
      <c r="AX171" s="739"/>
      <c r="AY171" s="882"/>
      <c r="AZ171" s="739"/>
      <c r="BA171" s="739"/>
      <c r="BB171" s="739"/>
      <c r="BC171" s="739"/>
      <c r="BD171" s="739">
        <f t="shared" si="44"/>
        <v>0</v>
      </c>
      <c r="BE171" s="739"/>
      <c r="BF171" s="882">
        <f t="shared" si="45"/>
        <v>0</v>
      </c>
    </row>
    <row r="172" spans="1:58" x14ac:dyDescent="0.25">
      <c r="A172" s="931"/>
      <c r="B172" s="773"/>
      <c r="C172" s="897"/>
      <c r="D172" s="928"/>
      <c r="E172" s="744"/>
      <c r="F172" s="744">
        <f t="shared" si="37"/>
        <v>0</v>
      </c>
      <c r="G172" s="773"/>
      <c r="H172" s="753"/>
      <c r="I172" s="746"/>
      <c r="J172" s="771"/>
      <c r="K172" s="771"/>
      <c r="L172" s="771"/>
      <c r="M172" s="927" t="str">
        <f t="shared" si="35"/>
        <v xml:space="preserve">  </v>
      </c>
      <c r="N172" s="749"/>
      <c r="O172" s="749"/>
      <c r="P172" s="749"/>
      <c r="Q172" s="749"/>
      <c r="R172" s="937"/>
      <c r="S172" s="861"/>
      <c r="T172" s="861">
        <f t="shared" si="38"/>
        <v>0</v>
      </c>
      <c r="U172" s="864">
        <f t="shared" si="39"/>
        <v>0</v>
      </c>
      <c r="V172" s="862"/>
      <c r="W172" s="861">
        <f t="shared" si="36"/>
        <v>0</v>
      </c>
      <c r="X172" s="864">
        <f t="shared" si="40"/>
        <v>0</v>
      </c>
      <c r="Y172" s="866">
        <f t="shared" si="34"/>
        <v>0</v>
      </c>
      <c r="Z172" s="751"/>
      <c r="AA172" s="739"/>
      <c r="AB172" s="753"/>
      <c r="AC172" s="752">
        <f t="shared" si="41"/>
        <v>0</v>
      </c>
      <c r="AD172" s="739"/>
      <c r="AE172" s="891"/>
      <c r="AF172" s="891"/>
      <c r="AG172" s="891"/>
      <c r="AH172" s="891"/>
      <c r="AI172" s="900"/>
      <c r="AJ172" s="749"/>
      <c r="AK172" s="772"/>
      <c r="AL172" s="873"/>
      <c r="AM172" s="862">
        <f t="shared" si="42"/>
        <v>0</v>
      </c>
      <c r="AN172" s="755" t="str">
        <f t="shared" ca="1" si="43"/>
        <v/>
      </c>
      <c r="AO172" s="753"/>
      <c r="AP172" s="753"/>
      <c r="AQ172" s="753"/>
      <c r="AR172" s="753"/>
      <c r="AS172" s="753"/>
      <c r="AT172" s="739"/>
      <c r="AU172" s="739"/>
      <c r="AV172" s="739"/>
      <c r="AW172" s="739"/>
      <c r="AX172" s="739"/>
      <c r="AY172" s="882"/>
      <c r="AZ172" s="739"/>
      <c r="BA172" s="739"/>
      <c r="BB172" s="739"/>
      <c r="BC172" s="739"/>
      <c r="BD172" s="739">
        <f t="shared" si="44"/>
        <v>0</v>
      </c>
      <c r="BE172" s="739"/>
      <c r="BF172" s="882">
        <f t="shared" si="45"/>
        <v>0</v>
      </c>
    </row>
    <row r="173" spans="1:58" x14ac:dyDescent="0.25">
      <c r="A173" s="931"/>
      <c r="B173" s="773"/>
      <c r="C173" s="897"/>
      <c r="D173" s="928"/>
      <c r="E173" s="744"/>
      <c r="F173" s="744">
        <f t="shared" si="37"/>
        <v>0</v>
      </c>
      <c r="G173" s="773"/>
      <c r="H173" s="753"/>
      <c r="I173" s="746"/>
      <c r="J173" s="771"/>
      <c r="K173" s="771"/>
      <c r="L173" s="771"/>
      <c r="M173" s="927" t="str">
        <f t="shared" si="35"/>
        <v xml:space="preserve">  </v>
      </c>
      <c r="N173" s="749"/>
      <c r="O173" s="749"/>
      <c r="P173" s="749"/>
      <c r="Q173" s="749"/>
      <c r="R173" s="937"/>
      <c r="S173" s="861"/>
      <c r="T173" s="861">
        <f t="shared" si="38"/>
        <v>0</v>
      </c>
      <c r="U173" s="864">
        <f t="shared" si="39"/>
        <v>0</v>
      </c>
      <c r="V173" s="862"/>
      <c r="W173" s="861">
        <f t="shared" si="36"/>
        <v>0</v>
      </c>
      <c r="X173" s="864">
        <f t="shared" si="40"/>
        <v>0</v>
      </c>
      <c r="Y173" s="866">
        <f t="shared" si="34"/>
        <v>0</v>
      </c>
      <c r="Z173" s="751"/>
      <c r="AA173" s="739"/>
      <c r="AB173" s="753"/>
      <c r="AC173" s="752">
        <f t="shared" si="41"/>
        <v>0</v>
      </c>
      <c r="AD173" s="739"/>
      <c r="AE173" s="891"/>
      <c r="AF173" s="891"/>
      <c r="AG173" s="891"/>
      <c r="AH173" s="891"/>
      <c r="AI173" s="900"/>
      <c r="AJ173" s="749"/>
      <c r="AK173" s="772"/>
      <c r="AL173" s="873"/>
      <c r="AM173" s="862">
        <f t="shared" si="42"/>
        <v>0</v>
      </c>
      <c r="AN173" s="755" t="str">
        <f t="shared" ca="1" si="43"/>
        <v/>
      </c>
      <c r="AO173" s="753"/>
      <c r="AP173" s="753"/>
      <c r="AQ173" s="753"/>
      <c r="AR173" s="753"/>
      <c r="AS173" s="753"/>
      <c r="AT173" s="739"/>
      <c r="AU173" s="739"/>
      <c r="AV173" s="739"/>
      <c r="AW173" s="739"/>
      <c r="AX173" s="739"/>
      <c r="AY173" s="882"/>
      <c r="AZ173" s="739"/>
      <c r="BA173" s="739"/>
      <c r="BB173" s="739"/>
      <c r="BC173" s="739"/>
      <c r="BD173" s="739">
        <f t="shared" si="44"/>
        <v>0</v>
      </c>
      <c r="BE173" s="739"/>
      <c r="BF173" s="882">
        <f t="shared" si="45"/>
        <v>0</v>
      </c>
    </row>
    <row r="174" spans="1:58" x14ac:dyDescent="0.25">
      <c r="A174" s="931"/>
      <c r="B174" s="773"/>
      <c r="C174" s="897"/>
      <c r="D174" s="928"/>
      <c r="E174" s="744"/>
      <c r="F174" s="744">
        <f t="shared" si="37"/>
        <v>0</v>
      </c>
      <c r="G174" s="773"/>
      <c r="H174" s="753"/>
      <c r="I174" s="746"/>
      <c r="J174" s="771"/>
      <c r="K174" s="771"/>
      <c r="L174" s="771"/>
      <c r="M174" s="927" t="str">
        <f t="shared" si="35"/>
        <v xml:space="preserve">  </v>
      </c>
      <c r="N174" s="749"/>
      <c r="O174" s="749"/>
      <c r="P174" s="749"/>
      <c r="Q174" s="749"/>
      <c r="R174" s="937"/>
      <c r="S174" s="861"/>
      <c r="T174" s="861">
        <f t="shared" si="38"/>
        <v>0</v>
      </c>
      <c r="U174" s="864">
        <f t="shared" si="39"/>
        <v>0</v>
      </c>
      <c r="V174" s="862"/>
      <c r="W174" s="861">
        <f t="shared" si="36"/>
        <v>0</v>
      </c>
      <c r="X174" s="864">
        <f t="shared" si="40"/>
        <v>0</v>
      </c>
      <c r="Y174" s="866">
        <f t="shared" si="34"/>
        <v>0</v>
      </c>
      <c r="Z174" s="751"/>
      <c r="AA174" s="739"/>
      <c r="AB174" s="753"/>
      <c r="AC174" s="752">
        <f t="shared" si="41"/>
        <v>0</v>
      </c>
      <c r="AD174" s="739"/>
      <c r="AE174" s="891"/>
      <c r="AF174" s="891"/>
      <c r="AG174" s="891"/>
      <c r="AH174" s="891"/>
      <c r="AI174" s="900"/>
      <c r="AJ174" s="749"/>
      <c r="AK174" s="772"/>
      <c r="AL174" s="873"/>
      <c r="AM174" s="862">
        <f t="shared" si="42"/>
        <v>0</v>
      </c>
      <c r="AN174" s="755" t="str">
        <f t="shared" ca="1" si="43"/>
        <v/>
      </c>
      <c r="AO174" s="753"/>
      <c r="AP174" s="753"/>
      <c r="AQ174" s="753"/>
      <c r="AR174" s="753"/>
      <c r="AS174" s="753"/>
      <c r="AT174" s="739"/>
      <c r="AU174" s="739"/>
      <c r="AV174" s="739"/>
      <c r="AW174" s="739"/>
      <c r="AX174" s="739"/>
      <c r="AY174" s="882"/>
      <c r="AZ174" s="739"/>
      <c r="BA174" s="739"/>
      <c r="BB174" s="739"/>
      <c r="BC174" s="739"/>
      <c r="BD174" s="739">
        <f t="shared" si="44"/>
        <v>0</v>
      </c>
      <c r="BE174" s="739"/>
      <c r="BF174" s="882">
        <f t="shared" si="45"/>
        <v>0</v>
      </c>
    </row>
    <row r="175" spans="1:58" x14ac:dyDescent="0.25">
      <c r="A175" s="931"/>
      <c r="B175" s="773"/>
      <c r="C175" s="897"/>
      <c r="D175" s="928"/>
      <c r="E175" s="744"/>
      <c r="F175" s="744">
        <f t="shared" si="37"/>
        <v>0</v>
      </c>
      <c r="G175" s="773"/>
      <c r="H175" s="753"/>
      <c r="I175" s="746"/>
      <c r="J175" s="771"/>
      <c r="K175" s="771"/>
      <c r="L175" s="771"/>
      <c r="M175" s="927" t="str">
        <f t="shared" si="35"/>
        <v xml:space="preserve">  </v>
      </c>
      <c r="N175" s="749"/>
      <c r="O175" s="749"/>
      <c r="P175" s="749"/>
      <c r="Q175" s="749"/>
      <c r="R175" s="937"/>
      <c r="S175" s="861"/>
      <c r="T175" s="861">
        <f t="shared" si="38"/>
        <v>0</v>
      </c>
      <c r="U175" s="864">
        <f t="shared" si="39"/>
        <v>0</v>
      </c>
      <c r="V175" s="862"/>
      <c r="W175" s="861">
        <f t="shared" si="36"/>
        <v>0</v>
      </c>
      <c r="X175" s="864">
        <f t="shared" si="40"/>
        <v>0</v>
      </c>
      <c r="Y175" s="866">
        <f t="shared" si="34"/>
        <v>0</v>
      </c>
      <c r="Z175" s="751"/>
      <c r="AA175" s="739"/>
      <c r="AB175" s="753"/>
      <c r="AC175" s="752">
        <f t="shared" si="41"/>
        <v>0</v>
      </c>
      <c r="AD175" s="739"/>
      <c r="AE175" s="891"/>
      <c r="AF175" s="891"/>
      <c r="AG175" s="891"/>
      <c r="AH175" s="891"/>
      <c r="AI175" s="900"/>
      <c r="AJ175" s="749"/>
      <c r="AK175" s="772"/>
      <c r="AL175" s="873"/>
      <c r="AM175" s="862">
        <f t="shared" si="42"/>
        <v>0</v>
      </c>
      <c r="AN175" s="755" t="str">
        <f t="shared" ca="1" si="43"/>
        <v/>
      </c>
      <c r="AO175" s="753"/>
      <c r="AP175" s="753"/>
      <c r="AQ175" s="753"/>
      <c r="AR175" s="753"/>
      <c r="AS175" s="753"/>
      <c r="AT175" s="739"/>
      <c r="AU175" s="739"/>
      <c r="AV175" s="739"/>
      <c r="AW175" s="739"/>
      <c r="AX175" s="739"/>
      <c r="AY175" s="882"/>
      <c r="AZ175" s="739"/>
      <c r="BA175" s="739"/>
      <c r="BB175" s="739"/>
      <c r="BC175" s="739"/>
      <c r="BD175" s="739">
        <f t="shared" si="44"/>
        <v>0</v>
      </c>
      <c r="BE175" s="739"/>
      <c r="BF175" s="882">
        <f t="shared" si="45"/>
        <v>0</v>
      </c>
    </row>
    <row r="176" spans="1:58" x14ac:dyDescent="0.25">
      <c r="A176" s="931"/>
      <c r="B176" s="773"/>
      <c r="C176" s="897"/>
      <c r="D176" s="928"/>
      <c r="E176" s="744"/>
      <c r="F176" s="744">
        <f t="shared" si="37"/>
        <v>0</v>
      </c>
      <c r="G176" s="773"/>
      <c r="H176" s="753"/>
      <c r="I176" s="746"/>
      <c r="J176" s="771"/>
      <c r="K176" s="771"/>
      <c r="L176" s="771"/>
      <c r="M176" s="927" t="str">
        <f t="shared" si="35"/>
        <v xml:space="preserve">  </v>
      </c>
      <c r="N176" s="749"/>
      <c r="O176" s="749"/>
      <c r="P176" s="749"/>
      <c r="Q176" s="749"/>
      <c r="R176" s="937"/>
      <c r="S176" s="861"/>
      <c r="T176" s="861">
        <f t="shared" si="38"/>
        <v>0</v>
      </c>
      <c r="U176" s="864">
        <f t="shared" si="39"/>
        <v>0</v>
      </c>
      <c r="V176" s="862"/>
      <c r="W176" s="861">
        <f t="shared" si="36"/>
        <v>0</v>
      </c>
      <c r="X176" s="864">
        <f t="shared" si="40"/>
        <v>0</v>
      </c>
      <c r="Y176" s="866">
        <f t="shared" si="34"/>
        <v>0</v>
      </c>
      <c r="Z176" s="751"/>
      <c r="AA176" s="739"/>
      <c r="AB176" s="753"/>
      <c r="AC176" s="752">
        <f t="shared" si="41"/>
        <v>0</v>
      </c>
      <c r="AD176" s="739"/>
      <c r="AE176" s="891"/>
      <c r="AF176" s="891"/>
      <c r="AG176" s="891"/>
      <c r="AH176" s="891"/>
      <c r="AI176" s="900"/>
      <c r="AJ176" s="749"/>
      <c r="AK176" s="772"/>
      <c r="AL176" s="873"/>
      <c r="AM176" s="862">
        <f t="shared" si="42"/>
        <v>0</v>
      </c>
      <c r="AN176" s="755" t="str">
        <f t="shared" ca="1" si="43"/>
        <v/>
      </c>
      <c r="AO176" s="753"/>
      <c r="AP176" s="753"/>
      <c r="AQ176" s="753"/>
      <c r="AR176" s="753"/>
      <c r="AS176" s="753"/>
      <c r="AT176" s="739"/>
      <c r="AU176" s="739"/>
      <c r="AV176" s="739"/>
      <c r="AW176" s="739"/>
      <c r="AX176" s="739"/>
      <c r="AY176" s="882"/>
      <c r="AZ176" s="739"/>
      <c r="BA176" s="739"/>
      <c r="BB176" s="739"/>
      <c r="BC176" s="739"/>
      <c r="BD176" s="739">
        <f t="shared" si="44"/>
        <v>0</v>
      </c>
      <c r="BE176" s="739"/>
      <c r="BF176" s="882">
        <f t="shared" si="45"/>
        <v>0</v>
      </c>
    </row>
    <row r="177" spans="1:58" x14ac:dyDescent="0.25">
      <c r="A177" s="931"/>
      <c r="B177" s="773"/>
      <c r="C177" s="897"/>
      <c r="D177" s="928"/>
      <c r="E177" s="744"/>
      <c r="F177" s="744">
        <f t="shared" si="37"/>
        <v>0</v>
      </c>
      <c r="G177" s="773"/>
      <c r="H177" s="753"/>
      <c r="I177" s="746"/>
      <c r="J177" s="771"/>
      <c r="K177" s="771"/>
      <c r="L177" s="771"/>
      <c r="M177" s="927" t="str">
        <f t="shared" si="35"/>
        <v xml:space="preserve">  </v>
      </c>
      <c r="N177" s="749"/>
      <c r="O177" s="749"/>
      <c r="P177" s="758"/>
      <c r="Q177" s="758"/>
      <c r="R177" s="937"/>
      <c r="S177" s="861"/>
      <c r="T177" s="861">
        <f t="shared" si="38"/>
        <v>0</v>
      </c>
      <c r="U177" s="864">
        <f t="shared" si="39"/>
        <v>0</v>
      </c>
      <c r="V177" s="862"/>
      <c r="W177" s="861">
        <f t="shared" si="36"/>
        <v>0</v>
      </c>
      <c r="X177" s="864">
        <f t="shared" si="40"/>
        <v>0</v>
      </c>
      <c r="Y177" s="866">
        <f t="shared" si="34"/>
        <v>0</v>
      </c>
      <c r="Z177" s="751"/>
      <c r="AA177" s="739"/>
      <c r="AB177" s="753"/>
      <c r="AC177" s="752">
        <f t="shared" si="41"/>
        <v>0</v>
      </c>
      <c r="AD177" s="739"/>
      <c r="AE177" s="891"/>
      <c r="AF177" s="891"/>
      <c r="AG177" s="891"/>
      <c r="AH177" s="891"/>
      <c r="AI177" s="900"/>
      <c r="AJ177" s="749"/>
      <c r="AK177" s="772"/>
      <c r="AL177" s="873"/>
      <c r="AM177" s="862">
        <f t="shared" si="42"/>
        <v>0</v>
      </c>
      <c r="AN177" s="755" t="str">
        <f t="shared" ca="1" si="43"/>
        <v/>
      </c>
      <c r="AO177" s="753"/>
      <c r="AP177" s="753"/>
      <c r="AQ177" s="753"/>
      <c r="AR177" s="753"/>
      <c r="AS177" s="753"/>
      <c r="AT177" s="739"/>
      <c r="AU177" s="739"/>
      <c r="AV177" s="739"/>
      <c r="AW177" s="739"/>
      <c r="AX177" s="739"/>
      <c r="AY177" s="882"/>
      <c r="AZ177" s="739"/>
      <c r="BA177" s="739"/>
      <c r="BB177" s="739"/>
      <c r="BC177" s="739"/>
      <c r="BD177" s="739">
        <f t="shared" si="44"/>
        <v>0</v>
      </c>
      <c r="BE177" s="739"/>
      <c r="BF177" s="882">
        <f t="shared" si="45"/>
        <v>0</v>
      </c>
    </row>
    <row r="178" spans="1:58" x14ac:dyDescent="0.25">
      <c r="A178" s="931"/>
      <c r="B178" s="773"/>
      <c r="C178" s="897"/>
      <c r="D178" s="928"/>
      <c r="E178" s="744"/>
      <c r="F178" s="744">
        <f t="shared" si="37"/>
        <v>0</v>
      </c>
      <c r="G178" s="773"/>
      <c r="H178" s="753"/>
      <c r="I178" s="746"/>
      <c r="J178" s="771"/>
      <c r="K178" s="771"/>
      <c r="L178" s="771"/>
      <c r="M178" s="927" t="str">
        <f t="shared" si="35"/>
        <v xml:space="preserve">  </v>
      </c>
      <c r="N178" s="749"/>
      <c r="O178" s="749"/>
      <c r="P178" s="749"/>
      <c r="Q178" s="749"/>
      <c r="R178" s="937"/>
      <c r="S178" s="861"/>
      <c r="T178" s="861">
        <f t="shared" si="38"/>
        <v>0</v>
      </c>
      <c r="U178" s="864">
        <f t="shared" si="39"/>
        <v>0</v>
      </c>
      <c r="V178" s="862"/>
      <c r="W178" s="861">
        <f t="shared" si="36"/>
        <v>0</v>
      </c>
      <c r="X178" s="864">
        <f t="shared" si="40"/>
        <v>0</v>
      </c>
      <c r="Y178" s="866">
        <f t="shared" si="34"/>
        <v>0</v>
      </c>
      <c r="Z178" s="751"/>
      <c r="AA178" s="739"/>
      <c r="AB178" s="753"/>
      <c r="AC178" s="752">
        <f t="shared" si="41"/>
        <v>0</v>
      </c>
      <c r="AD178" s="739"/>
      <c r="AE178" s="891"/>
      <c r="AF178" s="891"/>
      <c r="AG178" s="891"/>
      <c r="AH178" s="891"/>
      <c r="AI178" s="900"/>
      <c r="AJ178" s="749"/>
      <c r="AK178" s="772"/>
      <c r="AL178" s="873"/>
      <c r="AM178" s="862">
        <f t="shared" si="42"/>
        <v>0</v>
      </c>
      <c r="AN178" s="755" t="str">
        <f t="shared" ca="1" si="43"/>
        <v/>
      </c>
      <c r="AO178" s="753"/>
      <c r="AP178" s="753"/>
      <c r="AQ178" s="753"/>
      <c r="AR178" s="753"/>
      <c r="AS178" s="753"/>
      <c r="AT178" s="739"/>
      <c r="AU178" s="739"/>
      <c r="AV178" s="739"/>
      <c r="AW178" s="739"/>
      <c r="AX178" s="739"/>
      <c r="AY178" s="882"/>
      <c r="AZ178" s="739"/>
      <c r="BA178" s="739"/>
      <c r="BB178" s="739"/>
      <c r="BC178" s="739"/>
      <c r="BD178" s="739">
        <f t="shared" si="44"/>
        <v>0</v>
      </c>
      <c r="BE178" s="739"/>
      <c r="BF178" s="882">
        <f t="shared" si="45"/>
        <v>0</v>
      </c>
    </row>
    <row r="179" spans="1:58" x14ac:dyDescent="0.25">
      <c r="A179" s="931"/>
      <c r="B179" s="773"/>
      <c r="C179" s="897"/>
      <c r="D179" s="928"/>
      <c r="E179" s="744"/>
      <c r="F179" s="744">
        <f t="shared" si="37"/>
        <v>0</v>
      </c>
      <c r="G179" s="773"/>
      <c r="H179" s="753"/>
      <c r="I179" s="746"/>
      <c r="J179" s="771"/>
      <c r="K179" s="771"/>
      <c r="L179" s="771"/>
      <c r="M179" s="927" t="str">
        <f t="shared" si="35"/>
        <v xml:space="preserve">  </v>
      </c>
      <c r="N179" s="749"/>
      <c r="O179" s="749"/>
      <c r="P179" s="749"/>
      <c r="Q179" s="749"/>
      <c r="R179" s="937"/>
      <c r="S179" s="861"/>
      <c r="T179" s="861">
        <f t="shared" si="38"/>
        <v>0</v>
      </c>
      <c r="U179" s="864">
        <f t="shared" si="39"/>
        <v>0</v>
      </c>
      <c r="V179" s="862"/>
      <c r="W179" s="861">
        <f t="shared" si="36"/>
        <v>0</v>
      </c>
      <c r="X179" s="864">
        <f t="shared" si="40"/>
        <v>0</v>
      </c>
      <c r="Y179" s="866">
        <f t="shared" si="34"/>
        <v>0</v>
      </c>
      <c r="Z179" s="751"/>
      <c r="AA179" s="739"/>
      <c r="AB179" s="753"/>
      <c r="AC179" s="752">
        <f t="shared" si="41"/>
        <v>0</v>
      </c>
      <c r="AD179" s="739"/>
      <c r="AE179" s="891"/>
      <c r="AF179" s="891"/>
      <c r="AG179" s="891"/>
      <c r="AH179" s="891"/>
      <c r="AI179" s="900"/>
      <c r="AJ179" s="749"/>
      <c r="AK179" s="772"/>
      <c r="AL179" s="873"/>
      <c r="AM179" s="862">
        <f t="shared" si="42"/>
        <v>0</v>
      </c>
      <c r="AN179" s="755" t="str">
        <f t="shared" ca="1" si="43"/>
        <v/>
      </c>
      <c r="AO179" s="753"/>
      <c r="AP179" s="753"/>
      <c r="AQ179" s="753"/>
      <c r="AR179" s="753"/>
      <c r="AS179" s="753"/>
      <c r="AT179" s="739"/>
      <c r="AU179" s="739"/>
      <c r="AV179" s="739"/>
      <c r="AW179" s="739"/>
      <c r="AX179" s="739"/>
      <c r="AY179" s="882"/>
      <c r="AZ179" s="739"/>
      <c r="BA179" s="739"/>
      <c r="BB179" s="739"/>
      <c r="BC179" s="739"/>
      <c r="BD179" s="739">
        <f t="shared" si="44"/>
        <v>0</v>
      </c>
      <c r="BE179" s="739"/>
      <c r="BF179" s="882">
        <f t="shared" si="45"/>
        <v>0</v>
      </c>
    </row>
    <row r="180" spans="1:58" x14ac:dyDescent="0.25">
      <c r="A180" s="931"/>
      <c r="B180" s="773"/>
      <c r="C180" s="897"/>
      <c r="D180" s="928"/>
      <c r="E180" s="744"/>
      <c r="F180" s="744">
        <f t="shared" si="37"/>
        <v>0</v>
      </c>
      <c r="G180" s="773"/>
      <c r="H180" s="753"/>
      <c r="I180" s="746"/>
      <c r="J180" s="771"/>
      <c r="K180" s="771"/>
      <c r="L180" s="771"/>
      <c r="M180" s="927" t="str">
        <f t="shared" si="35"/>
        <v xml:space="preserve">  </v>
      </c>
      <c r="N180" s="749"/>
      <c r="O180" s="749"/>
      <c r="P180" s="749"/>
      <c r="Q180" s="749"/>
      <c r="R180" s="937"/>
      <c r="S180" s="861"/>
      <c r="T180" s="861">
        <f t="shared" si="38"/>
        <v>0</v>
      </c>
      <c r="U180" s="864">
        <f t="shared" si="39"/>
        <v>0</v>
      </c>
      <c r="V180" s="862"/>
      <c r="W180" s="861">
        <f t="shared" si="36"/>
        <v>0</v>
      </c>
      <c r="X180" s="864">
        <f t="shared" si="40"/>
        <v>0</v>
      </c>
      <c r="Y180" s="866">
        <f t="shared" si="34"/>
        <v>0</v>
      </c>
      <c r="Z180" s="751"/>
      <c r="AA180" s="739"/>
      <c r="AB180" s="753"/>
      <c r="AC180" s="752">
        <f t="shared" si="41"/>
        <v>0</v>
      </c>
      <c r="AD180" s="739"/>
      <c r="AE180" s="891"/>
      <c r="AF180" s="891"/>
      <c r="AG180" s="891"/>
      <c r="AH180" s="891"/>
      <c r="AI180" s="900"/>
      <c r="AJ180" s="749"/>
      <c r="AK180" s="772"/>
      <c r="AL180" s="873"/>
      <c r="AM180" s="862">
        <f t="shared" si="42"/>
        <v>0</v>
      </c>
      <c r="AN180" s="755" t="str">
        <f t="shared" ca="1" si="43"/>
        <v/>
      </c>
      <c r="AO180" s="753"/>
      <c r="AP180" s="753"/>
      <c r="AQ180" s="753"/>
      <c r="AR180" s="753"/>
      <c r="AS180" s="753"/>
      <c r="AT180" s="739"/>
      <c r="AU180" s="739"/>
      <c r="AV180" s="739"/>
      <c r="AW180" s="739"/>
      <c r="AX180" s="739"/>
      <c r="AY180" s="882"/>
      <c r="AZ180" s="739"/>
      <c r="BA180" s="739"/>
      <c r="BB180" s="739"/>
      <c r="BC180" s="739"/>
      <c r="BD180" s="739">
        <f t="shared" si="44"/>
        <v>0</v>
      </c>
      <c r="BE180" s="739"/>
      <c r="BF180" s="882">
        <f t="shared" si="45"/>
        <v>0</v>
      </c>
    </row>
    <row r="181" spans="1:58" x14ac:dyDescent="0.25">
      <c r="A181" s="931"/>
      <c r="B181" s="773"/>
      <c r="C181" s="897"/>
      <c r="D181" s="928"/>
      <c r="E181" s="744"/>
      <c r="F181" s="744">
        <f t="shared" si="37"/>
        <v>0</v>
      </c>
      <c r="G181" s="773"/>
      <c r="H181" s="753"/>
      <c r="I181" s="746"/>
      <c r="J181" s="771"/>
      <c r="K181" s="771"/>
      <c r="L181" s="771"/>
      <c r="M181" s="927" t="str">
        <f t="shared" si="35"/>
        <v xml:space="preserve">  </v>
      </c>
      <c r="N181" s="749"/>
      <c r="O181" s="749"/>
      <c r="P181" s="749"/>
      <c r="Q181" s="749"/>
      <c r="R181" s="937"/>
      <c r="S181" s="861"/>
      <c r="T181" s="861">
        <f t="shared" si="38"/>
        <v>0</v>
      </c>
      <c r="U181" s="864">
        <f t="shared" si="39"/>
        <v>0</v>
      </c>
      <c r="V181" s="862"/>
      <c r="W181" s="861">
        <f t="shared" si="36"/>
        <v>0</v>
      </c>
      <c r="X181" s="864">
        <f t="shared" si="40"/>
        <v>0</v>
      </c>
      <c r="Y181" s="866">
        <f t="shared" si="34"/>
        <v>0</v>
      </c>
      <c r="Z181" s="751"/>
      <c r="AA181" s="739"/>
      <c r="AB181" s="753"/>
      <c r="AC181" s="752">
        <f t="shared" si="41"/>
        <v>0</v>
      </c>
      <c r="AD181" s="739"/>
      <c r="AE181" s="891"/>
      <c r="AF181" s="891"/>
      <c r="AG181" s="891"/>
      <c r="AH181" s="891"/>
      <c r="AI181" s="900"/>
      <c r="AJ181" s="749"/>
      <c r="AK181" s="772"/>
      <c r="AL181" s="873"/>
      <c r="AM181" s="862">
        <f t="shared" si="42"/>
        <v>0</v>
      </c>
      <c r="AN181" s="755" t="str">
        <f t="shared" ca="1" si="43"/>
        <v/>
      </c>
      <c r="AO181" s="753"/>
      <c r="AP181" s="753"/>
      <c r="AQ181" s="753"/>
      <c r="AR181" s="753"/>
      <c r="AS181" s="753"/>
      <c r="AT181" s="739"/>
      <c r="AU181" s="739"/>
      <c r="AV181" s="739"/>
      <c r="AW181" s="739"/>
      <c r="AX181" s="739"/>
      <c r="AY181" s="882"/>
      <c r="AZ181" s="739"/>
      <c r="BA181" s="739"/>
      <c r="BB181" s="739"/>
      <c r="BC181" s="739"/>
      <c r="BD181" s="739">
        <f t="shared" si="44"/>
        <v>0</v>
      </c>
      <c r="BE181" s="739"/>
      <c r="BF181" s="882">
        <f t="shared" si="45"/>
        <v>0</v>
      </c>
    </row>
    <row r="182" spans="1:58" x14ac:dyDescent="0.25">
      <c r="A182" s="931"/>
      <c r="B182" s="773"/>
      <c r="C182" s="897"/>
      <c r="D182" s="928"/>
      <c r="E182" s="744"/>
      <c r="F182" s="744">
        <f t="shared" si="37"/>
        <v>0</v>
      </c>
      <c r="G182" s="773"/>
      <c r="H182" s="753"/>
      <c r="I182" s="746"/>
      <c r="J182" s="771"/>
      <c r="K182" s="771"/>
      <c r="L182" s="771"/>
      <c r="M182" s="927" t="str">
        <f t="shared" si="35"/>
        <v xml:space="preserve">  </v>
      </c>
      <c r="N182" s="749"/>
      <c r="O182" s="749"/>
      <c r="P182" s="758"/>
      <c r="Q182" s="758"/>
      <c r="R182" s="937"/>
      <c r="S182" s="861"/>
      <c r="T182" s="861">
        <f t="shared" si="38"/>
        <v>0</v>
      </c>
      <c r="U182" s="864">
        <f t="shared" si="39"/>
        <v>0</v>
      </c>
      <c r="V182" s="862"/>
      <c r="W182" s="861">
        <f t="shared" si="36"/>
        <v>0</v>
      </c>
      <c r="X182" s="864">
        <f t="shared" si="40"/>
        <v>0</v>
      </c>
      <c r="Y182" s="866">
        <f t="shared" si="34"/>
        <v>0</v>
      </c>
      <c r="Z182" s="751"/>
      <c r="AA182" s="739"/>
      <c r="AB182" s="753"/>
      <c r="AC182" s="752">
        <f t="shared" si="41"/>
        <v>0</v>
      </c>
      <c r="AD182" s="739"/>
      <c r="AE182" s="891"/>
      <c r="AF182" s="891"/>
      <c r="AG182" s="891"/>
      <c r="AH182" s="891"/>
      <c r="AI182" s="900"/>
      <c r="AJ182" s="749"/>
      <c r="AK182" s="772"/>
      <c r="AL182" s="873"/>
      <c r="AM182" s="862">
        <f t="shared" si="42"/>
        <v>0</v>
      </c>
      <c r="AN182" s="755" t="str">
        <f t="shared" ca="1" si="43"/>
        <v/>
      </c>
      <c r="AO182" s="753"/>
      <c r="AP182" s="753"/>
      <c r="AQ182" s="753"/>
      <c r="AR182" s="753"/>
      <c r="AS182" s="753"/>
      <c r="AT182" s="739"/>
      <c r="AU182" s="739"/>
      <c r="AV182" s="739"/>
      <c r="AW182" s="739"/>
      <c r="AX182" s="739"/>
      <c r="AY182" s="882"/>
      <c r="AZ182" s="739"/>
      <c r="BA182" s="739"/>
      <c r="BB182" s="739"/>
      <c r="BC182" s="739"/>
      <c r="BD182" s="739">
        <f t="shared" si="44"/>
        <v>0</v>
      </c>
      <c r="BE182" s="739"/>
      <c r="BF182" s="882">
        <f t="shared" si="45"/>
        <v>0</v>
      </c>
    </row>
    <row r="183" spans="1:58" x14ac:dyDescent="0.25">
      <c r="A183" s="931"/>
      <c r="B183" s="773"/>
      <c r="C183" s="897"/>
      <c r="D183" s="928"/>
      <c r="E183" s="744"/>
      <c r="F183" s="744">
        <f t="shared" si="37"/>
        <v>0</v>
      </c>
      <c r="G183" s="773"/>
      <c r="H183" s="753"/>
      <c r="I183" s="746"/>
      <c r="J183" s="771"/>
      <c r="K183" s="771"/>
      <c r="L183" s="771"/>
      <c r="M183" s="927" t="str">
        <f t="shared" si="35"/>
        <v xml:space="preserve">  </v>
      </c>
      <c r="N183" s="749"/>
      <c r="O183" s="749"/>
      <c r="P183" s="749"/>
      <c r="Q183" s="749"/>
      <c r="R183" s="937"/>
      <c r="S183" s="861"/>
      <c r="T183" s="861">
        <f t="shared" si="38"/>
        <v>0</v>
      </c>
      <c r="U183" s="864">
        <f t="shared" si="39"/>
        <v>0</v>
      </c>
      <c r="V183" s="862"/>
      <c r="W183" s="861">
        <f t="shared" si="36"/>
        <v>0</v>
      </c>
      <c r="X183" s="864">
        <f t="shared" si="40"/>
        <v>0</v>
      </c>
      <c r="Y183" s="866">
        <f t="shared" si="34"/>
        <v>0</v>
      </c>
      <c r="Z183" s="751"/>
      <c r="AA183" s="739"/>
      <c r="AB183" s="753"/>
      <c r="AC183" s="752">
        <f t="shared" si="41"/>
        <v>0</v>
      </c>
      <c r="AD183" s="739"/>
      <c r="AE183" s="891"/>
      <c r="AF183" s="891"/>
      <c r="AG183" s="891"/>
      <c r="AH183" s="891"/>
      <c r="AI183" s="900"/>
      <c r="AJ183" s="749"/>
      <c r="AK183" s="772"/>
      <c r="AL183" s="873"/>
      <c r="AM183" s="862">
        <f t="shared" si="42"/>
        <v>0</v>
      </c>
      <c r="AN183" s="755" t="str">
        <f t="shared" ca="1" si="43"/>
        <v/>
      </c>
      <c r="AO183" s="753"/>
      <c r="AP183" s="753"/>
      <c r="AQ183" s="753"/>
      <c r="AR183" s="753"/>
      <c r="AS183" s="753"/>
      <c r="AT183" s="739"/>
      <c r="AU183" s="739"/>
      <c r="AV183" s="739"/>
      <c r="AW183" s="739"/>
      <c r="AX183" s="739"/>
      <c r="AY183" s="882"/>
      <c r="AZ183" s="739"/>
      <c r="BA183" s="739"/>
      <c r="BB183" s="739"/>
      <c r="BC183" s="739"/>
      <c r="BD183" s="739">
        <f t="shared" si="44"/>
        <v>0</v>
      </c>
      <c r="BE183" s="739"/>
      <c r="BF183" s="882">
        <f t="shared" si="45"/>
        <v>0</v>
      </c>
    </row>
    <row r="184" spans="1:58" x14ac:dyDescent="0.25">
      <c r="A184" s="931"/>
      <c r="B184" s="773"/>
      <c r="C184" s="897"/>
      <c r="D184" s="928"/>
      <c r="E184" s="744"/>
      <c r="F184" s="744">
        <f t="shared" si="37"/>
        <v>0</v>
      </c>
      <c r="G184" s="773"/>
      <c r="H184" s="753"/>
      <c r="I184" s="746"/>
      <c r="J184" s="771"/>
      <c r="K184" s="771"/>
      <c r="L184" s="771"/>
      <c r="M184" s="927" t="str">
        <f t="shared" si="35"/>
        <v xml:space="preserve">  </v>
      </c>
      <c r="N184" s="749"/>
      <c r="O184" s="749"/>
      <c r="P184" s="749"/>
      <c r="Q184" s="749"/>
      <c r="R184" s="944"/>
      <c r="S184" s="861"/>
      <c r="T184" s="861">
        <f t="shared" si="38"/>
        <v>0</v>
      </c>
      <c r="U184" s="864">
        <f t="shared" si="39"/>
        <v>0</v>
      </c>
      <c r="V184" s="862"/>
      <c r="W184" s="861">
        <f t="shared" si="36"/>
        <v>0</v>
      </c>
      <c r="X184" s="864">
        <f t="shared" si="40"/>
        <v>0</v>
      </c>
      <c r="Y184" s="866">
        <f t="shared" si="34"/>
        <v>0</v>
      </c>
      <c r="Z184" s="751"/>
      <c r="AA184" s="739"/>
      <c r="AB184" s="753"/>
      <c r="AC184" s="752">
        <f t="shared" si="41"/>
        <v>0</v>
      </c>
      <c r="AD184" s="739"/>
      <c r="AE184" s="891"/>
      <c r="AF184" s="891"/>
      <c r="AG184" s="891"/>
      <c r="AH184" s="891"/>
      <c r="AI184" s="900"/>
      <c r="AJ184" s="749"/>
      <c r="AK184" s="772"/>
      <c r="AL184" s="873"/>
      <c r="AM184" s="862">
        <f t="shared" si="42"/>
        <v>0</v>
      </c>
      <c r="AN184" s="755" t="str">
        <f t="shared" ca="1" si="43"/>
        <v/>
      </c>
      <c r="AO184" s="753"/>
      <c r="AP184" s="753"/>
      <c r="AQ184" s="753"/>
      <c r="AR184" s="753"/>
      <c r="AS184" s="753"/>
      <c r="AT184" s="739"/>
      <c r="AU184" s="739"/>
      <c r="AV184" s="739"/>
      <c r="AW184" s="739"/>
      <c r="AX184" s="739"/>
      <c r="AY184" s="882"/>
      <c r="AZ184" s="739"/>
      <c r="BA184" s="739"/>
      <c r="BB184" s="739"/>
      <c r="BC184" s="739"/>
      <c r="BD184" s="739">
        <f t="shared" si="44"/>
        <v>0</v>
      </c>
      <c r="BE184" s="739"/>
      <c r="BF184" s="882">
        <f t="shared" si="45"/>
        <v>0</v>
      </c>
    </row>
    <row r="185" spans="1:58" x14ac:dyDescent="0.25">
      <c r="A185" s="931"/>
      <c r="B185" s="773"/>
      <c r="C185" s="897"/>
      <c r="D185" s="928"/>
      <c r="E185" s="744"/>
      <c r="F185" s="744">
        <f t="shared" si="37"/>
        <v>0</v>
      </c>
      <c r="G185" s="773"/>
      <c r="H185" s="753"/>
      <c r="I185" s="746"/>
      <c r="J185" s="771"/>
      <c r="K185" s="771"/>
      <c r="L185" s="771"/>
      <c r="M185" s="927" t="str">
        <f t="shared" si="35"/>
        <v xml:space="preserve">  </v>
      </c>
      <c r="N185" s="749"/>
      <c r="O185" s="749"/>
      <c r="P185" s="749"/>
      <c r="Q185" s="749"/>
      <c r="R185" s="937"/>
      <c r="S185" s="861"/>
      <c r="T185" s="861">
        <f t="shared" si="38"/>
        <v>0</v>
      </c>
      <c r="U185" s="864">
        <f t="shared" si="39"/>
        <v>0</v>
      </c>
      <c r="V185" s="862"/>
      <c r="W185" s="861">
        <f t="shared" si="36"/>
        <v>0</v>
      </c>
      <c r="X185" s="864">
        <f t="shared" si="40"/>
        <v>0</v>
      </c>
      <c r="Y185" s="866">
        <f t="shared" si="34"/>
        <v>0</v>
      </c>
      <c r="Z185" s="751"/>
      <c r="AA185" s="739"/>
      <c r="AB185" s="753"/>
      <c r="AC185" s="752">
        <f t="shared" si="41"/>
        <v>0</v>
      </c>
      <c r="AD185" s="739"/>
      <c r="AE185" s="891"/>
      <c r="AF185" s="891"/>
      <c r="AG185" s="891"/>
      <c r="AH185" s="891"/>
      <c r="AI185" s="900"/>
      <c r="AJ185" s="749"/>
      <c r="AK185" s="772"/>
      <c r="AL185" s="873"/>
      <c r="AM185" s="862">
        <f t="shared" si="42"/>
        <v>0</v>
      </c>
      <c r="AN185" s="755" t="str">
        <f t="shared" ca="1" si="43"/>
        <v/>
      </c>
      <c r="AO185" s="753"/>
      <c r="AP185" s="753"/>
      <c r="AQ185" s="753"/>
      <c r="AR185" s="753"/>
      <c r="AS185" s="753"/>
      <c r="AT185" s="739"/>
      <c r="AU185" s="739"/>
      <c r="AV185" s="739"/>
      <c r="AW185" s="739"/>
      <c r="AX185" s="739"/>
      <c r="AY185" s="882"/>
      <c r="AZ185" s="739"/>
      <c r="BA185" s="739"/>
      <c r="BB185" s="739"/>
      <c r="BC185" s="739"/>
      <c r="BD185" s="739">
        <f t="shared" si="44"/>
        <v>0</v>
      </c>
      <c r="BE185" s="739"/>
      <c r="BF185" s="882">
        <f t="shared" si="45"/>
        <v>0</v>
      </c>
    </row>
    <row r="186" spans="1:58" x14ac:dyDescent="0.25">
      <c r="A186" s="931"/>
      <c r="B186" s="773"/>
      <c r="C186" s="897"/>
      <c r="D186" s="928"/>
      <c r="E186" s="744"/>
      <c r="F186" s="744">
        <f t="shared" si="37"/>
        <v>0</v>
      </c>
      <c r="G186" s="773"/>
      <c r="H186" s="753"/>
      <c r="I186" s="746"/>
      <c r="J186" s="771"/>
      <c r="K186" s="771"/>
      <c r="L186" s="771"/>
      <c r="M186" s="927" t="str">
        <f t="shared" si="35"/>
        <v xml:space="preserve">  </v>
      </c>
      <c r="N186" s="749"/>
      <c r="O186" s="749"/>
      <c r="P186" s="749"/>
      <c r="Q186" s="749"/>
      <c r="R186" s="937"/>
      <c r="S186" s="861"/>
      <c r="T186" s="861">
        <f t="shared" si="38"/>
        <v>0</v>
      </c>
      <c r="U186" s="864">
        <f t="shared" si="39"/>
        <v>0</v>
      </c>
      <c r="V186" s="862"/>
      <c r="W186" s="861">
        <f t="shared" si="36"/>
        <v>0</v>
      </c>
      <c r="X186" s="864">
        <f t="shared" si="40"/>
        <v>0</v>
      </c>
      <c r="Y186" s="866">
        <f t="shared" si="34"/>
        <v>0</v>
      </c>
      <c r="Z186" s="751"/>
      <c r="AA186" s="739"/>
      <c r="AB186" s="753"/>
      <c r="AC186" s="752">
        <f t="shared" si="41"/>
        <v>0</v>
      </c>
      <c r="AD186" s="739"/>
      <c r="AE186" s="891"/>
      <c r="AF186" s="891"/>
      <c r="AG186" s="891"/>
      <c r="AH186" s="891"/>
      <c r="AI186" s="900"/>
      <c r="AJ186" s="749"/>
      <c r="AK186" s="772"/>
      <c r="AL186" s="873"/>
      <c r="AM186" s="862">
        <f t="shared" si="42"/>
        <v>0</v>
      </c>
      <c r="AN186" s="755" t="str">
        <f t="shared" ca="1" si="43"/>
        <v/>
      </c>
      <c r="AO186" s="753"/>
      <c r="AP186" s="753"/>
      <c r="AQ186" s="753"/>
      <c r="AR186" s="753"/>
      <c r="AS186" s="753"/>
      <c r="AT186" s="739"/>
      <c r="AU186" s="739"/>
      <c r="AV186" s="739"/>
      <c r="AW186" s="739"/>
      <c r="AX186" s="739"/>
      <c r="AY186" s="882"/>
      <c r="AZ186" s="739"/>
      <c r="BA186" s="739"/>
      <c r="BB186" s="739"/>
      <c r="BC186" s="739"/>
      <c r="BD186" s="739">
        <f t="shared" si="44"/>
        <v>0</v>
      </c>
      <c r="BE186" s="739"/>
      <c r="BF186" s="882">
        <f t="shared" si="45"/>
        <v>0</v>
      </c>
    </row>
    <row r="187" spans="1:58" x14ac:dyDescent="0.25">
      <c r="A187" s="931"/>
      <c r="B187" s="773"/>
      <c r="C187" s="897"/>
      <c r="D187" s="928"/>
      <c r="E187" s="744"/>
      <c r="F187" s="744">
        <f t="shared" si="37"/>
        <v>0</v>
      </c>
      <c r="G187" s="773"/>
      <c r="H187" s="753"/>
      <c r="I187" s="746"/>
      <c r="J187" s="771"/>
      <c r="K187" s="771"/>
      <c r="L187" s="771"/>
      <c r="M187" s="927" t="str">
        <f t="shared" si="35"/>
        <v xml:space="preserve">  </v>
      </c>
      <c r="N187" s="749"/>
      <c r="O187" s="749"/>
      <c r="P187" s="749"/>
      <c r="Q187" s="749"/>
      <c r="R187" s="937"/>
      <c r="S187" s="861"/>
      <c r="T187" s="861">
        <f t="shared" si="38"/>
        <v>0</v>
      </c>
      <c r="U187" s="864">
        <f t="shared" si="39"/>
        <v>0</v>
      </c>
      <c r="V187" s="862"/>
      <c r="W187" s="861">
        <f t="shared" si="36"/>
        <v>0</v>
      </c>
      <c r="X187" s="864">
        <f t="shared" si="40"/>
        <v>0</v>
      </c>
      <c r="Y187" s="866">
        <f t="shared" si="34"/>
        <v>0</v>
      </c>
      <c r="Z187" s="751"/>
      <c r="AA187" s="739"/>
      <c r="AB187" s="753"/>
      <c r="AC187" s="752">
        <f t="shared" si="41"/>
        <v>0</v>
      </c>
      <c r="AD187" s="739"/>
      <c r="AE187" s="891"/>
      <c r="AF187" s="891"/>
      <c r="AG187" s="891"/>
      <c r="AH187" s="891"/>
      <c r="AI187" s="900"/>
      <c r="AJ187" s="749"/>
      <c r="AK187" s="772"/>
      <c r="AL187" s="873"/>
      <c r="AM187" s="862">
        <f t="shared" si="42"/>
        <v>0</v>
      </c>
      <c r="AN187" s="755" t="str">
        <f t="shared" ca="1" si="43"/>
        <v/>
      </c>
      <c r="AO187" s="753"/>
      <c r="AP187" s="753"/>
      <c r="AQ187" s="753"/>
      <c r="AR187" s="753"/>
      <c r="AS187" s="753"/>
      <c r="AT187" s="739"/>
      <c r="AU187" s="739"/>
      <c r="AV187" s="739"/>
      <c r="AW187" s="739"/>
      <c r="AX187" s="739"/>
      <c r="AY187" s="882"/>
      <c r="AZ187" s="739"/>
      <c r="BA187" s="739"/>
      <c r="BB187" s="739"/>
      <c r="BC187" s="739"/>
      <c r="BD187" s="739">
        <f t="shared" si="44"/>
        <v>0</v>
      </c>
      <c r="BE187" s="739"/>
      <c r="BF187" s="882">
        <f t="shared" si="45"/>
        <v>0</v>
      </c>
    </row>
    <row r="188" spans="1:58" x14ac:dyDescent="0.25">
      <c r="A188" s="931"/>
      <c r="B188" s="773"/>
      <c r="C188" s="897"/>
      <c r="D188" s="928"/>
      <c r="E188" s="744"/>
      <c r="F188" s="744">
        <f t="shared" si="37"/>
        <v>0</v>
      </c>
      <c r="G188" s="773"/>
      <c r="H188" s="753"/>
      <c r="I188" s="746"/>
      <c r="J188" s="771"/>
      <c r="K188" s="771"/>
      <c r="L188" s="771"/>
      <c r="M188" s="927" t="str">
        <f t="shared" si="35"/>
        <v xml:space="preserve">  </v>
      </c>
      <c r="N188" s="749"/>
      <c r="O188" s="749"/>
      <c r="P188" s="749"/>
      <c r="Q188" s="749"/>
      <c r="R188" s="947"/>
      <c r="S188" s="861"/>
      <c r="T188" s="861">
        <f t="shared" si="38"/>
        <v>0</v>
      </c>
      <c r="U188" s="864">
        <f t="shared" si="39"/>
        <v>0</v>
      </c>
      <c r="V188" s="862"/>
      <c r="W188" s="861">
        <f t="shared" si="36"/>
        <v>0</v>
      </c>
      <c r="X188" s="864">
        <f t="shared" si="40"/>
        <v>0</v>
      </c>
      <c r="Y188" s="866">
        <f t="shared" si="34"/>
        <v>0</v>
      </c>
      <c r="Z188" s="751"/>
      <c r="AA188" s="739"/>
      <c r="AB188" s="753"/>
      <c r="AC188" s="752">
        <f t="shared" si="41"/>
        <v>0</v>
      </c>
      <c r="AD188" s="739"/>
      <c r="AE188" s="891"/>
      <c r="AF188" s="891"/>
      <c r="AG188" s="891"/>
      <c r="AH188" s="891"/>
      <c r="AI188" s="900"/>
      <c r="AJ188" s="749"/>
      <c r="AK188" s="772"/>
      <c r="AL188" s="873"/>
      <c r="AM188" s="862">
        <f t="shared" si="42"/>
        <v>0</v>
      </c>
      <c r="AN188" s="755" t="str">
        <f t="shared" ca="1" si="43"/>
        <v/>
      </c>
      <c r="AO188" s="753"/>
      <c r="AP188" s="753"/>
      <c r="AQ188" s="753"/>
      <c r="AR188" s="753"/>
      <c r="AS188" s="753"/>
      <c r="AT188" s="739"/>
      <c r="AU188" s="739"/>
      <c r="AV188" s="739"/>
      <c r="AW188" s="739"/>
      <c r="AX188" s="739"/>
      <c r="AY188" s="882"/>
      <c r="AZ188" s="739"/>
      <c r="BA188" s="739"/>
      <c r="BB188" s="739"/>
      <c r="BC188" s="739"/>
      <c r="BD188" s="739">
        <f t="shared" si="44"/>
        <v>0</v>
      </c>
      <c r="BE188" s="739"/>
      <c r="BF188" s="882">
        <f t="shared" si="45"/>
        <v>0</v>
      </c>
    </row>
    <row r="189" spans="1:58" x14ac:dyDescent="0.25">
      <c r="A189" s="931"/>
      <c r="B189" s="773"/>
      <c r="C189" s="897"/>
      <c r="D189" s="928"/>
      <c r="E189" s="744"/>
      <c r="F189" s="744">
        <f t="shared" si="37"/>
        <v>0</v>
      </c>
      <c r="G189" s="773"/>
      <c r="H189" s="753"/>
      <c r="I189" s="746"/>
      <c r="J189" s="771"/>
      <c r="K189" s="771"/>
      <c r="L189" s="771"/>
      <c r="M189" s="927" t="str">
        <f t="shared" si="35"/>
        <v xml:space="preserve">  </v>
      </c>
      <c r="N189" s="749"/>
      <c r="O189" s="749"/>
      <c r="P189" s="749"/>
      <c r="Q189" s="749"/>
      <c r="R189" s="937"/>
      <c r="S189" s="861"/>
      <c r="T189" s="861">
        <f t="shared" si="38"/>
        <v>0</v>
      </c>
      <c r="U189" s="864">
        <f t="shared" si="39"/>
        <v>0</v>
      </c>
      <c r="V189" s="862"/>
      <c r="W189" s="861">
        <f t="shared" si="36"/>
        <v>0</v>
      </c>
      <c r="X189" s="864">
        <f t="shared" si="40"/>
        <v>0</v>
      </c>
      <c r="Y189" s="866">
        <f t="shared" si="34"/>
        <v>0</v>
      </c>
      <c r="Z189" s="751"/>
      <c r="AA189" s="739"/>
      <c r="AB189" s="753"/>
      <c r="AC189" s="752">
        <f t="shared" si="41"/>
        <v>0</v>
      </c>
      <c r="AD189" s="739"/>
      <c r="AE189" s="891"/>
      <c r="AF189" s="891"/>
      <c r="AG189" s="891"/>
      <c r="AH189" s="891"/>
      <c r="AI189" s="900"/>
      <c r="AJ189" s="749"/>
      <c r="AK189" s="772"/>
      <c r="AL189" s="873"/>
      <c r="AM189" s="862">
        <f t="shared" si="42"/>
        <v>0</v>
      </c>
      <c r="AN189" s="755" t="str">
        <f t="shared" ca="1" si="43"/>
        <v/>
      </c>
      <c r="AO189" s="753"/>
      <c r="AP189" s="753"/>
      <c r="AQ189" s="753"/>
      <c r="AR189" s="753"/>
      <c r="AS189" s="753"/>
      <c r="AT189" s="739"/>
      <c r="AU189" s="739"/>
      <c r="AV189" s="739"/>
      <c r="AW189" s="739"/>
      <c r="AX189" s="739"/>
      <c r="AY189" s="882"/>
      <c r="AZ189" s="739"/>
      <c r="BA189" s="739"/>
      <c r="BB189" s="739"/>
      <c r="BC189" s="739"/>
      <c r="BD189" s="739">
        <f t="shared" ref="BD189:BD229" si="46">+AA189</f>
        <v>0</v>
      </c>
      <c r="BE189" s="739"/>
      <c r="BF189" s="882">
        <f t="shared" si="45"/>
        <v>0</v>
      </c>
    </row>
    <row r="190" spans="1:58" x14ac:dyDescent="0.25">
      <c r="A190" s="931"/>
      <c r="B190" s="773"/>
      <c r="C190" s="897"/>
      <c r="D190" s="928"/>
      <c r="E190" s="744"/>
      <c r="F190" s="744">
        <f t="shared" si="37"/>
        <v>0</v>
      </c>
      <c r="G190" s="773"/>
      <c r="H190" s="753"/>
      <c r="I190" s="746"/>
      <c r="J190" s="771"/>
      <c r="K190" s="771"/>
      <c r="L190" s="771"/>
      <c r="M190" s="927" t="str">
        <f t="shared" si="35"/>
        <v xml:space="preserve">  </v>
      </c>
      <c r="N190" s="749"/>
      <c r="O190" s="749"/>
      <c r="P190" s="749"/>
      <c r="Q190" s="749"/>
      <c r="R190" s="937"/>
      <c r="S190" s="861"/>
      <c r="T190" s="861">
        <f t="shared" si="38"/>
        <v>0</v>
      </c>
      <c r="U190" s="864">
        <f t="shared" si="39"/>
        <v>0</v>
      </c>
      <c r="V190" s="862"/>
      <c r="W190" s="861">
        <f t="shared" si="36"/>
        <v>0</v>
      </c>
      <c r="X190" s="864">
        <f t="shared" si="40"/>
        <v>0</v>
      </c>
      <c r="Y190" s="866">
        <f t="shared" si="34"/>
        <v>0</v>
      </c>
      <c r="Z190" s="751"/>
      <c r="AA190" s="739"/>
      <c r="AB190" s="753"/>
      <c r="AC190" s="752">
        <f t="shared" si="41"/>
        <v>0</v>
      </c>
      <c r="AD190" s="739"/>
      <c r="AE190" s="891"/>
      <c r="AF190" s="891"/>
      <c r="AG190" s="891"/>
      <c r="AH190" s="891"/>
      <c r="AI190" s="900"/>
      <c r="AJ190" s="749"/>
      <c r="AK190" s="772"/>
      <c r="AL190" s="873"/>
      <c r="AM190" s="862">
        <f t="shared" si="42"/>
        <v>0</v>
      </c>
      <c r="AN190" s="755" t="str">
        <f t="shared" ca="1" si="43"/>
        <v/>
      </c>
      <c r="AO190" s="753"/>
      <c r="AP190" s="753"/>
      <c r="AQ190" s="753"/>
      <c r="AR190" s="753"/>
      <c r="AS190" s="753"/>
      <c r="AT190" s="739"/>
      <c r="AU190" s="739"/>
      <c r="AV190" s="739"/>
      <c r="AW190" s="739"/>
      <c r="AX190" s="739"/>
      <c r="AY190" s="882"/>
      <c r="AZ190" s="739"/>
      <c r="BA190" s="739"/>
      <c r="BB190" s="739"/>
      <c r="BC190" s="739"/>
      <c r="BD190" s="739">
        <f t="shared" si="46"/>
        <v>0</v>
      </c>
      <c r="BE190" s="739"/>
      <c r="BF190" s="882">
        <f t="shared" si="45"/>
        <v>0</v>
      </c>
    </row>
    <row r="191" spans="1:58" x14ac:dyDescent="0.25">
      <c r="A191" s="931"/>
      <c r="B191" s="773"/>
      <c r="C191" s="897"/>
      <c r="D191" s="928"/>
      <c r="E191" s="744"/>
      <c r="F191" s="744">
        <f t="shared" si="37"/>
        <v>0</v>
      </c>
      <c r="G191" s="773"/>
      <c r="H191" s="753"/>
      <c r="I191" s="746"/>
      <c r="J191" s="771"/>
      <c r="K191" s="771"/>
      <c r="L191" s="771"/>
      <c r="M191" s="927" t="str">
        <f t="shared" si="35"/>
        <v xml:space="preserve">  </v>
      </c>
      <c r="N191" s="749"/>
      <c r="O191" s="749"/>
      <c r="P191" s="749"/>
      <c r="Q191" s="749"/>
      <c r="R191" s="937"/>
      <c r="S191" s="861"/>
      <c r="T191" s="861">
        <f t="shared" si="38"/>
        <v>0</v>
      </c>
      <c r="U191" s="864">
        <f t="shared" si="39"/>
        <v>0</v>
      </c>
      <c r="V191" s="862"/>
      <c r="W191" s="861">
        <f t="shared" si="36"/>
        <v>0</v>
      </c>
      <c r="X191" s="864">
        <f t="shared" si="40"/>
        <v>0</v>
      </c>
      <c r="Y191" s="866">
        <f t="shared" si="34"/>
        <v>0</v>
      </c>
      <c r="Z191" s="751"/>
      <c r="AA191" s="739"/>
      <c r="AB191" s="753"/>
      <c r="AC191" s="752">
        <f t="shared" si="41"/>
        <v>0</v>
      </c>
      <c r="AD191" s="739"/>
      <c r="AE191" s="891"/>
      <c r="AF191" s="891"/>
      <c r="AG191" s="891"/>
      <c r="AH191" s="891"/>
      <c r="AI191" s="900"/>
      <c r="AJ191" s="749"/>
      <c r="AK191" s="772"/>
      <c r="AL191" s="873"/>
      <c r="AM191" s="862">
        <f t="shared" si="42"/>
        <v>0</v>
      </c>
      <c r="AN191" s="755" t="str">
        <f t="shared" ca="1" si="43"/>
        <v/>
      </c>
      <c r="AO191" s="753"/>
      <c r="AP191" s="753"/>
      <c r="AQ191" s="753"/>
      <c r="AR191" s="753"/>
      <c r="AS191" s="753"/>
      <c r="AT191" s="739"/>
      <c r="AU191" s="739"/>
      <c r="AV191" s="739"/>
      <c r="AW191" s="739"/>
      <c r="AX191" s="739"/>
      <c r="AY191" s="882"/>
      <c r="AZ191" s="739"/>
      <c r="BA191" s="739"/>
      <c r="BB191" s="739"/>
      <c r="BC191" s="739"/>
      <c r="BD191" s="739">
        <f t="shared" si="46"/>
        <v>0</v>
      </c>
      <c r="BE191" s="739"/>
      <c r="BF191" s="882">
        <f t="shared" si="45"/>
        <v>0</v>
      </c>
    </row>
    <row r="192" spans="1:58" x14ac:dyDescent="0.25">
      <c r="A192" s="931"/>
      <c r="B192" s="773"/>
      <c r="C192" s="897"/>
      <c r="D192" s="928"/>
      <c r="E192" s="744"/>
      <c r="F192" s="744">
        <f t="shared" si="37"/>
        <v>0</v>
      </c>
      <c r="G192" s="773"/>
      <c r="H192" s="753"/>
      <c r="I192" s="746"/>
      <c r="J192" s="771"/>
      <c r="K192" s="771"/>
      <c r="L192" s="771"/>
      <c r="M192" s="927" t="str">
        <f t="shared" si="35"/>
        <v xml:space="preserve">  </v>
      </c>
      <c r="N192" s="749"/>
      <c r="O192" s="749"/>
      <c r="P192" s="749"/>
      <c r="Q192" s="749"/>
      <c r="R192" s="937"/>
      <c r="S192" s="861"/>
      <c r="T192" s="861">
        <f t="shared" si="38"/>
        <v>0</v>
      </c>
      <c r="U192" s="864">
        <f t="shared" si="39"/>
        <v>0</v>
      </c>
      <c r="V192" s="862"/>
      <c r="W192" s="861">
        <f t="shared" si="36"/>
        <v>0</v>
      </c>
      <c r="X192" s="864">
        <f t="shared" si="40"/>
        <v>0</v>
      </c>
      <c r="Y192" s="866">
        <f t="shared" si="34"/>
        <v>0</v>
      </c>
      <c r="Z192" s="751"/>
      <c r="AA192" s="739"/>
      <c r="AB192" s="753"/>
      <c r="AC192" s="752">
        <f t="shared" si="41"/>
        <v>0</v>
      </c>
      <c r="AD192" s="739"/>
      <c r="AE192" s="891"/>
      <c r="AF192" s="891"/>
      <c r="AG192" s="891"/>
      <c r="AH192" s="891"/>
      <c r="AI192" s="900"/>
      <c r="AJ192" s="749"/>
      <c r="AK192" s="772"/>
      <c r="AL192" s="873"/>
      <c r="AM192" s="862">
        <f t="shared" si="42"/>
        <v>0</v>
      </c>
      <c r="AN192" s="755" t="str">
        <f t="shared" ca="1" si="43"/>
        <v/>
      </c>
      <c r="AO192" s="753"/>
      <c r="AP192" s="753"/>
      <c r="AQ192" s="753"/>
      <c r="AR192" s="753"/>
      <c r="AS192" s="753"/>
      <c r="AT192" s="739"/>
      <c r="AU192" s="739"/>
      <c r="AV192" s="739"/>
      <c r="AW192" s="739"/>
      <c r="AX192" s="739"/>
      <c r="AY192" s="882"/>
      <c r="AZ192" s="739"/>
      <c r="BA192" s="739"/>
      <c r="BB192" s="739"/>
      <c r="BC192" s="739"/>
      <c r="BD192" s="739">
        <f t="shared" si="46"/>
        <v>0</v>
      </c>
      <c r="BE192" s="739"/>
      <c r="BF192" s="882">
        <f t="shared" si="45"/>
        <v>0</v>
      </c>
    </row>
    <row r="193" spans="1:58" x14ac:dyDescent="0.25">
      <c r="A193" s="931"/>
      <c r="B193" s="773"/>
      <c r="C193" s="897"/>
      <c r="D193" s="928"/>
      <c r="E193" s="744"/>
      <c r="F193" s="744">
        <f t="shared" si="37"/>
        <v>0</v>
      </c>
      <c r="G193" s="773"/>
      <c r="H193" s="753"/>
      <c r="I193" s="813"/>
      <c r="J193" s="771"/>
      <c r="K193" s="771"/>
      <c r="L193" s="771"/>
      <c r="M193" s="927" t="str">
        <f t="shared" si="35"/>
        <v xml:space="preserve">  </v>
      </c>
      <c r="N193" s="749"/>
      <c r="O193" s="749"/>
      <c r="P193" s="749"/>
      <c r="Q193" s="749"/>
      <c r="R193" s="937"/>
      <c r="S193" s="861"/>
      <c r="T193" s="861">
        <f t="shared" si="38"/>
        <v>0</v>
      </c>
      <c r="U193" s="864">
        <f t="shared" si="39"/>
        <v>0</v>
      </c>
      <c r="V193" s="862"/>
      <c r="W193" s="861">
        <f t="shared" si="36"/>
        <v>0</v>
      </c>
      <c r="X193" s="864">
        <f t="shared" si="40"/>
        <v>0</v>
      </c>
      <c r="Y193" s="866">
        <f t="shared" si="34"/>
        <v>0</v>
      </c>
      <c r="Z193" s="751"/>
      <c r="AA193" s="739"/>
      <c r="AB193" s="753"/>
      <c r="AC193" s="752">
        <f t="shared" si="41"/>
        <v>0</v>
      </c>
      <c r="AD193" s="739"/>
      <c r="AE193" s="891"/>
      <c r="AF193" s="891"/>
      <c r="AG193" s="891"/>
      <c r="AH193" s="891"/>
      <c r="AI193" s="900"/>
      <c r="AJ193" s="749"/>
      <c r="AK193" s="772"/>
      <c r="AL193" s="873"/>
      <c r="AM193" s="862">
        <f t="shared" si="42"/>
        <v>0</v>
      </c>
      <c r="AN193" s="755" t="str">
        <f t="shared" ca="1" si="43"/>
        <v/>
      </c>
      <c r="AO193" s="753"/>
      <c r="AP193" s="753"/>
      <c r="AQ193" s="753"/>
      <c r="AR193" s="753"/>
      <c r="AS193" s="753"/>
      <c r="AT193" s="739"/>
      <c r="AU193" s="739"/>
      <c r="AV193" s="739"/>
      <c r="AW193" s="739"/>
      <c r="AX193" s="739"/>
      <c r="AY193" s="882"/>
      <c r="AZ193" s="739"/>
      <c r="BA193" s="739"/>
      <c r="BB193" s="739"/>
      <c r="BC193" s="739"/>
      <c r="BD193" s="739">
        <f t="shared" si="46"/>
        <v>0</v>
      </c>
      <c r="BE193" s="739"/>
      <c r="BF193" s="882">
        <f t="shared" si="45"/>
        <v>0</v>
      </c>
    </row>
    <row r="194" spans="1:58" x14ac:dyDescent="0.25">
      <c r="A194" s="931"/>
      <c r="B194" s="773"/>
      <c r="C194" s="897"/>
      <c r="D194" s="928"/>
      <c r="E194" s="744"/>
      <c r="F194" s="744">
        <f t="shared" si="37"/>
        <v>0</v>
      </c>
      <c r="G194" s="773"/>
      <c r="H194" s="753"/>
      <c r="I194" s="746"/>
      <c r="J194" s="771"/>
      <c r="K194" s="771"/>
      <c r="L194" s="771"/>
      <c r="M194" s="927" t="str">
        <f t="shared" si="35"/>
        <v xml:space="preserve">  </v>
      </c>
      <c r="N194" s="749"/>
      <c r="O194" s="749"/>
      <c r="P194" s="749"/>
      <c r="Q194" s="749"/>
      <c r="R194" s="937"/>
      <c r="S194" s="861"/>
      <c r="T194" s="861">
        <f t="shared" si="38"/>
        <v>0</v>
      </c>
      <c r="U194" s="864">
        <f t="shared" si="39"/>
        <v>0</v>
      </c>
      <c r="V194" s="862"/>
      <c r="W194" s="861">
        <f t="shared" si="36"/>
        <v>0</v>
      </c>
      <c r="X194" s="864">
        <f t="shared" si="40"/>
        <v>0</v>
      </c>
      <c r="Y194" s="866">
        <f t="shared" si="34"/>
        <v>0</v>
      </c>
      <c r="Z194" s="751"/>
      <c r="AA194" s="739"/>
      <c r="AB194" s="753"/>
      <c r="AC194" s="752">
        <f t="shared" si="41"/>
        <v>0</v>
      </c>
      <c r="AD194" s="739"/>
      <c r="AE194" s="891"/>
      <c r="AF194" s="891"/>
      <c r="AG194" s="891"/>
      <c r="AH194" s="891"/>
      <c r="AI194" s="900"/>
      <c r="AJ194" s="749"/>
      <c r="AK194" s="772"/>
      <c r="AL194" s="873"/>
      <c r="AM194" s="862">
        <f t="shared" si="42"/>
        <v>0</v>
      </c>
      <c r="AN194" s="755" t="str">
        <f t="shared" ca="1" si="43"/>
        <v/>
      </c>
      <c r="AO194" s="753"/>
      <c r="AP194" s="753"/>
      <c r="AQ194" s="753"/>
      <c r="AR194" s="753"/>
      <c r="AS194" s="753"/>
      <c r="AT194" s="739"/>
      <c r="AU194" s="739"/>
      <c r="AV194" s="739"/>
      <c r="AW194" s="739"/>
      <c r="AX194" s="739"/>
      <c r="AY194" s="882"/>
      <c r="AZ194" s="739"/>
      <c r="BA194" s="739"/>
      <c r="BB194" s="739"/>
      <c r="BC194" s="739"/>
      <c r="BD194" s="739">
        <f t="shared" si="46"/>
        <v>0</v>
      </c>
      <c r="BE194" s="739"/>
      <c r="BF194" s="882">
        <f t="shared" si="45"/>
        <v>0</v>
      </c>
    </row>
    <row r="195" spans="1:58" x14ac:dyDescent="0.25">
      <c r="A195" s="931"/>
      <c r="B195" s="773"/>
      <c r="C195" s="897"/>
      <c r="D195" s="928"/>
      <c r="E195" s="744"/>
      <c r="F195" s="744">
        <f t="shared" si="37"/>
        <v>0</v>
      </c>
      <c r="G195" s="773"/>
      <c r="H195" s="753"/>
      <c r="I195" s="746"/>
      <c r="J195" s="771"/>
      <c r="K195" s="771"/>
      <c r="L195" s="771"/>
      <c r="M195" s="927" t="str">
        <f t="shared" si="35"/>
        <v xml:space="preserve">  </v>
      </c>
      <c r="N195" s="749"/>
      <c r="O195" s="749"/>
      <c r="P195" s="749"/>
      <c r="Q195" s="749"/>
      <c r="R195" s="937"/>
      <c r="S195" s="861"/>
      <c r="T195" s="861">
        <f t="shared" si="38"/>
        <v>0</v>
      </c>
      <c r="U195" s="864">
        <f t="shared" si="39"/>
        <v>0</v>
      </c>
      <c r="V195" s="862"/>
      <c r="W195" s="861">
        <f t="shared" si="36"/>
        <v>0</v>
      </c>
      <c r="X195" s="864">
        <f t="shared" si="40"/>
        <v>0</v>
      </c>
      <c r="Y195" s="866">
        <f t="shared" si="34"/>
        <v>0</v>
      </c>
      <c r="Z195" s="751"/>
      <c r="AA195" s="739"/>
      <c r="AB195" s="753"/>
      <c r="AC195" s="752">
        <f t="shared" si="41"/>
        <v>0</v>
      </c>
      <c r="AD195" s="739"/>
      <c r="AE195" s="891"/>
      <c r="AF195" s="891"/>
      <c r="AG195" s="891"/>
      <c r="AH195" s="891"/>
      <c r="AI195" s="900"/>
      <c r="AJ195" s="749"/>
      <c r="AK195" s="772"/>
      <c r="AL195" s="873"/>
      <c r="AM195" s="862">
        <f t="shared" si="42"/>
        <v>0</v>
      </c>
      <c r="AN195" s="755" t="str">
        <f t="shared" ca="1" si="43"/>
        <v/>
      </c>
      <c r="AO195" s="753"/>
      <c r="AP195" s="753"/>
      <c r="AQ195" s="753"/>
      <c r="AR195" s="753"/>
      <c r="AS195" s="753"/>
      <c r="AT195" s="739"/>
      <c r="AU195" s="739"/>
      <c r="AV195" s="739"/>
      <c r="AW195" s="739"/>
      <c r="AX195" s="739"/>
      <c r="AY195" s="882"/>
      <c r="AZ195" s="739"/>
      <c r="BA195" s="739"/>
      <c r="BB195" s="739"/>
      <c r="BC195" s="739"/>
      <c r="BD195" s="739">
        <f t="shared" si="46"/>
        <v>0</v>
      </c>
      <c r="BE195" s="739"/>
      <c r="BF195" s="882">
        <f t="shared" si="45"/>
        <v>0</v>
      </c>
    </row>
    <row r="196" spans="1:58" x14ac:dyDescent="0.25">
      <c r="A196" s="931"/>
      <c r="B196" s="773"/>
      <c r="C196" s="897"/>
      <c r="D196" s="928"/>
      <c r="E196" s="744"/>
      <c r="F196" s="744">
        <f t="shared" si="37"/>
        <v>0</v>
      </c>
      <c r="G196" s="773"/>
      <c r="H196" s="753"/>
      <c r="I196" s="746"/>
      <c r="J196" s="771"/>
      <c r="K196" s="771"/>
      <c r="L196" s="771"/>
      <c r="M196" s="927" t="str">
        <f t="shared" si="35"/>
        <v xml:space="preserve">  </v>
      </c>
      <c r="N196" s="749"/>
      <c r="O196" s="749"/>
      <c r="P196" s="749"/>
      <c r="Q196" s="749"/>
      <c r="R196" s="937"/>
      <c r="S196" s="861"/>
      <c r="T196" s="861">
        <f t="shared" si="38"/>
        <v>0</v>
      </c>
      <c r="U196" s="864">
        <f t="shared" si="39"/>
        <v>0</v>
      </c>
      <c r="V196" s="862"/>
      <c r="W196" s="861">
        <f t="shared" si="36"/>
        <v>0</v>
      </c>
      <c r="X196" s="864">
        <f t="shared" si="40"/>
        <v>0</v>
      </c>
      <c r="Y196" s="866">
        <f t="shared" ref="Y196:Y259" si="47">+S196+AL196</f>
        <v>0</v>
      </c>
      <c r="Z196" s="751"/>
      <c r="AA196" s="739"/>
      <c r="AB196" s="753"/>
      <c r="AC196" s="752">
        <f t="shared" si="41"/>
        <v>0</v>
      </c>
      <c r="AD196" s="739"/>
      <c r="AE196" s="891"/>
      <c r="AF196" s="891"/>
      <c r="AG196" s="891"/>
      <c r="AH196" s="891"/>
      <c r="AI196" s="900"/>
      <c r="AJ196" s="749"/>
      <c r="AK196" s="772"/>
      <c r="AL196" s="873"/>
      <c r="AM196" s="862">
        <f t="shared" si="42"/>
        <v>0</v>
      </c>
      <c r="AN196" s="755" t="str">
        <f t="shared" ca="1" si="43"/>
        <v/>
      </c>
      <c r="AO196" s="753"/>
      <c r="AP196" s="753"/>
      <c r="AQ196" s="753"/>
      <c r="AR196" s="753"/>
      <c r="AS196" s="753"/>
      <c r="AT196" s="739"/>
      <c r="AU196" s="739"/>
      <c r="AV196" s="739"/>
      <c r="AW196" s="739"/>
      <c r="AX196" s="739"/>
      <c r="AY196" s="882"/>
      <c r="AZ196" s="739"/>
      <c r="BA196" s="739"/>
      <c r="BB196" s="739"/>
      <c r="BC196" s="739"/>
      <c r="BD196" s="739">
        <f t="shared" si="46"/>
        <v>0</v>
      </c>
      <c r="BE196" s="739"/>
      <c r="BF196" s="882">
        <f t="shared" si="45"/>
        <v>0</v>
      </c>
    </row>
    <row r="197" spans="1:58" x14ac:dyDescent="0.25">
      <c r="A197" s="931"/>
      <c r="B197" s="773"/>
      <c r="C197" s="897"/>
      <c r="D197" s="928"/>
      <c r="E197" s="744"/>
      <c r="F197" s="744">
        <f t="shared" si="37"/>
        <v>0</v>
      </c>
      <c r="G197" s="773"/>
      <c r="H197" s="753"/>
      <c r="I197" s="746"/>
      <c r="J197" s="771"/>
      <c r="K197" s="771"/>
      <c r="L197" s="771"/>
      <c r="M197" s="927" t="str">
        <f t="shared" si="35"/>
        <v xml:space="preserve">  </v>
      </c>
      <c r="N197" s="749"/>
      <c r="O197" s="749"/>
      <c r="P197" s="749"/>
      <c r="Q197" s="749"/>
      <c r="R197" s="937"/>
      <c r="S197" s="861"/>
      <c r="T197" s="861">
        <f t="shared" si="38"/>
        <v>0</v>
      </c>
      <c r="U197" s="864">
        <f t="shared" si="39"/>
        <v>0</v>
      </c>
      <c r="V197" s="862"/>
      <c r="W197" s="861">
        <f t="shared" si="36"/>
        <v>0</v>
      </c>
      <c r="X197" s="864">
        <f t="shared" si="40"/>
        <v>0</v>
      </c>
      <c r="Y197" s="866">
        <f t="shared" si="47"/>
        <v>0</v>
      </c>
      <c r="Z197" s="751"/>
      <c r="AA197" s="739"/>
      <c r="AB197" s="753"/>
      <c r="AC197" s="752">
        <f t="shared" si="41"/>
        <v>0</v>
      </c>
      <c r="AD197" s="739"/>
      <c r="AE197" s="891"/>
      <c r="AF197" s="891"/>
      <c r="AG197" s="891"/>
      <c r="AH197" s="891"/>
      <c r="AI197" s="900"/>
      <c r="AJ197" s="749"/>
      <c r="AK197" s="772"/>
      <c r="AL197" s="873"/>
      <c r="AM197" s="862">
        <f t="shared" si="42"/>
        <v>0</v>
      </c>
      <c r="AN197" s="755" t="str">
        <f t="shared" ca="1" si="43"/>
        <v/>
      </c>
      <c r="AO197" s="753"/>
      <c r="AP197" s="753"/>
      <c r="AQ197" s="753"/>
      <c r="AR197" s="753"/>
      <c r="AS197" s="753"/>
      <c r="AT197" s="739"/>
      <c r="AU197" s="739"/>
      <c r="AV197" s="739"/>
      <c r="AW197" s="739"/>
      <c r="AX197" s="739"/>
      <c r="AY197" s="882"/>
      <c r="AZ197" s="739"/>
      <c r="BA197" s="739"/>
      <c r="BB197" s="739"/>
      <c r="BC197" s="739"/>
      <c r="BD197" s="739">
        <f t="shared" si="46"/>
        <v>0</v>
      </c>
      <c r="BE197" s="739"/>
      <c r="BF197" s="882">
        <f t="shared" si="45"/>
        <v>0</v>
      </c>
    </row>
    <row r="198" spans="1:58" x14ac:dyDescent="0.25">
      <c r="A198" s="931"/>
      <c r="B198" s="773"/>
      <c r="C198" s="897"/>
      <c r="D198" s="928"/>
      <c r="E198" s="744"/>
      <c r="F198" s="744">
        <f t="shared" si="37"/>
        <v>0</v>
      </c>
      <c r="G198" s="773"/>
      <c r="H198" s="753"/>
      <c r="I198" s="746"/>
      <c r="J198" s="771"/>
      <c r="K198" s="771"/>
      <c r="L198" s="771"/>
      <c r="M198" s="927" t="str">
        <f t="shared" si="35"/>
        <v xml:space="preserve">  </v>
      </c>
      <c r="N198" s="749"/>
      <c r="O198" s="749"/>
      <c r="P198" s="749"/>
      <c r="Q198" s="749"/>
      <c r="R198" s="937"/>
      <c r="S198" s="861"/>
      <c r="T198" s="861">
        <f t="shared" si="38"/>
        <v>0</v>
      </c>
      <c r="U198" s="864">
        <f t="shared" si="39"/>
        <v>0</v>
      </c>
      <c r="V198" s="862"/>
      <c r="W198" s="861">
        <f t="shared" si="36"/>
        <v>0</v>
      </c>
      <c r="X198" s="864">
        <f t="shared" si="40"/>
        <v>0</v>
      </c>
      <c r="Y198" s="866">
        <f t="shared" si="47"/>
        <v>0</v>
      </c>
      <c r="Z198" s="751"/>
      <c r="AA198" s="739"/>
      <c r="AB198" s="753"/>
      <c r="AC198" s="752">
        <f t="shared" si="41"/>
        <v>0</v>
      </c>
      <c r="AD198" s="739"/>
      <c r="AE198" s="891"/>
      <c r="AF198" s="891"/>
      <c r="AG198" s="891"/>
      <c r="AH198" s="891"/>
      <c r="AI198" s="900"/>
      <c r="AJ198" s="749"/>
      <c r="AK198" s="772"/>
      <c r="AL198" s="873"/>
      <c r="AM198" s="862">
        <f t="shared" si="42"/>
        <v>0</v>
      </c>
      <c r="AN198" s="755" t="str">
        <f t="shared" ca="1" si="43"/>
        <v/>
      </c>
      <c r="AO198" s="753"/>
      <c r="AP198" s="753"/>
      <c r="AQ198" s="753"/>
      <c r="AR198" s="753"/>
      <c r="AS198" s="753"/>
      <c r="AT198" s="739"/>
      <c r="AU198" s="739"/>
      <c r="AV198" s="739"/>
      <c r="AW198" s="739"/>
      <c r="AX198" s="739"/>
      <c r="AY198" s="882"/>
      <c r="AZ198" s="739"/>
      <c r="BA198" s="739"/>
      <c r="BB198" s="739"/>
      <c r="BC198" s="739"/>
      <c r="BD198" s="739">
        <f t="shared" si="46"/>
        <v>0</v>
      </c>
      <c r="BE198" s="739"/>
      <c r="BF198" s="882">
        <f t="shared" si="45"/>
        <v>0</v>
      </c>
    </row>
    <row r="199" spans="1:58" x14ac:dyDescent="0.25">
      <c r="A199" s="931"/>
      <c r="B199" s="773"/>
      <c r="C199" s="897"/>
      <c r="D199" s="928"/>
      <c r="E199" s="744"/>
      <c r="F199" s="744">
        <f t="shared" si="37"/>
        <v>0</v>
      </c>
      <c r="G199" s="773"/>
      <c r="H199" s="753"/>
      <c r="I199" s="746"/>
      <c r="J199" s="771"/>
      <c r="K199" s="771"/>
      <c r="L199" s="771"/>
      <c r="M199" s="927" t="str">
        <f t="shared" si="35"/>
        <v xml:space="preserve">  </v>
      </c>
      <c r="N199" s="749"/>
      <c r="O199" s="749"/>
      <c r="P199" s="749"/>
      <c r="Q199" s="749"/>
      <c r="R199" s="937"/>
      <c r="S199" s="861"/>
      <c r="T199" s="861">
        <f t="shared" si="38"/>
        <v>0</v>
      </c>
      <c r="U199" s="864">
        <f t="shared" si="39"/>
        <v>0</v>
      </c>
      <c r="V199" s="862"/>
      <c r="W199" s="861">
        <f t="shared" si="36"/>
        <v>0</v>
      </c>
      <c r="X199" s="864">
        <f t="shared" si="40"/>
        <v>0</v>
      </c>
      <c r="Y199" s="866">
        <f t="shared" si="47"/>
        <v>0</v>
      </c>
      <c r="Z199" s="751"/>
      <c r="AA199" s="739"/>
      <c r="AB199" s="753"/>
      <c r="AC199" s="752">
        <f t="shared" si="41"/>
        <v>0</v>
      </c>
      <c r="AD199" s="739"/>
      <c r="AE199" s="891"/>
      <c r="AF199" s="891"/>
      <c r="AG199" s="891"/>
      <c r="AH199" s="891"/>
      <c r="AI199" s="900"/>
      <c r="AJ199" s="749"/>
      <c r="AK199" s="772"/>
      <c r="AL199" s="873"/>
      <c r="AM199" s="862">
        <f t="shared" si="42"/>
        <v>0</v>
      </c>
      <c r="AN199" s="755" t="str">
        <f t="shared" ca="1" si="43"/>
        <v/>
      </c>
      <c r="AO199" s="753"/>
      <c r="AP199" s="753"/>
      <c r="AQ199" s="753"/>
      <c r="AR199" s="753"/>
      <c r="AS199" s="753"/>
      <c r="AT199" s="739"/>
      <c r="AU199" s="739"/>
      <c r="AV199" s="739"/>
      <c r="AW199" s="739"/>
      <c r="AX199" s="739"/>
      <c r="AY199" s="882"/>
      <c r="AZ199" s="739"/>
      <c r="BA199" s="739"/>
      <c r="BB199" s="739"/>
      <c r="BC199" s="739"/>
      <c r="BD199" s="739">
        <f t="shared" si="46"/>
        <v>0</v>
      </c>
      <c r="BE199" s="739"/>
      <c r="BF199" s="882">
        <f t="shared" si="45"/>
        <v>0</v>
      </c>
    </row>
    <row r="200" spans="1:58" x14ac:dyDescent="0.25">
      <c r="A200" s="931"/>
      <c r="B200" s="773"/>
      <c r="C200" s="897"/>
      <c r="D200" s="928"/>
      <c r="E200" s="744"/>
      <c r="F200" s="744">
        <f t="shared" si="37"/>
        <v>0</v>
      </c>
      <c r="G200" s="773"/>
      <c r="H200" s="753"/>
      <c r="I200" s="746"/>
      <c r="J200" s="771"/>
      <c r="K200" s="771"/>
      <c r="L200" s="771"/>
      <c r="M200" s="927" t="str">
        <f t="shared" si="35"/>
        <v xml:space="preserve">  </v>
      </c>
      <c r="N200" s="749"/>
      <c r="O200" s="749"/>
      <c r="P200" s="749"/>
      <c r="Q200" s="749"/>
      <c r="R200" s="937"/>
      <c r="S200" s="861"/>
      <c r="T200" s="861">
        <f t="shared" si="38"/>
        <v>0</v>
      </c>
      <c r="U200" s="864">
        <f t="shared" si="39"/>
        <v>0</v>
      </c>
      <c r="V200" s="862"/>
      <c r="W200" s="861">
        <f t="shared" si="36"/>
        <v>0</v>
      </c>
      <c r="X200" s="864">
        <f t="shared" si="40"/>
        <v>0</v>
      </c>
      <c r="Y200" s="866">
        <f t="shared" si="47"/>
        <v>0</v>
      </c>
      <c r="Z200" s="751"/>
      <c r="AA200" s="739"/>
      <c r="AB200" s="753"/>
      <c r="AC200" s="752">
        <f t="shared" si="41"/>
        <v>0</v>
      </c>
      <c r="AD200" s="739"/>
      <c r="AE200" s="891"/>
      <c r="AF200" s="891"/>
      <c r="AG200" s="891"/>
      <c r="AH200" s="891"/>
      <c r="AI200" s="900"/>
      <c r="AJ200" s="749"/>
      <c r="AK200" s="772"/>
      <c r="AL200" s="873"/>
      <c r="AM200" s="862">
        <f t="shared" si="42"/>
        <v>0</v>
      </c>
      <c r="AN200" s="755" t="str">
        <f t="shared" ca="1" si="43"/>
        <v/>
      </c>
      <c r="AO200" s="753"/>
      <c r="AP200" s="753"/>
      <c r="AQ200" s="753"/>
      <c r="AR200" s="753"/>
      <c r="AS200" s="753"/>
      <c r="AT200" s="739"/>
      <c r="AU200" s="739"/>
      <c r="AV200" s="739"/>
      <c r="AW200" s="739"/>
      <c r="AX200" s="739"/>
      <c r="AY200" s="882"/>
      <c r="AZ200" s="739"/>
      <c r="BA200" s="739"/>
      <c r="BB200" s="739"/>
      <c r="BC200" s="739"/>
      <c r="BD200" s="739">
        <f t="shared" si="46"/>
        <v>0</v>
      </c>
      <c r="BE200" s="739"/>
      <c r="BF200" s="882">
        <f t="shared" si="45"/>
        <v>0</v>
      </c>
    </row>
    <row r="201" spans="1:58" x14ac:dyDescent="0.25">
      <c r="A201" s="931"/>
      <c r="B201" s="773"/>
      <c r="C201" s="897"/>
      <c r="D201" s="928"/>
      <c r="E201" s="744"/>
      <c r="F201" s="744">
        <f t="shared" si="37"/>
        <v>0</v>
      </c>
      <c r="G201" s="773"/>
      <c r="H201" s="753"/>
      <c r="I201" s="746"/>
      <c r="J201" s="771"/>
      <c r="K201" s="771"/>
      <c r="L201" s="771"/>
      <c r="M201" s="927" t="str">
        <f t="shared" si="35"/>
        <v xml:space="preserve">  </v>
      </c>
      <c r="N201" s="749"/>
      <c r="O201" s="749"/>
      <c r="P201" s="749"/>
      <c r="Q201" s="749"/>
      <c r="R201" s="937"/>
      <c r="S201" s="861"/>
      <c r="T201" s="861">
        <f t="shared" si="38"/>
        <v>0</v>
      </c>
      <c r="U201" s="864">
        <f t="shared" si="39"/>
        <v>0</v>
      </c>
      <c r="V201" s="862"/>
      <c r="W201" s="861">
        <f t="shared" si="36"/>
        <v>0</v>
      </c>
      <c r="X201" s="864">
        <f t="shared" si="40"/>
        <v>0</v>
      </c>
      <c r="Y201" s="866">
        <f t="shared" si="47"/>
        <v>0</v>
      </c>
      <c r="Z201" s="751"/>
      <c r="AA201" s="739"/>
      <c r="AB201" s="753"/>
      <c r="AC201" s="752">
        <f t="shared" si="41"/>
        <v>0</v>
      </c>
      <c r="AD201" s="739"/>
      <c r="AE201" s="891"/>
      <c r="AF201" s="891"/>
      <c r="AG201" s="891"/>
      <c r="AH201" s="891"/>
      <c r="AI201" s="900"/>
      <c r="AJ201" s="749"/>
      <c r="AK201" s="772"/>
      <c r="AL201" s="873"/>
      <c r="AM201" s="862">
        <f t="shared" si="42"/>
        <v>0</v>
      </c>
      <c r="AN201" s="755" t="str">
        <f t="shared" ca="1" si="43"/>
        <v/>
      </c>
      <c r="AO201" s="753"/>
      <c r="AP201" s="753"/>
      <c r="AQ201" s="753"/>
      <c r="AR201" s="753"/>
      <c r="AS201" s="753"/>
      <c r="AT201" s="739"/>
      <c r="AU201" s="739"/>
      <c r="AV201" s="739"/>
      <c r="AW201" s="739"/>
      <c r="AX201" s="739"/>
      <c r="AY201" s="882"/>
      <c r="AZ201" s="739"/>
      <c r="BA201" s="739"/>
      <c r="BB201" s="739"/>
      <c r="BC201" s="739"/>
      <c r="BD201" s="739">
        <f t="shared" si="46"/>
        <v>0</v>
      </c>
      <c r="BE201" s="739"/>
      <c r="BF201" s="882">
        <f t="shared" si="45"/>
        <v>0</v>
      </c>
    </row>
    <row r="202" spans="1:58" x14ac:dyDescent="0.25">
      <c r="A202" s="931"/>
      <c r="B202" s="773"/>
      <c r="C202" s="897"/>
      <c r="D202" s="928"/>
      <c r="E202" s="744"/>
      <c r="F202" s="744">
        <f t="shared" si="37"/>
        <v>0</v>
      </c>
      <c r="G202" s="773"/>
      <c r="H202" s="753"/>
      <c r="I202" s="746"/>
      <c r="J202" s="771"/>
      <c r="K202" s="771"/>
      <c r="L202" s="771"/>
      <c r="M202" s="927" t="str">
        <f t="shared" si="35"/>
        <v xml:space="preserve">  </v>
      </c>
      <c r="N202" s="749"/>
      <c r="O202" s="749"/>
      <c r="P202" s="749"/>
      <c r="Q202" s="749"/>
      <c r="R202" s="937"/>
      <c r="S202" s="861"/>
      <c r="T202" s="861">
        <f t="shared" si="38"/>
        <v>0</v>
      </c>
      <c r="U202" s="864">
        <f t="shared" si="39"/>
        <v>0</v>
      </c>
      <c r="V202" s="862"/>
      <c r="W202" s="861">
        <f t="shared" si="36"/>
        <v>0</v>
      </c>
      <c r="X202" s="864">
        <f t="shared" si="40"/>
        <v>0</v>
      </c>
      <c r="Y202" s="866">
        <f t="shared" si="47"/>
        <v>0</v>
      </c>
      <c r="Z202" s="751"/>
      <c r="AA202" s="739"/>
      <c r="AB202" s="753"/>
      <c r="AC202" s="752">
        <f t="shared" si="41"/>
        <v>0</v>
      </c>
      <c r="AD202" s="739"/>
      <c r="AE202" s="891"/>
      <c r="AF202" s="891"/>
      <c r="AG202" s="891"/>
      <c r="AH202" s="891"/>
      <c r="AI202" s="900"/>
      <c r="AJ202" s="749"/>
      <c r="AK202" s="772"/>
      <c r="AL202" s="873"/>
      <c r="AM202" s="862">
        <f t="shared" si="42"/>
        <v>0</v>
      </c>
      <c r="AN202" s="755" t="str">
        <f t="shared" ca="1" si="43"/>
        <v/>
      </c>
      <c r="AO202" s="753"/>
      <c r="AP202" s="753"/>
      <c r="AQ202" s="753"/>
      <c r="AR202" s="753"/>
      <c r="AS202" s="753"/>
      <c r="AT202" s="739"/>
      <c r="AU202" s="739"/>
      <c r="AV202" s="739"/>
      <c r="AW202" s="739"/>
      <c r="AX202" s="739"/>
      <c r="AY202" s="882"/>
      <c r="AZ202" s="739"/>
      <c r="BA202" s="739"/>
      <c r="BB202" s="739"/>
      <c r="BC202" s="739"/>
      <c r="BD202" s="739">
        <f t="shared" si="46"/>
        <v>0</v>
      </c>
      <c r="BE202" s="739"/>
      <c r="BF202" s="882">
        <f t="shared" si="45"/>
        <v>0</v>
      </c>
    </row>
    <row r="203" spans="1:58" x14ac:dyDescent="0.25">
      <c r="A203" s="931"/>
      <c r="B203" s="773"/>
      <c r="C203" s="897"/>
      <c r="D203" s="928"/>
      <c r="E203" s="744"/>
      <c r="F203" s="744">
        <f t="shared" si="37"/>
        <v>0</v>
      </c>
      <c r="G203" s="773"/>
      <c r="H203" s="753"/>
      <c r="I203" s="746"/>
      <c r="J203" s="771"/>
      <c r="K203" s="771"/>
      <c r="L203" s="771"/>
      <c r="M203" s="927" t="str">
        <f t="shared" si="35"/>
        <v xml:space="preserve">  </v>
      </c>
      <c r="N203" s="749"/>
      <c r="O203" s="749"/>
      <c r="P203" s="749"/>
      <c r="Q203" s="749"/>
      <c r="R203" s="937"/>
      <c r="S203" s="861"/>
      <c r="T203" s="861">
        <f t="shared" si="38"/>
        <v>0</v>
      </c>
      <c r="U203" s="864">
        <f t="shared" si="39"/>
        <v>0</v>
      </c>
      <c r="V203" s="862"/>
      <c r="W203" s="861">
        <f t="shared" si="36"/>
        <v>0</v>
      </c>
      <c r="X203" s="864">
        <f t="shared" si="40"/>
        <v>0</v>
      </c>
      <c r="Y203" s="866">
        <f t="shared" si="47"/>
        <v>0</v>
      </c>
      <c r="Z203" s="751"/>
      <c r="AA203" s="739"/>
      <c r="AB203" s="753"/>
      <c r="AC203" s="752">
        <f t="shared" si="41"/>
        <v>0</v>
      </c>
      <c r="AD203" s="739"/>
      <c r="AE203" s="891"/>
      <c r="AF203" s="891"/>
      <c r="AG203" s="891"/>
      <c r="AH203" s="891"/>
      <c r="AI203" s="900"/>
      <c r="AJ203" s="749"/>
      <c r="AK203" s="772"/>
      <c r="AL203" s="873"/>
      <c r="AM203" s="862">
        <f t="shared" si="42"/>
        <v>0</v>
      </c>
      <c r="AN203" s="755" t="str">
        <f t="shared" ca="1" si="43"/>
        <v/>
      </c>
      <c r="AO203" s="753"/>
      <c r="AP203" s="753"/>
      <c r="AQ203" s="753"/>
      <c r="AR203" s="753"/>
      <c r="AS203" s="753"/>
      <c r="AT203" s="739"/>
      <c r="AU203" s="739"/>
      <c r="AV203" s="739"/>
      <c r="AW203" s="739"/>
      <c r="AX203" s="739"/>
      <c r="AY203" s="882"/>
      <c r="AZ203" s="739"/>
      <c r="BA203" s="739"/>
      <c r="BB203" s="739"/>
      <c r="BC203" s="739"/>
      <c r="BD203" s="739">
        <f t="shared" si="46"/>
        <v>0</v>
      </c>
      <c r="BE203" s="739"/>
      <c r="BF203" s="882">
        <f t="shared" si="45"/>
        <v>0</v>
      </c>
    </row>
    <row r="204" spans="1:58" x14ac:dyDescent="0.25">
      <c r="A204" s="931"/>
      <c r="B204" s="773"/>
      <c r="C204" s="897"/>
      <c r="D204" s="928"/>
      <c r="E204" s="744"/>
      <c r="F204" s="744">
        <f t="shared" si="37"/>
        <v>0</v>
      </c>
      <c r="G204" s="773"/>
      <c r="H204" s="753"/>
      <c r="I204" s="746"/>
      <c r="J204" s="771"/>
      <c r="K204" s="771"/>
      <c r="L204" s="771"/>
      <c r="M204" s="927" t="str">
        <f t="shared" si="35"/>
        <v xml:space="preserve">  </v>
      </c>
      <c r="N204" s="749"/>
      <c r="O204" s="749"/>
      <c r="P204" s="749"/>
      <c r="Q204" s="749"/>
      <c r="R204" s="937"/>
      <c r="S204" s="861"/>
      <c r="T204" s="861">
        <f t="shared" si="38"/>
        <v>0</v>
      </c>
      <c r="U204" s="864">
        <f t="shared" si="39"/>
        <v>0</v>
      </c>
      <c r="V204" s="862"/>
      <c r="W204" s="861">
        <f t="shared" si="36"/>
        <v>0</v>
      </c>
      <c r="X204" s="864">
        <f t="shared" si="40"/>
        <v>0</v>
      </c>
      <c r="Y204" s="866">
        <f t="shared" si="47"/>
        <v>0</v>
      </c>
      <c r="Z204" s="751"/>
      <c r="AA204" s="739"/>
      <c r="AB204" s="753"/>
      <c r="AC204" s="752">
        <f t="shared" si="41"/>
        <v>0</v>
      </c>
      <c r="AD204" s="739"/>
      <c r="AE204" s="891"/>
      <c r="AF204" s="891"/>
      <c r="AG204" s="891"/>
      <c r="AH204" s="891"/>
      <c r="AI204" s="900"/>
      <c r="AJ204" s="749"/>
      <c r="AK204" s="772"/>
      <c r="AL204" s="873"/>
      <c r="AM204" s="862">
        <f t="shared" si="42"/>
        <v>0</v>
      </c>
      <c r="AN204" s="755" t="str">
        <f t="shared" ca="1" si="43"/>
        <v/>
      </c>
      <c r="AO204" s="753"/>
      <c r="AP204" s="753"/>
      <c r="AQ204" s="753"/>
      <c r="AR204" s="753"/>
      <c r="AS204" s="753"/>
      <c r="AT204" s="739"/>
      <c r="AU204" s="739"/>
      <c r="AV204" s="739"/>
      <c r="AW204" s="739"/>
      <c r="AX204" s="739"/>
      <c r="AY204" s="882"/>
      <c r="AZ204" s="739"/>
      <c r="BA204" s="739"/>
      <c r="BB204" s="739"/>
      <c r="BC204" s="739"/>
      <c r="BD204" s="739">
        <f t="shared" si="46"/>
        <v>0</v>
      </c>
      <c r="BE204" s="739"/>
      <c r="BF204" s="882">
        <f t="shared" si="45"/>
        <v>0</v>
      </c>
    </row>
    <row r="205" spans="1:58" x14ac:dyDescent="0.25">
      <c r="A205" s="931"/>
      <c r="B205" s="773"/>
      <c r="C205" s="897"/>
      <c r="D205" s="928"/>
      <c r="E205" s="744"/>
      <c r="F205" s="744">
        <f t="shared" si="37"/>
        <v>0</v>
      </c>
      <c r="G205" s="773"/>
      <c r="H205" s="753"/>
      <c r="I205" s="746"/>
      <c r="J205" s="771"/>
      <c r="K205" s="771"/>
      <c r="L205" s="771"/>
      <c r="M205" s="927" t="str">
        <f t="shared" si="35"/>
        <v xml:space="preserve">  </v>
      </c>
      <c r="N205" s="749"/>
      <c r="O205" s="749"/>
      <c r="P205" s="749"/>
      <c r="Q205" s="749"/>
      <c r="R205" s="937"/>
      <c r="S205" s="861"/>
      <c r="T205" s="861">
        <f t="shared" si="38"/>
        <v>0</v>
      </c>
      <c r="U205" s="864">
        <f t="shared" si="39"/>
        <v>0</v>
      </c>
      <c r="V205" s="862"/>
      <c r="W205" s="861">
        <f t="shared" si="36"/>
        <v>0</v>
      </c>
      <c r="X205" s="864">
        <f t="shared" si="40"/>
        <v>0</v>
      </c>
      <c r="Y205" s="866">
        <f t="shared" si="47"/>
        <v>0</v>
      </c>
      <c r="Z205" s="751"/>
      <c r="AA205" s="739"/>
      <c r="AB205" s="753"/>
      <c r="AC205" s="752">
        <f t="shared" si="41"/>
        <v>0</v>
      </c>
      <c r="AD205" s="739"/>
      <c r="AE205" s="891"/>
      <c r="AF205" s="891"/>
      <c r="AG205" s="891"/>
      <c r="AH205" s="891"/>
      <c r="AI205" s="900"/>
      <c r="AJ205" s="749"/>
      <c r="AK205" s="772"/>
      <c r="AL205" s="873"/>
      <c r="AM205" s="862">
        <f t="shared" si="42"/>
        <v>0</v>
      </c>
      <c r="AN205" s="755" t="str">
        <f t="shared" ca="1" si="43"/>
        <v/>
      </c>
      <c r="AO205" s="753"/>
      <c r="AP205" s="753"/>
      <c r="AQ205" s="753"/>
      <c r="AR205" s="753"/>
      <c r="AS205" s="753"/>
      <c r="AT205" s="739"/>
      <c r="AU205" s="739"/>
      <c r="AV205" s="739"/>
      <c r="AW205" s="739"/>
      <c r="AX205" s="739"/>
      <c r="AY205" s="882"/>
      <c r="AZ205" s="739"/>
      <c r="BA205" s="739"/>
      <c r="BB205" s="739"/>
      <c r="BC205" s="739"/>
      <c r="BD205" s="739">
        <f t="shared" si="46"/>
        <v>0</v>
      </c>
      <c r="BE205" s="739"/>
      <c r="BF205" s="882">
        <f t="shared" si="45"/>
        <v>0</v>
      </c>
    </row>
    <row r="206" spans="1:58" x14ac:dyDescent="0.25">
      <c r="A206" s="931"/>
      <c r="B206" s="773"/>
      <c r="C206" s="897"/>
      <c r="D206" s="928"/>
      <c r="E206" s="744"/>
      <c r="F206" s="744">
        <f t="shared" si="37"/>
        <v>0</v>
      </c>
      <c r="G206" s="773"/>
      <c r="H206" s="753"/>
      <c r="I206" s="746"/>
      <c r="J206" s="771"/>
      <c r="K206" s="771"/>
      <c r="L206" s="771"/>
      <c r="M206" s="927" t="str">
        <f t="shared" si="35"/>
        <v xml:space="preserve">  </v>
      </c>
      <c r="N206" s="749"/>
      <c r="O206" s="749"/>
      <c r="P206" s="749"/>
      <c r="Q206" s="749"/>
      <c r="R206" s="937"/>
      <c r="S206" s="861"/>
      <c r="T206" s="861">
        <f t="shared" si="38"/>
        <v>0</v>
      </c>
      <c r="U206" s="864">
        <f t="shared" si="39"/>
        <v>0</v>
      </c>
      <c r="V206" s="862"/>
      <c r="W206" s="861">
        <f t="shared" si="36"/>
        <v>0</v>
      </c>
      <c r="X206" s="864">
        <f t="shared" si="40"/>
        <v>0</v>
      </c>
      <c r="Y206" s="866">
        <f t="shared" si="47"/>
        <v>0</v>
      </c>
      <c r="Z206" s="751"/>
      <c r="AA206" s="739"/>
      <c r="AB206" s="753"/>
      <c r="AC206" s="752">
        <f t="shared" si="41"/>
        <v>0</v>
      </c>
      <c r="AD206" s="739"/>
      <c r="AE206" s="891"/>
      <c r="AF206" s="891"/>
      <c r="AG206" s="891"/>
      <c r="AH206" s="891"/>
      <c r="AI206" s="900"/>
      <c r="AJ206" s="749"/>
      <c r="AK206" s="772"/>
      <c r="AL206" s="873"/>
      <c r="AM206" s="862">
        <f t="shared" si="42"/>
        <v>0</v>
      </c>
      <c r="AN206" s="755" t="str">
        <f t="shared" ca="1" si="43"/>
        <v/>
      </c>
      <c r="AO206" s="753"/>
      <c r="AP206" s="753"/>
      <c r="AQ206" s="753"/>
      <c r="AR206" s="753"/>
      <c r="AS206" s="753"/>
      <c r="AT206" s="739"/>
      <c r="AU206" s="739"/>
      <c r="AV206" s="739"/>
      <c r="AW206" s="739"/>
      <c r="AX206" s="739"/>
      <c r="AY206" s="882"/>
      <c r="AZ206" s="739"/>
      <c r="BA206" s="739"/>
      <c r="BB206" s="739"/>
      <c r="BC206" s="739"/>
      <c r="BD206" s="739">
        <f t="shared" si="46"/>
        <v>0</v>
      </c>
      <c r="BE206" s="739"/>
      <c r="BF206" s="882">
        <f t="shared" si="45"/>
        <v>0</v>
      </c>
    </row>
    <row r="207" spans="1:58" x14ac:dyDescent="0.25">
      <c r="A207" s="931"/>
      <c r="B207" s="773"/>
      <c r="C207" s="897"/>
      <c r="D207" s="928"/>
      <c r="E207" s="749"/>
      <c r="F207" s="744">
        <f t="shared" si="37"/>
        <v>0</v>
      </c>
      <c r="G207" s="773"/>
      <c r="H207" s="753"/>
      <c r="I207" s="746"/>
      <c r="J207" s="771"/>
      <c r="K207" s="771"/>
      <c r="L207" s="771"/>
      <c r="M207" s="927" t="str">
        <f t="shared" ref="M207:M270" si="48">I207&amp;J207&amp;" "&amp;K207&amp;" "&amp;L207</f>
        <v xml:space="preserve">  </v>
      </c>
      <c r="N207" s="749"/>
      <c r="O207" s="749"/>
      <c r="P207" s="749"/>
      <c r="Q207" s="749"/>
      <c r="R207" s="937"/>
      <c r="S207" s="861"/>
      <c r="T207" s="861">
        <f t="shared" si="38"/>
        <v>0</v>
      </c>
      <c r="U207" s="864">
        <f t="shared" si="39"/>
        <v>0</v>
      </c>
      <c r="V207" s="862"/>
      <c r="W207" s="861">
        <f t="shared" ref="W207:W270" si="49">+V207*0.16</f>
        <v>0</v>
      </c>
      <c r="X207" s="864">
        <f t="shared" si="40"/>
        <v>0</v>
      </c>
      <c r="Y207" s="866">
        <f t="shared" si="47"/>
        <v>0</v>
      </c>
      <c r="Z207" s="751"/>
      <c r="AA207" s="739"/>
      <c r="AB207" s="753"/>
      <c r="AC207" s="752">
        <f t="shared" si="41"/>
        <v>0</v>
      </c>
      <c r="AD207" s="739"/>
      <c r="AE207" s="891"/>
      <c r="AF207" s="891"/>
      <c r="AG207" s="891"/>
      <c r="AH207" s="891"/>
      <c r="AI207" s="900"/>
      <c r="AJ207" s="749"/>
      <c r="AK207" s="772"/>
      <c r="AL207" s="873"/>
      <c r="AM207" s="862">
        <f t="shared" si="42"/>
        <v>0</v>
      </c>
      <c r="AN207" s="755" t="str">
        <f t="shared" ca="1" si="43"/>
        <v/>
      </c>
      <c r="AO207" s="753"/>
      <c r="AP207" s="753"/>
      <c r="AQ207" s="753"/>
      <c r="AR207" s="753"/>
      <c r="AS207" s="753"/>
      <c r="AT207" s="739"/>
      <c r="AU207" s="739"/>
      <c r="AV207" s="739"/>
      <c r="AW207" s="739"/>
      <c r="AX207" s="739"/>
      <c r="AY207" s="882"/>
      <c r="AZ207" s="739"/>
      <c r="BA207" s="739"/>
      <c r="BB207" s="739"/>
      <c r="BC207" s="739"/>
      <c r="BD207" s="739">
        <f t="shared" si="46"/>
        <v>0</v>
      </c>
      <c r="BE207" s="739"/>
      <c r="BF207" s="882">
        <f t="shared" si="45"/>
        <v>0</v>
      </c>
    </row>
    <row r="208" spans="1:58" x14ac:dyDescent="0.25">
      <c r="A208" s="931"/>
      <c r="B208" s="773"/>
      <c r="C208" s="897"/>
      <c r="D208" s="928"/>
      <c r="E208" s="749"/>
      <c r="F208" s="744">
        <f>D208</f>
        <v>0</v>
      </c>
      <c r="G208" s="773"/>
      <c r="H208" s="753"/>
      <c r="I208" s="746"/>
      <c r="J208" s="771"/>
      <c r="K208" s="771"/>
      <c r="L208" s="771"/>
      <c r="M208" s="927" t="str">
        <f t="shared" si="48"/>
        <v xml:space="preserve">  </v>
      </c>
      <c r="N208" s="749"/>
      <c r="O208" s="749"/>
      <c r="P208" s="749"/>
      <c r="Q208" s="749"/>
      <c r="R208" s="937"/>
      <c r="S208" s="861"/>
      <c r="T208" s="861">
        <f t="shared" ref="T208:T271" si="50">+S208*0.16</f>
        <v>0</v>
      </c>
      <c r="U208" s="864">
        <f t="shared" ref="U208:U271" si="51">+S208+T208</f>
        <v>0</v>
      </c>
      <c r="V208" s="862"/>
      <c r="W208" s="861">
        <f t="shared" si="49"/>
        <v>0</v>
      </c>
      <c r="X208" s="864">
        <f t="shared" ref="X208:X271" si="52">+V208+W208</f>
        <v>0</v>
      </c>
      <c r="Y208" s="866">
        <f t="shared" si="47"/>
        <v>0</v>
      </c>
      <c r="Z208" s="751"/>
      <c r="AA208" s="739"/>
      <c r="AB208" s="753"/>
      <c r="AC208" s="752">
        <f t="shared" ref="AC208:AC271" si="53">+AA208</f>
        <v>0</v>
      </c>
      <c r="AD208" s="739"/>
      <c r="AE208" s="891"/>
      <c r="AF208" s="891"/>
      <c r="AG208" s="891"/>
      <c r="AH208" s="891"/>
      <c r="AI208" s="900"/>
      <c r="AJ208" s="749"/>
      <c r="AK208" s="772"/>
      <c r="AL208" s="873"/>
      <c r="AM208" s="862">
        <f t="shared" ref="AM208:AM271" si="54">+S208+AL208</f>
        <v>0</v>
      </c>
      <c r="AN208" s="755" t="str">
        <f t="shared" ref="AN208:AN271" ca="1" si="55">IF(ISBLANK(AD208),"",IF(AD208&gt;=TODAY(),"VIGENTE","MUERTO"))</f>
        <v/>
      </c>
      <c r="AO208" s="753"/>
      <c r="AP208" s="753"/>
      <c r="AQ208" s="753"/>
      <c r="AR208" s="753"/>
      <c r="AS208" s="753"/>
      <c r="AT208" s="739"/>
      <c r="AU208" s="739"/>
      <c r="AV208" s="739"/>
      <c r="AW208" s="739"/>
      <c r="AX208" s="739"/>
      <c r="AY208" s="882"/>
      <c r="AZ208" s="739"/>
      <c r="BA208" s="739"/>
      <c r="BB208" s="739"/>
      <c r="BC208" s="739"/>
      <c r="BD208" s="739">
        <f t="shared" si="46"/>
        <v>0</v>
      </c>
      <c r="BE208" s="739"/>
      <c r="BF208" s="882">
        <f t="shared" ref="BF208:BF271" si="56">+AA208</f>
        <v>0</v>
      </c>
    </row>
    <row r="209" spans="1:58" x14ac:dyDescent="0.25">
      <c r="A209" s="931"/>
      <c r="B209" s="773"/>
      <c r="C209" s="897"/>
      <c r="D209" s="928"/>
      <c r="E209" s="749"/>
      <c r="F209" s="744">
        <f>D209</f>
        <v>0</v>
      </c>
      <c r="G209" s="773"/>
      <c r="H209" s="753"/>
      <c r="I209" s="746"/>
      <c r="J209" s="771"/>
      <c r="K209" s="771"/>
      <c r="L209" s="771"/>
      <c r="M209" s="927" t="str">
        <f t="shared" si="48"/>
        <v xml:space="preserve">  </v>
      </c>
      <c r="N209" s="749"/>
      <c r="O209" s="749"/>
      <c r="P209" s="749"/>
      <c r="Q209" s="749"/>
      <c r="R209" s="937"/>
      <c r="S209" s="861"/>
      <c r="T209" s="861">
        <f t="shared" si="50"/>
        <v>0</v>
      </c>
      <c r="U209" s="864">
        <f t="shared" si="51"/>
        <v>0</v>
      </c>
      <c r="V209" s="862"/>
      <c r="W209" s="861">
        <f t="shared" si="49"/>
        <v>0</v>
      </c>
      <c r="X209" s="864">
        <f t="shared" si="52"/>
        <v>0</v>
      </c>
      <c r="Y209" s="866">
        <f t="shared" si="47"/>
        <v>0</v>
      </c>
      <c r="Z209" s="751"/>
      <c r="AA209" s="739"/>
      <c r="AB209" s="753"/>
      <c r="AC209" s="752">
        <f t="shared" si="53"/>
        <v>0</v>
      </c>
      <c r="AD209" s="739"/>
      <c r="AE209" s="891"/>
      <c r="AF209" s="891"/>
      <c r="AG209" s="891"/>
      <c r="AH209" s="891"/>
      <c r="AI209" s="900"/>
      <c r="AJ209" s="749"/>
      <c r="AK209" s="772"/>
      <c r="AL209" s="873"/>
      <c r="AM209" s="862">
        <f t="shared" si="54"/>
        <v>0</v>
      </c>
      <c r="AN209" s="755" t="str">
        <f t="shared" ca="1" si="55"/>
        <v/>
      </c>
      <c r="AO209" s="753"/>
      <c r="AP209" s="753"/>
      <c r="AQ209" s="753"/>
      <c r="AR209" s="753"/>
      <c r="AS209" s="753"/>
      <c r="AT209" s="739"/>
      <c r="AU209" s="739"/>
      <c r="AV209" s="739"/>
      <c r="AW209" s="739"/>
      <c r="AX209" s="739"/>
      <c r="AY209" s="882"/>
      <c r="AZ209" s="739"/>
      <c r="BA209" s="739"/>
      <c r="BB209" s="739"/>
      <c r="BC209" s="739"/>
      <c r="BD209" s="739">
        <f t="shared" si="46"/>
        <v>0</v>
      </c>
      <c r="BE209" s="739"/>
      <c r="BF209" s="882">
        <f t="shared" si="56"/>
        <v>0</v>
      </c>
    </row>
    <row r="210" spans="1:58" x14ac:dyDescent="0.25">
      <c r="A210" s="931"/>
      <c r="B210" s="773"/>
      <c r="C210" s="897"/>
      <c r="D210" s="928"/>
      <c r="E210" s="749"/>
      <c r="F210" s="744">
        <f>D210</f>
        <v>0</v>
      </c>
      <c r="G210" s="773"/>
      <c r="H210" s="753"/>
      <c r="I210" s="746"/>
      <c r="J210" s="771"/>
      <c r="K210" s="771"/>
      <c r="L210" s="771"/>
      <c r="M210" s="927" t="str">
        <f t="shared" si="48"/>
        <v xml:space="preserve">  </v>
      </c>
      <c r="N210" s="749"/>
      <c r="O210" s="749"/>
      <c r="P210" s="749"/>
      <c r="Q210" s="749"/>
      <c r="R210" s="937"/>
      <c r="S210" s="861"/>
      <c r="T210" s="861">
        <f t="shared" si="50"/>
        <v>0</v>
      </c>
      <c r="U210" s="864">
        <f t="shared" si="51"/>
        <v>0</v>
      </c>
      <c r="V210" s="862"/>
      <c r="W210" s="861">
        <f t="shared" si="49"/>
        <v>0</v>
      </c>
      <c r="X210" s="864">
        <f t="shared" si="52"/>
        <v>0</v>
      </c>
      <c r="Y210" s="866">
        <f t="shared" si="47"/>
        <v>0</v>
      </c>
      <c r="Z210" s="751"/>
      <c r="AA210" s="739"/>
      <c r="AB210" s="753"/>
      <c r="AC210" s="752">
        <f t="shared" si="53"/>
        <v>0</v>
      </c>
      <c r="AD210" s="739"/>
      <c r="AE210" s="891"/>
      <c r="AF210" s="891"/>
      <c r="AG210" s="891"/>
      <c r="AH210" s="891"/>
      <c r="AI210" s="900"/>
      <c r="AJ210" s="749"/>
      <c r="AK210" s="772"/>
      <c r="AL210" s="873"/>
      <c r="AM210" s="862">
        <f t="shared" si="54"/>
        <v>0</v>
      </c>
      <c r="AN210" s="755" t="str">
        <f t="shared" ca="1" si="55"/>
        <v/>
      </c>
      <c r="AO210" s="753"/>
      <c r="AP210" s="753"/>
      <c r="AQ210" s="753"/>
      <c r="AR210" s="753"/>
      <c r="AS210" s="753"/>
      <c r="AT210" s="739"/>
      <c r="AU210" s="739"/>
      <c r="AV210" s="739"/>
      <c r="AW210" s="739"/>
      <c r="AX210" s="739"/>
      <c r="AY210" s="882"/>
      <c r="AZ210" s="739"/>
      <c r="BA210" s="739"/>
      <c r="BB210" s="739"/>
      <c r="BC210" s="739"/>
      <c r="BD210" s="739">
        <f t="shared" si="46"/>
        <v>0</v>
      </c>
      <c r="BE210" s="739"/>
      <c r="BF210" s="882">
        <f t="shared" si="56"/>
        <v>0</v>
      </c>
    </row>
    <row r="211" spans="1:58" x14ac:dyDescent="0.25">
      <c r="A211" s="931"/>
      <c r="B211" s="773"/>
      <c r="C211" s="897"/>
      <c r="D211" s="928"/>
      <c r="E211" s="749"/>
      <c r="F211" s="744">
        <f>D211</f>
        <v>0</v>
      </c>
      <c r="G211" s="773"/>
      <c r="H211" s="753"/>
      <c r="I211" s="746"/>
      <c r="J211" s="771"/>
      <c r="K211" s="771"/>
      <c r="L211" s="771"/>
      <c r="M211" s="927" t="str">
        <f t="shared" si="48"/>
        <v xml:space="preserve">  </v>
      </c>
      <c r="N211" s="749"/>
      <c r="O211" s="749"/>
      <c r="P211" s="749"/>
      <c r="Q211" s="749"/>
      <c r="R211" s="937"/>
      <c r="S211" s="861"/>
      <c r="T211" s="861">
        <f t="shared" si="50"/>
        <v>0</v>
      </c>
      <c r="U211" s="864">
        <f t="shared" si="51"/>
        <v>0</v>
      </c>
      <c r="V211" s="862"/>
      <c r="W211" s="861">
        <f t="shared" si="49"/>
        <v>0</v>
      </c>
      <c r="X211" s="864">
        <f t="shared" si="52"/>
        <v>0</v>
      </c>
      <c r="Y211" s="866">
        <f t="shared" si="47"/>
        <v>0</v>
      </c>
      <c r="Z211" s="751"/>
      <c r="AA211" s="739"/>
      <c r="AB211" s="753"/>
      <c r="AC211" s="752">
        <f t="shared" si="53"/>
        <v>0</v>
      </c>
      <c r="AD211" s="739"/>
      <c r="AE211" s="891"/>
      <c r="AF211" s="891"/>
      <c r="AG211" s="891"/>
      <c r="AH211" s="891"/>
      <c r="AI211" s="900"/>
      <c r="AJ211" s="749"/>
      <c r="AK211" s="772"/>
      <c r="AL211" s="873"/>
      <c r="AM211" s="862">
        <f t="shared" si="54"/>
        <v>0</v>
      </c>
      <c r="AN211" s="755" t="str">
        <f t="shared" ca="1" si="55"/>
        <v/>
      </c>
      <c r="AO211" s="753"/>
      <c r="AP211" s="753"/>
      <c r="AQ211" s="753"/>
      <c r="AR211" s="753"/>
      <c r="AS211" s="753"/>
      <c r="AT211" s="739"/>
      <c r="AU211" s="739"/>
      <c r="AV211" s="739"/>
      <c r="AW211" s="739"/>
      <c r="AX211" s="739"/>
      <c r="AY211" s="882"/>
      <c r="AZ211" s="739"/>
      <c r="BA211" s="739"/>
      <c r="BB211" s="739"/>
      <c r="BC211" s="739"/>
      <c r="BD211" s="739">
        <f t="shared" si="46"/>
        <v>0</v>
      </c>
      <c r="BE211" s="739"/>
      <c r="BF211" s="882">
        <f t="shared" si="56"/>
        <v>0</v>
      </c>
    </row>
    <row r="212" spans="1:58" x14ac:dyDescent="0.25">
      <c r="A212" s="931"/>
      <c r="B212" s="773"/>
      <c r="C212" s="897"/>
      <c r="D212" s="928"/>
      <c r="E212" s="749"/>
      <c r="F212" s="744">
        <f>D212</f>
        <v>0</v>
      </c>
      <c r="G212" s="773"/>
      <c r="H212" s="753"/>
      <c r="I212" s="746"/>
      <c r="J212" s="771"/>
      <c r="K212" s="771"/>
      <c r="L212" s="771"/>
      <c r="M212" s="927" t="str">
        <f t="shared" si="48"/>
        <v xml:space="preserve">  </v>
      </c>
      <c r="N212" s="749"/>
      <c r="O212" s="749"/>
      <c r="P212" s="749"/>
      <c r="Q212" s="749"/>
      <c r="R212" s="937"/>
      <c r="S212" s="861"/>
      <c r="T212" s="861">
        <f t="shared" si="50"/>
        <v>0</v>
      </c>
      <c r="U212" s="864">
        <f t="shared" si="51"/>
        <v>0</v>
      </c>
      <c r="V212" s="862"/>
      <c r="W212" s="861">
        <f t="shared" si="49"/>
        <v>0</v>
      </c>
      <c r="X212" s="864">
        <f t="shared" si="52"/>
        <v>0</v>
      </c>
      <c r="Y212" s="866">
        <f t="shared" si="47"/>
        <v>0</v>
      </c>
      <c r="Z212" s="751"/>
      <c r="AA212" s="739"/>
      <c r="AB212" s="753"/>
      <c r="AC212" s="752">
        <f t="shared" si="53"/>
        <v>0</v>
      </c>
      <c r="AD212" s="739"/>
      <c r="AE212" s="891"/>
      <c r="AF212" s="891"/>
      <c r="AG212" s="891"/>
      <c r="AH212" s="891"/>
      <c r="AI212" s="900"/>
      <c r="AJ212" s="749"/>
      <c r="AK212" s="772"/>
      <c r="AL212" s="873"/>
      <c r="AM212" s="862">
        <f t="shared" si="54"/>
        <v>0</v>
      </c>
      <c r="AN212" s="755" t="str">
        <f t="shared" ca="1" si="55"/>
        <v/>
      </c>
      <c r="AO212" s="753"/>
      <c r="AP212" s="753"/>
      <c r="AQ212" s="753"/>
      <c r="AR212" s="753"/>
      <c r="AS212" s="753"/>
      <c r="AT212" s="739"/>
      <c r="AU212" s="739"/>
      <c r="AV212" s="739"/>
      <c r="AW212" s="739"/>
      <c r="AX212" s="739"/>
      <c r="AY212" s="882"/>
      <c r="AZ212" s="739"/>
      <c r="BA212" s="739"/>
      <c r="BB212" s="739"/>
      <c r="BC212" s="739"/>
      <c r="BD212" s="739">
        <f t="shared" si="46"/>
        <v>0</v>
      </c>
      <c r="BE212" s="739"/>
      <c r="BF212" s="882">
        <f t="shared" si="56"/>
        <v>0</v>
      </c>
    </row>
    <row r="213" spans="1:58" x14ac:dyDescent="0.25">
      <c r="A213" s="931"/>
      <c r="B213" s="773"/>
      <c r="C213" s="897"/>
      <c r="D213" s="928"/>
      <c r="E213" s="749"/>
      <c r="F213" s="753">
        <f t="shared" ref="F213:F223" si="57">D213</f>
        <v>0</v>
      </c>
      <c r="G213" s="773"/>
      <c r="H213" s="753"/>
      <c r="I213" s="746"/>
      <c r="J213" s="771"/>
      <c r="K213" s="771"/>
      <c r="L213" s="771"/>
      <c r="M213" s="927" t="str">
        <f t="shared" si="48"/>
        <v xml:space="preserve">  </v>
      </c>
      <c r="N213" s="749"/>
      <c r="O213" s="749"/>
      <c r="P213" s="749"/>
      <c r="Q213" s="749"/>
      <c r="R213" s="937"/>
      <c r="S213" s="861"/>
      <c r="T213" s="861">
        <f t="shared" si="50"/>
        <v>0</v>
      </c>
      <c r="U213" s="864">
        <f t="shared" si="51"/>
        <v>0</v>
      </c>
      <c r="V213" s="862"/>
      <c r="W213" s="861">
        <f t="shared" si="49"/>
        <v>0</v>
      </c>
      <c r="X213" s="864">
        <f t="shared" si="52"/>
        <v>0</v>
      </c>
      <c r="Y213" s="866">
        <f t="shared" si="47"/>
        <v>0</v>
      </c>
      <c r="Z213" s="751"/>
      <c r="AA213" s="739"/>
      <c r="AB213" s="753"/>
      <c r="AC213" s="752">
        <f t="shared" si="53"/>
        <v>0</v>
      </c>
      <c r="AD213" s="739"/>
      <c r="AE213" s="891"/>
      <c r="AF213" s="891"/>
      <c r="AG213" s="891"/>
      <c r="AH213" s="891"/>
      <c r="AI213" s="900"/>
      <c r="AJ213" s="749"/>
      <c r="AK213" s="772"/>
      <c r="AL213" s="873"/>
      <c r="AM213" s="862">
        <f t="shared" si="54"/>
        <v>0</v>
      </c>
      <c r="AN213" s="755" t="str">
        <f t="shared" ca="1" si="55"/>
        <v/>
      </c>
      <c r="AO213" s="753"/>
      <c r="AP213" s="753"/>
      <c r="AQ213" s="753"/>
      <c r="AR213" s="753"/>
      <c r="AS213" s="753"/>
      <c r="AT213" s="739"/>
      <c r="AU213" s="739"/>
      <c r="AV213" s="739"/>
      <c r="AW213" s="739"/>
      <c r="AX213" s="739"/>
      <c r="AY213" s="882"/>
      <c r="AZ213" s="739"/>
      <c r="BA213" s="739"/>
      <c r="BB213" s="739"/>
      <c r="BC213" s="739"/>
      <c r="BD213" s="739">
        <f t="shared" si="46"/>
        <v>0</v>
      </c>
      <c r="BE213" s="739"/>
      <c r="BF213" s="882">
        <f t="shared" si="56"/>
        <v>0</v>
      </c>
    </row>
    <row r="214" spans="1:58" x14ac:dyDescent="0.25">
      <c r="A214" s="931"/>
      <c r="B214" s="773"/>
      <c r="C214" s="897"/>
      <c r="D214" s="928"/>
      <c r="E214" s="749"/>
      <c r="F214" s="753">
        <f t="shared" si="57"/>
        <v>0</v>
      </c>
      <c r="G214" s="773"/>
      <c r="H214" s="753"/>
      <c r="I214" s="746"/>
      <c r="J214" s="771"/>
      <c r="K214" s="771"/>
      <c r="L214" s="771"/>
      <c r="M214" s="927" t="str">
        <f t="shared" si="48"/>
        <v xml:space="preserve">  </v>
      </c>
      <c r="N214" s="749"/>
      <c r="O214" s="749"/>
      <c r="P214" s="749"/>
      <c r="Q214" s="749"/>
      <c r="R214" s="937"/>
      <c r="S214" s="861"/>
      <c r="T214" s="861">
        <f t="shared" si="50"/>
        <v>0</v>
      </c>
      <c r="U214" s="864">
        <f t="shared" si="51"/>
        <v>0</v>
      </c>
      <c r="V214" s="862"/>
      <c r="W214" s="861">
        <f t="shared" si="49"/>
        <v>0</v>
      </c>
      <c r="X214" s="864">
        <f t="shared" si="52"/>
        <v>0</v>
      </c>
      <c r="Y214" s="866">
        <f t="shared" si="47"/>
        <v>0</v>
      </c>
      <c r="Z214" s="751"/>
      <c r="AA214" s="739"/>
      <c r="AB214" s="753"/>
      <c r="AC214" s="752">
        <f t="shared" si="53"/>
        <v>0</v>
      </c>
      <c r="AD214" s="739"/>
      <c r="AE214" s="891"/>
      <c r="AF214" s="891"/>
      <c r="AG214" s="891"/>
      <c r="AH214" s="891"/>
      <c r="AI214" s="900"/>
      <c r="AJ214" s="749"/>
      <c r="AK214" s="772"/>
      <c r="AL214" s="873"/>
      <c r="AM214" s="862">
        <f t="shared" si="54"/>
        <v>0</v>
      </c>
      <c r="AN214" s="755" t="str">
        <f t="shared" ca="1" si="55"/>
        <v/>
      </c>
      <c r="AO214" s="753"/>
      <c r="AP214" s="753"/>
      <c r="AQ214" s="753"/>
      <c r="AR214" s="753"/>
      <c r="AS214" s="753"/>
      <c r="AT214" s="739"/>
      <c r="AU214" s="739"/>
      <c r="AV214" s="739"/>
      <c r="AW214" s="739"/>
      <c r="AX214" s="739"/>
      <c r="AY214" s="882"/>
      <c r="AZ214" s="739"/>
      <c r="BA214" s="739"/>
      <c r="BB214" s="739"/>
      <c r="BC214" s="739"/>
      <c r="BD214" s="739">
        <f t="shared" si="46"/>
        <v>0</v>
      </c>
      <c r="BE214" s="739"/>
      <c r="BF214" s="882">
        <f t="shared" si="56"/>
        <v>0</v>
      </c>
    </row>
    <row r="215" spans="1:58" x14ac:dyDescent="0.25">
      <c r="A215" s="931"/>
      <c r="B215" s="773"/>
      <c r="C215" s="897"/>
      <c r="D215" s="928"/>
      <c r="E215" s="749"/>
      <c r="F215" s="753">
        <f t="shared" si="57"/>
        <v>0</v>
      </c>
      <c r="G215" s="773"/>
      <c r="H215" s="753"/>
      <c r="I215" s="746"/>
      <c r="J215" s="771"/>
      <c r="K215" s="771"/>
      <c r="L215" s="771"/>
      <c r="M215" s="927" t="str">
        <f t="shared" si="48"/>
        <v xml:space="preserve">  </v>
      </c>
      <c r="N215" s="749"/>
      <c r="O215" s="749"/>
      <c r="P215" s="749"/>
      <c r="Q215" s="749"/>
      <c r="R215" s="937"/>
      <c r="S215" s="861"/>
      <c r="T215" s="861">
        <f t="shared" si="50"/>
        <v>0</v>
      </c>
      <c r="U215" s="864">
        <f t="shared" si="51"/>
        <v>0</v>
      </c>
      <c r="V215" s="862"/>
      <c r="W215" s="861">
        <f t="shared" si="49"/>
        <v>0</v>
      </c>
      <c r="X215" s="864">
        <f t="shared" si="52"/>
        <v>0</v>
      </c>
      <c r="Y215" s="866">
        <f t="shared" si="47"/>
        <v>0</v>
      </c>
      <c r="Z215" s="751"/>
      <c r="AA215" s="739"/>
      <c r="AB215" s="753"/>
      <c r="AC215" s="752">
        <f t="shared" si="53"/>
        <v>0</v>
      </c>
      <c r="AD215" s="739"/>
      <c r="AE215" s="891"/>
      <c r="AF215" s="891"/>
      <c r="AG215" s="891"/>
      <c r="AH215" s="891"/>
      <c r="AI215" s="900"/>
      <c r="AJ215" s="749"/>
      <c r="AK215" s="772"/>
      <c r="AL215" s="873"/>
      <c r="AM215" s="862">
        <f t="shared" si="54"/>
        <v>0</v>
      </c>
      <c r="AN215" s="755" t="str">
        <f t="shared" ca="1" si="55"/>
        <v/>
      </c>
      <c r="AO215" s="753"/>
      <c r="AP215" s="753"/>
      <c r="AQ215" s="753"/>
      <c r="AR215" s="753"/>
      <c r="AS215" s="753"/>
      <c r="AT215" s="739"/>
      <c r="AU215" s="739"/>
      <c r="AV215" s="739"/>
      <c r="AW215" s="739"/>
      <c r="AX215" s="739"/>
      <c r="AY215" s="882"/>
      <c r="AZ215" s="739"/>
      <c r="BA215" s="739"/>
      <c r="BB215" s="739"/>
      <c r="BC215" s="739"/>
      <c r="BD215" s="739">
        <f t="shared" si="46"/>
        <v>0</v>
      </c>
      <c r="BE215" s="739"/>
      <c r="BF215" s="882">
        <f t="shared" si="56"/>
        <v>0</v>
      </c>
    </row>
    <row r="216" spans="1:58" x14ac:dyDescent="0.25">
      <c r="A216" s="931"/>
      <c r="B216" s="773"/>
      <c r="C216" s="897"/>
      <c r="D216" s="928"/>
      <c r="E216" s="749"/>
      <c r="F216" s="753">
        <f t="shared" si="57"/>
        <v>0</v>
      </c>
      <c r="G216" s="773"/>
      <c r="H216" s="753"/>
      <c r="I216" s="746"/>
      <c r="J216" s="771"/>
      <c r="K216" s="771"/>
      <c r="L216" s="771"/>
      <c r="M216" s="927" t="str">
        <f t="shared" si="48"/>
        <v xml:space="preserve">  </v>
      </c>
      <c r="N216" s="749"/>
      <c r="O216" s="749"/>
      <c r="P216" s="749"/>
      <c r="Q216" s="749"/>
      <c r="R216" s="937"/>
      <c r="S216" s="861"/>
      <c r="T216" s="861">
        <f t="shared" si="50"/>
        <v>0</v>
      </c>
      <c r="U216" s="864">
        <f t="shared" si="51"/>
        <v>0</v>
      </c>
      <c r="V216" s="862"/>
      <c r="W216" s="861">
        <f t="shared" si="49"/>
        <v>0</v>
      </c>
      <c r="X216" s="864">
        <f t="shared" si="52"/>
        <v>0</v>
      </c>
      <c r="Y216" s="866">
        <f t="shared" si="47"/>
        <v>0</v>
      </c>
      <c r="Z216" s="751"/>
      <c r="AA216" s="739"/>
      <c r="AB216" s="753"/>
      <c r="AC216" s="752">
        <f t="shared" si="53"/>
        <v>0</v>
      </c>
      <c r="AD216" s="739"/>
      <c r="AE216" s="891"/>
      <c r="AF216" s="891"/>
      <c r="AG216" s="891"/>
      <c r="AH216" s="891"/>
      <c r="AI216" s="900"/>
      <c r="AJ216" s="749"/>
      <c r="AK216" s="772"/>
      <c r="AL216" s="873"/>
      <c r="AM216" s="862">
        <f t="shared" si="54"/>
        <v>0</v>
      </c>
      <c r="AN216" s="755" t="str">
        <f t="shared" ca="1" si="55"/>
        <v/>
      </c>
      <c r="AO216" s="753"/>
      <c r="AP216" s="753"/>
      <c r="AQ216" s="753"/>
      <c r="AR216" s="753"/>
      <c r="AS216" s="753"/>
      <c r="AT216" s="739"/>
      <c r="AU216" s="739"/>
      <c r="AV216" s="739"/>
      <c r="AW216" s="739"/>
      <c r="AX216" s="739"/>
      <c r="AY216" s="882"/>
      <c r="AZ216" s="739"/>
      <c r="BA216" s="739"/>
      <c r="BB216" s="739"/>
      <c r="BC216" s="739"/>
      <c r="BD216" s="739">
        <f t="shared" si="46"/>
        <v>0</v>
      </c>
      <c r="BE216" s="739"/>
      <c r="BF216" s="882">
        <f t="shared" si="56"/>
        <v>0</v>
      </c>
    </row>
    <row r="217" spans="1:58" x14ac:dyDescent="0.25">
      <c r="A217" s="931"/>
      <c r="B217" s="773"/>
      <c r="C217" s="897"/>
      <c r="D217" s="928"/>
      <c r="E217" s="749"/>
      <c r="F217" s="753">
        <f t="shared" si="57"/>
        <v>0</v>
      </c>
      <c r="G217" s="773"/>
      <c r="H217" s="753"/>
      <c r="I217" s="746"/>
      <c r="J217" s="771"/>
      <c r="K217" s="771"/>
      <c r="L217" s="771"/>
      <c r="M217" s="927" t="str">
        <f t="shared" si="48"/>
        <v xml:space="preserve">  </v>
      </c>
      <c r="N217" s="749"/>
      <c r="O217" s="749"/>
      <c r="P217" s="749"/>
      <c r="Q217" s="749"/>
      <c r="R217" s="937"/>
      <c r="S217" s="861"/>
      <c r="T217" s="861">
        <f t="shared" si="50"/>
        <v>0</v>
      </c>
      <c r="U217" s="864">
        <f t="shared" si="51"/>
        <v>0</v>
      </c>
      <c r="V217" s="862"/>
      <c r="W217" s="861">
        <f t="shared" si="49"/>
        <v>0</v>
      </c>
      <c r="X217" s="864">
        <f t="shared" si="52"/>
        <v>0</v>
      </c>
      <c r="Y217" s="866">
        <f t="shared" si="47"/>
        <v>0</v>
      </c>
      <c r="Z217" s="751"/>
      <c r="AA217" s="739"/>
      <c r="AB217" s="753"/>
      <c r="AC217" s="752">
        <f t="shared" si="53"/>
        <v>0</v>
      </c>
      <c r="AD217" s="739"/>
      <c r="AE217" s="891"/>
      <c r="AF217" s="891"/>
      <c r="AG217" s="891"/>
      <c r="AH217" s="891"/>
      <c r="AI217" s="900"/>
      <c r="AJ217" s="749"/>
      <c r="AK217" s="772"/>
      <c r="AL217" s="873"/>
      <c r="AM217" s="862">
        <f t="shared" si="54"/>
        <v>0</v>
      </c>
      <c r="AN217" s="755" t="str">
        <f t="shared" ca="1" si="55"/>
        <v/>
      </c>
      <c r="AO217" s="753"/>
      <c r="AP217" s="753"/>
      <c r="AQ217" s="753"/>
      <c r="AR217" s="753"/>
      <c r="AS217" s="753"/>
      <c r="AT217" s="739"/>
      <c r="AU217" s="739"/>
      <c r="AV217" s="739"/>
      <c r="AW217" s="739"/>
      <c r="AX217" s="739"/>
      <c r="AY217" s="882"/>
      <c r="AZ217" s="739"/>
      <c r="BA217" s="739"/>
      <c r="BB217" s="739"/>
      <c r="BC217" s="739"/>
      <c r="BD217" s="739">
        <f t="shared" si="46"/>
        <v>0</v>
      </c>
      <c r="BE217" s="739"/>
      <c r="BF217" s="882">
        <f t="shared" si="56"/>
        <v>0</v>
      </c>
    </row>
    <row r="218" spans="1:58" x14ac:dyDescent="0.25">
      <c r="A218" s="931"/>
      <c r="B218" s="773"/>
      <c r="C218" s="897"/>
      <c r="D218" s="928"/>
      <c r="E218" s="749"/>
      <c r="F218" s="753">
        <f t="shared" si="57"/>
        <v>0</v>
      </c>
      <c r="G218" s="773"/>
      <c r="H218" s="753"/>
      <c r="I218" s="746"/>
      <c r="J218" s="771"/>
      <c r="K218" s="771"/>
      <c r="L218" s="771"/>
      <c r="M218" s="927" t="str">
        <f t="shared" si="48"/>
        <v xml:space="preserve">  </v>
      </c>
      <c r="N218" s="749"/>
      <c r="O218" s="749"/>
      <c r="P218" s="749"/>
      <c r="Q218" s="749"/>
      <c r="R218" s="937"/>
      <c r="S218" s="861"/>
      <c r="T218" s="861">
        <f t="shared" si="50"/>
        <v>0</v>
      </c>
      <c r="U218" s="864">
        <f t="shared" si="51"/>
        <v>0</v>
      </c>
      <c r="V218" s="862"/>
      <c r="W218" s="861">
        <f t="shared" si="49"/>
        <v>0</v>
      </c>
      <c r="X218" s="864">
        <f t="shared" si="52"/>
        <v>0</v>
      </c>
      <c r="Y218" s="866">
        <f t="shared" si="47"/>
        <v>0</v>
      </c>
      <c r="Z218" s="751"/>
      <c r="AA218" s="739"/>
      <c r="AB218" s="753"/>
      <c r="AC218" s="752">
        <f t="shared" si="53"/>
        <v>0</v>
      </c>
      <c r="AD218" s="739"/>
      <c r="AE218" s="891"/>
      <c r="AF218" s="891"/>
      <c r="AG218" s="891"/>
      <c r="AH218" s="891"/>
      <c r="AI218" s="900"/>
      <c r="AJ218" s="749"/>
      <c r="AK218" s="772"/>
      <c r="AL218" s="873"/>
      <c r="AM218" s="862">
        <f t="shared" si="54"/>
        <v>0</v>
      </c>
      <c r="AN218" s="755" t="str">
        <f t="shared" ca="1" si="55"/>
        <v/>
      </c>
      <c r="AO218" s="753"/>
      <c r="AP218" s="753"/>
      <c r="AQ218" s="753"/>
      <c r="AR218" s="753"/>
      <c r="AS218" s="753"/>
      <c r="AT218" s="739"/>
      <c r="AU218" s="739"/>
      <c r="AV218" s="739"/>
      <c r="AW218" s="739"/>
      <c r="AX218" s="739"/>
      <c r="AY218" s="882"/>
      <c r="AZ218" s="739"/>
      <c r="BA218" s="739"/>
      <c r="BB218" s="739"/>
      <c r="BC218" s="739"/>
      <c r="BD218" s="739">
        <f t="shared" si="46"/>
        <v>0</v>
      </c>
      <c r="BE218" s="739"/>
      <c r="BF218" s="882">
        <f t="shared" si="56"/>
        <v>0</v>
      </c>
    </row>
    <row r="219" spans="1:58" x14ac:dyDescent="0.25">
      <c r="A219" s="931"/>
      <c r="B219" s="773"/>
      <c r="C219" s="897"/>
      <c r="D219" s="928"/>
      <c r="E219" s="749"/>
      <c r="F219" s="753">
        <f t="shared" si="57"/>
        <v>0</v>
      </c>
      <c r="G219" s="773"/>
      <c r="H219" s="753"/>
      <c r="I219" s="746"/>
      <c r="J219" s="771"/>
      <c r="K219" s="771"/>
      <c r="L219" s="771"/>
      <c r="M219" s="927" t="str">
        <f t="shared" si="48"/>
        <v xml:space="preserve">  </v>
      </c>
      <c r="N219" s="749"/>
      <c r="O219" s="749"/>
      <c r="P219" s="749"/>
      <c r="Q219" s="749"/>
      <c r="R219" s="937"/>
      <c r="S219" s="861"/>
      <c r="T219" s="861">
        <f t="shared" si="50"/>
        <v>0</v>
      </c>
      <c r="U219" s="864">
        <f t="shared" si="51"/>
        <v>0</v>
      </c>
      <c r="V219" s="862"/>
      <c r="W219" s="861">
        <f t="shared" si="49"/>
        <v>0</v>
      </c>
      <c r="X219" s="864">
        <f t="shared" si="52"/>
        <v>0</v>
      </c>
      <c r="Y219" s="866">
        <f t="shared" si="47"/>
        <v>0</v>
      </c>
      <c r="Z219" s="751"/>
      <c r="AA219" s="739"/>
      <c r="AB219" s="753"/>
      <c r="AC219" s="752">
        <f t="shared" si="53"/>
        <v>0</v>
      </c>
      <c r="AD219" s="739"/>
      <c r="AE219" s="891"/>
      <c r="AF219" s="891"/>
      <c r="AG219" s="891"/>
      <c r="AH219" s="891"/>
      <c r="AI219" s="900"/>
      <c r="AJ219" s="749"/>
      <c r="AK219" s="772"/>
      <c r="AL219" s="873"/>
      <c r="AM219" s="862">
        <f t="shared" si="54"/>
        <v>0</v>
      </c>
      <c r="AN219" s="755" t="str">
        <f t="shared" ca="1" si="55"/>
        <v/>
      </c>
      <c r="AO219" s="753"/>
      <c r="AP219" s="753"/>
      <c r="AQ219" s="753"/>
      <c r="AR219" s="753"/>
      <c r="AS219" s="753"/>
      <c r="AT219" s="739"/>
      <c r="AU219" s="739"/>
      <c r="AV219" s="739"/>
      <c r="AW219" s="739"/>
      <c r="AX219" s="739"/>
      <c r="AY219" s="882"/>
      <c r="AZ219" s="739"/>
      <c r="BA219" s="739"/>
      <c r="BB219" s="739"/>
      <c r="BC219" s="739"/>
      <c r="BD219" s="739">
        <f t="shared" si="46"/>
        <v>0</v>
      </c>
      <c r="BE219" s="739"/>
      <c r="BF219" s="882">
        <f t="shared" si="56"/>
        <v>0</v>
      </c>
    </row>
    <row r="220" spans="1:58" x14ac:dyDescent="0.25">
      <c r="A220" s="931"/>
      <c r="B220" s="773"/>
      <c r="C220" s="897"/>
      <c r="D220" s="928"/>
      <c r="E220" s="749"/>
      <c r="F220" s="753">
        <f t="shared" si="57"/>
        <v>0</v>
      </c>
      <c r="G220" s="773"/>
      <c r="H220" s="753"/>
      <c r="I220" s="746"/>
      <c r="J220" s="771"/>
      <c r="K220" s="771"/>
      <c r="L220" s="771"/>
      <c r="M220" s="927" t="str">
        <f t="shared" si="48"/>
        <v xml:space="preserve">  </v>
      </c>
      <c r="N220" s="749"/>
      <c r="O220" s="749"/>
      <c r="P220" s="749"/>
      <c r="Q220" s="749"/>
      <c r="R220" s="937"/>
      <c r="S220" s="861"/>
      <c r="T220" s="861">
        <f t="shared" si="50"/>
        <v>0</v>
      </c>
      <c r="U220" s="864">
        <f t="shared" si="51"/>
        <v>0</v>
      </c>
      <c r="V220" s="862"/>
      <c r="W220" s="861">
        <f t="shared" si="49"/>
        <v>0</v>
      </c>
      <c r="X220" s="864">
        <f t="shared" si="52"/>
        <v>0</v>
      </c>
      <c r="Y220" s="866">
        <f t="shared" si="47"/>
        <v>0</v>
      </c>
      <c r="Z220" s="751"/>
      <c r="AA220" s="739"/>
      <c r="AB220" s="753"/>
      <c r="AC220" s="752">
        <f t="shared" si="53"/>
        <v>0</v>
      </c>
      <c r="AD220" s="739"/>
      <c r="AE220" s="891"/>
      <c r="AF220" s="891"/>
      <c r="AG220" s="891"/>
      <c r="AH220" s="891"/>
      <c r="AI220" s="900"/>
      <c r="AJ220" s="749"/>
      <c r="AK220" s="772"/>
      <c r="AL220" s="873"/>
      <c r="AM220" s="862">
        <f t="shared" si="54"/>
        <v>0</v>
      </c>
      <c r="AN220" s="755" t="str">
        <f t="shared" ca="1" si="55"/>
        <v/>
      </c>
      <c r="AO220" s="753"/>
      <c r="AP220" s="753"/>
      <c r="AQ220" s="753"/>
      <c r="AR220" s="753"/>
      <c r="AS220" s="753"/>
      <c r="AT220" s="739"/>
      <c r="AU220" s="739"/>
      <c r="AV220" s="739"/>
      <c r="AW220" s="739"/>
      <c r="AX220" s="739"/>
      <c r="AY220" s="882"/>
      <c r="AZ220" s="739"/>
      <c r="BA220" s="739"/>
      <c r="BB220" s="739"/>
      <c r="BC220" s="739"/>
      <c r="BD220" s="739">
        <f t="shared" si="46"/>
        <v>0</v>
      </c>
      <c r="BE220" s="739"/>
      <c r="BF220" s="882">
        <f t="shared" si="56"/>
        <v>0</v>
      </c>
    </row>
    <row r="221" spans="1:58" x14ac:dyDescent="0.25">
      <c r="A221" s="931"/>
      <c r="B221" s="773"/>
      <c r="C221" s="897"/>
      <c r="D221" s="928"/>
      <c r="E221" s="749"/>
      <c r="F221" s="753">
        <f t="shared" si="57"/>
        <v>0</v>
      </c>
      <c r="G221" s="773"/>
      <c r="H221" s="753"/>
      <c r="I221" s="746"/>
      <c r="J221" s="771"/>
      <c r="K221" s="771"/>
      <c r="L221" s="771"/>
      <c r="M221" s="927" t="str">
        <f t="shared" si="48"/>
        <v xml:space="preserve">  </v>
      </c>
      <c r="N221" s="749"/>
      <c r="O221" s="749"/>
      <c r="P221" s="749"/>
      <c r="Q221" s="749"/>
      <c r="R221" s="937"/>
      <c r="S221" s="861"/>
      <c r="T221" s="861">
        <f t="shared" si="50"/>
        <v>0</v>
      </c>
      <c r="U221" s="864">
        <f t="shared" si="51"/>
        <v>0</v>
      </c>
      <c r="V221" s="862"/>
      <c r="W221" s="861">
        <f t="shared" si="49"/>
        <v>0</v>
      </c>
      <c r="X221" s="864">
        <f t="shared" si="52"/>
        <v>0</v>
      </c>
      <c r="Y221" s="866">
        <f t="shared" si="47"/>
        <v>0</v>
      </c>
      <c r="Z221" s="751"/>
      <c r="AA221" s="739"/>
      <c r="AB221" s="753"/>
      <c r="AC221" s="752">
        <f t="shared" si="53"/>
        <v>0</v>
      </c>
      <c r="AD221" s="739"/>
      <c r="AE221" s="891"/>
      <c r="AF221" s="891"/>
      <c r="AG221" s="891"/>
      <c r="AH221" s="891"/>
      <c r="AI221" s="900"/>
      <c r="AJ221" s="749"/>
      <c r="AK221" s="772"/>
      <c r="AL221" s="873"/>
      <c r="AM221" s="862">
        <f t="shared" si="54"/>
        <v>0</v>
      </c>
      <c r="AN221" s="755" t="str">
        <f t="shared" ca="1" si="55"/>
        <v/>
      </c>
      <c r="AO221" s="753"/>
      <c r="AP221" s="753"/>
      <c r="AQ221" s="753"/>
      <c r="AR221" s="753"/>
      <c r="AS221" s="753"/>
      <c r="AT221" s="739"/>
      <c r="AU221" s="739"/>
      <c r="AV221" s="739"/>
      <c r="AW221" s="739"/>
      <c r="AX221" s="739"/>
      <c r="AY221" s="882"/>
      <c r="AZ221" s="739"/>
      <c r="BA221" s="739"/>
      <c r="BB221" s="739"/>
      <c r="BC221" s="739"/>
      <c r="BD221" s="739">
        <f t="shared" si="46"/>
        <v>0</v>
      </c>
      <c r="BE221" s="739"/>
      <c r="BF221" s="882">
        <f t="shared" si="56"/>
        <v>0</v>
      </c>
    </row>
    <row r="222" spans="1:58" x14ac:dyDescent="0.25">
      <c r="A222" s="931"/>
      <c r="B222" s="773"/>
      <c r="C222" s="897"/>
      <c r="D222" s="928"/>
      <c r="E222" s="749"/>
      <c r="F222" s="753">
        <f t="shared" si="57"/>
        <v>0</v>
      </c>
      <c r="G222" s="773"/>
      <c r="H222" s="753"/>
      <c r="I222" s="746"/>
      <c r="J222" s="771"/>
      <c r="K222" s="771"/>
      <c r="L222" s="771"/>
      <c r="M222" s="927" t="str">
        <f t="shared" si="48"/>
        <v xml:space="preserve">  </v>
      </c>
      <c r="N222" s="749"/>
      <c r="O222" s="749"/>
      <c r="P222" s="749"/>
      <c r="Q222" s="749"/>
      <c r="R222" s="937"/>
      <c r="S222" s="861"/>
      <c r="T222" s="861">
        <f t="shared" si="50"/>
        <v>0</v>
      </c>
      <c r="U222" s="864">
        <f t="shared" si="51"/>
        <v>0</v>
      </c>
      <c r="V222" s="862"/>
      <c r="W222" s="861">
        <f t="shared" si="49"/>
        <v>0</v>
      </c>
      <c r="X222" s="864">
        <f t="shared" si="52"/>
        <v>0</v>
      </c>
      <c r="Y222" s="866">
        <f t="shared" si="47"/>
        <v>0</v>
      </c>
      <c r="Z222" s="751"/>
      <c r="AA222" s="739"/>
      <c r="AB222" s="753"/>
      <c r="AC222" s="752">
        <f t="shared" si="53"/>
        <v>0</v>
      </c>
      <c r="AD222" s="739"/>
      <c r="AE222" s="891"/>
      <c r="AF222" s="891"/>
      <c r="AG222" s="891"/>
      <c r="AH222" s="891"/>
      <c r="AI222" s="900"/>
      <c r="AJ222" s="749"/>
      <c r="AK222" s="772"/>
      <c r="AL222" s="873"/>
      <c r="AM222" s="862">
        <f t="shared" si="54"/>
        <v>0</v>
      </c>
      <c r="AN222" s="755" t="str">
        <f t="shared" ca="1" si="55"/>
        <v/>
      </c>
      <c r="AO222" s="753"/>
      <c r="AP222" s="753"/>
      <c r="AQ222" s="753"/>
      <c r="AR222" s="753"/>
      <c r="AS222" s="753"/>
      <c r="AT222" s="739"/>
      <c r="AU222" s="739"/>
      <c r="AV222" s="739"/>
      <c r="AW222" s="739"/>
      <c r="AX222" s="739"/>
      <c r="AY222" s="882"/>
      <c r="AZ222" s="739"/>
      <c r="BA222" s="739"/>
      <c r="BB222" s="739"/>
      <c r="BC222" s="739"/>
      <c r="BD222" s="739">
        <f t="shared" si="46"/>
        <v>0</v>
      </c>
      <c r="BE222" s="739"/>
      <c r="BF222" s="882">
        <f t="shared" si="56"/>
        <v>0</v>
      </c>
    </row>
    <row r="223" spans="1:58" x14ac:dyDescent="0.25">
      <c r="A223" s="931"/>
      <c r="B223" s="773"/>
      <c r="C223" s="897"/>
      <c r="D223" s="928"/>
      <c r="E223" s="749"/>
      <c r="F223" s="753">
        <f t="shared" si="57"/>
        <v>0</v>
      </c>
      <c r="G223" s="773"/>
      <c r="H223" s="753"/>
      <c r="I223" s="746"/>
      <c r="J223" s="771"/>
      <c r="K223" s="771"/>
      <c r="L223" s="771"/>
      <c r="M223" s="927" t="str">
        <f t="shared" si="48"/>
        <v xml:space="preserve">  </v>
      </c>
      <c r="N223" s="749"/>
      <c r="O223" s="749"/>
      <c r="P223" s="749"/>
      <c r="Q223" s="749"/>
      <c r="R223" s="937"/>
      <c r="S223" s="861"/>
      <c r="T223" s="861">
        <f t="shared" si="50"/>
        <v>0</v>
      </c>
      <c r="U223" s="864">
        <f t="shared" si="51"/>
        <v>0</v>
      </c>
      <c r="V223" s="862"/>
      <c r="W223" s="861">
        <f t="shared" si="49"/>
        <v>0</v>
      </c>
      <c r="X223" s="864">
        <f t="shared" si="52"/>
        <v>0</v>
      </c>
      <c r="Y223" s="866">
        <f t="shared" si="47"/>
        <v>0</v>
      </c>
      <c r="Z223" s="751"/>
      <c r="AA223" s="739"/>
      <c r="AB223" s="753"/>
      <c r="AC223" s="752">
        <f t="shared" si="53"/>
        <v>0</v>
      </c>
      <c r="AD223" s="739"/>
      <c r="AE223" s="891"/>
      <c r="AF223" s="891"/>
      <c r="AG223" s="891"/>
      <c r="AH223" s="891"/>
      <c r="AI223" s="900"/>
      <c r="AJ223" s="749"/>
      <c r="AK223" s="772"/>
      <c r="AL223" s="873"/>
      <c r="AM223" s="862">
        <f t="shared" si="54"/>
        <v>0</v>
      </c>
      <c r="AN223" s="755" t="str">
        <f t="shared" ca="1" si="55"/>
        <v/>
      </c>
      <c r="AO223" s="753"/>
      <c r="AP223" s="753"/>
      <c r="AQ223" s="753"/>
      <c r="AR223" s="753"/>
      <c r="AS223" s="753"/>
      <c r="AT223" s="739"/>
      <c r="AU223" s="739"/>
      <c r="AV223" s="739"/>
      <c r="AW223" s="739"/>
      <c r="AX223" s="739"/>
      <c r="AY223" s="882"/>
      <c r="AZ223" s="739"/>
      <c r="BA223" s="739"/>
      <c r="BB223" s="739"/>
      <c r="BC223" s="739"/>
      <c r="BD223" s="739">
        <f t="shared" si="46"/>
        <v>0</v>
      </c>
      <c r="BE223" s="739"/>
      <c r="BF223" s="882">
        <f t="shared" si="56"/>
        <v>0</v>
      </c>
    </row>
    <row r="224" spans="1:58" x14ac:dyDescent="0.25">
      <c r="A224" s="931"/>
      <c r="B224" s="773"/>
      <c r="C224" s="897"/>
      <c r="D224" s="928"/>
      <c r="E224" s="749"/>
      <c r="F224" s="753">
        <f t="shared" ref="F224:F280" si="58">D224</f>
        <v>0</v>
      </c>
      <c r="G224" s="773"/>
      <c r="H224" s="753"/>
      <c r="I224" s="746"/>
      <c r="J224" s="771"/>
      <c r="K224" s="771"/>
      <c r="L224" s="771"/>
      <c r="M224" s="927" t="str">
        <f t="shared" si="48"/>
        <v xml:space="preserve">  </v>
      </c>
      <c r="N224" s="749"/>
      <c r="O224" s="749"/>
      <c r="P224" s="749"/>
      <c r="Q224" s="749"/>
      <c r="R224" s="937"/>
      <c r="S224" s="861"/>
      <c r="T224" s="861">
        <f t="shared" si="50"/>
        <v>0</v>
      </c>
      <c r="U224" s="864">
        <f t="shared" si="51"/>
        <v>0</v>
      </c>
      <c r="V224" s="862"/>
      <c r="W224" s="861">
        <f t="shared" si="49"/>
        <v>0</v>
      </c>
      <c r="X224" s="864">
        <f t="shared" si="52"/>
        <v>0</v>
      </c>
      <c r="Y224" s="866">
        <f t="shared" si="47"/>
        <v>0</v>
      </c>
      <c r="Z224" s="751"/>
      <c r="AA224" s="739"/>
      <c r="AB224" s="753"/>
      <c r="AC224" s="752">
        <f t="shared" si="53"/>
        <v>0</v>
      </c>
      <c r="AD224" s="739"/>
      <c r="AE224" s="891"/>
      <c r="AF224" s="891"/>
      <c r="AG224" s="891"/>
      <c r="AH224" s="891"/>
      <c r="AI224" s="900"/>
      <c r="AJ224" s="749"/>
      <c r="AK224" s="772"/>
      <c r="AL224" s="873"/>
      <c r="AM224" s="862">
        <f t="shared" si="54"/>
        <v>0</v>
      </c>
      <c r="AN224" s="755" t="str">
        <f t="shared" ca="1" si="55"/>
        <v/>
      </c>
      <c r="AO224" s="753"/>
      <c r="AP224" s="753"/>
      <c r="AQ224" s="753"/>
      <c r="AR224" s="753"/>
      <c r="AS224" s="753"/>
      <c r="AT224" s="739"/>
      <c r="AU224" s="739"/>
      <c r="AV224" s="739"/>
      <c r="AW224" s="739"/>
      <c r="AX224" s="739"/>
      <c r="AY224" s="882"/>
      <c r="AZ224" s="739"/>
      <c r="BA224" s="739"/>
      <c r="BB224" s="739"/>
      <c r="BC224" s="739"/>
      <c r="BD224" s="739">
        <f t="shared" si="46"/>
        <v>0</v>
      </c>
      <c r="BE224" s="739"/>
      <c r="BF224" s="882">
        <f t="shared" si="56"/>
        <v>0</v>
      </c>
    </row>
    <row r="225" spans="1:58" x14ac:dyDescent="0.25">
      <c r="A225" s="931"/>
      <c r="B225" s="773"/>
      <c r="C225" s="897"/>
      <c r="D225" s="928"/>
      <c r="E225" s="749"/>
      <c r="F225" s="753">
        <f t="shared" si="58"/>
        <v>0</v>
      </c>
      <c r="G225" s="773"/>
      <c r="H225" s="753"/>
      <c r="I225" s="746"/>
      <c r="J225" s="771"/>
      <c r="K225" s="771"/>
      <c r="L225" s="771"/>
      <c r="M225" s="927" t="str">
        <f t="shared" si="48"/>
        <v xml:space="preserve">  </v>
      </c>
      <c r="N225" s="749"/>
      <c r="O225" s="749"/>
      <c r="P225" s="749"/>
      <c r="Q225" s="749"/>
      <c r="R225" s="937"/>
      <c r="S225" s="861"/>
      <c r="T225" s="861">
        <f t="shared" si="50"/>
        <v>0</v>
      </c>
      <c r="U225" s="864">
        <f t="shared" si="51"/>
        <v>0</v>
      </c>
      <c r="V225" s="862"/>
      <c r="W225" s="861">
        <f t="shared" si="49"/>
        <v>0</v>
      </c>
      <c r="X225" s="864">
        <f t="shared" si="52"/>
        <v>0</v>
      </c>
      <c r="Y225" s="866">
        <f t="shared" si="47"/>
        <v>0</v>
      </c>
      <c r="Z225" s="751"/>
      <c r="AA225" s="739"/>
      <c r="AB225" s="753"/>
      <c r="AC225" s="752">
        <f t="shared" si="53"/>
        <v>0</v>
      </c>
      <c r="AD225" s="739"/>
      <c r="AE225" s="891"/>
      <c r="AF225" s="891"/>
      <c r="AG225" s="891"/>
      <c r="AH225" s="891"/>
      <c r="AI225" s="900"/>
      <c r="AJ225" s="749"/>
      <c r="AK225" s="772"/>
      <c r="AL225" s="873"/>
      <c r="AM225" s="862">
        <f t="shared" si="54"/>
        <v>0</v>
      </c>
      <c r="AN225" s="755" t="str">
        <f t="shared" ca="1" si="55"/>
        <v/>
      </c>
      <c r="AO225" s="753"/>
      <c r="AP225" s="753"/>
      <c r="AQ225" s="753"/>
      <c r="AR225" s="753"/>
      <c r="AS225" s="753"/>
      <c r="AT225" s="739"/>
      <c r="AU225" s="739"/>
      <c r="AV225" s="739"/>
      <c r="AW225" s="739"/>
      <c r="AX225" s="739"/>
      <c r="AY225" s="882"/>
      <c r="AZ225" s="739"/>
      <c r="BA225" s="739"/>
      <c r="BB225" s="739"/>
      <c r="BC225" s="739"/>
      <c r="BD225" s="739">
        <f t="shared" si="46"/>
        <v>0</v>
      </c>
      <c r="BE225" s="739"/>
      <c r="BF225" s="882">
        <f t="shared" si="56"/>
        <v>0</v>
      </c>
    </row>
    <row r="226" spans="1:58" x14ac:dyDescent="0.25">
      <c r="A226" s="931"/>
      <c r="B226" s="773"/>
      <c r="C226" s="897"/>
      <c r="D226" s="928"/>
      <c r="E226" s="749"/>
      <c r="F226" s="753">
        <f t="shared" si="58"/>
        <v>0</v>
      </c>
      <c r="G226" s="773"/>
      <c r="H226" s="753"/>
      <c r="I226" s="746"/>
      <c r="J226" s="771"/>
      <c r="K226" s="771"/>
      <c r="L226" s="771"/>
      <c r="M226" s="927" t="str">
        <f t="shared" si="48"/>
        <v xml:space="preserve">  </v>
      </c>
      <c r="N226" s="749"/>
      <c r="O226" s="749"/>
      <c r="P226" s="749"/>
      <c r="Q226" s="749"/>
      <c r="R226" s="937"/>
      <c r="S226" s="861"/>
      <c r="T226" s="861">
        <f t="shared" si="50"/>
        <v>0</v>
      </c>
      <c r="U226" s="864">
        <f t="shared" si="51"/>
        <v>0</v>
      </c>
      <c r="V226" s="862"/>
      <c r="W226" s="861">
        <f t="shared" si="49"/>
        <v>0</v>
      </c>
      <c r="X226" s="864">
        <f t="shared" si="52"/>
        <v>0</v>
      </c>
      <c r="Y226" s="866">
        <f t="shared" si="47"/>
        <v>0</v>
      </c>
      <c r="Z226" s="751"/>
      <c r="AA226" s="739"/>
      <c r="AB226" s="753"/>
      <c r="AC226" s="752">
        <f t="shared" si="53"/>
        <v>0</v>
      </c>
      <c r="AD226" s="739"/>
      <c r="AE226" s="891"/>
      <c r="AF226" s="891"/>
      <c r="AG226" s="891"/>
      <c r="AH226" s="891"/>
      <c r="AI226" s="900"/>
      <c r="AJ226" s="749"/>
      <c r="AK226" s="772"/>
      <c r="AL226" s="873"/>
      <c r="AM226" s="862">
        <f t="shared" si="54"/>
        <v>0</v>
      </c>
      <c r="AN226" s="755" t="str">
        <f t="shared" ca="1" si="55"/>
        <v/>
      </c>
      <c r="AO226" s="753"/>
      <c r="AP226" s="753"/>
      <c r="AQ226" s="753"/>
      <c r="AR226" s="753"/>
      <c r="AS226" s="753"/>
      <c r="AT226" s="739"/>
      <c r="AU226" s="739"/>
      <c r="AV226" s="739"/>
      <c r="AW226" s="739"/>
      <c r="AX226" s="739"/>
      <c r="AY226" s="882"/>
      <c r="AZ226" s="739"/>
      <c r="BA226" s="739"/>
      <c r="BB226" s="739"/>
      <c r="BC226" s="739"/>
      <c r="BD226" s="739">
        <f t="shared" si="46"/>
        <v>0</v>
      </c>
      <c r="BE226" s="739"/>
      <c r="BF226" s="882">
        <f t="shared" si="56"/>
        <v>0</v>
      </c>
    </row>
    <row r="227" spans="1:58" x14ac:dyDescent="0.25">
      <c r="A227" s="931"/>
      <c r="B227" s="773"/>
      <c r="C227" s="897"/>
      <c r="D227" s="928"/>
      <c r="E227" s="749"/>
      <c r="F227" s="753">
        <f t="shared" si="58"/>
        <v>0</v>
      </c>
      <c r="G227" s="773"/>
      <c r="H227" s="753"/>
      <c r="I227" s="746"/>
      <c r="J227" s="771"/>
      <c r="K227" s="771"/>
      <c r="L227" s="771"/>
      <c r="M227" s="927" t="str">
        <f t="shared" si="48"/>
        <v xml:space="preserve">  </v>
      </c>
      <c r="N227" s="749"/>
      <c r="O227" s="749"/>
      <c r="P227" s="749"/>
      <c r="Q227" s="749"/>
      <c r="R227" s="937"/>
      <c r="S227" s="861"/>
      <c r="T227" s="861">
        <f t="shared" si="50"/>
        <v>0</v>
      </c>
      <c r="U227" s="864">
        <f t="shared" si="51"/>
        <v>0</v>
      </c>
      <c r="V227" s="862"/>
      <c r="W227" s="861">
        <f t="shared" si="49"/>
        <v>0</v>
      </c>
      <c r="X227" s="864">
        <f t="shared" si="52"/>
        <v>0</v>
      </c>
      <c r="Y227" s="866">
        <f t="shared" si="47"/>
        <v>0</v>
      </c>
      <c r="Z227" s="751"/>
      <c r="AA227" s="739"/>
      <c r="AB227" s="753"/>
      <c r="AC227" s="752">
        <f t="shared" si="53"/>
        <v>0</v>
      </c>
      <c r="AD227" s="739"/>
      <c r="AE227" s="891"/>
      <c r="AF227" s="891"/>
      <c r="AG227" s="891"/>
      <c r="AH227" s="891"/>
      <c r="AI227" s="900"/>
      <c r="AJ227" s="749"/>
      <c r="AK227" s="772"/>
      <c r="AL227" s="873"/>
      <c r="AM227" s="862">
        <f t="shared" si="54"/>
        <v>0</v>
      </c>
      <c r="AN227" s="755" t="str">
        <f t="shared" ca="1" si="55"/>
        <v/>
      </c>
      <c r="AO227" s="753"/>
      <c r="AP227" s="753"/>
      <c r="AQ227" s="753"/>
      <c r="AR227" s="753"/>
      <c r="AS227" s="753"/>
      <c r="AT227" s="739"/>
      <c r="AU227" s="739"/>
      <c r="AV227" s="739"/>
      <c r="AW227" s="739"/>
      <c r="AX227" s="739"/>
      <c r="AY227" s="882"/>
      <c r="AZ227" s="739"/>
      <c r="BA227" s="739"/>
      <c r="BB227" s="739"/>
      <c r="BC227" s="739"/>
      <c r="BD227" s="739">
        <f t="shared" si="46"/>
        <v>0</v>
      </c>
      <c r="BE227" s="739"/>
      <c r="BF227" s="882">
        <f t="shared" si="56"/>
        <v>0</v>
      </c>
    </row>
    <row r="228" spans="1:58" x14ac:dyDescent="0.25">
      <c r="A228" s="931"/>
      <c r="B228" s="773"/>
      <c r="C228" s="897"/>
      <c r="D228" s="928"/>
      <c r="E228" s="749"/>
      <c r="F228" s="753">
        <f t="shared" si="58"/>
        <v>0</v>
      </c>
      <c r="G228" s="773"/>
      <c r="H228" s="753"/>
      <c r="I228" s="746"/>
      <c r="J228" s="771"/>
      <c r="K228" s="771"/>
      <c r="L228" s="771"/>
      <c r="M228" s="927" t="str">
        <f t="shared" si="48"/>
        <v xml:space="preserve">  </v>
      </c>
      <c r="N228" s="749"/>
      <c r="O228" s="749"/>
      <c r="P228" s="749"/>
      <c r="Q228" s="749"/>
      <c r="R228" s="937"/>
      <c r="S228" s="861"/>
      <c r="T228" s="861">
        <f t="shared" si="50"/>
        <v>0</v>
      </c>
      <c r="U228" s="864">
        <f t="shared" si="51"/>
        <v>0</v>
      </c>
      <c r="V228" s="862"/>
      <c r="W228" s="861">
        <f t="shared" si="49"/>
        <v>0</v>
      </c>
      <c r="X228" s="864">
        <f t="shared" si="52"/>
        <v>0</v>
      </c>
      <c r="Y228" s="866">
        <f t="shared" si="47"/>
        <v>0</v>
      </c>
      <c r="Z228" s="751"/>
      <c r="AA228" s="739"/>
      <c r="AB228" s="753"/>
      <c r="AC228" s="752">
        <f t="shared" si="53"/>
        <v>0</v>
      </c>
      <c r="AD228" s="739"/>
      <c r="AE228" s="891"/>
      <c r="AF228" s="891"/>
      <c r="AG228" s="891"/>
      <c r="AH228" s="891"/>
      <c r="AI228" s="900"/>
      <c r="AJ228" s="749"/>
      <c r="AK228" s="772"/>
      <c r="AL228" s="873"/>
      <c r="AM228" s="862">
        <f t="shared" si="54"/>
        <v>0</v>
      </c>
      <c r="AN228" s="755" t="str">
        <f t="shared" ca="1" si="55"/>
        <v/>
      </c>
      <c r="AO228" s="753"/>
      <c r="AP228" s="753"/>
      <c r="AQ228" s="753"/>
      <c r="AR228" s="753"/>
      <c r="AS228" s="753"/>
      <c r="AT228" s="739"/>
      <c r="AU228" s="739"/>
      <c r="AV228" s="739"/>
      <c r="AW228" s="739"/>
      <c r="AX228" s="739"/>
      <c r="AY228" s="882"/>
      <c r="AZ228" s="739"/>
      <c r="BA228" s="739"/>
      <c r="BB228" s="739"/>
      <c r="BC228" s="739"/>
      <c r="BD228" s="739">
        <f t="shared" si="46"/>
        <v>0</v>
      </c>
      <c r="BE228" s="739"/>
      <c r="BF228" s="882">
        <f t="shared" si="56"/>
        <v>0</v>
      </c>
    </row>
    <row r="229" spans="1:58" x14ac:dyDescent="0.25">
      <c r="A229" s="931"/>
      <c r="B229" s="773"/>
      <c r="C229" s="897"/>
      <c r="D229" s="928"/>
      <c r="E229" s="749"/>
      <c r="F229" s="753">
        <f t="shared" si="58"/>
        <v>0</v>
      </c>
      <c r="G229" s="773"/>
      <c r="H229" s="753"/>
      <c r="I229" s="746"/>
      <c r="J229" s="771"/>
      <c r="K229" s="771"/>
      <c r="L229" s="771"/>
      <c r="M229" s="927" t="str">
        <f t="shared" si="48"/>
        <v xml:space="preserve">  </v>
      </c>
      <c r="N229" s="749"/>
      <c r="O229" s="749"/>
      <c r="P229" s="749"/>
      <c r="Q229" s="749"/>
      <c r="R229" s="937"/>
      <c r="S229" s="861"/>
      <c r="T229" s="861">
        <f t="shared" si="50"/>
        <v>0</v>
      </c>
      <c r="U229" s="864">
        <f t="shared" si="51"/>
        <v>0</v>
      </c>
      <c r="V229" s="862"/>
      <c r="W229" s="861">
        <f t="shared" si="49"/>
        <v>0</v>
      </c>
      <c r="X229" s="864">
        <f t="shared" si="52"/>
        <v>0</v>
      </c>
      <c r="Y229" s="866">
        <f t="shared" si="47"/>
        <v>0</v>
      </c>
      <c r="Z229" s="751"/>
      <c r="AA229" s="739"/>
      <c r="AB229" s="753"/>
      <c r="AC229" s="752">
        <f t="shared" si="53"/>
        <v>0</v>
      </c>
      <c r="AD229" s="739"/>
      <c r="AE229" s="891"/>
      <c r="AF229" s="891"/>
      <c r="AG229" s="891"/>
      <c r="AH229" s="891"/>
      <c r="AI229" s="900"/>
      <c r="AJ229" s="749"/>
      <c r="AK229" s="772"/>
      <c r="AL229" s="873"/>
      <c r="AM229" s="862">
        <f t="shared" si="54"/>
        <v>0</v>
      </c>
      <c r="AN229" s="755" t="str">
        <f t="shared" ca="1" si="55"/>
        <v/>
      </c>
      <c r="AO229" s="753"/>
      <c r="AP229" s="753"/>
      <c r="AQ229" s="753"/>
      <c r="AR229" s="753"/>
      <c r="AS229" s="753"/>
      <c r="AT229" s="739"/>
      <c r="AU229" s="739"/>
      <c r="AV229" s="739"/>
      <c r="AW229" s="739"/>
      <c r="AX229" s="739"/>
      <c r="AY229" s="882"/>
      <c r="AZ229" s="739"/>
      <c r="BA229" s="739"/>
      <c r="BB229" s="739"/>
      <c r="BC229" s="739"/>
      <c r="BD229" s="739">
        <f t="shared" si="46"/>
        <v>0</v>
      </c>
      <c r="BE229" s="739"/>
      <c r="BF229" s="882">
        <f t="shared" si="56"/>
        <v>0</v>
      </c>
    </row>
    <row r="230" spans="1:58" x14ac:dyDescent="0.25">
      <c r="A230" s="931"/>
      <c r="B230" s="773"/>
      <c r="C230" s="897"/>
      <c r="D230" s="928"/>
      <c r="E230" s="749"/>
      <c r="F230" s="753">
        <f t="shared" si="58"/>
        <v>0</v>
      </c>
      <c r="G230" s="773"/>
      <c r="H230" s="753"/>
      <c r="I230" s="746"/>
      <c r="J230" s="771"/>
      <c r="K230" s="771"/>
      <c r="L230" s="771"/>
      <c r="M230" s="927" t="str">
        <f t="shared" si="48"/>
        <v xml:space="preserve">  </v>
      </c>
      <c r="N230" s="749"/>
      <c r="O230" s="749"/>
      <c r="P230" s="749"/>
      <c r="Q230" s="749"/>
      <c r="R230" s="937"/>
      <c r="S230" s="861"/>
      <c r="T230" s="861">
        <f t="shared" si="50"/>
        <v>0</v>
      </c>
      <c r="U230" s="864">
        <f t="shared" si="51"/>
        <v>0</v>
      </c>
      <c r="V230" s="862"/>
      <c r="W230" s="861">
        <f t="shared" si="49"/>
        <v>0</v>
      </c>
      <c r="X230" s="864">
        <f t="shared" si="52"/>
        <v>0</v>
      </c>
      <c r="Y230" s="866">
        <f t="shared" si="47"/>
        <v>0</v>
      </c>
      <c r="Z230" s="751"/>
      <c r="AA230" s="739"/>
      <c r="AB230" s="753"/>
      <c r="AC230" s="752">
        <f t="shared" si="53"/>
        <v>0</v>
      </c>
      <c r="AD230" s="739"/>
      <c r="AE230" s="891"/>
      <c r="AF230" s="891"/>
      <c r="AG230" s="891"/>
      <c r="AH230" s="891"/>
      <c r="AI230" s="900"/>
      <c r="AJ230" s="749"/>
      <c r="AK230" s="772"/>
      <c r="AL230" s="873"/>
      <c r="AM230" s="862">
        <f t="shared" si="54"/>
        <v>0</v>
      </c>
      <c r="AN230" s="755" t="str">
        <f t="shared" ca="1" si="55"/>
        <v/>
      </c>
      <c r="AO230" s="753"/>
      <c r="AP230" s="753"/>
      <c r="AQ230" s="753"/>
      <c r="AR230" s="753"/>
      <c r="AS230" s="753"/>
      <c r="AT230" s="739"/>
      <c r="AU230" s="739"/>
      <c r="AV230" s="739"/>
      <c r="AW230" s="739"/>
      <c r="AX230" s="739"/>
      <c r="AY230" s="882"/>
      <c r="AZ230" s="739"/>
      <c r="BA230" s="739"/>
      <c r="BB230" s="739"/>
      <c r="BC230" s="739"/>
      <c r="BD230" s="739">
        <f t="shared" ref="BD230:BD280" si="59">+AA230</f>
        <v>0</v>
      </c>
      <c r="BE230" s="739"/>
      <c r="BF230" s="882">
        <f t="shared" si="56"/>
        <v>0</v>
      </c>
    </row>
    <row r="231" spans="1:58" x14ac:dyDescent="0.25">
      <c r="A231" s="931"/>
      <c r="B231" s="773"/>
      <c r="C231" s="897"/>
      <c r="D231" s="928"/>
      <c r="E231" s="749"/>
      <c r="F231" s="753">
        <f t="shared" si="58"/>
        <v>0</v>
      </c>
      <c r="G231" s="773"/>
      <c r="H231" s="753"/>
      <c r="I231" s="746"/>
      <c r="J231" s="771"/>
      <c r="K231" s="771"/>
      <c r="L231" s="771"/>
      <c r="M231" s="927" t="str">
        <f t="shared" si="48"/>
        <v xml:space="preserve">  </v>
      </c>
      <c r="N231" s="749"/>
      <c r="O231" s="749"/>
      <c r="P231" s="749"/>
      <c r="Q231" s="749"/>
      <c r="R231" s="937"/>
      <c r="S231" s="861"/>
      <c r="T231" s="861">
        <f t="shared" si="50"/>
        <v>0</v>
      </c>
      <c r="U231" s="864">
        <f t="shared" si="51"/>
        <v>0</v>
      </c>
      <c r="V231" s="862"/>
      <c r="W231" s="861">
        <f t="shared" si="49"/>
        <v>0</v>
      </c>
      <c r="X231" s="864">
        <f t="shared" si="52"/>
        <v>0</v>
      </c>
      <c r="Y231" s="866">
        <f t="shared" si="47"/>
        <v>0</v>
      </c>
      <c r="Z231" s="751"/>
      <c r="AA231" s="739"/>
      <c r="AB231" s="753"/>
      <c r="AC231" s="752">
        <f t="shared" si="53"/>
        <v>0</v>
      </c>
      <c r="AD231" s="739"/>
      <c r="AE231" s="891"/>
      <c r="AF231" s="891"/>
      <c r="AG231" s="891"/>
      <c r="AH231" s="891"/>
      <c r="AI231" s="900"/>
      <c r="AJ231" s="749"/>
      <c r="AK231" s="772"/>
      <c r="AL231" s="873"/>
      <c r="AM231" s="862">
        <f t="shared" si="54"/>
        <v>0</v>
      </c>
      <c r="AN231" s="755" t="str">
        <f t="shared" ca="1" si="55"/>
        <v/>
      </c>
      <c r="AO231" s="753"/>
      <c r="AP231" s="753"/>
      <c r="AQ231" s="753"/>
      <c r="AR231" s="753"/>
      <c r="AS231" s="753"/>
      <c r="AT231" s="739"/>
      <c r="AU231" s="739"/>
      <c r="AV231" s="739"/>
      <c r="AW231" s="739"/>
      <c r="AX231" s="739"/>
      <c r="AY231" s="882"/>
      <c r="AZ231" s="739"/>
      <c r="BA231" s="739"/>
      <c r="BB231" s="739"/>
      <c r="BC231" s="739"/>
      <c r="BD231" s="739">
        <f t="shared" si="59"/>
        <v>0</v>
      </c>
      <c r="BE231" s="739"/>
      <c r="BF231" s="882">
        <f t="shared" si="56"/>
        <v>0</v>
      </c>
    </row>
    <row r="232" spans="1:58" x14ac:dyDescent="0.25">
      <c r="A232" s="931"/>
      <c r="B232" s="773"/>
      <c r="C232" s="897"/>
      <c r="D232" s="928"/>
      <c r="E232" s="749"/>
      <c r="F232" s="753">
        <f t="shared" si="58"/>
        <v>0</v>
      </c>
      <c r="G232" s="773"/>
      <c r="H232" s="753"/>
      <c r="I232" s="746"/>
      <c r="J232" s="771"/>
      <c r="K232" s="771"/>
      <c r="L232" s="771"/>
      <c r="M232" s="927" t="str">
        <f t="shared" si="48"/>
        <v xml:space="preserve">  </v>
      </c>
      <c r="N232" s="749"/>
      <c r="O232" s="749"/>
      <c r="P232" s="749"/>
      <c r="Q232" s="749"/>
      <c r="R232" s="937"/>
      <c r="S232" s="861"/>
      <c r="T232" s="861">
        <f t="shared" si="50"/>
        <v>0</v>
      </c>
      <c r="U232" s="864">
        <f t="shared" si="51"/>
        <v>0</v>
      </c>
      <c r="V232" s="862"/>
      <c r="W232" s="861">
        <f t="shared" si="49"/>
        <v>0</v>
      </c>
      <c r="X232" s="864">
        <f t="shared" si="52"/>
        <v>0</v>
      </c>
      <c r="Y232" s="866">
        <f t="shared" si="47"/>
        <v>0</v>
      </c>
      <c r="Z232" s="751"/>
      <c r="AA232" s="739"/>
      <c r="AB232" s="753"/>
      <c r="AC232" s="752">
        <f t="shared" si="53"/>
        <v>0</v>
      </c>
      <c r="AD232" s="739"/>
      <c r="AE232" s="891"/>
      <c r="AF232" s="891"/>
      <c r="AG232" s="891"/>
      <c r="AH232" s="891"/>
      <c r="AI232" s="900"/>
      <c r="AJ232" s="749"/>
      <c r="AK232" s="772"/>
      <c r="AL232" s="873"/>
      <c r="AM232" s="862">
        <f t="shared" si="54"/>
        <v>0</v>
      </c>
      <c r="AN232" s="755" t="str">
        <f t="shared" ca="1" si="55"/>
        <v/>
      </c>
      <c r="AO232" s="753"/>
      <c r="AP232" s="753"/>
      <c r="AQ232" s="753"/>
      <c r="AR232" s="753"/>
      <c r="AS232" s="753"/>
      <c r="AT232" s="739"/>
      <c r="AU232" s="739"/>
      <c r="AV232" s="739"/>
      <c r="AW232" s="739"/>
      <c r="AX232" s="739"/>
      <c r="AY232" s="882"/>
      <c r="AZ232" s="739"/>
      <c r="BA232" s="739"/>
      <c r="BB232" s="739"/>
      <c r="BC232" s="739"/>
      <c r="BD232" s="739">
        <f t="shared" si="59"/>
        <v>0</v>
      </c>
      <c r="BE232" s="739"/>
      <c r="BF232" s="882">
        <f t="shared" si="56"/>
        <v>0</v>
      </c>
    </row>
    <row r="233" spans="1:58" x14ac:dyDescent="0.25">
      <c r="A233" s="931"/>
      <c r="B233" s="773"/>
      <c r="C233" s="897"/>
      <c r="D233" s="928"/>
      <c r="E233" s="749"/>
      <c r="F233" s="753">
        <f t="shared" si="58"/>
        <v>0</v>
      </c>
      <c r="G233" s="773"/>
      <c r="H233" s="753"/>
      <c r="I233" s="746"/>
      <c r="J233" s="771"/>
      <c r="K233" s="771"/>
      <c r="L233" s="771"/>
      <c r="M233" s="927" t="str">
        <f t="shared" si="48"/>
        <v xml:space="preserve">  </v>
      </c>
      <c r="N233" s="749"/>
      <c r="O233" s="749"/>
      <c r="P233" s="749"/>
      <c r="Q233" s="749"/>
      <c r="R233" s="937"/>
      <c r="S233" s="861"/>
      <c r="T233" s="861">
        <f t="shared" si="50"/>
        <v>0</v>
      </c>
      <c r="U233" s="864">
        <f t="shared" si="51"/>
        <v>0</v>
      </c>
      <c r="V233" s="862"/>
      <c r="W233" s="861">
        <f t="shared" si="49"/>
        <v>0</v>
      </c>
      <c r="X233" s="864">
        <f t="shared" si="52"/>
        <v>0</v>
      </c>
      <c r="Y233" s="866">
        <f t="shared" si="47"/>
        <v>0</v>
      </c>
      <c r="Z233" s="751"/>
      <c r="AA233" s="739"/>
      <c r="AB233" s="753"/>
      <c r="AC233" s="752">
        <f t="shared" si="53"/>
        <v>0</v>
      </c>
      <c r="AD233" s="739"/>
      <c r="AE233" s="891"/>
      <c r="AF233" s="891"/>
      <c r="AG233" s="891"/>
      <c r="AH233" s="891"/>
      <c r="AI233" s="900"/>
      <c r="AJ233" s="749"/>
      <c r="AK233" s="772"/>
      <c r="AL233" s="873"/>
      <c r="AM233" s="862">
        <f t="shared" si="54"/>
        <v>0</v>
      </c>
      <c r="AN233" s="755" t="str">
        <f t="shared" ca="1" si="55"/>
        <v/>
      </c>
      <c r="AO233" s="753"/>
      <c r="AP233" s="753"/>
      <c r="AQ233" s="753"/>
      <c r="AR233" s="753"/>
      <c r="AS233" s="753"/>
      <c r="AT233" s="739"/>
      <c r="AU233" s="739"/>
      <c r="AV233" s="739"/>
      <c r="AW233" s="739"/>
      <c r="AX233" s="739"/>
      <c r="AY233" s="882"/>
      <c r="AZ233" s="739"/>
      <c r="BA233" s="739"/>
      <c r="BB233" s="739"/>
      <c r="BC233" s="739"/>
      <c r="BD233" s="739">
        <f t="shared" si="59"/>
        <v>0</v>
      </c>
      <c r="BE233" s="739"/>
      <c r="BF233" s="882">
        <f t="shared" si="56"/>
        <v>0</v>
      </c>
    </row>
    <row r="234" spans="1:58" x14ac:dyDescent="0.25">
      <c r="A234" s="931"/>
      <c r="B234" s="773"/>
      <c r="C234" s="897"/>
      <c r="D234" s="928"/>
      <c r="E234" s="749"/>
      <c r="F234" s="753">
        <f t="shared" si="58"/>
        <v>0</v>
      </c>
      <c r="G234" s="773"/>
      <c r="H234" s="753"/>
      <c r="I234" s="746"/>
      <c r="J234" s="771"/>
      <c r="K234" s="771"/>
      <c r="L234" s="771"/>
      <c r="M234" s="927" t="str">
        <f t="shared" si="48"/>
        <v xml:space="preserve">  </v>
      </c>
      <c r="N234" s="749"/>
      <c r="O234" s="749"/>
      <c r="P234" s="749"/>
      <c r="Q234" s="749"/>
      <c r="R234" s="937"/>
      <c r="S234" s="861"/>
      <c r="T234" s="861">
        <f t="shared" si="50"/>
        <v>0</v>
      </c>
      <c r="U234" s="864">
        <f t="shared" si="51"/>
        <v>0</v>
      </c>
      <c r="V234" s="862"/>
      <c r="W234" s="861">
        <f t="shared" si="49"/>
        <v>0</v>
      </c>
      <c r="X234" s="864">
        <f t="shared" si="52"/>
        <v>0</v>
      </c>
      <c r="Y234" s="866">
        <f t="shared" si="47"/>
        <v>0</v>
      </c>
      <c r="Z234" s="751"/>
      <c r="AA234" s="739"/>
      <c r="AB234" s="753"/>
      <c r="AC234" s="752">
        <f t="shared" si="53"/>
        <v>0</v>
      </c>
      <c r="AD234" s="739"/>
      <c r="AE234" s="891"/>
      <c r="AF234" s="891"/>
      <c r="AG234" s="891"/>
      <c r="AH234" s="891"/>
      <c r="AI234" s="900"/>
      <c r="AJ234" s="749"/>
      <c r="AK234" s="772"/>
      <c r="AL234" s="873"/>
      <c r="AM234" s="862">
        <f t="shared" si="54"/>
        <v>0</v>
      </c>
      <c r="AN234" s="755" t="str">
        <f t="shared" ca="1" si="55"/>
        <v/>
      </c>
      <c r="AO234" s="753"/>
      <c r="AP234" s="753"/>
      <c r="AQ234" s="753"/>
      <c r="AR234" s="753"/>
      <c r="AS234" s="753"/>
      <c r="AT234" s="739"/>
      <c r="AU234" s="739"/>
      <c r="AV234" s="739"/>
      <c r="AW234" s="739"/>
      <c r="AX234" s="739"/>
      <c r="AY234" s="882"/>
      <c r="AZ234" s="739"/>
      <c r="BA234" s="739"/>
      <c r="BB234" s="739"/>
      <c r="BC234" s="739"/>
      <c r="BD234" s="739">
        <f t="shared" si="59"/>
        <v>0</v>
      </c>
      <c r="BE234" s="739"/>
      <c r="BF234" s="882">
        <f t="shared" si="56"/>
        <v>0</v>
      </c>
    </row>
    <row r="235" spans="1:58" x14ac:dyDescent="0.25">
      <c r="A235" s="931"/>
      <c r="B235" s="773"/>
      <c r="C235" s="897"/>
      <c r="D235" s="928"/>
      <c r="E235" s="749"/>
      <c r="F235" s="753">
        <f t="shared" si="58"/>
        <v>0</v>
      </c>
      <c r="G235" s="773"/>
      <c r="H235" s="753"/>
      <c r="I235" s="746"/>
      <c r="J235" s="771"/>
      <c r="K235" s="771"/>
      <c r="L235" s="771"/>
      <c r="M235" s="927" t="str">
        <f t="shared" si="48"/>
        <v xml:space="preserve">  </v>
      </c>
      <c r="N235" s="749"/>
      <c r="O235" s="749"/>
      <c r="P235" s="749"/>
      <c r="Q235" s="749"/>
      <c r="R235" s="937"/>
      <c r="S235" s="861"/>
      <c r="T235" s="861">
        <f t="shared" si="50"/>
        <v>0</v>
      </c>
      <c r="U235" s="864">
        <f t="shared" si="51"/>
        <v>0</v>
      </c>
      <c r="V235" s="862"/>
      <c r="W235" s="861">
        <f t="shared" si="49"/>
        <v>0</v>
      </c>
      <c r="X235" s="864">
        <f t="shared" si="52"/>
        <v>0</v>
      </c>
      <c r="Y235" s="866">
        <f t="shared" si="47"/>
        <v>0</v>
      </c>
      <c r="Z235" s="751"/>
      <c r="AA235" s="739"/>
      <c r="AB235" s="753"/>
      <c r="AC235" s="752">
        <f t="shared" si="53"/>
        <v>0</v>
      </c>
      <c r="AD235" s="739"/>
      <c r="AE235" s="891"/>
      <c r="AF235" s="891"/>
      <c r="AG235" s="891"/>
      <c r="AH235" s="891"/>
      <c r="AI235" s="900"/>
      <c r="AJ235" s="749"/>
      <c r="AK235" s="772"/>
      <c r="AL235" s="873"/>
      <c r="AM235" s="862">
        <f t="shared" si="54"/>
        <v>0</v>
      </c>
      <c r="AN235" s="755" t="str">
        <f t="shared" ca="1" si="55"/>
        <v/>
      </c>
      <c r="AO235" s="753"/>
      <c r="AP235" s="753"/>
      <c r="AQ235" s="753"/>
      <c r="AR235" s="753"/>
      <c r="AS235" s="753"/>
      <c r="AT235" s="739"/>
      <c r="AU235" s="739"/>
      <c r="AV235" s="739"/>
      <c r="AW235" s="739"/>
      <c r="AX235" s="739"/>
      <c r="AY235" s="882"/>
      <c r="AZ235" s="739"/>
      <c r="BA235" s="739"/>
      <c r="BB235" s="739"/>
      <c r="BC235" s="739"/>
      <c r="BD235" s="739">
        <f t="shared" si="59"/>
        <v>0</v>
      </c>
      <c r="BE235" s="739"/>
      <c r="BF235" s="882">
        <f t="shared" si="56"/>
        <v>0</v>
      </c>
    </row>
    <row r="236" spans="1:58" x14ac:dyDescent="0.25">
      <c r="A236" s="931"/>
      <c r="B236" s="773"/>
      <c r="C236" s="897"/>
      <c r="D236" s="928"/>
      <c r="E236" s="749"/>
      <c r="F236" s="753">
        <f t="shared" si="58"/>
        <v>0</v>
      </c>
      <c r="G236" s="773"/>
      <c r="H236" s="753"/>
      <c r="I236" s="746"/>
      <c r="J236" s="771"/>
      <c r="K236" s="771"/>
      <c r="L236" s="771"/>
      <c r="M236" s="927" t="str">
        <f t="shared" si="48"/>
        <v xml:space="preserve">  </v>
      </c>
      <c r="N236" s="749"/>
      <c r="O236" s="749"/>
      <c r="P236" s="749"/>
      <c r="Q236" s="749"/>
      <c r="R236" s="937"/>
      <c r="S236" s="861"/>
      <c r="T236" s="861">
        <f t="shared" si="50"/>
        <v>0</v>
      </c>
      <c r="U236" s="864">
        <f t="shared" si="51"/>
        <v>0</v>
      </c>
      <c r="V236" s="862"/>
      <c r="W236" s="861">
        <f t="shared" si="49"/>
        <v>0</v>
      </c>
      <c r="X236" s="864">
        <f t="shared" si="52"/>
        <v>0</v>
      </c>
      <c r="Y236" s="866">
        <f t="shared" si="47"/>
        <v>0</v>
      </c>
      <c r="Z236" s="751"/>
      <c r="AA236" s="739"/>
      <c r="AB236" s="753"/>
      <c r="AC236" s="752">
        <f t="shared" si="53"/>
        <v>0</v>
      </c>
      <c r="AD236" s="739"/>
      <c r="AE236" s="891"/>
      <c r="AF236" s="891"/>
      <c r="AG236" s="891"/>
      <c r="AH236" s="891"/>
      <c r="AI236" s="900"/>
      <c r="AJ236" s="749"/>
      <c r="AK236" s="772"/>
      <c r="AL236" s="873"/>
      <c r="AM236" s="862">
        <f t="shared" si="54"/>
        <v>0</v>
      </c>
      <c r="AN236" s="755" t="str">
        <f t="shared" ca="1" si="55"/>
        <v/>
      </c>
      <c r="AO236" s="753"/>
      <c r="AP236" s="753"/>
      <c r="AQ236" s="753"/>
      <c r="AR236" s="753"/>
      <c r="AS236" s="753"/>
      <c r="AT236" s="739"/>
      <c r="AU236" s="739"/>
      <c r="AV236" s="739"/>
      <c r="AW236" s="739"/>
      <c r="AX236" s="739"/>
      <c r="AY236" s="882"/>
      <c r="AZ236" s="739"/>
      <c r="BA236" s="739"/>
      <c r="BB236" s="739"/>
      <c r="BC236" s="739"/>
      <c r="BD236" s="739">
        <f t="shared" si="59"/>
        <v>0</v>
      </c>
      <c r="BE236" s="739"/>
      <c r="BF236" s="882">
        <f t="shared" si="56"/>
        <v>0</v>
      </c>
    </row>
    <row r="237" spans="1:58" x14ac:dyDescent="0.25">
      <c r="A237" s="931"/>
      <c r="B237" s="773"/>
      <c r="C237" s="897"/>
      <c r="D237" s="928"/>
      <c r="E237" s="749"/>
      <c r="F237" s="753">
        <f t="shared" si="58"/>
        <v>0</v>
      </c>
      <c r="G237" s="773"/>
      <c r="H237" s="753"/>
      <c r="I237" s="746"/>
      <c r="J237" s="771"/>
      <c r="K237" s="771"/>
      <c r="L237" s="771"/>
      <c r="M237" s="927" t="str">
        <f t="shared" si="48"/>
        <v xml:space="preserve">  </v>
      </c>
      <c r="N237" s="749"/>
      <c r="O237" s="749"/>
      <c r="P237" s="749"/>
      <c r="Q237" s="749"/>
      <c r="R237" s="937"/>
      <c r="S237" s="861"/>
      <c r="T237" s="861">
        <f t="shared" si="50"/>
        <v>0</v>
      </c>
      <c r="U237" s="864">
        <f t="shared" si="51"/>
        <v>0</v>
      </c>
      <c r="V237" s="862"/>
      <c r="W237" s="861">
        <f t="shared" si="49"/>
        <v>0</v>
      </c>
      <c r="X237" s="864">
        <f t="shared" si="52"/>
        <v>0</v>
      </c>
      <c r="Y237" s="866">
        <f t="shared" si="47"/>
        <v>0</v>
      </c>
      <c r="Z237" s="751"/>
      <c r="AA237" s="739"/>
      <c r="AB237" s="753"/>
      <c r="AC237" s="752">
        <f t="shared" si="53"/>
        <v>0</v>
      </c>
      <c r="AD237" s="739"/>
      <c r="AE237" s="891"/>
      <c r="AF237" s="891"/>
      <c r="AG237" s="891"/>
      <c r="AH237" s="891"/>
      <c r="AI237" s="900"/>
      <c r="AJ237" s="749"/>
      <c r="AK237" s="772"/>
      <c r="AL237" s="873"/>
      <c r="AM237" s="862">
        <f t="shared" si="54"/>
        <v>0</v>
      </c>
      <c r="AN237" s="755" t="str">
        <f t="shared" ca="1" si="55"/>
        <v/>
      </c>
      <c r="AO237" s="753"/>
      <c r="AP237" s="753"/>
      <c r="AQ237" s="753"/>
      <c r="AR237" s="753"/>
      <c r="AS237" s="753"/>
      <c r="AT237" s="739"/>
      <c r="AU237" s="739"/>
      <c r="AV237" s="739"/>
      <c r="AW237" s="739"/>
      <c r="AX237" s="739"/>
      <c r="AY237" s="882"/>
      <c r="AZ237" s="739"/>
      <c r="BA237" s="739"/>
      <c r="BB237" s="739"/>
      <c r="BC237" s="739"/>
      <c r="BD237" s="739">
        <f t="shared" si="59"/>
        <v>0</v>
      </c>
      <c r="BE237" s="739"/>
      <c r="BF237" s="882">
        <f t="shared" si="56"/>
        <v>0</v>
      </c>
    </row>
    <row r="238" spans="1:58" x14ac:dyDescent="0.25">
      <c r="A238" s="931"/>
      <c r="B238" s="773"/>
      <c r="C238" s="897"/>
      <c r="D238" s="928"/>
      <c r="E238" s="749"/>
      <c r="F238" s="753">
        <f t="shared" si="58"/>
        <v>0</v>
      </c>
      <c r="G238" s="773"/>
      <c r="H238" s="753"/>
      <c r="I238" s="746"/>
      <c r="J238" s="771"/>
      <c r="K238" s="771"/>
      <c r="L238" s="771"/>
      <c r="M238" s="927" t="str">
        <f t="shared" si="48"/>
        <v xml:space="preserve">  </v>
      </c>
      <c r="N238" s="749"/>
      <c r="O238" s="749"/>
      <c r="P238" s="749"/>
      <c r="Q238" s="749"/>
      <c r="R238" s="937"/>
      <c r="S238" s="861"/>
      <c r="T238" s="861">
        <f t="shared" si="50"/>
        <v>0</v>
      </c>
      <c r="U238" s="864">
        <f t="shared" si="51"/>
        <v>0</v>
      </c>
      <c r="V238" s="862"/>
      <c r="W238" s="861">
        <f t="shared" si="49"/>
        <v>0</v>
      </c>
      <c r="X238" s="864">
        <f t="shared" si="52"/>
        <v>0</v>
      </c>
      <c r="Y238" s="866">
        <f t="shared" si="47"/>
        <v>0</v>
      </c>
      <c r="Z238" s="751"/>
      <c r="AA238" s="739"/>
      <c r="AB238" s="753"/>
      <c r="AC238" s="752">
        <f t="shared" si="53"/>
        <v>0</v>
      </c>
      <c r="AD238" s="739"/>
      <c r="AE238" s="891"/>
      <c r="AF238" s="891"/>
      <c r="AG238" s="891"/>
      <c r="AH238" s="891"/>
      <c r="AI238" s="900"/>
      <c r="AJ238" s="749"/>
      <c r="AK238" s="772"/>
      <c r="AL238" s="873"/>
      <c r="AM238" s="862">
        <f t="shared" si="54"/>
        <v>0</v>
      </c>
      <c r="AN238" s="755" t="str">
        <f t="shared" ca="1" si="55"/>
        <v/>
      </c>
      <c r="AO238" s="753"/>
      <c r="AP238" s="753"/>
      <c r="AQ238" s="753"/>
      <c r="AR238" s="753"/>
      <c r="AS238" s="753"/>
      <c r="AT238" s="739"/>
      <c r="AU238" s="739"/>
      <c r="AV238" s="739"/>
      <c r="AW238" s="739"/>
      <c r="AX238" s="739"/>
      <c r="AY238" s="882"/>
      <c r="AZ238" s="739"/>
      <c r="BA238" s="739"/>
      <c r="BB238" s="739"/>
      <c r="BC238" s="739"/>
      <c r="BD238" s="739">
        <f t="shared" si="59"/>
        <v>0</v>
      </c>
      <c r="BE238" s="739"/>
      <c r="BF238" s="882">
        <f t="shared" si="56"/>
        <v>0</v>
      </c>
    </row>
    <row r="239" spans="1:58" x14ac:dyDescent="0.25">
      <c r="A239" s="931"/>
      <c r="B239" s="773"/>
      <c r="C239" s="897"/>
      <c r="D239" s="928"/>
      <c r="E239" s="749"/>
      <c r="F239" s="753">
        <f t="shared" si="58"/>
        <v>0</v>
      </c>
      <c r="G239" s="773"/>
      <c r="H239" s="753"/>
      <c r="I239" s="746"/>
      <c r="J239" s="771"/>
      <c r="K239" s="771"/>
      <c r="L239" s="771"/>
      <c r="M239" s="927" t="str">
        <f t="shared" si="48"/>
        <v xml:space="preserve">  </v>
      </c>
      <c r="N239" s="749"/>
      <c r="O239" s="749"/>
      <c r="P239" s="749"/>
      <c r="Q239" s="749"/>
      <c r="R239" s="937"/>
      <c r="S239" s="861"/>
      <c r="T239" s="861">
        <f t="shared" si="50"/>
        <v>0</v>
      </c>
      <c r="U239" s="864">
        <f t="shared" si="51"/>
        <v>0</v>
      </c>
      <c r="V239" s="862"/>
      <c r="W239" s="861">
        <f t="shared" si="49"/>
        <v>0</v>
      </c>
      <c r="X239" s="864">
        <f t="shared" si="52"/>
        <v>0</v>
      </c>
      <c r="Y239" s="866">
        <f t="shared" si="47"/>
        <v>0</v>
      </c>
      <c r="Z239" s="751"/>
      <c r="AA239" s="739"/>
      <c r="AB239" s="753"/>
      <c r="AC239" s="752">
        <f t="shared" si="53"/>
        <v>0</v>
      </c>
      <c r="AD239" s="739"/>
      <c r="AE239" s="891"/>
      <c r="AF239" s="891"/>
      <c r="AG239" s="891"/>
      <c r="AH239" s="891"/>
      <c r="AI239" s="900"/>
      <c r="AJ239" s="749"/>
      <c r="AK239" s="772"/>
      <c r="AL239" s="873"/>
      <c r="AM239" s="862">
        <f t="shared" si="54"/>
        <v>0</v>
      </c>
      <c r="AN239" s="755" t="str">
        <f t="shared" ca="1" si="55"/>
        <v/>
      </c>
      <c r="AO239" s="753"/>
      <c r="AP239" s="753"/>
      <c r="AQ239" s="753"/>
      <c r="AR239" s="753"/>
      <c r="AS239" s="753"/>
      <c r="AT239" s="739"/>
      <c r="AU239" s="739"/>
      <c r="AV239" s="739"/>
      <c r="AW239" s="739"/>
      <c r="AX239" s="739"/>
      <c r="AY239" s="882"/>
      <c r="AZ239" s="739"/>
      <c r="BA239" s="739"/>
      <c r="BB239" s="739"/>
      <c r="BC239" s="739"/>
      <c r="BD239" s="739">
        <f t="shared" si="59"/>
        <v>0</v>
      </c>
      <c r="BE239" s="739"/>
      <c r="BF239" s="882">
        <f t="shared" si="56"/>
        <v>0</v>
      </c>
    </row>
    <row r="240" spans="1:58" x14ac:dyDescent="0.25">
      <c r="A240" s="931"/>
      <c r="B240" s="773"/>
      <c r="C240" s="897"/>
      <c r="D240" s="928"/>
      <c r="E240" s="749"/>
      <c r="F240" s="753">
        <f t="shared" si="58"/>
        <v>0</v>
      </c>
      <c r="G240" s="773"/>
      <c r="H240" s="753"/>
      <c r="I240" s="746"/>
      <c r="J240" s="771"/>
      <c r="K240" s="771"/>
      <c r="L240" s="771"/>
      <c r="M240" s="927" t="str">
        <f t="shared" si="48"/>
        <v xml:space="preserve">  </v>
      </c>
      <c r="N240" s="749"/>
      <c r="O240" s="749"/>
      <c r="P240" s="749"/>
      <c r="Q240" s="749"/>
      <c r="R240" s="937"/>
      <c r="S240" s="861"/>
      <c r="T240" s="861">
        <f t="shared" si="50"/>
        <v>0</v>
      </c>
      <c r="U240" s="864">
        <f t="shared" si="51"/>
        <v>0</v>
      </c>
      <c r="V240" s="862"/>
      <c r="W240" s="861">
        <f t="shared" si="49"/>
        <v>0</v>
      </c>
      <c r="X240" s="864">
        <f t="shared" si="52"/>
        <v>0</v>
      </c>
      <c r="Y240" s="866">
        <f t="shared" si="47"/>
        <v>0</v>
      </c>
      <c r="Z240" s="751"/>
      <c r="AA240" s="739"/>
      <c r="AB240" s="753"/>
      <c r="AC240" s="752">
        <f t="shared" si="53"/>
        <v>0</v>
      </c>
      <c r="AD240" s="739"/>
      <c r="AE240" s="891"/>
      <c r="AF240" s="891"/>
      <c r="AG240" s="891"/>
      <c r="AH240" s="891"/>
      <c r="AI240" s="900"/>
      <c r="AJ240" s="749"/>
      <c r="AK240" s="772"/>
      <c r="AL240" s="873"/>
      <c r="AM240" s="862">
        <f t="shared" si="54"/>
        <v>0</v>
      </c>
      <c r="AN240" s="755" t="str">
        <f t="shared" ca="1" si="55"/>
        <v/>
      </c>
      <c r="AO240" s="753"/>
      <c r="AP240" s="753"/>
      <c r="AQ240" s="753"/>
      <c r="AR240" s="753"/>
      <c r="AS240" s="753"/>
      <c r="AT240" s="739"/>
      <c r="AU240" s="739"/>
      <c r="AV240" s="739"/>
      <c r="AW240" s="739"/>
      <c r="AX240" s="739"/>
      <c r="AY240" s="882"/>
      <c r="AZ240" s="739"/>
      <c r="BA240" s="739"/>
      <c r="BB240" s="739"/>
      <c r="BC240" s="739"/>
      <c r="BD240" s="739">
        <f t="shared" si="59"/>
        <v>0</v>
      </c>
      <c r="BE240" s="739"/>
      <c r="BF240" s="882">
        <f t="shared" si="56"/>
        <v>0</v>
      </c>
    </row>
    <row r="241" spans="1:58" x14ac:dyDescent="0.25">
      <c r="A241" s="931"/>
      <c r="B241" s="773"/>
      <c r="C241" s="897"/>
      <c r="D241" s="928"/>
      <c r="E241" s="749"/>
      <c r="F241" s="753">
        <f t="shared" si="58"/>
        <v>0</v>
      </c>
      <c r="G241" s="773"/>
      <c r="H241" s="753"/>
      <c r="I241" s="746"/>
      <c r="J241" s="771"/>
      <c r="K241" s="771"/>
      <c r="L241" s="771"/>
      <c r="M241" s="927" t="str">
        <f t="shared" si="48"/>
        <v xml:space="preserve">  </v>
      </c>
      <c r="N241" s="749"/>
      <c r="O241" s="749"/>
      <c r="P241" s="749"/>
      <c r="Q241" s="749"/>
      <c r="R241" s="937"/>
      <c r="S241" s="861"/>
      <c r="T241" s="861">
        <f t="shared" si="50"/>
        <v>0</v>
      </c>
      <c r="U241" s="864">
        <f t="shared" si="51"/>
        <v>0</v>
      </c>
      <c r="V241" s="862"/>
      <c r="W241" s="861">
        <f t="shared" si="49"/>
        <v>0</v>
      </c>
      <c r="X241" s="864">
        <f t="shared" si="52"/>
        <v>0</v>
      </c>
      <c r="Y241" s="866">
        <f t="shared" si="47"/>
        <v>0</v>
      </c>
      <c r="Z241" s="751"/>
      <c r="AA241" s="739"/>
      <c r="AB241" s="753"/>
      <c r="AC241" s="752">
        <f t="shared" si="53"/>
        <v>0</v>
      </c>
      <c r="AD241" s="739"/>
      <c r="AE241" s="891"/>
      <c r="AF241" s="891"/>
      <c r="AG241" s="891"/>
      <c r="AH241" s="891"/>
      <c r="AI241" s="900"/>
      <c r="AJ241" s="749"/>
      <c r="AK241" s="772"/>
      <c r="AL241" s="873"/>
      <c r="AM241" s="862">
        <f t="shared" si="54"/>
        <v>0</v>
      </c>
      <c r="AN241" s="755" t="str">
        <f t="shared" ca="1" si="55"/>
        <v/>
      </c>
      <c r="AO241" s="753"/>
      <c r="AP241" s="753"/>
      <c r="AQ241" s="753"/>
      <c r="AR241" s="753"/>
      <c r="AS241" s="753"/>
      <c r="AT241" s="739"/>
      <c r="AU241" s="739"/>
      <c r="AV241" s="739"/>
      <c r="AW241" s="739"/>
      <c r="AX241" s="739"/>
      <c r="AY241" s="882"/>
      <c r="AZ241" s="739"/>
      <c r="BA241" s="739"/>
      <c r="BB241" s="739"/>
      <c r="BC241" s="739"/>
      <c r="BD241" s="739">
        <f t="shared" si="59"/>
        <v>0</v>
      </c>
      <c r="BE241" s="739"/>
      <c r="BF241" s="882">
        <f t="shared" si="56"/>
        <v>0</v>
      </c>
    </row>
    <row r="242" spans="1:58" x14ac:dyDescent="0.25">
      <c r="A242" s="931"/>
      <c r="B242" s="773"/>
      <c r="C242" s="897"/>
      <c r="D242" s="928"/>
      <c r="E242" s="749"/>
      <c r="F242" s="753">
        <f t="shared" si="58"/>
        <v>0</v>
      </c>
      <c r="G242" s="773"/>
      <c r="H242" s="753"/>
      <c r="I242" s="746"/>
      <c r="J242" s="771"/>
      <c r="K242" s="771"/>
      <c r="L242" s="771"/>
      <c r="M242" s="927" t="str">
        <f t="shared" si="48"/>
        <v xml:space="preserve">  </v>
      </c>
      <c r="N242" s="749"/>
      <c r="O242" s="749"/>
      <c r="P242" s="749"/>
      <c r="Q242" s="749"/>
      <c r="R242" s="937"/>
      <c r="S242" s="861"/>
      <c r="T242" s="861">
        <f t="shared" si="50"/>
        <v>0</v>
      </c>
      <c r="U242" s="864">
        <f t="shared" si="51"/>
        <v>0</v>
      </c>
      <c r="V242" s="862"/>
      <c r="W242" s="861">
        <f t="shared" si="49"/>
        <v>0</v>
      </c>
      <c r="X242" s="864">
        <f t="shared" si="52"/>
        <v>0</v>
      </c>
      <c r="Y242" s="866">
        <f t="shared" si="47"/>
        <v>0</v>
      </c>
      <c r="Z242" s="751"/>
      <c r="AA242" s="739"/>
      <c r="AB242" s="753"/>
      <c r="AC242" s="752">
        <f t="shared" si="53"/>
        <v>0</v>
      </c>
      <c r="AD242" s="739"/>
      <c r="AE242" s="891"/>
      <c r="AF242" s="891"/>
      <c r="AG242" s="891"/>
      <c r="AH242" s="891"/>
      <c r="AI242" s="900"/>
      <c r="AJ242" s="749"/>
      <c r="AK242" s="772"/>
      <c r="AL242" s="873"/>
      <c r="AM242" s="862">
        <f t="shared" si="54"/>
        <v>0</v>
      </c>
      <c r="AN242" s="755" t="str">
        <f t="shared" ca="1" si="55"/>
        <v/>
      </c>
      <c r="AO242" s="753"/>
      <c r="AP242" s="753"/>
      <c r="AQ242" s="753"/>
      <c r="AR242" s="753"/>
      <c r="AS242" s="753"/>
      <c r="AT242" s="739"/>
      <c r="AU242" s="739"/>
      <c r="AV242" s="739"/>
      <c r="AW242" s="739"/>
      <c r="AX242" s="739"/>
      <c r="AY242" s="882"/>
      <c r="AZ242" s="739"/>
      <c r="BA242" s="739"/>
      <c r="BB242" s="739"/>
      <c r="BC242" s="739"/>
      <c r="BD242" s="739">
        <f t="shared" si="59"/>
        <v>0</v>
      </c>
      <c r="BE242" s="739"/>
      <c r="BF242" s="882">
        <f t="shared" si="56"/>
        <v>0</v>
      </c>
    </row>
    <row r="243" spans="1:58" x14ac:dyDescent="0.25">
      <c r="A243" s="931"/>
      <c r="B243" s="773"/>
      <c r="C243" s="897"/>
      <c r="D243" s="928"/>
      <c r="E243" s="749"/>
      <c r="F243" s="753">
        <f t="shared" si="58"/>
        <v>0</v>
      </c>
      <c r="G243" s="773"/>
      <c r="H243" s="753"/>
      <c r="I243" s="746"/>
      <c r="J243" s="771"/>
      <c r="K243" s="771"/>
      <c r="L243" s="771"/>
      <c r="M243" s="927" t="str">
        <f t="shared" si="48"/>
        <v xml:space="preserve">  </v>
      </c>
      <c r="N243" s="749"/>
      <c r="O243" s="749"/>
      <c r="P243" s="749"/>
      <c r="Q243" s="749"/>
      <c r="R243" s="937"/>
      <c r="S243" s="861"/>
      <c r="T243" s="861">
        <f t="shared" si="50"/>
        <v>0</v>
      </c>
      <c r="U243" s="864">
        <f t="shared" si="51"/>
        <v>0</v>
      </c>
      <c r="V243" s="862"/>
      <c r="W243" s="861">
        <f t="shared" si="49"/>
        <v>0</v>
      </c>
      <c r="X243" s="864">
        <f t="shared" si="52"/>
        <v>0</v>
      </c>
      <c r="Y243" s="866">
        <f t="shared" si="47"/>
        <v>0</v>
      </c>
      <c r="Z243" s="751"/>
      <c r="AA243" s="739"/>
      <c r="AB243" s="753"/>
      <c r="AC243" s="752">
        <f t="shared" si="53"/>
        <v>0</v>
      </c>
      <c r="AD243" s="739"/>
      <c r="AE243" s="891"/>
      <c r="AF243" s="891"/>
      <c r="AG243" s="891"/>
      <c r="AH243" s="891"/>
      <c r="AI243" s="900"/>
      <c r="AJ243" s="749"/>
      <c r="AK243" s="772"/>
      <c r="AL243" s="873"/>
      <c r="AM243" s="862">
        <f t="shared" si="54"/>
        <v>0</v>
      </c>
      <c r="AN243" s="755" t="str">
        <f t="shared" ca="1" si="55"/>
        <v/>
      </c>
      <c r="AO243" s="753"/>
      <c r="AP243" s="753"/>
      <c r="AQ243" s="753"/>
      <c r="AR243" s="753"/>
      <c r="AS243" s="753"/>
      <c r="AT243" s="739"/>
      <c r="AU243" s="739"/>
      <c r="AV243" s="739"/>
      <c r="AW243" s="739"/>
      <c r="AX243" s="739"/>
      <c r="AY243" s="882"/>
      <c r="AZ243" s="739"/>
      <c r="BA243" s="739"/>
      <c r="BB243" s="739"/>
      <c r="BC243" s="739"/>
      <c r="BD243" s="739">
        <f t="shared" si="59"/>
        <v>0</v>
      </c>
      <c r="BE243" s="739"/>
      <c r="BF243" s="882">
        <f t="shared" si="56"/>
        <v>0</v>
      </c>
    </row>
    <row r="244" spans="1:58" x14ac:dyDescent="0.25">
      <c r="A244" s="931"/>
      <c r="B244" s="773"/>
      <c r="C244" s="897"/>
      <c r="D244" s="928"/>
      <c r="E244" s="749"/>
      <c r="F244" s="753">
        <f t="shared" si="58"/>
        <v>0</v>
      </c>
      <c r="G244" s="773"/>
      <c r="H244" s="753"/>
      <c r="I244" s="746"/>
      <c r="J244" s="771"/>
      <c r="K244" s="771"/>
      <c r="L244" s="771"/>
      <c r="M244" s="927" t="str">
        <f t="shared" si="48"/>
        <v xml:space="preserve">  </v>
      </c>
      <c r="N244" s="749"/>
      <c r="O244" s="749"/>
      <c r="P244" s="749"/>
      <c r="Q244" s="749"/>
      <c r="R244" s="937"/>
      <c r="S244" s="861"/>
      <c r="T244" s="861">
        <f t="shared" si="50"/>
        <v>0</v>
      </c>
      <c r="U244" s="864">
        <f t="shared" si="51"/>
        <v>0</v>
      </c>
      <c r="V244" s="862"/>
      <c r="W244" s="861">
        <f t="shared" si="49"/>
        <v>0</v>
      </c>
      <c r="X244" s="864">
        <f t="shared" si="52"/>
        <v>0</v>
      </c>
      <c r="Y244" s="866">
        <f t="shared" si="47"/>
        <v>0</v>
      </c>
      <c r="Z244" s="751"/>
      <c r="AA244" s="739"/>
      <c r="AB244" s="753"/>
      <c r="AC244" s="752">
        <f t="shared" si="53"/>
        <v>0</v>
      </c>
      <c r="AD244" s="739"/>
      <c r="AE244" s="891"/>
      <c r="AF244" s="891"/>
      <c r="AG244" s="891"/>
      <c r="AH244" s="891"/>
      <c r="AI244" s="900"/>
      <c r="AJ244" s="749"/>
      <c r="AK244" s="772"/>
      <c r="AL244" s="873"/>
      <c r="AM244" s="862">
        <f t="shared" si="54"/>
        <v>0</v>
      </c>
      <c r="AN244" s="755" t="str">
        <f t="shared" ca="1" si="55"/>
        <v/>
      </c>
      <c r="AO244" s="753"/>
      <c r="AP244" s="753"/>
      <c r="AQ244" s="753"/>
      <c r="AR244" s="753"/>
      <c r="AS244" s="753"/>
      <c r="AT244" s="739"/>
      <c r="AU244" s="739"/>
      <c r="AV244" s="739"/>
      <c r="AW244" s="739"/>
      <c r="AX244" s="739"/>
      <c r="AY244" s="882"/>
      <c r="AZ244" s="739"/>
      <c r="BA244" s="739"/>
      <c r="BB244" s="739"/>
      <c r="BC244" s="739"/>
      <c r="BD244" s="739">
        <f t="shared" si="59"/>
        <v>0</v>
      </c>
      <c r="BE244" s="739"/>
      <c r="BF244" s="882">
        <f t="shared" si="56"/>
        <v>0</v>
      </c>
    </row>
    <row r="245" spans="1:58" x14ac:dyDescent="0.25">
      <c r="A245" s="931"/>
      <c r="B245" s="773"/>
      <c r="C245" s="897"/>
      <c r="D245" s="928"/>
      <c r="E245" s="749"/>
      <c r="F245" s="753">
        <f t="shared" si="58"/>
        <v>0</v>
      </c>
      <c r="G245" s="773"/>
      <c r="H245" s="753"/>
      <c r="I245" s="746"/>
      <c r="J245" s="771"/>
      <c r="K245" s="771"/>
      <c r="L245" s="771"/>
      <c r="M245" s="927" t="str">
        <f t="shared" si="48"/>
        <v xml:space="preserve">  </v>
      </c>
      <c r="N245" s="749"/>
      <c r="O245" s="749"/>
      <c r="P245" s="749"/>
      <c r="Q245" s="749"/>
      <c r="R245" s="937"/>
      <c r="S245" s="861"/>
      <c r="T245" s="861">
        <f t="shared" si="50"/>
        <v>0</v>
      </c>
      <c r="U245" s="864">
        <f t="shared" si="51"/>
        <v>0</v>
      </c>
      <c r="V245" s="862"/>
      <c r="W245" s="861">
        <f t="shared" si="49"/>
        <v>0</v>
      </c>
      <c r="X245" s="864">
        <f t="shared" si="52"/>
        <v>0</v>
      </c>
      <c r="Y245" s="866">
        <f t="shared" si="47"/>
        <v>0</v>
      </c>
      <c r="Z245" s="751"/>
      <c r="AA245" s="739"/>
      <c r="AB245" s="753"/>
      <c r="AC245" s="752">
        <f t="shared" si="53"/>
        <v>0</v>
      </c>
      <c r="AD245" s="739"/>
      <c r="AE245" s="891"/>
      <c r="AF245" s="891"/>
      <c r="AG245" s="891"/>
      <c r="AH245" s="891"/>
      <c r="AI245" s="900"/>
      <c r="AJ245" s="749"/>
      <c r="AK245" s="772"/>
      <c r="AL245" s="873"/>
      <c r="AM245" s="862">
        <f t="shared" si="54"/>
        <v>0</v>
      </c>
      <c r="AN245" s="755" t="str">
        <f t="shared" ca="1" si="55"/>
        <v/>
      </c>
      <c r="AO245" s="753"/>
      <c r="AP245" s="753"/>
      <c r="AQ245" s="753"/>
      <c r="AR245" s="753"/>
      <c r="AS245" s="753"/>
      <c r="AT245" s="739"/>
      <c r="AU245" s="739"/>
      <c r="AV245" s="739"/>
      <c r="AW245" s="739"/>
      <c r="AX245" s="739"/>
      <c r="AY245" s="882"/>
      <c r="AZ245" s="739"/>
      <c r="BA245" s="739"/>
      <c r="BB245" s="739"/>
      <c r="BC245" s="739"/>
      <c r="BD245" s="739">
        <f t="shared" si="59"/>
        <v>0</v>
      </c>
      <c r="BE245" s="739"/>
      <c r="BF245" s="882">
        <f t="shared" si="56"/>
        <v>0</v>
      </c>
    </row>
    <row r="246" spans="1:58" x14ac:dyDescent="0.25">
      <c r="A246" s="931"/>
      <c r="B246" s="773"/>
      <c r="C246" s="897"/>
      <c r="D246" s="928"/>
      <c r="E246" s="749"/>
      <c r="F246" s="753">
        <f t="shared" si="58"/>
        <v>0</v>
      </c>
      <c r="G246" s="773"/>
      <c r="H246" s="753"/>
      <c r="I246" s="746"/>
      <c r="J246" s="771"/>
      <c r="K246" s="771"/>
      <c r="L246" s="771"/>
      <c r="M246" s="927" t="str">
        <f t="shared" si="48"/>
        <v xml:space="preserve">  </v>
      </c>
      <c r="N246" s="749"/>
      <c r="O246" s="749"/>
      <c r="P246" s="749"/>
      <c r="Q246" s="749"/>
      <c r="R246" s="937"/>
      <c r="S246" s="861"/>
      <c r="T246" s="861">
        <f t="shared" si="50"/>
        <v>0</v>
      </c>
      <c r="U246" s="864">
        <f t="shared" si="51"/>
        <v>0</v>
      </c>
      <c r="V246" s="862"/>
      <c r="W246" s="861">
        <f t="shared" si="49"/>
        <v>0</v>
      </c>
      <c r="X246" s="864">
        <f t="shared" si="52"/>
        <v>0</v>
      </c>
      <c r="Y246" s="866">
        <f t="shared" si="47"/>
        <v>0</v>
      </c>
      <c r="Z246" s="751"/>
      <c r="AA246" s="739"/>
      <c r="AB246" s="753"/>
      <c r="AC246" s="752">
        <f t="shared" si="53"/>
        <v>0</v>
      </c>
      <c r="AD246" s="739"/>
      <c r="AE246" s="891"/>
      <c r="AF246" s="891"/>
      <c r="AG246" s="891"/>
      <c r="AH246" s="891"/>
      <c r="AI246" s="900"/>
      <c r="AJ246" s="749"/>
      <c r="AK246" s="772"/>
      <c r="AL246" s="873"/>
      <c r="AM246" s="862">
        <f t="shared" si="54"/>
        <v>0</v>
      </c>
      <c r="AN246" s="755" t="str">
        <f t="shared" ca="1" si="55"/>
        <v/>
      </c>
      <c r="AO246" s="753"/>
      <c r="AP246" s="753"/>
      <c r="AQ246" s="753"/>
      <c r="AR246" s="753"/>
      <c r="AS246" s="753"/>
      <c r="AT246" s="739"/>
      <c r="AU246" s="739"/>
      <c r="AV246" s="739"/>
      <c r="AW246" s="739"/>
      <c r="AX246" s="739"/>
      <c r="AY246" s="882"/>
      <c r="AZ246" s="739"/>
      <c r="BA246" s="739"/>
      <c r="BB246" s="739"/>
      <c r="BC246" s="739"/>
      <c r="BD246" s="739">
        <f t="shared" si="59"/>
        <v>0</v>
      </c>
      <c r="BE246" s="739"/>
      <c r="BF246" s="882">
        <f t="shared" si="56"/>
        <v>0</v>
      </c>
    </row>
    <row r="247" spans="1:58" x14ac:dyDescent="0.25">
      <c r="A247" s="931"/>
      <c r="B247" s="773"/>
      <c r="C247" s="897"/>
      <c r="D247" s="928"/>
      <c r="E247" s="749"/>
      <c r="F247" s="753">
        <f t="shared" si="58"/>
        <v>0</v>
      </c>
      <c r="G247" s="773"/>
      <c r="H247" s="753"/>
      <c r="I247" s="746"/>
      <c r="J247" s="771"/>
      <c r="K247" s="771"/>
      <c r="L247" s="771"/>
      <c r="M247" s="927" t="str">
        <f t="shared" si="48"/>
        <v xml:space="preserve">  </v>
      </c>
      <c r="N247" s="749"/>
      <c r="O247" s="749"/>
      <c r="P247" s="749"/>
      <c r="Q247" s="749"/>
      <c r="R247" s="937"/>
      <c r="S247" s="861"/>
      <c r="T247" s="861">
        <f t="shared" si="50"/>
        <v>0</v>
      </c>
      <c r="U247" s="864">
        <f t="shared" si="51"/>
        <v>0</v>
      </c>
      <c r="V247" s="862"/>
      <c r="W247" s="861">
        <f t="shared" si="49"/>
        <v>0</v>
      </c>
      <c r="X247" s="864">
        <f t="shared" si="52"/>
        <v>0</v>
      </c>
      <c r="Y247" s="866">
        <f t="shared" si="47"/>
        <v>0</v>
      </c>
      <c r="Z247" s="751"/>
      <c r="AA247" s="739"/>
      <c r="AB247" s="753"/>
      <c r="AC247" s="752">
        <f t="shared" si="53"/>
        <v>0</v>
      </c>
      <c r="AD247" s="739"/>
      <c r="AE247" s="891"/>
      <c r="AF247" s="891"/>
      <c r="AG247" s="891"/>
      <c r="AH247" s="891"/>
      <c r="AI247" s="900"/>
      <c r="AJ247" s="749"/>
      <c r="AK247" s="772"/>
      <c r="AL247" s="873"/>
      <c r="AM247" s="862">
        <f t="shared" si="54"/>
        <v>0</v>
      </c>
      <c r="AN247" s="755" t="str">
        <f t="shared" ca="1" si="55"/>
        <v/>
      </c>
      <c r="AO247" s="753"/>
      <c r="AP247" s="753"/>
      <c r="AQ247" s="753"/>
      <c r="AR247" s="753"/>
      <c r="AS247" s="753"/>
      <c r="AT247" s="739"/>
      <c r="AU247" s="739"/>
      <c r="AV247" s="739"/>
      <c r="AW247" s="739"/>
      <c r="AX247" s="739"/>
      <c r="AY247" s="882"/>
      <c r="AZ247" s="739"/>
      <c r="BA247" s="739"/>
      <c r="BB247" s="739"/>
      <c r="BC247" s="739"/>
      <c r="BD247" s="739">
        <f t="shared" si="59"/>
        <v>0</v>
      </c>
      <c r="BE247" s="739"/>
      <c r="BF247" s="882">
        <f t="shared" si="56"/>
        <v>0</v>
      </c>
    </row>
    <row r="248" spans="1:58" x14ac:dyDescent="0.25">
      <c r="A248" s="931"/>
      <c r="B248" s="773"/>
      <c r="C248" s="897"/>
      <c r="D248" s="928"/>
      <c r="E248" s="749"/>
      <c r="F248" s="753">
        <f t="shared" si="58"/>
        <v>0</v>
      </c>
      <c r="G248" s="773"/>
      <c r="H248" s="753"/>
      <c r="I248" s="746"/>
      <c r="J248" s="771"/>
      <c r="K248" s="771"/>
      <c r="L248" s="771"/>
      <c r="M248" s="927" t="str">
        <f t="shared" si="48"/>
        <v xml:space="preserve">  </v>
      </c>
      <c r="N248" s="749"/>
      <c r="O248" s="749"/>
      <c r="P248" s="749"/>
      <c r="Q248" s="749"/>
      <c r="R248" s="937"/>
      <c r="S248" s="861"/>
      <c r="T248" s="861">
        <f t="shared" si="50"/>
        <v>0</v>
      </c>
      <c r="U248" s="864">
        <f t="shared" si="51"/>
        <v>0</v>
      </c>
      <c r="V248" s="862"/>
      <c r="W248" s="861">
        <f t="shared" si="49"/>
        <v>0</v>
      </c>
      <c r="X248" s="864">
        <f t="shared" si="52"/>
        <v>0</v>
      </c>
      <c r="Y248" s="866">
        <f t="shared" si="47"/>
        <v>0</v>
      </c>
      <c r="Z248" s="751"/>
      <c r="AA248" s="739"/>
      <c r="AB248" s="753"/>
      <c r="AC248" s="752">
        <f t="shared" si="53"/>
        <v>0</v>
      </c>
      <c r="AD248" s="739"/>
      <c r="AE248" s="891"/>
      <c r="AF248" s="891"/>
      <c r="AG248" s="891"/>
      <c r="AH248" s="891"/>
      <c r="AI248" s="900"/>
      <c r="AJ248" s="749"/>
      <c r="AK248" s="772"/>
      <c r="AL248" s="873"/>
      <c r="AM248" s="862">
        <f t="shared" si="54"/>
        <v>0</v>
      </c>
      <c r="AN248" s="755" t="str">
        <f t="shared" ca="1" si="55"/>
        <v/>
      </c>
      <c r="AO248" s="753"/>
      <c r="AP248" s="753"/>
      <c r="AQ248" s="753"/>
      <c r="AR248" s="753"/>
      <c r="AS248" s="753"/>
      <c r="AT248" s="739"/>
      <c r="AU248" s="739"/>
      <c r="AV248" s="739"/>
      <c r="AW248" s="739"/>
      <c r="AX248" s="739"/>
      <c r="AY248" s="882"/>
      <c r="AZ248" s="739"/>
      <c r="BA248" s="739"/>
      <c r="BB248" s="739"/>
      <c r="BC248" s="739"/>
      <c r="BD248" s="739">
        <f t="shared" si="59"/>
        <v>0</v>
      </c>
      <c r="BE248" s="739"/>
      <c r="BF248" s="882">
        <f t="shared" si="56"/>
        <v>0</v>
      </c>
    </row>
    <row r="249" spans="1:58" x14ac:dyDescent="0.25">
      <c r="A249" s="931"/>
      <c r="B249" s="773"/>
      <c r="C249" s="897"/>
      <c r="D249" s="928"/>
      <c r="E249" s="749"/>
      <c r="F249" s="753">
        <f t="shared" si="58"/>
        <v>0</v>
      </c>
      <c r="G249" s="773"/>
      <c r="H249" s="753"/>
      <c r="I249" s="746"/>
      <c r="J249" s="771"/>
      <c r="K249" s="771"/>
      <c r="L249" s="771"/>
      <c r="M249" s="927" t="str">
        <f t="shared" si="48"/>
        <v xml:space="preserve">  </v>
      </c>
      <c r="N249" s="749"/>
      <c r="O249" s="749"/>
      <c r="P249" s="749"/>
      <c r="Q249" s="749"/>
      <c r="R249" s="937"/>
      <c r="S249" s="861"/>
      <c r="T249" s="861">
        <f t="shared" si="50"/>
        <v>0</v>
      </c>
      <c r="U249" s="864">
        <f t="shared" si="51"/>
        <v>0</v>
      </c>
      <c r="V249" s="862"/>
      <c r="W249" s="861">
        <f t="shared" si="49"/>
        <v>0</v>
      </c>
      <c r="X249" s="864">
        <f t="shared" si="52"/>
        <v>0</v>
      </c>
      <c r="Y249" s="866">
        <f t="shared" si="47"/>
        <v>0</v>
      </c>
      <c r="Z249" s="751"/>
      <c r="AA249" s="739"/>
      <c r="AB249" s="753"/>
      <c r="AC249" s="752">
        <f t="shared" si="53"/>
        <v>0</v>
      </c>
      <c r="AD249" s="739"/>
      <c r="AE249" s="891"/>
      <c r="AF249" s="891"/>
      <c r="AG249" s="891"/>
      <c r="AH249" s="891"/>
      <c r="AI249" s="900"/>
      <c r="AJ249" s="749"/>
      <c r="AK249" s="772"/>
      <c r="AL249" s="873"/>
      <c r="AM249" s="862">
        <f t="shared" si="54"/>
        <v>0</v>
      </c>
      <c r="AN249" s="755" t="str">
        <f t="shared" ca="1" si="55"/>
        <v/>
      </c>
      <c r="AO249" s="753"/>
      <c r="AP249" s="753"/>
      <c r="AQ249" s="753"/>
      <c r="AR249" s="753"/>
      <c r="AS249" s="753"/>
      <c r="AT249" s="739"/>
      <c r="AU249" s="739"/>
      <c r="AV249" s="739"/>
      <c r="AW249" s="739"/>
      <c r="AX249" s="739"/>
      <c r="AY249" s="882"/>
      <c r="AZ249" s="739"/>
      <c r="BA249" s="739"/>
      <c r="BB249" s="739"/>
      <c r="BC249" s="739"/>
      <c r="BD249" s="739">
        <f t="shared" si="59"/>
        <v>0</v>
      </c>
      <c r="BE249" s="739"/>
      <c r="BF249" s="882">
        <f t="shared" si="56"/>
        <v>0</v>
      </c>
    </row>
    <row r="250" spans="1:58" x14ac:dyDescent="0.25">
      <c r="A250" s="931"/>
      <c r="B250" s="773"/>
      <c r="C250" s="897"/>
      <c r="D250" s="928"/>
      <c r="E250" s="749"/>
      <c r="F250" s="753">
        <f t="shared" si="58"/>
        <v>0</v>
      </c>
      <c r="G250" s="773"/>
      <c r="H250" s="753"/>
      <c r="I250" s="746"/>
      <c r="J250" s="771"/>
      <c r="K250" s="771"/>
      <c r="L250" s="771"/>
      <c r="M250" s="927" t="str">
        <f t="shared" si="48"/>
        <v xml:space="preserve">  </v>
      </c>
      <c r="N250" s="749"/>
      <c r="O250" s="749"/>
      <c r="P250" s="749"/>
      <c r="Q250" s="749"/>
      <c r="R250" s="937"/>
      <c r="S250" s="861"/>
      <c r="T250" s="861">
        <f t="shared" si="50"/>
        <v>0</v>
      </c>
      <c r="U250" s="864">
        <f t="shared" si="51"/>
        <v>0</v>
      </c>
      <c r="V250" s="862"/>
      <c r="W250" s="861">
        <f t="shared" si="49"/>
        <v>0</v>
      </c>
      <c r="X250" s="864">
        <f t="shared" si="52"/>
        <v>0</v>
      </c>
      <c r="Y250" s="866">
        <f t="shared" si="47"/>
        <v>0</v>
      </c>
      <c r="Z250" s="751"/>
      <c r="AA250" s="739"/>
      <c r="AB250" s="753"/>
      <c r="AC250" s="752">
        <f t="shared" si="53"/>
        <v>0</v>
      </c>
      <c r="AD250" s="739"/>
      <c r="AE250" s="891"/>
      <c r="AF250" s="891"/>
      <c r="AG250" s="891"/>
      <c r="AH250" s="891"/>
      <c r="AI250" s="900"/>
      <c r="AJ250" s="749"/>
      <c r="AK250" s="772"/>
      <c r="AL250" s="873"/>
      <c r="AM250" s="862">
        <f t="shared" si="54"/>
        <v>0</v>
      </c>
      <c r="AN250" s="755" t="str">
        <f t="shared" ca="1" si="55"/>
        <v/>
      </c>
      <c r="AO250" s="753"/>
      <c r="AP250" s="753"/>
      <c r="AQ250" s="753"/>
      <c r="AR250" s="753"/>
      <c r="AS250" s="753"/>
      <c r="AT250" s="739"/>
      <c r="AU250" s="739"/>
      <c r="AV250" s="739"/>
      <c r="AW250" s="739"/>
      <c r="AX250" s="739"/>
      <c r="AY250" s="882"/>
      <c r="AZ250" s="739"/>
      <c r="BA250" s="739"/>
      <c r="BB250" s="739"/>
      <c r="BC250" s="739"/>
      <c r="BD250" s="739">
        <f t="shared" si="59"/>
        <v>0</v>
      </c>
      <c r="BE250" s="739"/>
      <c r="BF250" s="882">
        <f t="shared" si="56"/>
        <v>0</v>
      </c>
    </row>
    <row r="251" spans="1:58" x14ac:dyDescent="0.25">
      <c r="A251" s="931"/>
      <c r="B251" s="773"/>
      <c r="C251" s="897"/>
      <c r="D251" s="928"/>
      <c r="E251" s="749"/>
      <c r="F251" s="753">
        <f t="shared" si="58"/>
        <v>0</v>
      </c>
      <c r="G251" s="773"/>
      <c r="H251" s="753"/>
      <c r="I251" s="746"/>
      <c r="J251" s="771"/>
      <c r="K251" s="771"/>
      <c r="L251" s="771"/>
      <c r="M251" s="927" t="str">
        <f t="shared" si="48"/>
        <v xml:space="preserve">  </v>
      </c>
      <c r="N251" s="749"/>
      <c r="O251" s="749"/>
      <c r="P251" s="749"/>
      <c r="Q251" s="749"/>
      <c r="R251" s="937"/>
      <c r="S251" s="861"/>
      <c r="T251" s="861">
        <f t="shared" si="50"/>
        <v>0</v>
      </c>
      <c r="U251" s="864">
        <f t="shared" si="51"/>
        <v>0</v>
      </c>
      <c r="V251" s="862"/>
      <c r="W251" s="861">
        <f t="shared" si="49"/>
        <v>0</v>
      </c>
      <c r="X251" s="864">
        <f t="shared" si="52"/>
        <v>0</v>
      </c>
      <c r="Y251" s="866">
        <f t="shared" si="47"/>
        <v>0</v>
      </c>
      <c r="Z251" s="751"/>
      <c r="AA251" s="739"/>
      <c r="AB251" s="753"/>
      <c r="AC251" s="752">
        <f t="shared" si="53"/>
        <v>0</v>
      </c>
      <c r="AD251" s="739"/>
      <c r="AE251" s="891"/>
      <c r="AF251" s="891"/>
      <c r="AG251" s="891"/>
      <c r="AH251" s="891"/>
      <c r="AI251" s="900"/>
      <c r="AJ251" s="749"/>
      <c r="AK251" s="772"/>
      <c r="AL251" s="873"/>
      <c r="AM251" s="862">
        <f t="shared" si="54"/>
        <v>0</v>
      </c>
      <c r="AN251" s="755" t="str">
        <f t="shared" ca="1" si="55"/>
        <v/>
      </c>
      <c r="AO251" s="753"/>
      <c r="AP251" s="753"/>
      <c r="AQ251" s="753"/>
      <c r="AR251" s="753"/>
      <c r="AS251" s="753"/>
      <c r="AT251" s="739"/>
      <c r="AU251" s="739"/>
      <c r="AV251" s="739"/>
      <c r="AW251" s="739"/>
      <c r="AX251" s="739"/>
      <c r="AY251" s="882"/>
      <c r="AZ251" s="739"/>
      <c r="BA251" s="739"/>
      <c r="BB251" s="739"/>
      <c r="BC251" s="739"/>
      <c r="BD251" s="739">
        <f t="shared" si="59"/>
        <v>0</v>
      </c>
      <c r="BE251" s="739"/>
      <c r="BF251" s="882">
        <f t="shared" si="56"/>
        <v>0</v>
      </c>
    </row>
    <row r="252" spans="1:58" x14ac:dyDescent="0.25">
      <c r="A252" s="931"/>
      <c r="B252" s="773"/>
      <c r="C252" s="897"/>
      <c r="D252" s="928"/>
      <c r="E252" s="749"/>
      <c r="F252" s="753">
        <f t="shared" si="58"/>
        <v>0</v>
      </c>
      <c r="G252" s="773"/>
      <c r="H252" s="753"/>
      <c r="I252" s="746"/>
      <c r="J252" s="771"/>
      <c r="K252" s="771"/>
      <c r="L252" s="771"/>
      <c r="M252" s="927" t="str">
        <f t="shared" si="48"/>
        <v xml:space="preserve">  </v>
      </c>
      <c r="N252" s="749"/>
      <c r="O252" s="749"/>
      <c r="P252" s="749"/>
      <c r="Q252" s="749"/>
      <c r="R252" s="937"/>
      <c r="S252" s="861"/>
      <c r="T252" s="861">
        <f t="shared" si="50"/>
        <v>0</v>
      </c>
      <c r="U252" s="864">
        <f t="shared" si="51"/>
        <v>0</v>
      </c>
      <c r="V252" s="862"/>
      <c r="W252" s="861">
        <f t="shared" si="49"/>
        <v>0</v>
      </c>
      <c r="X252" s="864">
        <f t="shared" si="52"/>
        <v>0</v>
      </c>
      <c r="Y252" s="866">
        <f t="shared" si="47"/>
        <v>0</v>
      </c>
      <c r="Z252" s="751"/>
      <c r="AA252" s="739"/>
      <c r="AB252" s="753"/>
      <c r="AC252" s="752">
        <f t="shared" si="53"/>
        <v>0</v>
      </c>
      <c r="AD252" s="739"/>
      <c r="AE252" s="891"/>
      <c r="AF252" s="891"/>
      <c r="AG252" s="891"/>
      <c r="AH252" s="891"/>
      <c r="AI252" s="900"/>
      <c r="AJ252" s="749"/>
      <c r="AK252" s="772"/>
      <c r="AL252" s="873"/>
      <c r="AM252" s="862">
        <f t="shared" si="54"/>
        <v>0</v>
      </c>
      <c r="AN252" s="755" t="str">
        <f t="shared" ca="1" si="55"/>
        <v/>
      </c>
      <c r="AO252" s="753"/>
      <c r="AP252" s="753"/>
      <c r="AQ252" s="753"/>
      <c r="AR252" s="753"/>
      <c r="AS252" s="753"/>
      <c r="AT252" s="739"/>
      <c r="AU252" s="739"/>
      <c r="AV252" s="739"/>
      <c r="AW252" s="739"/>
      <c r="AX252" s="739"/>
      <c r="AY252" s="882"/>
      <c r="AZ252" s="739"/>
      <c r="BA252" s="739"/>
      <c r="BB252" s="739"/>
      <c r="BC252" s="739"/>
      <c r="BD252" s="739">
        <f t="shared" si="59"/>
        <v>0</v>
      </c>
      <c r="BE252" s="739"/>
      <c r="BF252" s="882">
        <f t="shared" si="56"/>
        <v>0</v>
      </c>
    </row>
    <row r="253" spans="1:58" x14ac:dyDescent="0.25">
      <c r="A253" s="931"/>
      <c r="B253" s="773"/>
      <c r="C253" s="897"/>
      <c r="D253" s="928"/>
      <c r="E253" s="749"/>
      <c r="F253" s="753">
        <f t="shared" si="58"/>
        <v>0</v>
      </c>
      <c r="G253" s="773"/>
      <c r="H253" s="753"/>
      <c r="I253" s="746"/>
      <c r="J253" s="771"/>
      <c r="K253" s="771"/>
      <c r="L253" s="771"/>
      <c r="M253" s="927" t="str">
        <f t="shared" si="48"/>
        <v xml:space="preserve">  </v>
      </c>
      <c r="N253" s="749"/>
      <c r="O253" s="749"/>
      <c r="P253" s="749"/>
      <c r="Q253" s="749"/>
      <c r="R253" s="937"/>
      <c r="S253" s="861"/>
      <c r="T253" s="861">
        <f t="shared" si="50"/>
        <v>0</v>
      </c>
      <c r="U253" s="864">
        <f t="shared" si="51"/>
        <v>0</v>
      </c>
      <c r="V253" s="862"/>
      <c r="W253" s="861">
        <f t="shared" si="49"/>
        <v>0</v>
      </c>
      <c r="X253" s="864">
        <f t="shared" si="52"/>
        <v>0</v>
      </c>
      <c r="Y253" s="866">
        <f t="shared" si="47"/>
        <v>0</v>
      </c>
      <c r="Z253" s="751"/>
      <c r="AA253" s="739"/>
      <c r="AB253" s="753"/>
      <c r="AC253" s="752">
        <f t="shared" si="53"/>
        <v>0</v>
      </c>
      <c r="AD253" s="739"/>
      <c r="AE253" s="891"/>
      <c r="AF253" s="891"/>
      <c r="AG253" s="891"/>
      <c r="AH253" s="891"/>
      <c r="AI253" s="900"/>
      <c r="AJ253" s="749"/>
      <c r="AK253" s="772"/>
      <c r="AL253" s="873"/>
      <c r="AM253" s="862">
        <f t="shared" si="54"/>
        <v>0</v>
      </c>
      <c r="AN253" s="755" t="str">
        <f t="shared" ca="1" si="55"/>
        <v/>
      </c>
      <c r="AO253" s="753"/>
      <c r="AP253" s="753"/>
      <c r="AQ253" s="753"/>
      <c r="AR253" s="753"/>
      <c r="AS253" s="753"/>
      <c r="AT253" s="739"/>
      <c r="AU253" s="739"/>
      <c r="AV253" s="739"/>
      <c r="AW253" s="739"/>
      <c r="AX253" s="739"/>
      <c r="AY253" s="882"/>
      <c r="AZ253" s="739"/>
      <c r="BA253" s="739"/>
      <c r="BB253" s="739"/>
      <c r="BC253" s="739"/>
      <c r="BD253" s="739">
        <f t="shared" si="59"/>
        <v>0</v>
      </c>
      <c r="BE253" s="739"/>
      <c r="BF253" s="882">
        <f t="shared" si="56"/>
        <v>0</v>
      </c>
    </row>
    <row r="254" spans="1:58" x14ac:dyDescent="0.25">
      <c r="A254" s="931"/>
      <c r="B254" s="773"/>
      <c r="C254" s="897"/>
      <c r="D254" s="928"/>
      <c r="E254" s="749"/>
      <c r="F254" s="753">
        <f t="shared" si="58"/>
        <v>0</v>
      </c>
      <c r="G254" s="773"/>
      <c r="H254" s="753"/>
      <c r="I254" s="746"/>
      <c r="J254" s="771"/>
      <c r="K254" s="771"/>
      <c r="L254" s="771"/>
      <c r="M254" s="927" t="str">
        <f t="shared" si="48"/>
        <v xml:space="preserve">  </v>
      </c>
      <c r="N254" s="749"/>
      <c r="O254" s="749"/>
      <c r="P254" s="749"/>
      <c r="Q254" s="749"/>
      <c r="R254" s="937"/>
      <c r="S254" s="861"/>
      <c r="T254" s="861">
        <f t="shared" si="50"/>
        <v>0</v>
      </c>
      <c r="U254" s="864">
        <f t="shared" si="51"/>
        <v>0</v>
      </c>
      <c r="V254" s="862"/>
      <c r="W254" s="861">
        <f t="shared" si="49"/>
        <v>0</v>
      </c>
      <c r="X254" s="864">
        <f t="shared" si="52"/>
        <v>0</v>
      </c>
      <c r="Y254" s="866">
        <f t="shared" si="47"/>
        <v>0</v>
      </c>
      <c r="Z254" s="751"/>
      <c r="AA254" s="739"/>
      <c r="AB254" s="753"/>
      <c r="AC254" s="752">
        <f t="shared" si="53"/>
        <v>0</v>
      </c>
      <c r="AD254" s="739"/>
      <c r="AE254" s="891"/>
      <c r="AF254" s="891"/>
      <c r="AG254" s="891"/>
      <c r="AH254" s="891"/>
      <c r="AI254" s="900"/>
      <c r="AJ254" s="749"/>
      <c r="AK254" s="772"/>
      <c r="AL254" s="873"/>
      <c r="AM254" s="862">
        <f t="shared" si="54"/>
        <v>0</v>
      </c>
      <c r="AN254" s="755" t="str">
        <f t="shared" ca="1" si="55"/>
        <v/>
      </c>
      <c r="AO254" s="753"/>
      <c r="AP254" s="753"/>
      <c r="AQ254" s="753"/>
      <c r="AR254" s="753"/>
      <c r="AS254" s="753"/>
      <c r="AT254" s="739"/>
      <c r="AU254" s="739"/>
      <c r="AV254" s="739"/>
      <c r="AW254" s="739"/>
      <c r="AX254" s="739"/>
      <c r="AY254" s="882"/>
      <c r="AZ254" s="739"/>
      <c r="BA254" s="739"/>
      <c r="BB254" s="739"/>
      <c r="BC254" s="739"/>
      <c r="BD254" s="739">
        <f t="shared" si="59"/>
        <v>0</v>
      </c>
      <c r="BE254" s="739"/>
      <c r="BF254" s="882">
        <f t="shared" si="56"/>
        <v>0</v>
      </c>
    </row>
    <row r="255" spans="1:58" x14ac:dyDescent="0.25">
      <c r="A255" s="931"/>
      <c r="B255" s="773"/>
      <c r="C255" s="897"/>
      <c r="D255" s="928"/>
      <c r="E255" s="749"/>
      <c r="F255" s="753">
        <f t="shared" si="58"/>
        <v>0</v>
      </c>
      <c r="G255" s="773"/>
      <c r="H255" s="753"/>
      <c r="I255" s="746"/>
      <c r="J255" s="771"/>
      <c r="K255" s="771"/>
      <c r="L255" s="771"/>
      <c r="M255" s="927" t="str">
        <f t="shared" si="48"/>
        <v xml:space="preserve">  </v>
      </c>
      <c r="N255" s="749"/>
      <c r="O255" s="749"/>
      <c r="P255" s="749"/>
      <c r="Q255" s="749"/>
      <c r="R255" s="937"/>
      <c r="S255" s="861"/>
      <c r="T255" s="861">
        <f t="shared" si="50"/>
        <v>0</v>
      </c>
      <c r="U255" s="864">
        <f t="shared" si="51"/>
        <v>0</v>
      </c>
      <c r="V255" s="862"/>
      <c r="W255" s="861">
        <f t="shared" si="49"/>
        <v>0</v>
      </c>
      <c r="X255" s="864">
        <f t="shared" si="52"/>
        <v>0</v>
      </c>
      <c r="Y255" s="866">
        <f t="shared" si="47"/>
        <v>0</v>
      </c>
      <c r="Z255" s="751"/>
      <c r="AA255" s="739"/>
      <c r="AB255" s="753"/>
      <c r="AC255" s="752">
        <f t="shared" si="53"/>
        <v>0</v>
      </c>
      <c r="AD255" s="739"/>
      <c r="AE255" s="891"/>
      <c r="AF255" s="891"/>
      <c r="AG255" s="891"/>
      <c r="AH255" s="891"/>
      <c r="AI255" s="900"/>
      <c r="AJ255" s="749"/>
      <c r="AK255" s="772"/>
      <c r="AL255" s="873"/>
      <c r="AM255" s="862">
        <f t="shared" si="54"/>
        <v>0</v>
      </c>
      <c r="AN255" s="755" t="str">
        <f t="shared" ca="1" si="55"/>
        <v/>
      </c>
      <c r="AO255" s="753"/>
      <c r="AP255" s="753"/>
      <c r="AQ255" s="753"/>
      <c r="AR255" s="753"/>
      <c r="AS255" s="753"/>
      <c r="AT255" s="739"/>
      <c r="AU255" s="739"/>
      <c r="AV255" s="739"/>
      <c r="AW255" s="739"/>
      <c r="AX255" s="739"/>
      <c r="AY255" s="882"/>
      <c r="AZ255" s="739"/>
      <c r="BA255" s="739"/>
      <c r="BB255" s="739"/>
      <c r="BC255" s="739"/>
      <c r="BD255" s="739">
        <f t="shared" si="59"/>
        <v>0</v>
      </c>
      <c r="BE255" s="739"/>
      <c r="BF255" s="882">
        <f t="shared" si="56"/>
        <v>0</v>
      </c>
    </row>
    <row r="256" spans="1:58" x14ac:dyDescent="0.25">
      <c r="A256" s="931"/>
      <c r="B256" s="773"/>
      <c r="C256" s="897"/>
      <c r="D256" s="928"/>
      <c r="E256" s="749"/>
      <c r="F256" s="753">
        <f t="shared" si="58"/>
        <v>0</v>
      </c>
      <c r="G256" s="773"/>
      <c r="H256" s="753"/>
      <c r="I256" s="746"/>
      <c r="J256" s="771"/>
      <c r="K256" s="771"/>
      <c r="L256" s="771"/>
      <c r="M256" s="927" t="str">
        <f t="shared" si="48"/>
        <v xml:space="preserve">  </v>
      </c>
      <c r="N256" s="749"/>
      <c r="O256" s="749"/>
      <c r="P256" s="749"/>
      <c r="Q256" s="749"/>
      <c r="R256" s="937"/>
      <c r="S256" s="861"/>
      <c r="T256" s="861">
        <f t="shared" si="50"/>
        <v>0</v>
      </c>
      <c r="U256" s="864">
        <f t="shared" si="51"/>
        <v>0</v>
      </c>
      <c r="V256" s="862"/>
      <c r="W256" s="861">
        <f t="shared" si="49"/>
        <v>0</v>
      </c>
      <c r="X256" s="864">
        <f t="shared" si="52"/>
        <v>0</v>
      </c>
      <c r="Y256" s="866">
        <f t="shared" si="47"/>
        <v>0</v>
      </c>
      <c r="Z256" s="751"/>
      <c r="AA256" s="739"/>
      <c r="AB256" s="753"/>
      <c r="AC256" s="752">
        <f t="shared" si="53"/>
        <v>0</v>
      </c>
      <c r="AD256" s="739"/>
      <c r="AE256" s="891"/>
      <c r="AF256" s="891"/>
      <c r="AG256" s="891"/>
      <c r="AH256" s="891"/>
      <c r="AI256" s="900"/>
      <c r="AJ256" s="749"/>
      <c r="AK256" s="772"/>
      <c r="AL256" s="873"/>
      <c r="AM256" s="862">
        <f t="shared" si="54"/>
        <v>0</v>
      </c>
      <c r="AN256" s="755" t="str">
        <f t="shared" ca="1" si="55"/>
        <v/>
      </c>
      <c r="AO256" s="753"/>
      <c r="AP256" s="753"/>
      <c r="AQ256" s="753"/>
      <c r="AR256" s="753"/>
      <c r="AS256" s="753"/>
      <c r="AT256" s="739"/>
      <c r="AU256" s="739"/>
      <c r="AV256" s="739"/>
      <c r="AW256" s="739"/>
      <c r="AX256" s="739"/>
      <c r="AY256" s="882"/>
      <c r="AZ256" s="739"/>
      <c r="BA256" s="739"/>
      <c r="BB256" s="739"/>
      <c r="BC256" s="739"/>
      <c r="BD256" s="739">
        <f t="shared" si="59"/>
        <v>0</v>
      </c>
      <c r="BE256" s="739"/>
      <c r="BF256" s="882">
        <f t="shared" si="56"/>
        <v>0</v>
      </c>
    </row>
    <row r="257" spans="1:58" x14ac:dyDescent="0.25">
      <c r="A257" s="931"/>
      <c r="B257" s="773"/>
      <c r="C257" s="897"/>
      <c r="D257" s="928"/>
      <c r="E257" s="749"/>
      <c r="F257" s="753">
        <f t="shared" si="58"/>
        <v>0</v>
      </c>
      <c r="G257" s="773"/>
      <c r="H257" s="753"/>
      <c r="I257" s="746"/>
      <c r="J257" s="771"/>
      <c r="K257" s="771"/>
      <c r="L257" s="771"/>
      <c r="M257" s="927" t="str">
        <f t="shared" si="48"/>
        <v xml:space="preserve">  </v>
      </c>
      <c r="N257" s="749"/>
      <c r="O257" s="749"/>
      <c r="P257" s="749"/>
      <c r="Q257" s="749"/>
      <c r="R257" s="937"/>
      <c r="S257" s="861"/>
      <c r="T257" s="861">
        <f t="shared" si="50"/>
        <v>0</v>
      </c>
      <c r="U257" s="864">
        <f t="shared" si="51"/>
        <v>0</v>
      </c>
      <c r="V257" s="862"/>
      <c r="W257" s="861">
        <f t="shared" si="49"/>
        <v>0</v>
      </c>
      <c r="X257" s="864">
        <f t="shared" si="52"/>
        <v>0</v>
      </c>
      <c r="Y257" s="866">
        <f t="shared" si="47"/>
        <v>0</v>
      </c>
      <c r="Z257" s="751"/>
      <c r="AA257" s="739"/>
      <c r="AB257" s="753"/>
      <c r="AC257" s="752">
        <f t="shared" si="53"/>
        <v>0</v>
      </c>
      <c r="AD257" s="739"/>
      <c r="AE257" s="891"/>
      <c r="AF257" s="891"/>
      <c r="AG257" s="891"/>
      <c r="AH257" s="891"/>
      <c r="AI257" s="900"/>
      <c r="AJ257" s="749"/>
      <c r="AK257" s="772"/>
      <c r="AL257" s="873"/>
      <c r="AM257" s="862">
        <f t="shared" si="54"/>
        <v>0</v>
      </c>
      <c r="AN257" s="755" t="str">
        <f t="shared" ca="1" si="55"/>
        <v/>
      </c>
      <c r="AO257" s="753"/>
      <c r="AP257" s="753"/>
      <c r="AQ257" s="753"/>
      <c r="AR257" s="753"/>
      <c r="AS257" s="753"/>
      <c r="AT257" s="739"/>
      <c r="AU257" s="739"/>
      <c r="AV257" s="739"/>
      <c r="AW257" s="739"/>
      <c r="AX257" s="739"/>
      <c r="AY257" s="882"/>
      <c r="AZ257" s="739"/>
      <c r="BA257" s="739"/>
      <c r="BB257" s="739"/>
      <c r="BC257" s="739"/>
      <c r="BD257" s="739">
        <f t="shared" si="59"/>
        <v>0</v>
      </c>
      <c r="BE257" s="739"/>
      <c r="BF257" s="882">
        <f t="shared" si="56"/>
        <v>0</v>
      </c>
    </row>
    <row r="258" spans="1:58" x14ac:dyDescent="0.25">
      <c r="A258" s="931"/>
      <c r="B258" s="773"/>
      <c r="C258" s="897"/>
      <c r="D258" s="928"/>
      <c r="E258" s="749"/>
      <c r="F258" s="753">
        <f t="shared" si="58"/>
        <v>0</v>
      </c>
      <c r="G258" s="773"/>
      <c r="H258" s="753"/>
      <c r="I258" s="746"/>
      <c r="J258" s="771"/>
      <c r="K258" s="771"/>
      <c r="L258" s="771"/>
      <c r="M258" s="927" t="str">
        <f t="shared" si="48"/>
        <v xml:space="preserve">  </v>
      </c>
      <c r="N258" s="749"/>
      <c r="O258" s="749"/>
      <c r="P258" s="749"/>
      <c r="Q258" s="749"/>
      <c r="R258" s="937"/>
      <c r="S258" s="861"/>
      <c r="T258" s="861">
        <f t="shared" si="50"/>
        <v>0</v>
      </c>
      <c r="U258" s="864">
        <f t="shared" si="51"/>
        <v>0</v>
      </c>
      <c r="V258" s="862"/>
      <c r="W258" s="861">
        <f t="shared" si="49"/>
        <v>0</v>
      </c>
      <c r="X258" s="864">
        <f t="shared" si="52"/>
        <v>0</v>
      </c>
      <c r="Y258" s="866">
        <f t="shared" si="47"/>
        <v>0</v>
      </c>
      <c r="Z258" s="751"/>
      <c r="AA258" s="739"/>
      <c r="AB258" s="753"/>
      <c r="AC258" s="752">
        <f t="shared" si="53"/>
        <v>0</v>
      </c>
      <c r="AD258" s="739"/>
      <c r="AE258" s="891"/>
      <c r="AF258" s="891"/>
      <c r="AG258" s="891"/>
      <c r="AH258" s="891"/>
      <c r="AI258" s="900"/>
      <c r="AJ258" s="749"/>
      <c r="AK258" s="772"/>
      <c r="AL258" s="873"/>
      <c r="AM258" s="862">
        <f t="shared" si="54"/>
        <v>0</v>
      </c>
      <c r="AN258" s="755" t="str">
        <f t="shared" ca="1" si="55"/>
        <v/>
      </c>
      <c r="AO258" s="753"/>
      <c r="AP258" s="753"/>
      <c r="AQ258" s="753"/>
      <c r="AR258" s="753"/>
      <c r="AS258" s="753"/>
      <c r="AT258" s="739"/>
      <c r="AU258" s="739"/>
      <c r="AV258" s="739"/>
      <c r="AW258" s="739"/>
      <c r="AX258" s="739"/>
      <c r="AY258" s="882"/>
      <c r="AZ258" s="739"/>
      <c r="BA258" s="739"/>
      <c r="BB258" s="739"/>
      <c r="BC258" s="739"/>
      <c r="BD258" s="739">
        <f t="shared" si="59"/>
        <v>0</v>
      </c>
      <c r="BE258" s="739"/>
      <c r="BF258" s="882">
        <f t="shared" si="56"/>
        <v>0</v>
      </c>
    </row>
    <row r="259" spans="1:58" x14ac:dyDescent="0.25">
      <c r="A259" s="931"/>
      <c r="B259" s="773"/>
      <c r="C259" s="897"/>
      <c r="D259" s="928"/>
      <c r="E259" s="749"/>
      <c r="F259" s="753">
        <f t="shared" si="58"/>
        <v>0</v>
      </c>
      <c r="G259" s="773"/>
      <c r="H259" s="753"/>
      <c r="I259" s="746"/>
      <c r="J259" s="771"/>
      <c r="K259" s="771"/>
      <c r="L259" s="771"/>
      <c r="M259" s="927" t="str">
        <f t="shared" si="48"/>
        <v xml:space="preserve">  </v>
      </c>
      <c r="N259" s="749"/>
      <c r="O259" s="749"/>
      <c r="P259" s="749"/>
      <c r="Q259" s="749"/>
      <c r="R259" s="937"/>
      <c r="S259" s="861"/>
      <c r="T259" s="861">
        <f t="shared" si="50"/>
        <v>0</v>
      </c>
      <c r="U259" s="864">
        <f t="shared" si="51"/>
        <v>0</v>
      </c>
      <c r="V259" s="862"/>
      <c r="W259" s="861">
        <f t="shared" si="49"/>
        <v>0</v>
      </c>
      <c r="X259" s="864">
        <f t="shared" si="52"/>
        <v>0</v>
      </c>
      <c r="Y259" s="866">
        <f t="shared" si="47"/>
        <v>0</v>
      </c>
      <c r="Z259" s="751"/>
      <c r="AA259" s="739"/>
      <c r="AB259" s="753"/>
      <c r="AC259" s="752">
        <f t="shared" si="53"/>
        <v>0</v>
      </c>
      <c r="AD259" s="739"/>
      <c r="AE259" s="891"/>
      <c r="AF259" s="891"/>
      <c r="AG259" s="891"/>
      <c r="AH259" s="891"/>
      <c r="AI259" s="900"/>
      <c r="AJ259" s="749"/>
      <c r="AK259" s="772"/>
      <c r="AL259" s="873"/>
      <c r="AM259" s="862">
        <f t="shared" si="54"/>
        <v>0</v>
      </c>
      <c r="AN259" s="755" t="str">
        <f t="shared" ca="1" si="55"/>
        <v/>
      </c>
      <c r="AO259" s="753"/>
      <c r="AP259" s="753"/>
      <c r="AQ259" s="753"/>
      <c r="AR259" s="753"/>
      <c r="AS259" s="753"/>
      <c r="AT259" s="739"/>
      <c r="AU259" s="739"/>
      <c r="AV259" s="739"/>
      <c r="AW259" s="739"/>
      <c r="AX259" s="739"/>
      <c r="AY259" s="882"/>
      <c r="AZ259" s="739"/>
      <c r="BA259" s="739"/>
      <c r="BB259" s="739"/>
      <c r="BC259" s="739"/>
      <c r="BD259" s="739">
        <f t="shared" si="59"/>
        <v>0</v>
      </c>
      <c r="BE259" s="739"/>
      <c r="BF259" s="882">
        <f t="shared" si="56"/>
        <v>0</v>
      </c>
    </row>
    <row r="260" spans="1:58" x14ac:dyDescent="0.25">
      <c r="A260" s="931"/>
      <c r="B260" s="773"/>
      <c r="C260" s="897"/>
      <c r="D260" s="928"/>
      <c r="E260" s="749"/>
      <c r="F260" s="753">
        <f t="shared" si="58"/>
        <v>0</v>
      </c>
      <c r="G260" s="773"/>
      <c r="H260" s="753"/>
      <c r="I260" s="746"/>
      <c r="J260" s="771"/>
      <c r="K260" s="771"/>
      <c r="L260" s="771"/>
      <c r="M260" s="927" t="str">
        <f t="shared" si="48"/>
        <v xml:space="preserve">  </v>
      </c>
      <c r="N260" s="749"/>
      <c r="O260" s="749"/>
      <c r="P260" s="749"/>
      <c r="Q260" s="749"/>
      <c r="R260" s="937"/>
      <c r="S260" s="861"/>
      <c r="T260" s="861">
        <f t="shared" si="50"/>
        <v>0</v>
      </c>
      <c r="U260" s="864">
        <f t="shared" si="51"/>
        <v>0</v>
      </c>
      <c r="V260" s="862"/>
      <c r="W260" s="861">
        <f t="shared" si="49"/>
        <v>0</v>
      </c>
      <c r="X260" s="864">
        <f t="shared" si="52"/>
        <v>0</v>
      </c>
      <c r="Y260" s="866">
        <f t="shared" ref="Y260:Y280" si="60">+S260+AL260</f>
        <v>0</v>
      </c>
      <c r="Z260" s="751"/>
      <c r="AA260" s="739"/>
      <c r="AB260" s="753"/>
      <c r="AC260" s="752">
        <f t="shared" si="53"/>
        <v>0</v>
      </c>
      <c r="AD260" s="739"/>
      <c r="AE260" s="891"/>
      <c r="AF260" s="891"/>
      <c r="AG260" s="891"/>
      <c r="AH260" s="891"/>
      <c r="AI260" s="900"/>
      <c r="AJ260" s="749"/>
      <c r="AK260" s="772"/>
      <c r="AL260" s="873"/>
      <c r="AM260" s="862">
        <f t="shared" si="54"/>
        <v>0</v>
      </c>
      <c r="AN260" s="755" t="str">
        <f t="shared" ca="1" si="55"/>
        <v/>
      </c>
      <c r="AO260" s="753"/>
      <c r="AP260" s="753"/>
      <c r="AQ260" s="753"/>
      <c r="AR260" s="753"/>
      <c r="AS260" s="753"/>
      <c r="AT260" s="739"/>
      <c r="AU260" s="739"/>
      <c r="AV260" s="739"/>
      <c r="AW260" s="739"/>
      <c r="AX260" s="739"/>
      <c r="AY260" s="882"/>
      <c r="AZ260" s="739"/>
      <c r="BA260" s="739"/>
      <c r="BB260" s="739"/>
      <c r="BC260" s="739"/>
      <c r="BD260" s="739">
        <f t="shared" si="59"/>
        <v>0</v>
      </c>
      <c r="BE260" s="739"/>
      <c r="BF260" s="882">
        <f t="shared" si="56"/>
        <v>0</v>
      </c>
    </row>
    <row r="261" spans="1:58" x14ac:dyDescent="0.25">
      <c r="A261" s="931"/>
      <c r="B261" s="773"/>
      <c r="C261" s="897"/>
      <c r="D261" s="928"/>
      <c r="E261" s="749"/>
      <c r="F261" s="753">
        <f t="shared" si="58"/>
        <v>0</v>
      </c>
      <c r="G261" s="773"/>
      <c r="H261" s="753"/>
      <c r="I261" s="746"/>
      <c r="J261" s="771"/>
      <c r="K261" s="771"/>
      <c r="L261" s="771"/>
      <c r="M261" s="927" t="str">
        <f t="shared" si="48"/>
        <v xml:space="preserve">  </v>
      </c>
      <c r="N261" s="749"/>
      <c r="O261" s="749"/>
      <c r="P261" s="749"/>
      <c r="Q261" s="749"/>
      <c r="R261" s="937"/>
      <c r="S261" s="861"/>
      <c r="T261" s="861">
        <f t="shared" si="50"/>
        <v>0</v>
      </c>
      <c r="U261" s="864">
        <f t="shared" si="51"/>
        <v>0</v>
      </c>
      <c r="V261" s="862"/>
      <c r="W261" s="861">
        <f t="shared" si="49"/>
        <v>0</v>
      </c>
      <c r="X261" s="864">
        <f t="shared" si="52"/>
        <v>0</v>
      </c>
      <c r="Y261" s="866">
        <f t="shared" si="60"/>
        <v>0</v>
      </c>
      <c r="Z261" s="751"/>
      <c r="AA261" s="739"/>
      <c r="AB261" s="753"/>
      <c r="AC261" s="752">
        <f t="shared" si="53"/>
        <v>0</v>
      </c>
      <c r="AD261" s="739"/>
      <c r="AE261" s="891"/>
      <c r="AF261" s="891"/>
      <c r="AG261" s="891"/>
      <c r="AH261" s="891"/>
      <c r="AI261" s="900"/>
      <c r="AJ261" s="749"/>
      <c r="AK261" s="772"/>
      <c r="AL261" s="873"/>
      <c r="AM261" s="862">
        <f t="shared" si="54"/>
        <v>0</v>
      </c>
      <c r="AN261" s="755" t="str">
        <f t="shared" ca="1" si="55"/>
        <v/>
      </c>
      <c r="AO261" s="753"/>
      <c r="AP261" s="753"/>
      <c r="AQ261" s="753"/>
      <c r="AR261" s="753"/>
      <c r="AS261" s="753"/>
      <c r="AT261" s="739"/>
      <c r="AU261" s="739"/>
      <c r="AV261" s="739"/>
      <c r="AW261" s="739"/>
      <c r="AX261" s="739"/>
      <c r="AY261" s="882"/>
      <c r="AZ261" s="739"/>
      <c r="BA261" s="739"/>
      <c r="BB261" s="739"/>
      <c r="BC261" s="739"/>
      <c r="BD261" s="739">
        <f t="shared" si="59"/>
        <v>0</v>
      </c>
      <c r="BE261" s="739"/>
      <c r="BF261" s="882">
        <f t="shared" si="56"/>
        <v>0</v>
      </c>
    </row>
    <row r="262" spans="1:58" x14ac:dyDescent="0.25">
      <c r="A262" s="931"/>
      <c r="B262" s="773"/>
      <c r="C262" s="897"/>
      <c r="D262" s="928"/>
      <c r="E262" s="749"/>
      <c r="F262" s="753">
        <f t="shared" si="58"/>
        <v>0</v>
      </c>
      <c r="G262" s="773"/>
      <c r="H262" s="753"/>
      <c r="I262" s="746"/>
      <c r="J262" s="771"/>
      <c r="K262" s="771"/>
      <c r="L262" s="771"/>
      <c r="M262" s="927" t="str">
        <f t="shared" si="48"/>
        <v xml:space="preserve">  </v>
      </c>
      <c r="N262" s="749"/>
      <c r="O262" s="749"/>
      <c r="P262" s="749"/>
      <c r="Q262" s="749"/>
      <c r="R262" s="937"/>
      <c r="S262" s="861"/>
      <c r="T262" s="861">
        <f t="shared" si="50"/>
        <v>0</v>
      </c>
      <c r="U262" s="864">
        <f t="shared" si="51"/>
        <v>0</v>
      </c>
      <c r="V262" s="862"/>
      <c r="W262" s="861">
        <f t="shared" si="49"/>
        <v>0</v>
      </c>
      <c r="X262" s="864">
        <f t="shared" si="52"/>
        <v>0</v>
      </c>
      <c r="Y262" s="866">
        <f t="shared" si="60"/>
        <v>0</v>
      </c>
      <c r="Z262" s="751"/>
      <c r="AA262" s="739"/>
      <c r="AB262" s="753"/>
      <c r="AC262" s="752">
        <f t="shared" si="53"/>
        <v>0</v>
      </c>
      <c r="AD262" s="739"/>
      <c r="AE262" s="891"/>
      <c r="AF262" s="891"/>
      <c r="AG262" s="891"/>
      <c r="AH262" s="891"/>
      <c r="AI262" s="900"/>
      <c r="AJ262" s="749"/>
      <c r="AK262" s="772"/>
      <c r="AL262" s="873"/>
      <c r="AM262" s="862">
        <f t="shared" si="54"/>
        <v>0</v>
      </c>
      <c r="AN262" s="755" t="str">
        <f t="shared" ca="1" si="55"/>
        <v/>
      </c>
      <c r="AO262" s="753"/>
      <c r="AP262" s="753"/>
      <c r="AQ262" s="753"/>
      <c r="AR262" s="753"/>
      <c r="AS262" s="753"/>
      <c r="AT262" s="739"/>
      <c r="AU262" s="739"/>
      <c r="AV262" s="739"/>
      <c r="AW262" s="739"/>
      <c r="AX262" s="739"/>
      <c r="AY262" s="882"/>
      <c r="AZ262" s="739"/>
      <c r="BA262" s="739"/>
      <c r="BB262" s="739"/>
      <c r="BC262" s="739"/>
      <c r="BD262" s="739">
        <f t="shared" si="59"/>
        <v>0</v>
      </c>
      <c r="BE262" s="739"/>
      <c r="BF262" s="882">
        <f t="shared" si="56"/>
        <v>0</v>
      </c>
    </row>
    <row r="263" spans="1:58" x14ac:dyDescent="0.25">
      <c r="A263" s="931"/>
      <c r="B263" s="773"/>
      <c r="C263" s="897"/>
      <c r="D263" s="928"/>
      <c r="E263" s="749"/>
      <c r="F263" s="753">
        <f t="shared" si="58"/>
        <v>0</v>
      </c>
      <c r="G263" s="773"/>
      <c r="H263" s="753"/>
      <c r="I263" s="746"/>
      <c r="J263" s="771"/>
      <c r="K263" s="771"/>
      <c r="L263" s="771"/>
      <c r="M263" s="927" t="str">
        <f t="shared" si="48"/>
        <v xml:space="preserve">  </v>
      </c>
      <c r="N263" s="749"/>
      <c r="O263" s="749"/>
      <c r="P263" s="749"/>
      <c r="Q263" s="749"/>
      <c r="R263" s="937"/>
      <c r="S263" s="861"/>
      <c r="T263" s="861">
        <f t="shared" si="50"/>
        <v>0</v>
      </c>
      <c r="U263" s="864">
        <f t="shared" si="51"/>
        <v>0</v>
      </c>
      <c r="V263" s="862"/>
      <c r="W263" s="861">
        <f t="shared" si="49"/>
        <v>0</v>
      </c>
      <c r="X263" s="864">
        <f t="shared" si="52"/>
        <v>0</v>
      </c>
      <c r="Y263" s="866">
        <f t="shared" si="60"/>
        <v>0</v>
      </c>
      <c r="Z263" s="751"/>
      <c r="AA263" s="739"/>
      <c r="AB263" s="753"/>
      <c r="AC263" s="752">
        <f t="shared" si="53"/>
        <v>0</v>
      </c>
      <c r="AD263" s="739"/>
      <c r="AE263" s="891"/>
      <c r="AF263" s="891"/>
      <c r="AG263" s="891"/>
      <c r="AH263" s="891"/>
      <c r="AI263" s="900"/>
      <c r="AJ263" s="749"/>
      <c r="AK263" s="772"/>
      <c r="AL263" s="873"/>
      <c r="AM263" s="862">
        <f t="shared" si="54"/>
        <v>0</v>
      </c>
      <c r="AN263" s="755" t="str">
        <f t="shared" ca="1" si="55"/>
        <v/>
      </c>
      <c r="AO263" s="753"/>
      <c r="AP263" s="753"/>
      <c r="AQ263" s="753"/>
      <c r="AR263" s="753"/>
      <c r="AS263" s="753"/>
      <c r="AT263" s="739"/>
      <c r="AU263" s="739"/>
      <c r="AV263" s="739"/>
      <c r="AW263" s="739"/>
      <c r="AX263" s="739"/>
      <c r="AY263" s="882"/>
      <c r="AZ263" s="739"/>
      <c r="BA263" s="739"/>
      <c r="BB263" s="739"/>
      <c r="BC263" s="739"/>
      <c r="BD263" s="739">
        <f t="shared" si="59"/>
        <v>0</v>
      </c>
      <c r="BE263" s="739"/>
      <c r="BF263" s="882">
        <f t="shared" si="56"/>
        <v>0</v>
      </c>
    </row>
    <row r="264" spans="1:58" x14ac:dyDescent="0.25">
      <c r="A264" s="931"/>
      <c r="B264" s="773"/>
      <c r="C264" s="897"/>
      <c r="D264" s="928"/>
      <c r="E264" s="749"/>
      <c r="F264" s="753">
        <f t="shared" si="58"/>
        <v>0</v>
      </c>
      <c r="G264" s="773"/>
      <c r="H264" s="753"/>
      <c r="I264" s="746"/>
      <c r="J264" s="771"/>
      <c r="K264" s="771"/>
      <c r="L264" s="771"/>
      <c r="M264" s="927" t="str">
        <f t="shared" si="48"/>
        <v xml:space="preserve">  </v>
      </c>
      <c r="N264" s="749"/>
      <c r="O264" s="749"/>
      <c r="P264" s="749"/>
      <c r="Q264" s="749"/>
      <c r="R264" s="937"/>
      <c r="S264" s="861"/>
      <c r="T264" s="861">
        <f t="shared" si="50"/>
        <v>0</v>
      </c>
      <c r="U264" s="864">
        <f t="shared" si="51"/>
        <v>0</v>
      </c>
      <c r="V264" s="862"/>
      <c r="W264" s="861">
        <f t="shared" si="49"/>
        <v>0</v>
      </c>
      <c r="X264" s="864">
        <f t="shared" si="52"/>
        <v>0</v>
      </c>
      <c r="Y264" s="866">
        <f t="shared" si="60"/>
        <v>0</v>
      </c>
      <c r="Z264" s="751"/>
      <c r="AA264" s="739"/>
      <c r="AB264" s="753"/>
      <c r="AC264" s="752">
        <f t="shared" si="53"/>
        <v>0</v>
      </c>
      <c r="AD264" s="739"/>
      <c r="AE264" s="891"/>
      <c r="AF264" s="891"/>
      <c r="AG264" s="891"/>
      <c r="AH264" s="891"/>
      <c r="AI264" s="900"/>
      <c r="AJ264" s="749"/>
      <c r="AK264" s="772"/>
      <c r="AL264" s="873"/>
      <c r="AM264" s="862">
        <f t="shared" si="54"/>
        <v>0</v>
      </c>
      <c r="AN264" s="755" t="str">
        <f t="shared" ca="1" si="55"/>
        <v/>
      </c>
      <c r="AO264" s="753"/>
      <c r="AP264" s="753"/>
      <c r="AQ264" s="753"/>
      <c r="AR264" s="753"/>
      <c r="AS264" s="753"/>
      <c r="AT264" s="739"/>
      <c r="AU264" s="739"/>
      <c r="AV264" s="739"/>
      <c r="AW264" s="739"/>
      <c r="AX264" s="739"/>
      <c r="AY264" s="882"/>
      <c r="AZ264" s="739"/>
      <c r="BA264" s="739"/>
      <c r="BB264" s="739"/>
      <c r="BC264" s="739"/>
      <c r="BD264" s="739">
        <f t="shared" si="59"/>
        <v>0</v>
      </c>
      <c r="BE264" s="739"/>
      <c r="BF264" s="882">
        <f t="shared" si="56"/>
        <v>0</v>
      </c>
    </row>
    <row r="265" spans="1:58" x14ac:dyDescent="0.25">
      <c r="A265" s="931"/>
      <c r="B265" s="773"/>
      <c r="C265" s="897"/>
      <c r="D265" s="928"/>
      <c r="E265" s="749"/>
      <c r="F265" s="753">
        <f t="shared" si="58"/>
        <v>0</v>
      </c>
      <c r="G265" s="773"/>
      <c r="H265" s="753"/>
      <c r="I265" s="746"/>
      <c r="J265" s="771"/>
      <c r="K265" s="771"/>
      <c r="L265" s="771"/>
      <c r="M265" s="927" t="str">
        <f t="shared" si="48"/>
        <v xml:space="preserve">  </v>
      </c>
      <c r="N265" s="749"/>
      <c r="O265" s="749"/>
      <c r="P265" s="749"/>
      <c r="Q265" s="749"/>
      <c r="R265" s="937"/>
      <c r="S265" s="861"/>
      <c r="T265" s="861">
        <f t="shared" si="50"/>
        <v>0</v>
      </c>
      <c r="U265" s="864">
        <f t="shared" si="51"/>
        <v>0</v>
      </c>
      <c r="V265" s="862"/>
      <c r="W265" s="861">
        <f t="shared" si="49"/>
        <v>0</v>
      </c>
      <c r="X265" s="864">
        <f t="shared" si="52"/>
        <v>0</v>
      </c>
      <c r="Y265" s="866">
        <f t="shared" si="60"/>
        <v>0</v>
      </c>
      <c r="Z265" s="751"/>
      <c r="AA265" s="739"/>
      <c r="AB265" s="753"/>
      <c r="AC265" s="752">
        <f t="shared" si="53"/>
        <v>0</v>
      </c>
      <c r="AD265" s="739"/>
      <c r="AE265" s="891"/>
      <c r="AF265" s="891"/>
      <c r="AG265" s="891"/>
      <c r="AH265" s="891"/>
      <c r="AI265" s="900"/>
      <c r="AJ265" s="749"/>
      <c r="AK265" s="772"/>
      <c r="AL265" s="873"/>
      <c r="AM265" s="862">
        <f t="shared" si="54"/>
        <v>0</v>
      </c>
      <c r="AN265" s="755" t="str">
        <f t="shared" ca="1" si="55"/>
        <v/>
      </c>
      <c r="AO265" s="753"/>
      <c r="AP265" s="753"/>
      <c r="AQ265" s="753"/>
      <c r="AR265" s="753"/>
      <c r="AS265" s="753"/>
      <c r="AT265" s="739"/>
      <c r="AU265" s="739"/>
      <c r="AV265" s="739"/>
      <c r="AW265" s="739"/>
      <c r="AX265" s="739"/>
      <c r="AY265" s="882"/>
      <c r="AZ265" s="739"/>
      <c r="BA265" s="739"/>
      <c r="BB265" s="739"/>
      <c r="BC265" s="739"/>
      <c r="BD265" s="739">
        <f t="shared" si="59"/>
        <v>0</v>
      </c>
      <c r="BE265" s="739"/>
      <c r="BF265" s="882">
        <f t="shared" si="56"/>
        <v>0</v>
      </c>
    </row>
    <row r="266" spans="1:58" x14ac:dyDescent="0.25">
      <c r="A266" s="931"/>
      <c r="B266" s="773"/>
      <c r="C266" s="897"/>
      <c r="D266" s="928"/>
      <c r="E266" s="749"/>
      <c r="F266" s="753">
        <f t="shared" si="58"/>
        <v>0</v>
      </c>
      <c r="G266" s="773"/>
      <c r="H266" s="753"/>
      <c r="I266" s="746"/>
      <c r="J266" s="771"/>
      <c r="K266" s="771"/>
      <c r="L266" s="771"/>
      <c r="M266" s="927" t="str">
        <f t="shared" si="48"/>
        <v xml:space="preserve">  </v>
      </c>
      <c r="N266" s="749"/>
      <c r="O266" s="749"/>
      <c r="P266" s="749"/>
      <c r="Q266" s="749"/>
      <c r="R266" s="937"/>
      <c r="S266" s="861"/>
      <c r="T266" s="861">
        <f t="shared" si="50"/>
        <v>0</v>
      </c>
      <c r="U266" s="864">
        <f t="shared" si="51"/>
        <v>0</v>
      </c>
      <c r="V266" s="862"/>
      <c r="W266" s="861">
        <f t="shared" si="49"/>
        <v>0</v>
      </c>
      <c r="X266" s="864">
        <f t="shared" si="52"/>
        <v>0</v>
      </c>
      <c r="Y266" s="866">
        <f t="shared" si="60"/>
        <v>0</v>
      </c>
      <c r="Z266" s="751"/>
      <c r="AA266" s="739"/>
      <c r="AB266" s="753"/>
      <c r="AC266" s="752">
        <f t="shared" si="53"/>
        <v>0</v>
      </c>
      <c r="AD266" s="739"/>
      <c r="AE266" s="891"/>
      <c r="AF266" s="891"/>
      <c r="AG266" s="891"/>
      <c r="AH266" s="891"/>
      <c r="AI266" s="900"/>
      <c r="AJ266" s="749"/>
      <c r="AK266" s="772"/>
      <c r="AL266" s="873"/>
      <c r="AM266" s="862">
        <f t="shared" si="54"/>
        <v>0</v>
      </c>
      <c r="AN266" s="755" t="str">
        <f t="shared" ca="1" si="55"/>
        <v/>
      </c>
      <c r="AO266" s="753"/>
      <c r="AP266" s="753"/>
      <c r="AQ266" s="753"/>
      <c r="AR266" s="753"/>
      <c r="AS266" s="753"/>
      <c r="AT266" s="739"/>
      <c r="AU266" s="739"/>
      <c r="AV266" s="739"/>
      <c r="AW266" s="739"/>
      <c r="AX266" s="739"/>
      <c r="AY266" s="882"/>
      <c r="AZ266" s="739"/>
      <c r="BA266" s="739"/>
      <c r="BB266" s="739"/>
      <c r="BC266" s="739"/>
      <c r="BD266" s="739">
        <f t="shared" si="59"/>
        <v>0</v>
      </c>
      <c r="BE266" s="739"/>
      <c r="BF266" s="882">
        <f t="shared" si="56"/>
        <v>0</v>
      </c>
    </row>
    <row r="267" spans="1:58" x14ac:dyDescent="0.25">
      <c r="A267" s="931"/>
      <c r="B267" s="773"/>
      <c r="C267" s="897"/>
      <c r="D267" s="928"/>
      <c r="E267" s="749"/>
      <c r="F267" s="753">
        <f t="shared" si="58"/>
        <v>0</v>
      </c>
      <c r="G267" s="773"/>
      <c r="H267" s="753"/>
      <c r="I267" s="746"/>
      <c r="J267" s="771"/>
      <c r="K267" s="771"/>
      <c r="L267" s="771"/>
      <c r="M267" s="927" t="str">
        <f t="shared" si="48"/>
        <v xml:space="preserve">  </v>
      </c>
      <c r="N267" s="749"/>
      <c r="O267" s="749"/>
      <c r="P267" s="749"/>
      <c r="Q267" s="749"/>
      <c r="R267" s="937"/>
      <c r="S267" s="861"/>
      <c r="T267" s="861">
        <f t="shared" si="50"/>
        <v>0</v>
      </c>
      <c r="U267" s="864">
        <f t="shared" si="51"/>
        <v>0</v>
      </c>
      <c r="V267" s="862"/>
      <c r="W267" s="861">
        <f t="shared" si="49"/>
        <v>0</v>
      </c>
      <c r="X267" s="864">
        <f t="shared" si="52"/>
        <v>0</v>
      </c>
      <c r="Y267" s="866">
        <f t="shared" si="60"/>
        <v>0</v>
      </c>
      <c r="Z267" s="751"/>
      <c r="AA267" s="739"/>
      <c r="AB267" s="753"/>
      <c r="AC267" s="752">
        <f t="shared" si="53"/>
        <v>0</v>
      </c>
      <c r="AD267" s="739"/>
      <c r="AE267" s="891"/>
      <c r="AF267" s="891"/>
      <c r="AG267" s="891"/>
      <c r="AH267" s="891"/>
      <c r="AI267" s="900"/>
      <c r="AJ267" s="749"/>
      <c r="AK267" s="772"/>
      <c r="AL267" s="873"/>
      <c r="AM267" s="862">
        <f t="shared" si="54"/>
        <v>0</v>
      </c>
      <c r="AN267" s="755" t="str">
        <f t="shared" ca="1" si="55"/>
        <v/>
      </c>
      <c r="AO267" s="753"/>
      <c r="AP267" s="753"/>
      <c r="AQ267" s="753"/>
      <c r="AR267" s="753"/>
      <c r="AS267" s="753"/>
      <c r="AT267" s="739"/>
      <c r="AU267" s="739"/>
      <c r="AV267" s="739"/>
      <c r="AW267" s="739"/>
      <c r="AX267" s="739"/>
      <c r="AY267" s="882"/>
      <c r="AZ267" s="739"/>
      <c r="BA267" s="739"/>
      <c r="BB267" s="739"/>
      <c r="BC267" s="739"/>
      <c r="BD267" s="739">
        <f t="shared" si="59"/>
        <v>0</v>
      </c>
      <c r="BE267" s="739"/>
      <c r="BF267" s="882">
        <f t="shared" si="56"/>
        <v>0</v>
      </c>
    </row>
    <row r="268" spans="1:58" x14ac:dyDescent="0.25">
      <c r="A268" s="931"/>
      <c r="B268" s="773"/>
      <c r="C268" s="897"/>
      <c r="D268" s="928"/>
      <c r="E268" s="749"/>
      <c r="F268" s="753">
        <f t="shared" si="58"/>
        <v>0</v>
      </c>
      <c r="G268" s="773"/>
      <c r="H268" s="753"/>
      <c r="I268" s="746"/>
      <c r="J268" s="771"/>
      <c r="K268" s="771"/>
      <c r="L268" s="771"/>
      <c r="M268" s="927" t="str">
        <f t="shared" si="48"/>
        <v xml:space="preserve">  </v>
      </c>
      <c r="N268" s="749"/>
      <c r="O268" s="749"/>
      <c r="P268" s="749"/>
      <c r="Q268" s="749"/>
      <c r="R268" s="937"/>
      <c r="S268" s="861"/>
      <c r="T268" s="861">
        <f t="shared" si="50"/>
        <v>0</v>
      </c>
      <c r="U268" s="864">
        <f t="shared" si="51"/>
        <v>0</v>
      </c>
      <c r="V268" s="862"/>
      <c r="W268" s="861">
        <f t="shared" si="49"/>
        <v>0</v>
      </c>
      <c r="X268" s="864">
        <f t="shared" si="52"/>
        <v>0</v>
      </c>
      <c r="Y268" s="866">
        <f t="shared" si="60"/>
        <v>0</v>
      </c>
      <c r="Z268" s="751"/>
      <c r="AA268" s="739"/>
      <c r="AB268" s="753"/>
      <c r="AC268" s="752">
        <f t="shared" si="53"/>
        <v>0</v>
      </c>
      <c r="AD268" s="739"/>
      <c r="AE268" s="891"/>
      <c r="AF268" s="891"/>
      <c r="AG268" s="891"/>
      <c r="AH268" s="891"/>
      <c r="AI268" s="900"/>
      <c r="AJ268" s="749"/>
      <c r="AK268" s="772"/>
      <c r="AL268" s="873"/>
      <c r="AM268" s="862">
        <f t="shared" si="54"/>
        <v>0</v>
      </c>
      <c r="AN268" s="755" t="str">
        <f t="shared" ca="1" si="55"/>
        <v/>
      </c>
      <c r="AO268" s="753"/>
      <c r="AP268" s="753"/>
      <c r="AQ268" s="753"/>
      <c r="AR268" s="753"/>
      <c r="AS268" s="753"/>
      <c r="AT268" s="739"/>
      <c r="AU268" s="739"/>
      <c r="AV268" s="739"/>
      <c r="AW268" s="739"/>
      <c r="AX268" s="739"/>
      <c r="AY268" s="882"/>
      <c r="AZ268" s="739"/>
      <c r="BA268" s="739"/>
      <c r="BB268" s="739"/>
      <c r="BC268" s="739"/>
      <c r="BD268" s="739">
        <f t="shared" si="59"/>
        <v>0</v>
      </c>
      <c r="BE268" s="739"/>
      <c r="BF268" s="882">
        <f t="shared" si="56"/>
        <v>0</v>
      </c>
    </row>
    <row r="269" spans="1:58" x14ac:dyDescent="0.25">
      <c r="A269" s="931"/>
      <c r="B269" s="773"/>
      <c r="C269" s="897"/>
      <c r="D269" s="928"/>
      <c r="E269" s="749"/>
      <c r="F269" s="753">
        <f t="shared" si="58"/>
        <v>0</v>
      </c>
      <c r="G269" s="773"/>
      <c r="H269" s="753"/>
      <c r="I269" s="746"/>
      <c r="J269" s="771"/>
      <c r="K269" s="771"/>
      <c r="L269" s="771"/>
      <c r="M269" s="927" t="str">
        <f t="shared" si="48"/>
        <v xml:space="preserve">  </v>
      </c>
      <c r="N269" s="749"/>
      <c r="O269" s="749"/>
      <c r="P269" s="749"/>
      <c r="Q269" s="749"/>
      <c r="R269" s="937"/>
      <c r="S269" s="861"/>
      <c r="T269" s="861">
        <f t="shared" si="50"/>
        <v>0</v>
      </c>
      <c r="U269" s="864">
        <f t="shared" si="51"/>
        <v>0</v>
      </c>
      <c r="V269" s="862"/>
      <c r="W269" s="861">
        <f t="shared" si="49"/>
        <v>0</v>
      </c>
      <c r="X269" s="864">
        <f t="shared" si="52"/>
        <v>0</v>
      </c>
      <c r="Y269" s="866">
        <f t="shared" si="60"/>
        <v>0</v>
      </c>
      <c r="Z269" s="751"/>
      <c r="AA269" s="739"/>
      <c r="AB269" s="753"/>
      <c r="AC269" s="752">
        <f t="shared" si="53"/>
        <v>0</v>
      </c>
      <c r="AD269" s="739"/>
      <c r="AE269" s="891"/>
      <c r="AF269" s="891"/>
      <c r="AG269" s="891"/>
      <c r="AH269" s="891"/>
      <c r="AI269" s="900"/>
      <c r="AJ269" s="749"/>
      <c r="AK269" s="772"/>
      <c r="AL269" s="873"/>
      <c r="AM269" s="862">
        <f t="shared" si="54"/>
        <v>0</v>
      </c>
      <c r="AN269" s="755" t="str">
        <f t="shared" ca="1" si="55"/>
        <v/>
      </c>
      <c r="AO269" s="753"/>
      <c r="AP269" s="753"/>
      <c r="AQ269" s="753"/>
      <c r="AR269" s="753"/>
      <c r="AS269" s="753"/>
      <c r="AT269" s="739"/>
      <c r="AU269" s="739"/>
      <c r="AV269" s="739"/>
      <c r="AW269" s="739"/>
      <c r="AX269" s="739"/>
      <c r="AY269" s="882"/>
      <c r="AZ269" s="739"/>
      <c r="BA269" s="739"/>
      <c r="BB269" s="739"/>
      <c r="BC269" s="739"/>
      <c r="BD269" s="739">
        <f t="shared" si="59"/>
        <v>0</v>
      </c>
      <c r="BE269" s="739"/>
      <c r="BF269" s="882">
        <f t="shared" si="56"/>
        <v>0</v>
      </c>
    </row>
    <row r="270" spans="1:58" x14ac:dyDescent="0.25">
      <c r="A270" s="931"/>
      <c r="B270" s="773"/>
      <c r="C270" s="897"/>
      <c r="D270" s="928"/>
      <c r="E270" s="749"/>
      <c r="F270" s="753">
        <f t="shared" si="58"/>
        <v>0</v>
      </c>
      <c r="G270" s="773"/>
      <c r="H270" s="753"/>
      <c r="I270" s="746"/>
      <c r="J270" s="771"/>
      <c r="K270" s="771"/>
      <c r="L270" s="771"/>
      <c r="M270" s="927" t="str">
        <f t="shared" si="48"/>
        <v xml:space="preserve">  </v>
      </c>
      <c r="N270" s="749"/>
      <c r="O270" s="749"/>
      <c r="P270" s="749"/>
      <c r="Q270" s="749"/>
      <c r="R270" s="937"/>
      <c r="S270" s="861"/>
      <c r="T270" s="861">
        <f t="shared" si="50"/>
        <v>0</v>
      </c>
      <c r="U270" s="864">
        <f t="shared" si="51"/>
        <v>0</v>
      </c>
      <c r="V270" s="862"/>
      <c r="W270" s="861">
        <f t="shared" si="49"/>
        <v>0</v>
      </c>
      <c r="X270" s="864">
        <f t="shared" si="52"/>
        <v>0</v>
      </c>
      <c r="Y270" s="866">
        <f t="shared" si="60"/>
        <v>0</v>
      </c>
      <c r="Z270" s="751"/>
      <c r="AA270" s="739"/>
      <c r="AB270" s="753"/>
      <c r="AC270" s="752">
        <f t="shared" si="53"/>
        <v>0</v>
      </c>
      <c r="AD270" s="739"/>
      <c r="AE270" s="891"/>
      <c r="AF270" s="891"/>
      <c r="AG270" s="891"/>
      <c r="AH270" s="891"/>
      <c r="AI270" s="900"/>
      <c r="AJ270" s="749"/>
      <c r="AK270" s="772"/>
      <c r="AL270" s="873"/>
      <c r="AM270" s="862">
        <f t="shared" si="54"/>
        <v>0</v>
      </c>
      <c r="AN270" s="755" t="str">
        <f t="shared" ca="1" si="55"/>
        <v/>
      </c>
      <c r="AO270" s="753"/>
      <c r="AP270" s="753"/>
      <c r="AQ270" s="753"/>
      <c r="AR270" s="753"/>
      <c r="AS270" s="753"/>
      <c r="AT270" s="739"/>
      <c r="AU270" s="739"/>
      <c r="AV270" s="739"/>
      <c r="AW270" s="739"/>
      <c r="AX270" s="739"/>
      <c r="AY270" s="882"/>
      <c r="AZ270" s="739"/>
      <c r="BA270" s="739"/>
      <c r="BB270" s="739"/>
      <c r="BC270" s="739"/>
      <c r="BD270" s="739">
        <f t="shared" si="59"/>
        <v>0</v>
      </c>
      <c r="BE270" s="739"/>
      <c r="BF270" s="882">
        <f t="shared" si="56"/>
        <v>0</v>
      </c>
    </row>
    <row r="271" spans="1:58" x14ac:dyDescent="0.25">
      <c r="A271" s="931"/>
      <c r="B271" s="773"/>
      <c r="C271" s="897"/>
      <c r="D271" s="928"/>
      <c r="E271" s="749"/>
      <c r="F271" s="753">
        <f t="shared" si="58"/>
        <v>0</v>
      </c>
      <c r="G271" s="773"/>
      <c r="H271" s="753"/>
      <c r="I271" s="746"/>
      <c r="J271" s="771"/>
      <c r="K271" s="771"/>
      <c r="L271" s="771"/>
      <c r="M271" s="927" t="str">
        <f t="shared" ref="M271:M280" si="61">I271&amp;J271&amp;" "&amp;K271&amp;" "&amp;L271</f>
        <v xml:space="preserve">  </v>
      </c>
      <c r="N271" s="749"/>
      <c r="O271" s="749"/>
      <c r="P271" s="749"/>
      <c r="Q271" s="749"/>
      <c r="R271" s="937"/>
      <c r="S271" s="861"/>
      <c r="T271" s="861">
        <f t="shared" si="50"/>
        <v>0</v>
      </c>
      <c r="U271" s="864">
        <f t="shared" si="51"/>
        <v>0</v>
      </c>
      <c r="V271" s="862"/>
      <c r="W271" s="861">
        <f t="shared" ref="W271:W280" si="62">+V271*0.16</f>
        <v>0</v>
      </c>
      <c r="X271" s="864">
        <f t="shared" si="52"/>
        <v>0</v>
      </c>
      <c r="Y271" s="866">
        <f t="shared" si="60"/>
        <v>0</v>
      </c>
      <c r="Z271" s="751"/>
      <c r="AA271" s="739"/>
      <c r="AB271" s="753"/>
      <c r="AC271" s="752">
        <f t="shared" si="53"/>
        <v>0</v>
      </c>
      <c r="AD271" s="739"/>
      <c r="AE271" s="891"/>
      <c r="AF271" s="891"/>
      <c r="AG271" s="891"/>
      <c r="AH271" s="891"/>
      <c r="AI271" s="900"/>
      <c r="AJ271" s="749"/>
      <c r="AK271" s="772"/>
      <c r="AL271" s="873"/>
      <c r="AM271" s="862">
        <f t="shared" si="54"/>
        <v>0</v>
      </c>
      <c r="AN271" s="755" t="str">
        <f t="shared" ca="1" si="55"/>
        <v/>
      </c>
      <c r="AO271" s="753"/>
      <c r="AP271" s="753"/>
      <c r="AQ271" s="753"/>
      <c r="AR271" s="753"/>
      <c r="AS271" s="753"/>
      <c r="AT271" s="739"/>
      <c r="AU271" s="739"/>
      <c r="AV271" s="739"/>
      <c r="AW271" s="739"/>
      <c r="AX271" s="739"/>
      <c r="AY271" s="882"/>
      <c r="AZ271" s="739"/>
      <c r="BA271" s="739"/>
      <c r="BB271" s="739"/>
      <c r="BC271" s="739"/>
      <c r="BD271" s="739">
        <f t="shared" si="59"/>
        <v>0</v>
      </c>
      <c r="BE271" s="739"/>
      <c r="BF271" s="882">
        <f t="shared" si="56"/>
        <v>0</v>
      </c>
    </row>
    <row r="272" spans="1:58" x14ac:dyDescent="0.25">
      <c r="A272" s="931"/>
      <c r="B272" s="773"/>
      <c r="C272" s="897"/>
      <c r="D272" s="928"/>
      <c r="E272" s="749"/>
      <c r="F272" s="753">
        <f t="shared" si="58"/>
        <v>0</v>
      </c>
      <c r="G272" s="773"/>
      <c r="H272" s="753"/>
      <c r="I272" s="746"/>
      <c r="J272" s="771"/>
      <c r="K272" s="771"/>
      <c r="L272" s="771"/>
      <c r="M272" s="927" t="str">
        <f t="shared" si="61"/>
        <v xml:space="preserve">  </v>
      </c>
      <c r="N272" s="749"/>
      <c r="O272" s="749"/>
      <c r="P272" s="749"/>
      <c r="Q272" s="749"/>
      <c r="R272" s="937"/>
      <c r="S272" s="861"/>
      <c r="T272" s="861">
        <f t="shared" ref="T272:T280" si="63">+S272*0.16</f>
        <v>0</v>
      </c>
      <c r="U272" s="864">
        <f t="shared" ref="U272:U280" si="64">+S272+T272</f>
        <v>0</v>
      </c>
      <c r="V272" s="862"/>
      <c r="W272" s="861">
        <f t="shared" si="62"/>
        <v>0</v>
      </c>
      <c r="X272" s="864">
        <f t="shared" ref="X272:X280" si="65">+V272+W272</f>
        <v>0</v>
      </c>
      <c r="Y272" s="866">
        <f t="shared" si="60"/>
        <v>0</v>
      </c>
      <c r="Z272" s="751"/>
      <c r="AA272" s="739"/>
      <c r="AB272" s="753"/>
      <c r="AC272" s="752">
        <f t="shared" ref="AC272:AC280" si="66">+AA272</f>
        <v>0</v>
      </c>
      <c r="AD272" s="739"/>
      <c r="AE272" s="891"/>
      <c r="AF272" s="891"/>
      <c r="AG272" s="891"/>
      <c r="AH272" s="891"/>
      <c r="AI272" s="900"/>
      <c r="AJ272" s="749"/>
      <c r="AK272" s="772"/>
      <c r="AL272" s="873"/>
      <c r="AM272" s="862">
        <f t="shared" ref="AM272:AM280" si="67">+S272+AL272</f>
        <v>0</v>
      </c>
      <c r="AN272" s="755" t="str">
        <f t="shared" ref="AN272:AN280" ca="1" si="68">IF(ISBLANK(AD272),"",IF(AD272&gt;=TODAY(),"VIGENTE","MUERTO"))</f>
        <v/>
      </c>
      <c r="AO272" s="753"/>
      <c r="AP272" s="753"/>
      <c r="AQ272" s="753"/>
      <c r="AR272" s="753"/>
      <c r="AS272" s="753"/>
      <c r="AT272" s="739"/>
      <c r="AU272" s="739"/>
      <c r="AV272" s="739"/>
      <c r="AW272" s="739"/>
      <c r="AX272" s="739"/>
      <c r="AY272" s="882"/>
      <c r="AZ272" s="739"/>
      <c r="BA272" s="739"/>
      <c r="BB272" s="739"/>
      <c r="BC272" s="739"/>
      <c r="BD272" s="739">
        <f t="shared" si="59"/>
        <v>0</v>
      </c>
      <c r="BE272" s="739"/>
      <c r="BF272" s="882">
        <f t="shared" ref="BF272:BF280" si="69">+AA272</f>
        <v>0</v>
      </c>
    </row>
    <row r="273" spans="1:58" x14ac:dyDescent="0.25">
      <c r="A273" s="931"/>
      <c r="B273" s="773"/>
      <c r="C273" s="897"/>
      <c r="D273" s="928"/>
      <c r="E273" s="749"/>
      <c r="F273" s="753">
        <f t="shared" si="58"/>
        <v>0</v>
      </c>
      <c r="G273" s="773"/>
      <c r="H273" s="753"/>
      <c r="I273" s="746"/>
      <c r="J273" s="771"/>
      <c r="K273" s="771"/>
      <c r="L273" s="771"/>
      <c r="M273" s="927" t="str">
        <f t="shared" si="61"/>
        <v xml:space="preserve">  </v>
      </c>
      <c r="N273" s="749"/>
      <c r="O273" s="749"/>
      <c r="P273" s="749"/>
      <c r="Q273" s="749"/>
      <c r="R273" s="937"/>
      <c r="S273" s="861"/>
      <c r="T273" s="861">
        <f t="shared" si="63"/>
        <v>0</v>
      </c>
      <c r="U273" s="864">
        <f t="shared" si="64"/>
        <v>0</v>
      </c>
      <c r="V273" s="862"/>
      <c r="W273" s="861">
        <f t="shared" si="62"/>
        <v>0</v>
      </c>
      <c r="X273" s="864">
        <f t="shared" si="65"/>
        <v>0</v>
      </c>
      <c r="Y273" s="866">
        <f t="shared" si="60"/>
        <v>0</v>
      </c>
      <c r="Z273" s="751"/>
      <c r="AA273" s="739"/>
      <c r="AB273" s="753"/>
      <c r="AC273" s="752">
        <f t="shared" si="66"/>
        <v>0</v>
      </c>
      <c r="AD273" s="739"/>
      <c r="AE273" s="891"/>
      <c r="AF273" s="891"/>
      <c r="AG273" s="891"/>
      <c r="AH273" s="891"/>
      <c r="AI273" s="900"/>
      <c r="AJ273" s="749"/>
      <c r="AK273" s="772"/>
      <c r="AL273" s="873"/>
      <c r="AM273" s="862">
        <f t="shared" si="67"/>
        <v>0</v>
      </c>
      <c r="AN273" s="755" t="str">
        <f t="shared" ca="1" si="68"/>
        <v/>
      </c>
      <c r="AO273" s="753"/>
      <c r="AP273" s="753"/>
      <c r="AQ273" s="753"/>
      <c r="AR273" s="753"/>
      <c r="AS273" s="753"/>
      <c r="AT273" s="739"/>
      <c r="AU273" s="739"/>
      <c r="AV273" s="739"/>
      <c r="AW273" s="739"/>
      <c r="AX273" s="739"/>
      <c r="AY273" s="882"/>
      <c r="AZ273" s="739"/>
      <c r="BA273" s="739"/>
      <c r="BB273" s="739"/>
      <c r="BC273" s="739"/>
      <c r="BD273" s="739">
        <f t="shared" si="59"/>
        <v>0</v>
      </c>
      <c r="BE273" s="739"/>
      <c r="BF273" s="882">
        <f t="shared" si="69"/>
        <v>0</v>
      </c>
    </row>
    <row r="274" spans="1:58" x14ac:dyDescent="0.25">
      <c r="A274" s="931"/>
      <c r="B274" s="773"/>
      <c r="C274" s="897"/>
      <c r="D274" s="928"/>
      <c r="E274" s="749"/>
      <c r="F274" s="753">
        <f t="shared" si="58"/>
        <v>0</v>
      </c>
      <c r="G274" s="773"/>
      <c r="H274" s="753"/>
      <c r="I274" s="746"/>
      <c r="J274" s="771"/>
      <c r="K274" s="771"/>
      <c r="L274" s="771"/>
      <c r="M274" s="927" t="str">
        <f t="shared" si="61"/>
        <v xml:space="preserve">  </v>
      </c>
      <c r="N274" s="749"/>
      <c r="O274" s="749"/>
      <c r="P274" s="749"/>
      <c r="Q274" s="749"/>
      <c r="R274" s="937"/>
      <c r="S274" s="861"/>
      <c r="T274" s="861">
        <f t="shared" si="63"/>
        <v>0</v>
      </c>
      <c r="U274" s="864">
        <f t="shared" si="64"/>
        <v>0</v>
      </c>
      <c r="V274" s="862"/>
      <c r="W274" s="861">
        <f t="shared" si="62"/>
        <v>0</v>
      </c>
      <c r="X274" s="864">
        <f t="shared" si="65"/>
        <v>0</v>
      </c>
      <c r="Y274" s="866">
        <f t="shared" si="60"/>
        <v>0</v>
      </c>
      <c r="Z274" s="751"/>
      <c r="AA274" s="739"/>
      <c r="AB274" s="753"/>
      <c r="AC274" s="752">
        <f t="shared" si="66"/>
        <v>0</v>
      </c>
      <c r="AD274" s="739"/>
      <c r="AE274" s="891"/>
      <c r="AF274" s="891"/>
      <c r="AG274" s="891"/>
      <c r="AH274" s="891"/>
      <c r="AI274" s="900"/>
      <c r="AJ274" s="749"/>
      <c r="AK274" s="772"/>
      <c r="AL274" s="873"/>
      <c r="AM274" s="862">
        <f t="shared" si="67"/>
        <v>0</v>
      </c>
      <c r="AN274" s="755" t="str">
        <f t="shared" ca="1" si="68"/>
        <v/>
      </c>
      <c r="AO274" s="753"/>
      <c r="AP274" s="753"/>
      <c r="AQ274" s="753"/>
      <c r="AR274" s="753"/>
      <c r="AS274" s="753"/>
      <c r="AT274" s="739"/>
      <c r="AU274" s="739"/>
      <c r="AV274" s="739"/>
      <c r="AW274" s="739"/>
      <c r="AX274" s="739"/>
      <c r="AY274" s="882"/>
      <c r="AZ274" s="739"/>
      <c r="BA274" s="739"/>
      <c r="BB274" s="739"/>
      <c r="BC274" s="739"/>
      <c r="BD274" s="739">
        <f t="shared" si="59"/>
        <v>0</v>
      </c>
      <c r="BE274" s="739"/>
      <c r="BF274" s="882">
        <f t="shared" si="69"/>
        <v>0</v>
      </c>
    </row>
    <row r="275" spans="1:58" x14ac:dyDescent="0.25">
      <c r="A275" s="931"/>
      <c r="B275" s="773"/>
      <c r="C275" s="897"/>
      <c r="D275" s="928"/>
      <c r="E275" s="749"/>
      <c r="F275" s="753">
        <f t="shared" si="58"/>
        <v>0</v>
      </c>
      <c r="G275" s="773"/>
      <c r="H275" s="753"/>
      <c r="I275" s="746"/>
      <c r="J275" s="771"/>
      <c r="K275" s="771"/>
      <c r="L275" s="771"/>
      <c r="M275" s="927" t="str">
        <f t="shared" si="61"/>
        <v xml:space="preserve">  </v>
      </c>
      <c r="N275" s="749"/>
      <c r="O275" s="749"/>
      <c r="P275" s="749"/>
      <c r="Q275" s="749"/>
      <c r="R275" s="937"/>
      <c r="S275" s="861"/>
      <c r="T275" s="861">
        <f t="shared" si="63"/>
        <v>0</v>
      </c>
      <c r="U275" s="864">
        <f t="shared" si="64"/>
        <v>0</v>
      </c>
      <c r="V275" s="862"/>
      <c r="W275" s="861">
        <f t="shared" si="62"/>
        <v>0</v>
      </c>
      <c r="X275" s="864">
        <f t="shared" si="65"/>
        <v>0</v>
      </c>
      <c r="Y275" s="866">
        <f t="shared" si="60"/>
        <v>0</v>
      </c>
      <c r="Z275" s="751"/>
      <c r="AA275" s="739"/>
      <c r="AB275" s="753"/>
      <c r="AC275" s="752">
        <f t="shared" si="66"/>
        <v>0</v>
      </c>
      <c r="AD275" s="739"/>
      <c r="AE275" s="891"/>
      <c r="AF275" s="891"/>
      <c r="AG275" s="891"/>
      <c r="AH275" s="891"/>
      <c r="AI275" s="900"/>
      <c r="AJ275" s="749"/>
      <c r="AK275" s="772"/>
      <c r="AL275" s="873"/>
      <c r="AM275" s="862">
        <f t="shared" si="67"/>
        <v>0</v>
      </c>
      <c r="AN275" s="755" t="str">
        <f t="shared" ca="1" si="68"/>
        <v/>
      </c>
      <c r="AO275" s="753"/>
      <c r="AP275" s="753"/>
      <c r="AQ275" s="753"/>
      <c r="AR275" s="753"/>
      <c r="AS275" s="753"/>
      <c r="AT275" s="739"/>
      <c r="AU275" s="739"/>
      <c r="AV275" s="739"/>
      <c r="AW275" s="739"/>
      <c r="AX275" s="739"/>
      <c r="AY275" s="882"/>
      <c r="AZ275" s="739"/>
      <c r="BA275" s="739"/>
      <c r="BB275" s="739"/>
      <c r="BC275" s="739"/>
      <c r="BD275" s="739">
        <f t="shared" si="59"/>
        <v>0</v>
      </c>
      <c r="BE275" s="739"/>
      <c r="BF275" s="882">
        <f t="shared" si="69"/>
        <v>0</v>
      </c>
    </row>
    <row r="276" spans="1:58" x14ac:dyDescent="0.25">
      <c r="A276" s="931"/>
      <c r="B276" s="773"/>
      <c r="C276" s="897"/>
      <c r="D276" s="928"/>
      <c r="E276" s="749"/>
      <c r="F276" s="753">
        <f t="shared" si="58"/>
        <v>0</v>
      </c>
      <c r="G276" s="773"/>
      <c r="H276" s="753"/>
      <c r="I276" s="746"/>
      <c r="J276" s="771"/>
      <c r="K276" s="771"/>
      <c r="L276" s="771"/>
      <c r="M276" s="927" t="str">
        <f t="shared" si="61"/>
        <v xml:space="preserve">  </v>
      </c>
      <c r="N276" s="749"/>
      <c r="O276" s="749"/>
      <c r="P276" s="749"/>
      <c r="Q276" s="749"/>
      <c r="R276" s="937"/>
      <c r="S276" s="861"/>
      <c r="T276" s="861">
        <f t="shared" si="63"/>
        <v>0</v>
      </c>
      <c r="U276" s="864">
        <f t="shared" si="64"/>
        <v>0</v>
      </c>
      <c r="V276" s="862"/>
      <c r="W276" s="861">
        <f t="shared" si="62"/>
        <v>0</v>
      </c>
      <c r="X276" s="864">
        <f t="shared" si="65"/>
        <v>0</v>
      </c>
      <c r="Y276" s="866">
        <f t="shared" si="60"/>
        <v>0</v>
      </c>
      <c r="Z276" s="751"/>
      <c r="AA276" s="739"/>
      <c r="AB276" s="753"/>
      <c r="AC276" s="752">
        <f t="shared" si="66"/>
        <v>0</v>
      </c>
      <c r="AD276" s="739"/>
      <c r="AE276" s="891"/>
      <c r="AF276" s="891"/>
      <c r="AG276" s="891"/>
      <c r="AH276" s="891"/>
      <c r="AI276" s="900"/>
      <c r="AJ276" s="749"/>
      <c r="AK276" s="772"/>
      <c r="AL276" s="873"/>
      <c r="AM276" s="862">
        <f t="shared" si="67"/>
        <v>0</v>
      </c>
      <c r="AN276" s="755" t="str">
        <f t="shared" ca="1" si="68"/>
        <v/>
      </c>
      <c r="AO276" s="753"/>
      <c r="AP276" s="753"/>
      <c r="AQ276" s="753"/>
      <c r="AR276" s="753"/>
      <c r="AS276" s="753"/>
      <c r="AT276" s="739"/>
      <c r="AU276" s="739"/>
      <c r="AV276" s="739"/>
      <c r="AW276" s="739"/>
      <c r="AX276" s="739"/>
      <c r="AY276" s="882"/>
      <c r="AZ276" s="739"/>
      <c r="BA276" s="739"/>
      <c r="BB276" s="739"/>
      <c r="BC276" s="739"/>
      <c r="BD276" s="739">
        <f t="shared" si="59"/>
        <v>0</v>
      </c>
      <c r="BE276" s="739"/>
      <c r="BF276" s="882">
        <f t="shared" si="69"/>
        <v>0</v>
      </c>
    </row>
    <row r="277" spans="1:58" x14ac:dyDescent="0.25">
      <c r="A277" s="931"/>
      <c r="B277" s="773"/>
      <c r="C277" s="897"/>
      <c r="D277" s="928"/>
      <c r="E277" s="749"/>
      <c r="F277" s="753">
        <f t="shared" si="58"/>
        <v>0</v>
      </c>
      <c r="G277" s="773"/>
      <c r="H277" s="753"/>
      <c r="I277" s="746"/>
      <c r="J277" s="771"/>
      <c r="K277" s="771"/>
      <c r="L277" s="771"/>
      <c r="M277" s="927" t="str">
        <f t="shared" si="61"/>
        <v xml:space="preserve">  </v>
      </c>
      <c r="N277" s="749"/>
      <c r="O277" s="749"/>
      <c r="P277" s="749"/>
      <c r="Q277" s="749"/>
      <c r="R277" s="937"/>
      <c r="S277" s="861"/>
      <c r="T277" s="861">
        <f t="shared" si="63"/>
        <v>0</v>
      </c>
      <c r="U277" s="864">
        <f t="shared" si="64"/>
        <v>0</v>
      </c>
      <c r="V277" s="862"/>
      <c r="W277" s="861">
        <f t="shared" si="62"/>
        <v>0</v>
      </c>
      <c r="X277" s="864">
        <f t="shared" si="65"/>
        <v>0</v>
      </c>
      <c r="Y277" s="866">
        <f t="shared" si="60"/>
        <v>0</v>
      </c>
      <c r="Z277" s="751"/>
      <c r="AA277" s="739"/>
      <c r="AB277" s="753"/>
      <c r="AC277" s="752">
        <f t="shared" si="66"/>
        <v>0</v>
      </c>
      <c r="AD277" s="739"/>
      <c r="AE277" s="891"/>
      <c r="AF277" s="891"/>
      <c r="AG277" s="891"/>
      <c r="AH277" s="891"/>
      <c r="AI277" s="900"/>
      <c r="AJ277" s="749"/>
      <c r="AK277" s="772"/>
      <c r="AL277" s="873"/>
      <c r="AM277" s="862">
        <f t="shared" si="67"/>
        <v>0</v>
      </c>
      <c r="AN277" s="755" t="str">
        <f t="shared" ca="1" si="68"/>
        <v/>
      </c>
      <c r="AO277" s="753"/>
      <c r="AP277" s="753"/>
      <c r="AQ277" s="753"/>
      <c r="AR277" s="753"/>
      <c r="AS277" s="753"/>
      <c r="AT277" s="739"/>
      <c r="AU277" s="739"/>
      <c r="AV277" s="739"/>
      <c r="AW277" s="739"/>
      <c r="AX277" s="739"/>
      <c r="AY277" s="882"/>
      <c r="AZ277" s="739"/>
      <c r="BA277" s="739"/>
      <c r="BB277" s="739"/>
      <c r="BC277" s="739"/>
      <c r="BD277" s="739">
        <f t="shared" si="59"/>
        <v>0</v>
      </c>
      <c r="BE277" s="739"/>
      <c r="BF277" s="882">
        <f t="shared" si="69"/>
        <v>0</v>
      </c>
    </row>
    <row r="278" spans="1:58" x14ac:dyDescent="0.25">
      <c r="A278" s="931"/>
      <c r="B278" s="773"/>
      <c r="C278" s="897"/>
      <c r="D278" s="928"/>
      <c r="E278" s="749"/>
      <c r="F278" s="753">
        <f t="shared" si="58"/>
        <v>0</v>
      </c>
      <c r="G278" s="773"/>
      <c r="H278" s="753"/>
      <c r="I278" s="746"/>
      <c r="J278" s="771"/>
      <c r="K278" s="771"/>
      <c r="L278" s="771"/>
      <c r="M278" s="927" t="str">
        <f t="shared" si="61"/>
        <v xml:space="preserve">  </v>
      </c>
      <c r="N278" s="749"/>
      <c r="O278" s="749"/>
      <c r="P278" s="749"/>
      <c r="Q278" s="749"/>
      <c r="R278" s="937"/>
      <c r="S278" s="861"/>
      <c r="T278" s="861">
        <f t="shared" si="63"/>
        <v>0</v>
      </c>
      <c r="U278" s="864">
        <f t="shared" si="64"/>
        <v>0</v>
      </c>
      <c r="V278" s="862"/>
      <c r="W278" s="861">
        <f t="shared" si="62"/>
        <v>0</v>
      </c>
      <c r="X278" s="864">
        <f t="shared" si="65"/>
        <v>0</v>
      </c>
      <c r="Y278" s="866">
        <f t="shared" si="60"/>
        <v>0</v>
      </c>
      <c r="Z278" s="751"/>
      <c r="AA278" s="739"/>
      <c r="AB278" s="753"/>
      <c r="AC278" s="752">
        <f t="shared" si="66"/>
        <v>0</v>
      </c>
      <c r="AD278" s="739"/>
      <c r="AE278" s="891"/>
      <c r="AF278" s="891"/>
      <c r="AG278" s="891"/>
      <c r="AH278" s="891"/>
      <c r="AI278" s="900"/>
      <c r="AJ278" s="749"/>
      <c r="AK278" s="772"/>
      <c r="AL278" s="873"/>
      <c r="AM278" s="862">
        <f t="shared" si="67"/>
        <v>0</v>
      </c>
      <c r="AN278" s="755" t="str">
        <f t="shared" ca="1" si="68"/>
        <v/>
      </c>
      <c r="AO278" s="753"/>
      <c r="AP278" s="753"/>
      <c r="AQ278" s="753"/>
      <c r="AR278" s="753"/>
      <c r="AS278" s="753"/>
      <c r="AT278" s="739"/>
      <c r="AU278" s="739"/>
      <c r="AV278" s="739"/>
      <c r="AW278" s="739"/>
      <c r="AX278" s="739"/>
      <c r="AY278" s="882"/>
      <c r="AZ278" s="739"/>
      <c r="BA278" s="739"/>
      <c r="BB278" s="739"/>
      <c r="BC278" s="739"/>
      <c r="BD278" s="739">
        <f t="shared" si="59"/>
        <v>0</v>
      </c>
      <c r="BE278" s="739"/>
      <c r="BF278" s="882">
        <f t="shared" si="69"/>
        <v>0</v>
      </c>
    </row>
    <row r="279" spans="1:58" x14ac:dyDescent="0.25">
      <c r="A279" s="931"/>
      <c r="B279" s="773"/>
      <c r="C279" s="897"/>
      <c r="D279" s="928"/>
      <c r="E279" s="749"/>
      <c r="F279" s="753">
        <f t="shared" si="58"/>
        <v>0</v>
      </c>
      <c r="G279" s="773"/>
      <c r="H279" s="753"/>
      <c r="I279" s="746"/>
      <c r="J279" s="747"/>
      <c r="K279" s="747"/>
      <c r="L279" s="747"/>
      <c r="M279" s="927" t="str">
        <f t="shared" si="61"/>
        <v xml:space="preserve">  </v>
      </c>
      <c r="N279" s="749"/>
      <c r="O279" s="749"/>
      <c r="P279" s="749"/>
      <c r="Q279" s="749"/>
      <c r="R279" s="937"/>
      <c r="S279" s="861"/>
      <c r="T279" s="861">
        <f t="shared" si="63"/>
        <v>0</v>
      </c>
      <c r="U279" s="864">
        <f t="shared" si="64"/>
        <v>0</v>
      </c>
      <c r="V279" s="862"/>
      <c r="W279" s="861">
        <f t="shared" si="62"/>
        <v>0</v>
      </c>
      <c r="X279" s="864">
        <f t="shared" si="65"/>
        <v>0</v>
      </c>
      <c r="Y279" s="866">
        <f t="shared" si="60"/>
        <v>0</v>
      </c>
      <c r="Z279" s="751"/>
      <c r="AA279" s="739"/>
      <c r="AB279" s="753"/>
      <c r="AC279" s="752">
        <f t="shared" si="66"/>
        <v>0</v>
      </c>
      <c r="AD279" s="739"/>
      <c r="AE279" s="891"/>
      <c r="AF279" s="891"/>
      <c r="AG279" s="891"/>
      <c r="AH279" s="891"/>
      <c r="AI279" s="900"/>
      <c r="AJ279" s="749"/>
      <c r="AK279" s="772"/>
      <c r="AL279" s="873"/>
      <c r="AM279" s="862">
        <f t="shared" si="67"/>
        <v>0</v>
      </c>
      <c r="AN279" s="755" t="str">
        <f t="shared" ca="1" si="68"/>
        <v/>
      </c>
      <c r="AO279" s="753"/>
      <c r="AP279" s="753"/>
      <c r="AQ279" s="753"/>
      <c r="AR279" s="753"/>
      <c r="AS279" s="753"/>
      <c r="AT279" s="739"/>
      <c r="AU279" s="739"/>
      <c r="AV279" s="739"/>
      <c r="AW279" s="739"/>
      <c r="AX279" s="739"/>
      <c r="AY279" s="882"/>
      <c r="AZ279" s="739"/>
      <c r="BA279" s="739"/>
      <c r="BB279" s="739"/>
      <c r="BC279" s="739"/>
      <c r="BD279" s="739">
        <f t="shared" si="59"/>
        <v>0</v>
      </c>
      <c r="BE279" s="739"/>
      <c r="BF279" s="882">
        <f t="shared" si="69"/>
        <v>0</v>
      </c>
    </row>
    <row r="280" spans="1:58" ht="15.75" thickBot="1" x14ac:dyDescent="0.3">
      <c r="A280" s="931"/>
      <c r="B280" s="773"/>
      <c r="C280" s="897"/>
      <c r="D280" s="928"/>
      <c r="E280" s="749"/>
      <c r="F280" s="753">
        <f t="shared" si="58"/>
        <v>0</v>
      </c>
      <c r="G280" s="773"/>
      <c r="H280" s="753"/>
      <c r="I280" s="746"/>
      <c r="J280" s="747"/>
      <c r="K280" s="747"/>
      <c r="L280" s="747"/>
      <c r="M280" s="927" t="str">
        <f t="shared" si="61"/>
        <v xml:space="preserve">  </v>
      </c>
      <c r="N280" s="749"/>
      <c r="O280" s="749"/>
      <c r="P280" s="749"/>
      <c r="Q280" s="749"/>
      <c r="R280" s="937"/>
      <c r="S280" s="861"/>
      <c r="T280" s="861">
        <f t="shared" si="63"/>
        <v>0</v>
      </c>
      <c r="U280" s="864">
        <f t="shared" si="64"/>
        <v>0</v>
      </c>
      <c r="V280" s="862"/>
      <c r="W280" s="861">
        <f t="shared" si="62"/>
        <v>0</v>
      </c>
      <c r="X280" s="864">
        <f t="shared" si="65"/>
        <v>0</v>
      </c>
      <c r="Y280" s="866">
        <f t="shared" si="60"/>
        <v>0</v>
      </c>
      <c r="Z280" s="751"/>
      <c r="AA280" s="739"/>
      <c r="AB280" s="753"/>
      <c r="AC280" s="752">
        <f t="shared" si="66"/>
        <v>0</v>
      </c>
      <c r="AD280" s="739"/>
      <c r="AE280" s="891"/>
      <c r="AF280" s="891"/>
      <c r="AG280" s="891"/>
      <c r="AH280" s="891"/>
      <c r="AI280" s="900"/>
      <c r="AJ280" s="749"/>
      <c r="AK280" s="772"/>
      <c r="AL280" s="873"/>
      <c r="AM280" s="862">
        <f t="shared" si="67"/>
        <v>0</v>
      </c>
      <c r="AN280" s="755" t="str">
        <f t="shared" ca="1" si="68"/>
        <v/>
      </c>
      <c r="AO280" s="753"/>
      <c r="AP280" s="753"/>
      <c r="AQ280" s="753"/>
      <c r="AR280" s="753"/>
      <c r="AS280" s="753"/>
      <c r="AT280" s="739"/>
      <c r="AU280" s="739"/>
      <c r="AV280" s="739"/>
      <c r="AW280" s="739"/>
      <c r="AX280" s="739"/>
      <c r="AY280" s="882"/>
      <c r="AZ280" s="739"/>
      <c r="BA280" s="739"/>
      <c r="BB280" s="739"/>
      <c r="BC280" s="739"/>
      <c r="BD280" s="739">
        <f t="shared" si="59"/>
        <v>0</v>
      </c>
      <c r="BE280" s="739"/>
      <c r="BF280" s="882">
        <f t="shared" si="69"/>
        <v>0</v>
      </c>
    </row>
    <row r="281" spans="1:58" ht="15.75" hidden="1" thickBot="1" x14ac:dyDescent="0.3">
      <c r="AS281" s="753"/>
    </row>
    <row r="282" spans="1:58" ht="15.75" thickBot="1" x14ac:dyDescent="0.3">
      <c r="R282" s="865" t="s">
        <v>7518</v>
      </c>
      <c r="S282" s="952">
        <f t="shared" ref="S282:X282" si="70">SUM(S43:S281)</f>
        <v>84834622.309999987</v>
      </c>
      <c r="T282" s="953">
        <f t="shared" si="70"/>
        <v>9205614.5471999999</v>
      </c>
      <c r="U282" s="953">
        <f t="shared" si="70"/>
        <v>94040236.857199997</v>
      </c>
      <c r="V282" s="954">
        <f t="shared" si="70"/>
        <v>27098781.949999999</v>
      </c>
      <c r="W282" s="955">
        <f>SUM(W43:W281)</f>
        <v>4335805.1120000007</v>
      </c>
      <c r="X282" s="955">
        <f t="shared" si="70"/>
        <v>31434587.061999999</v>
      </c>
      <c r="Y282" s="955">
        <f>SUM(Y15:Y280)</f>
        <v>508972048.48000002</v>
      </c>
    </row>
    <row r="287" spans="1:58" s="815" customFormat="1" x14ac:dyDescent="0.25">
      <c r="A287" s="814"/>
      <c r="B287" s="757"/>
      <c r="C287" s="740"/>
      <c r="D287" s="820" t="s">
        <v>86</v>
      </c>
      <c r="E287" s="821" t="s">
        <v>1081</v>
      </c>
      <c r="F287" s="820" t="s">
        <v>1082</v>
      </c>
      <c r="G287" s="757"/>
      <c r="H287" s="757"/>
      <c r="I287" s="814"/>
      <c r="J287" s="757"/>
      <c r="K287" s="757"/>
      <c r="L287" s="757"/>
      <c r="M287" s="910"/>
      <c r="N287" s="814"/>
      <c r="O287" s="814"/>
      <c r="P287" s="814"/>
      <c r="Q287" s="814"/>
      <c r="S287" s="860"/>
      <c r="T287" s="816"/>
      <c r="U287" s="816"/>
      <c r="V287" s="860"/>
      <c r="W287" s="816"/>
      <c r="X287" s="816"/>
      <c r="Y287" s="816"/>
      <c r="Z287" s="757"/>
      <c r="AA287" s="817"/>
      <c r="AB287" s="757"/>
      <c r="AC287" s="818"/>
      <c r="AD287" s="818"/>
      <c r="AE287" s="895"/>
      <c r="AF287" s="895"/>
      <c r="AG287" s="895"/>
      <c r="AH287" s="895"/>
      <c r="AI287" s="907"/>
      <c r="AJ287" s="757"/>
      <c r="AK287" s="817"/>
      <c r="AL287" s="816"/>
      <c r="AM287" s="816"/>
      <c r="AN287" s="757"/>
      <c r="AO287" s="740"/>
      <c r="AP287" s="740"/>
      <c r="AQ287" s="757"/>
      <c r="AR287" s="757"/>
      <c r="AS287" s="757"/>
      <c r="AT287" s="819"/>
      <c r="AU287" s="819"/>
      <c r="AV287" s="819"/>
      <c r="AW287" s="819"/>
      <c r="AX287" s="819"/>
      <c r="AY287" s="819"/>
      <c r="AZ287" s="819"/>
      <c r="BA287" s="819"/>
      <c r="BB287" s="819"/>
      <c r="BC287" s="819"/>
      <c r="BD287" s="819"/>
      <c r="BE287" s="819"/>
      <c r="BF287" s="819"/>
    </row>
    <row r="288" spans="1:58" s="815" customFormat="1" x14ac:dyDescent="0.25">
      <c r="A288" s="814"/>
      <c r="B288" s="757"/>
      <c r="C288" s="740"/>
      <c r="D288" s="745" t="s">
        <v>163</v>
      </c>
      <c r="E288" s="822">
        <f>+SUMIF($D$43:$D$279,D288,$Y$43:$Y$279)</f>
        <v>29748569.829999998</v>
      </c>
      <c r="F288" s="823">
        <f>COUNTIF($D$43:$D$279,D288)</f>
        <v>7</v>
      </c>
      <c r="G288" s="901"/>
      <c r="H288" s="757"/>
      <c r="I288" s="757"/>
      <c r="J288" s="757"/>
      <c r="K288" s="757"/>
      <c r="L288" s="814"/>
      <c r="M288" s="911"/>
      <c r="N288" s="814"/>
      <c r="O288" s="814"/>
      <c r="P288" s="814"/>
      <c r="Q288" s="814"/>
      <c r="S288" s="860"/>
      <c r="T288" s="816"/>
      <c r="U288" s="816"/>
      <c r="V288" s="860"/>
      <c r="W288" s="816"/>
      <c r="X288" s="816"/>
      <c r="Y288" s="816"/>
      <c r="Z288" s="757"/>
      <c r="AA288" s="817"/>
      <c r="AB288" s="757"/>
      <c r="AC288" s="818"/>
      <c r="AD288" s="818"/>
      <c r="AE288" s="895"/>
      <c r="AF288" s="895"/>
      <c r="AG288" s="895"/>
      <c r="AH288" s="895"/>
      <c r="AI288" s="907"/>
      <c r="AJ288" s="757"/>
      <c r="AK288" s="817"/>
      <c r="AL288" s="816"/>
      <c r="AM288" s="816"/>
      <c r="AN288" s="757"/>
      <c r="AO288" s="740"/>
      <c r="AP288" s="740"/>
      <c r="AQ288" s="757"/>
      <c r="AR288" s="757"/>
      <c r="AS288" s="757"/>
      <c r="AT288" s="819"/>
      <c r="AU288" s="819"/>
      <c r="AV288" s="819"/>
      <c r="AW288" s="819"/>
      <c r="AX288" s="819"/>
      <c r="AY288" s="819"/>
      <c r="AZ288" s="819"/>
      <c r="BA288" s="819"/>
      <c r="BB288" s="819"/>
      <c r="BC288" s="819"/>
      <c r="BD288" s="819"/>
      <c r="BE288" s="819"/>
      <c r="BF288" s="819"/>
    </row>
    <row r="289" spans="1:58" s="815" customFormat="1" x14ac:dyDescent="0.25">
      <c r="A289" s="814"/>
      <c r="B289" s="757"/>
      <c r="C289" s="740"/>
      <c r="D289" s="745" t="s">
        <v>173</v>
      </c>
      <c r="E289" s="822">
        <f>+SUMIF($D$43:$D$279,D289,$Y$43:$Y$279)</f>
        <v>0</v>
      </c>
      <c r="F289" s="823"/>
      <c r="G289" s="901"/>
      <c r="H289" s="816">
        <f ca="1">+SUMIF($D$15:$D$280,E288,$T$43:$T$280)</f>
        <v>0</v>
      </c>
      <c r="I289" s="816">
        <f ca="1">+SUMIF($D$15:$D$280,F288,$T$43:$T$280)</f>
        <v>0</v>
      </c>
      <c r="J289" s="816">
        <f ca="1">+SUMIF($D$15:$D$280,H289,$T$43:$T$280)</f>
        <v>0</v>
      </c>
      <c r="K289" s="816">
        <f ca="1">+SUMIF($D$15:$D$280,I289,$T$43:$T$280)</f>
        <v>0</v>
      </c>
      <c r="L289" s="816">
        <f ca="1">+SUMIF($D$15:$D$280,J289,$T$43:$T$280)</f>
        <v>0</v>
      </c>
      <c r="M289" s="912">
        <f ca="1">+SUMIF($D$15:$D$280,K289,$T$43:$T$280)</f>
        <v>0</v>
      </c>
      <c r="N289" s="816">
        <f ca="1">+SUMIF($D$15:$D$280,L289,$T$43:$T$280)</f>
        <v>0</v>
      </c>
      <c r="O289" s="816"/>
      <c r="P289" s="816">
        <f ca="1">+SUMIF($D$15:$D$280,M289,$T$43:$T$280)</f>
        <v>0</v>
      </c>
      <c r="Q289" s="814"/>
      <c r="S289" s="860"/>
      <c r="T289" s="816"/>
      <c r="U289" s="816"/>
      <c r="V289" s="860"/>
      <c r="W289" s="816"/>
      <c r="X289" s="816"/>
      <c r="Y289" s="816"/>
      <c r="Z289" s="757"/>
      <c r="AA289" s="817"/>
      <c r="AB289" s="757"/>
      <c r="AC289" s="818"/>
      <c r="AD289" s="818"/>
      <c r="AE289" s="895"/>
      <c r="AF289" s="895"/>
      <c r="AG289" s="895"/>
      <c r="AH289" s="895"/>
      <c r="AI289" s="907"/>
      <c r="AJ289" s="757"/>
      <c r="AK289" s="817"/>
      <c r="AL289" s="816"/>
      <c r="AM289" s="816"/>
      <c r="AN289" s="757"/>
      <c r="AO289" s="740"/>
      <c r="AP289" s="740"/>
      <c r="AQ289" s="757"/>
      <c r="AR289" s="757"/>
      <c r="AS289" s="757"/>
      <c r="AT289" s="819"/>
      <c r="AU289" s="819"/>
      <c r="AV289" s="819"/>
      <c r="AW289" s="819"/>
      <c r="AX289" s="819"/>
      <c r="AY289" s="819"/>
      <c r="AZ289" s="819"/>
      <c r="BA289" s="819"/>
      <c r="BB289" s="819"/>
      <c r="BC289" s="819"/>
      <c r="BD289" s="819"/>
      <c r="BE289" s="819"/>
      <c r="BF289" s="819"/>
    </row>
    <row r="290" spans="1:58" s="815" customFormat="1" x14ac:dyDescent="0.25">
      <c r="A290" s="814"/>
      <c r="B290" s="757"/>
      <c r="C290" s="740"/>
      <c r="D290" s="885" t="s">
        <v>151</v>
      </c>
      <c r="E290" s="886">
        <f>+SUMIF($D$43:$D$279,D290,$Y$43:$Y$279)</f>
        <v>30887184.830000002</v>
      </c>
      <c r="F290" s="823"/>
      <c r="G290" s="901"/>
      <c r="H290" s="757"/>
      <c r="I290" s="757"/>
      <c r="J290" s="757"/>
      <c r="K290" s="757"/>
      <c r="L290" s="814"/>
      <c r="M290" s="911"/>
      <c r="N290" s="814"/>
      <c r="O290" s="814"/>
      <c r="P290" s="814"/>
      <c r="Q290" s="814"/>
      <c r="S290" s="860"/>
      <c r="T290" s="816"/>
      <c r="U290" s="816"/>
      <c r="V290" s="860"/>
      <c r="W290" s="816"/>
      <c r="X290" s="816"/>
      <c r="Y290" s="816"/>
      <c r="Z290" s="757"/>
      <c r="AA290" s="817"/>
      <c r="AB290" s="757"/>
      <c r="AC290" s="818"/>
      <c r="AD290" s="818"/>
      <c r="AE290" s="895"/>
      <c r="AF290" s="895"/>
      <c r="AG290" s="895"/>
      <c r="AH290" s="895"/>
      <c r="AI290" s="907"/>
      <c r="AJ290" s="757"/>
      <c r="AK290" s="817"/>
      <c r="AL290" s="816"/>
      <c r="AM290" s="816"/>
      <c r="AN290" s="757"/>
      <c r="AO290" s="740"/>
      <c r="AP290" s="740"/>
      <c r="AQ290" s="757"/>
      <c r="AR290" s="757"/>
      <c r="AS290" s="757"/>
      <c r="AT290" s="819"/>
      <c r="AU290" s="819"/>
      <c r="AV290" s="819"/>
      <c r="AW290" s="819"/>
      <c r="AX290" s="819"/>
      <c r="AY290" s="819"/>
      <c r="AZ290" s="819"/>
      <c r="BA290" s="819"/>
      <c r="BB290" s="819"/>
      <c r="BC290" s="819"/>
      <c r="BD290" s="819"/>
      <c r="BE290" s="819"/>
      <c r="BF290" s="819"/>
    </row>
    <row r="291" spans="1:58" s="815" customFormat="1" x14ac:dyDescent="0.25">
      <c r="A291" s="814"/>
      <c r="B291" s="757"/>
      <c r="C291" s="740"/>
      <c r="D291" s="887" t="s">
        <v>1083</v>
      </c>
      <c r="E291" s="888">
        <f>SUM(E288:E290)</f>
        <v>60635754.659999996</v>
      </c>
      <c r="F291" s="824"/>
      <c r="G291" s="902"/>
      <c r="H291" s="757"/>
      <c r="I291" s="757"/>
      <c r="J291" s="757"/>
      <c r="K291" s="757"/>
      <c r="L291" s="814"/>
      <c r="M291" s="911"/>
      <c r="N291" s="825"/>
      <c r="O291" s="825"/>
      <c r="P291" s="814"/>
      <c r="Q291" s="814"/>
      <c r="S291" s="860"/>
      <c r="T291" s="816"/>
      <c r="U291" s="816"/>
      <c r="V291" s="860"/>
      <c r="W291" s="816"/>
      <c r="X291" s="816"/>
      <c r="Y291" s="816"/>
      <c r="Z291" s="757"/>
      <c r="AA291" s="817"/>
      <c r="AB291" s="757"/>
      <c r="AC291" s="818"/>
      <c r="AD291" s="818"/>
      <c r="AE291" s="895"/>
      <c r="AF291" s="895"/>
      <c r="AG291" s="895"/>
      <c r="AH291" s="895"/>
      <c r="AI291" s="907"/>
      <c r="AJ291" s="757"/>
      <c r="AK291" s="817"/>
      <c r="AL291" s="816"/>
      <c r="AM291" s="816"/>
      <c r="AN291" s="757"/>
      <c r="AO291" s="740"/>
      <c r="AP291" s="740"/>
      <c r="AQ291" s="757"/>
      <c r="AR291" s="757"/>
      <c r="AS291" s="757"/>
      <c r="AT291" s="819"/>
      <c r="AU291" s="819"/>
      <c r="AV291" s="819"/>
      <c r="AW291" s="819"/>
      <c r="AX291" s="819"/>
      <c r="AY291" s="819"/>
      <c r="AZ291" s="819"/>
      <c r="BA291" s="819"/>
      <c r="BB291" s="819"/>
      <c r="BC291" s="819"/>
      <c r="BD291" s="819"/>
      <c r="BE291" s="819"/>
      <c r="BF291" s="819"/>
    </row>
    <row r="292" spans="1:58" s="815" customFormat="1" x14ac:dyDescent="0.25">
      <c r="A292" s="814"/>
      <c r="B292" s="757"/>
      <c r="C292" s="740"/>
      <c r="D292" s="887" t="s">
        <v>1084</v>
      </c>
      <c r="E292" s="888">
        <f>+U282</f>
        <v>94040236.857199997</v>
      </c>
      <c r="F292" s="740"/>
      <c r="G292" s="814"/>
      <c r="H292" s="757"/>
      <c r="I292" s="757"/>
      <c r="J292" s="757"/>
      <c r="K292" s="757"/>
      <c r="L292" s="814"/>
      <c r="M292" s="911"/>
      <c r="N292" s="825"/>
      <c r="O292" s="825"/>
      <c r="P292" s="825"/>
      <c r="Q292" s="814"/>
      <c r="S292" s="860"/>
      <c r="T292" s="816"/>
      <c r="U292" s="816"/>
      <c r="V292" s="860"/>
      <c r="W292" s="816"/>
      <c r="X292" s="816"/>
      <c r="Y292" s="816"/>
      <c r="Z292" s="757"/>
      <c r="AA292" s="817"/>
      <c r="AB292" s="757"/>
      <c r="AC292" s="818"/>
      <c r="AD292" s="818"/>
      <c r="AE292" s="895"/>
      <c r="AF292" s="895"/>
      <c r="AG292" s="895"/>
      <c r="AH292" s="895"/>
      <c r="AI292" s="907"/>
      <c r="AJ292" s="757"/>
      <c r="AK292" s="817"/>
      <c r="AL292" s="816"/>
      <c r="AM292" s="816"/>
      <c r="AN292" s="757"/>
      <c r="AO292" s="740"/>
      <c r="AP292" s="740"/>
      <c r="AQ292" s="757"/>
      <c r="AR292" s="757"/>
      <c r="AS292" s="757"/>
      <c r="AT292" s="819"/>
      <c r="AU292" s="819"/>
      <c r="AV292" s="819"/>
      <c r="AW292" s="819"/>
      <c r="AX292" s="819"/>
      <c r="AY292" s="819"/>
      <c r="AZ292" s="819"/>
      <c r="BA292" s="819"/>
      <c r="BB292" s="819"/>
      <c r="BC292" s="819"/>
      <c r="BD292" s="819"/>
      <c r="BE292" s="819"/>
      <c r="BF292" s="819"/>
    </row>
    <row r="293" spans="1:58" s="815" customFormat="1" x14ac:dyDescent="0.25">
      <c r="A293" s="814"/>
      <c r="B293" s="757"/>
      <c r="C293" s="740"/>
      <c r="D293" s="757"/>
      <c r="E293" s="826"/>
      <c r="F293" s="740"/>
      <c r="G293" s="814"/>
      <c r="H293" s="757"/>
      <c r="I293" s="757"/>
      <c r="J293" s="757"/>
      <c r="K293" s="757"/>
      <c r="L293" s="814"/>
      <c r="M293" s="911"/>
      <c r="N293" s="825"/>
      <c r="O293" s="825"/>
      <c r="P293" s="825"/>
      <c r="Q293" s="814"/>
      <c r="S293" s="860"/>
      <c r="T293" s="816"/>
      <c r="U293" s="816"/>
      <c r="V293" s="860"/>
      <c r="W293" s="816"/>
      <c r="X293" s="816"/>
      <c r="Y293" s="816"/>
      <c r="Z293" s="757"/>
      <c r="AA293" s="817"/>
      <c r="AB293" s="757"/>
      <c r="AC293" s="818"/>
      <c r="AD293" s="818"/>
      <c r="AE293" s="895"/>
      <c r="AF293" s="895"/>
      <c r="AG293" s="895"/>
      <c r="AH293" s="895"/>
      <c r="AI293" s="907"/>
      <c r="AJ293" s="757"/>
      <c r="AK293" s="817"/>
      <c r="AL293" s="816"/>
      <c r="AM293" s="816"/>
      <c r="AN293" s="757"/>
      <c r="AO293" s="740"/>
      <c r="AP293" s="740"/>
      <c r="AQ293" s="757"/>
      <c r="AR293" s="757"/>
      <c r="AS293" s="757"/>
      <c r="AT293" s="819"/>
      <c r="AU293" s="819"/>
      <c r="AV293" s="819"/>
      <c r="AW293" s="819"/>
      <c r="AX293" s="819"/>
      <c r="AY293" s="819"/>
      <c r="AZ293" s="819"/>
      <c r="BA293" s="819"/>
      <c r="BB293" s="819"/>
      <c r="BC293" s="819"/>
      <c r="BD293" s="819"/>
      <c r="BE293" s="819"/>
      <c r="BF293" s="819"/>
    </row>
    <row r="294" spans="1:58" s="815" customFormat="1" x14ac:dyDescent="0.25">
      <c r="A294" s="814"/>
      <c r="B294" s="757"/>
      <c r="C294" s="740"/>
      <c r="D294" s="757"/>
      <c r="E294" s="757"/>
      <c r="F294" s="740"/>
      <c r="G294" s="814"/>
      <c r="H294" s="757"/>
      <c r="I294" s="757"/>
      <c r="J294" s="757"/>
      <c r="K294" s="757"/>
      <c r="L294" s="814"/>
      <c r="M294" s="911"/>
      <c r="N294" s="825"/>
      <c r="O294" s="825"/>
      <c r="P294" s="814"/>
      <c r="Q294" s="814"/>
      <c r="S294" s="860"/>
      <c r="T294" s="816"/>
      <c r="U294" s="816"/>
      <c r="V294" s="860"/>
      <c r="W294" s="816"/>
      <c r="X294" s="816"/>
      <c r="Y294" s="816"/>
      <c r="Z294" s="757"/>
      <c r="AA294" s="817"/>
      <c r="AB294" s="757"/>
      <c r="AC294" s="818"/>
      <c r="AD294" s="818"/>
      <c r="AE294" s="895"/>
      <c r="AF294" s="895"/>
      <c r="AG294" s="895"/>
      <c r="AH294" s="895"/>
      <c r="AI294" s="907"/>
      <c r="AJ294" s="757"/>
      <c r="AK294" s="817"/>
      <c r="AL294" s="816"/>
      <c r="AM294" s="816"/>
      <c r="AN294" s="757"/>
      <c r="AO294" s="740"/>
      <c r="AP294" s="740"/>
      <c r="AQ294" s="757"/>
      <c r="AR294" s="757"/>
      <c r="AS294" s="757"/>
      <c r="AT294" s="819"/>
      <c r="AU294" s="819"/>
      <c r="AV294" s="819"/>
      <c r="AW294" s="819"/>
      <c r="AX294" s="819"/>
      <c r="AY294" s="819"/>
      <c r="AZ294" s="819"/>
      <c r="BA294" s="819"/>
      <c r="BB294" s="819"/>
      <c r="BC294" s="819"/>
      <c r="BD294" s="819"/>
      <c r="BE294" s="819"/>
      <c r="BF294" s="819"/>
    </row>
    <row r="295" spans="1:58" s="815" customFormat="1" x14ac:dyDescent="0.25">
      <c r="A295" s="814"/>
      <c r="B295" s="757"/>
      <c r="C295" s="740"/>
      <c r="D295" s="1093" t="s">
        <v>1085</v>
      </c>
      <c r="E295" s="1093"/>
      <c r="F295" s="841" t="s">
        <v>1082</v>
      </c>
      <c r="G295" s="757"/>
      <c r="H295" s="757"/>
      <c r="I295" s="814"/>
      <c r="J295" s="757"/>
      <c r="K295" s="757"/>
      <c r="L295" s="757"/>
      <c r="M295" s="910"/>
      <c r="N295" s="825"/>
      <c r="O295" s="825"/>
      <c r="P295" s="814"/>
      <c r="Q295" s="814"/>
      <c r="S295" s="860"/>
      <c r="T295" s="816"/>
      <c r="U295" s="816"/>
      <c r="V295" s="860"/>
      <c r="W295" s="816"/>
      <c r="X295" s="816"/>
      <c r="Y295" s="816"/>
      <c r="Z295" s="757"/>
      <c r="AA295" s="817"/>
      <c r="AB295" s="757"/>
      <c r="AC295" s="818"/>
      <c r="AD295" s="818"/>
      <c r="AE295" s="895"/>
      <c r="AF295" s="895"/>
      <c r="AG295" s="895"/>
      <c r="AH295" s="895"/>
      <c r="AI295" s="907"/>
      <c r="AJ295" s="757"/>
      <c r="AK295" s="817"/>
      <c r="AL295" s="816"/>
      <c r="AM295" s="816"/>
      <c r="AN295" s="757"/>
      <c r="AO295" s="740"/>
      <c r="AP295" s="740"/>
      <c r="AQ295" s="757"/>
      <c r="AR295" s="757"/>
      <c r="AS295" s="757"/>
      <c r="AT295" s="819"/>
      <c r="AU295" s="819"/>
      <c r="AV295" s="819"/>
      <c r="AW295" s="819"/>
      <c r="AX295" s="819"/>
      <c r="AY295" s="819"/>
      <c r="AZ295" s="819"/>
      <c r="BA295" s="819"/>
      <c r="BB295" s="819"/>
      <c r="BC295" s="819"/>
      <c r="BD295" s="819"/>
      <c r="BE295" s="819"/>
      <c r="BF295" s="819"/>
    </row>
    <row r="296" spans="1:58" s="815" customFormat="1" x14ac:dyDescent="0.25">
      <c r="A296" s="814"/>
      <c r="B296" s="757"/>
      <c r="C296" s="740"/>
      <c r="D296" s="884" t="s">
        <v>163</v>
      </c>
      <c r="E296" s="822">
        <f>+SUMIF($G$43:$G$279,D296,$Y$43:$Y$279)</f>
        <v>0</v>
      </c>
      <c r="F296" s="823">
        <f>COUNTIF($G$43:$G$279,D296)</f>
        <v>0</v>
      </c>
      <c r="G296" s="757"/>
      <c r="H296" s="757"/>
      <c r="I296" s="814"/>
      <c r="J296" s="757"/>
      <c r="K296" s="757"/>
      <c r="L296" s="757"/>
      <c r="M296" s="910"/>
      <c r="N296" s="814"/>
      <c r="O296" s="814"/>
      <c r="P296" s="827"/>
      <c r="Q296" s="828"/>
      <c r="S296" s="860"/>
      <c r="T296" s="816"/>
      <c r="U296" s="816"/>
      <c r="V296" s="860"/>
      <c r="W296" s="816"/>
      <c r="X296" s="816"/>
      <c r="Y296" s="816"/>
      <c r="Z296" s="757"/>
      <c r="AA296" s="817"/>
      <c r="AB296" s="757"/>
      <c r="AC296" s="818"/>
      <c r="AD296" s="818"/>
      <c r="AE296" s="895"/>
      <c r="AF296" s="895"/>
      <c r="AG296" s="895"/>
      <c r="AH296" s="895"/>
      <c r="AI296" s="907"/>
      <c r="AJ296" s="757"/>
      <c r="AK296" s="817"/>
      <c r="AL296" s="816"/>
      <c r="AM296" s="816"/>
      <c r="AN296" s="757"/>
      <c r="AO296" s="740"/>
      <c r="AP296" s="740"/>
      <c r="AQ296" s="757"/>
      <c r="AR296" s="757"/>
      <c r="AS296" s="757"/>
      <c r="AT296" s="819"/>
      <c r="AU296" s="819"/>
      <c r="AV296" s="819"/>
      <c r="AW296" s="819"/>
      <c r="AX296" s="819"/>
      <c r="AY296" s="819"/>
      <c r="AZ296" s="819"/>
      <c r="BA296" s="819"/>
      <c r="BB296" s="819"/>
      <c r="BC296" s="819"/>
      <c r="BD296" s="819"/>
      <c r="BE296" s="819"/>
      <c r="BF296" s="819"/>
    </row>
    <row r="297" spans="1:58" s="815" customFormat="1" x14ac:dyDescent="0.25">
      <c r="A297" s="814"/>
      <c r="B297" s="757"/>
      <c r="C297" s="740"/>
      <c r="D297" s="761" t="s">
        <v>546</v>
      </c>
      <c r="E297" s="822">
        <f>+SUMIF($G$43:$G$279,D297,$Y$43:$Y$279)</f>
        <v>0</v>
      </c>
      <c r="F297" s="823">
        <f>COUNTIF($G$43:$G$279,D297)</f>
        <v>0</v>
      </c>
      <c r="G297" s="757"/>
      <c r="H297" s="757"/>
      <c r="I297" s="814"/>
      <c r="J297" s="757"/>
      <c r="K297" s="757"/>
      <c r="L297" s="757"/>
      <c r="M297" s="910"/>
      <c r="N297" s="814"/>
      <c r="O297" s="814"/>
      <c r="P297" s="814"/>
      <c r="Q297" s="814"/>
      <c r="S297" s="860"/>
      <c r="T297" s="816"/>
      <c r="U297" s="816"/>
      <c r="V297" s="860"/>
      <c r="W297" s="816"/>
      <c r="X297" s="816"/>
      <c r="Y297" s="816"/>
      <c r="Z297" s="757"/>
      <c r="AA297" s="817"/>
      <c r="AB297" s="757"/>
      <c r="AC297" s="818"/>
      <c r="AD297" s="818"/>
      <c r="AE297" s="895"/>
      <c r="AF297" s="895"/>
      <c r="AG297" s="895"/>
      <c r="AH297" s="895"/>
      <c r="AI297" s="907"/>
      <c r="AJ297" s="757"/>
      <c r="AK297" s="817"/>
      <c r="AL297" s="816"/>
      <c r="AM297" s="816"/>
      <c r="AN297" s="757"/>
      <c r="AO297" s="740"/>
      <c r="AP297" s="740"/>
      <c r="AQ297" s="757"/>
      <c r="AR297" s="757"/>
      <c r="AS297" s="757"/>
      <c r="AT297" s="819"/>
      <c r="AU297" s="819"/>
      <c r="AV297" s="819"/>
      <c r="AW297" s="819"/>
      <c r="AX297" s="819"/>
      <c r="AY297" s="819"/>
      <c r="AZ297" s="819"/>
      <c r="BA297" s="819"/>
      <c r="BB297" s="819"/>
      <c r="BC297" s="819"/>
      <c r="BD297" s="819"/>
      <c r="BE297" s="819"/>
      <c r="BF297" s="819"/>
    </row>
  </sheetData>
  <mergeCells count="1">
    <mergeCell ref="D295:E295"/>
  </mergeCells>
  <dataValidations disablePrompts="1" count="1">
    <dataValidation type="list" allowBlank="1" showInputMessage="1" showErrorMessage="1" sqref="N111:O111" xr:uid="{4D3587C3-098E-4C36-B7AA-85FE97B39DAB}">
      <formula1>$K$707:$K$732</formula1>
    </dataValidation>
  </dataValidations>
  <pageMargins left="0.23622047244094491" right="0.23622047244094491" top="0.35433070866141736" bottom="0.15748031496062992" header="0.31496062992125984" footer="0.31496062992125984"/>
  <pageSetup scale="13"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3</vt:i4>
      </vt:variant>
    </vt:vector>
  </HeadingPairs>
  <TitlesOfParts>
    <vt:vector size="17" baseType="lpstr">
      <vt:lpstr>FUNDAMENTOS</vt:lpstr>
      <vt:lpstr>2018</vt:lpstr>
      <vt:lpstr>2019</vt:lpstr>
      <vt:lpstr>2020</vt:lpstr>
      <vt:lpstr>2021 </vt:lpstr>
      <vt:lpstr>2022</vt:lpstr>
      <vt:lpstr>2023</vt:lpstr>
      <vt:lpstr>2024</vt:lpstr>
      <vt:lpstr>2025</vt:lpstr>
      <vt:lpstr>PLURIANUALES</vt:lpstr>
      <vt:lpstr>idsec</vt:lpstr>
      <vt:lpstr>clasif obj gast</vt:lpstr>
      <vt:lpstr>RFC</vt:lpstr>
      <vt:lpstr>Destinatarios</vt:lpstr>
      <vt:lpstr>idsec!Área_de_impresión</vt:lpstr>
      <vt:lpstr>PLURIANUALES!Área_de_impresión</vt:lpstr>
      <vt:lpstr>'2025'!Títulos_a_imprimir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Marin Martha Gabriela</dc:creator>
  <cp:keywords/>
  <dc:description/>
  <cp:lastModifiedBy>JUAN PABLO PEREZ FRANCO</cp:lastModifiedBy>
  <cp:revision/>
  <dcterms:created xsi:type="dcterms:W3CDTF">2016-02-17T20:50:12Z</dcterms:created>
  <dcterms:modified xsi:type="dcterms:W3CDTF">2025-03-26T17:52:38Z</dcterms:modified>
  <cp:category/>
  <cp:contentStatus/>
</cp:coreProperties>
</file>