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kelly/Documents/Trento/Logistics and Plant Management/"/>
    </mc:Choice>
  </mc:AlternateContent>
  <xr:revisionPtr revIDLastSave="0" documentId="8_{7400F740-7887-2C49-92A4-926C6E79F8EC}" xr6:coauthVersionLast="45" xr6:coauthVersionMax="45" xr10:uidLastSave="{00000000-0000-0000-0000-000000000000}"/>
  <bookViews>
    <workbookView xWindow="1080" yWindow="820" windowWidth="27720" windowHeight="16340" xr2:uid="{00000000-000D-0000-FFFF-FFFF00000000}"/>
  </bookViews>
  <sheets>
    <sheet name="start up Cash flow" sheetId="1" r:id="rId1"/>
    <sheet name="Income Statement" sheetId="2" r:id="rId2"/>
    <sheet name="Increase in Cash" sheetId="4" r:id="rId3"/>
    <sheet name="BE" sheetId="3" r:id="rId4"/>
    <sheet name="BS 20-21" sheetId="7" r:id="rId5"/>
    <sheet name="BS 21 - 22" sheetId="8" r:id="rId6"/>
  </sheets>
  <externalReferences>
    <externalReference r:id="rId7"/>
    <externalReference r:id="rId8"/>
  </externalReferences>
  <definedNames>
    <definedName name="Cella_risultato" localSheetId="5">[1]PVsp!#REF!</definedName>
    <definedName name="Cella_risultato">[2]PVsp!#REF!</definedName>
    <definedName name="Cella_risultato1">[1]PVsp!#REF!</definedName>
    <definedName name="cella_risultato2">[1]PVsp!#REF!</definedName>
    <definedName name="_xlnm.Print_Area" localSheetId="4">'BS 20-21'!$A$1:$F$53</definedName>
    <definedName name="_xlnm.Print_Area" localSheetId="5">'BS 21 - 22'!$A$1:$F$53</definedName>
    <definedName name="valuevx">42.314159</definedName>
    <definedName name="vertex42_copyright" hidden="1">"© 2008-2014 Vertex42 LLC"</definedName>
    <definedName name="vertex42_id" hidden="1">"balance-sheet.xlsx"</definedName>
    <definedName name="vertex42_title" hidden="1">"Balance Sheet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8" l="1"/>
  <c r="D8" i="7"/>
  <c r="F8" i="7" s="1"/>
  <c r="F11" i="7" s="1"/>
  <c r="F22" i="7" s="1"/>
  <c r="D41" i="8"/>
  <c r="D41" i="7"/>
  <c r="D15" i="8"/>
  <c r="D31" i="8"/>
  <c r="D34" i="8" s="1"/>
  <c r="D6" i="8"/>
  <c r="D28" i="8"/>
  <c r="D40" i="8"/>
  <c r="D40" i="7"/>
  <c r="E40" i="7"/>
  <c r="E43" i="7" s="1"/>
  <c r="D34" i="7"/>
  <c r="B56" i="2"/>
  <c r="C56" i="2"/>
  <c r="D31" i="7"/>
  <c r="E34" i="7"/>
  <c r="D32" i="7"/>
  <c r="D15" i="7"/>
  <c r="E31" i="7"/>
  <c r="E11" i="7"/>
  <c r="E22" i="7"/>
  <c r="D6" i="7"/>
  <c r="E15" i="7"/>
  <c r="E8" i="7"/>
  <c r="D5" i="4"/>
  <c r="E41" i="7"/>
  <c r="E6" i="7"/>
  <c r="E28" i="7"/>
  <c r="E5" i="4"/>
  <c r="F5" i="4"/>
  <c r="D21" i="2"/>
  <c r="C21" i="2"/>
  <c r="B52" i="1"/>
  <c r="E8" i="8" l="1"/>
  <c r="D43" i="7"/>
  <c r="F31" i="7"/>
  <c r="E40" i="8"/>
  <c r="E42" i="8"/>
  <c r="F42" i="8" s="1"/>
  <c r="E35" i="8"/>
  <c r="F35" i="8" s="1"/>
  <c r="E30" i="8"/>
  <c r="F30" i="8" s="1"/>
  <c r="E29" i="8"/>
  <c r="F29" i="8" s="1"/>
  <c r="E27" i="8"/>
  <c r="F27" i="8" s="1"/>
  <c r="E26" i="8"/>
  <c r="D20" i="8"/>
  <c r="E19" i="8"/>
  <c r="E20" i="8" s="1"/>
  <c r="E16" i="8"/>
  <c r="F16" i="8" s="1"/>
  <c r="E14" i="8"/>
  <c r="F14" i="8" s="1"/>
  <c r="E13" i="8"/>
  <c r="E10" i="8"/>
  <c r="F10" i="8" s="1"/>
  <c r="E9" i="8"/>
  <c r="F9" i="8" s="1"/>
  <c r="E7" i="8"/>
  <c r="F7" i="8" s="1"/>
  <c r="F42" i="7"/>
  <c r="F35" i="7"/>
  <c r="F30" i="7"/>
  <c r="F29" i="7"/>
  <c r="F27" i="7"/>
  <c r="F26" i="7"/>
  <c r="E20" i="7"/>
  <c r="D20" i="7"/>
  <c r="F19" i="7"/>
  <c r="F20" i="7" s="1"/>
  <c r="F16" i="7"/>
  <c r="F14" i="7"/>
  <c r="F13" i="7"/>
  <c r="F10" i="7"/>
  <c r="F9" i="7"/>
  <c r="F7" i="7"/>
  <c r="F40" i="8" l="1"/>
  <c r="F40" i="7"/>
  <c r="F13" i="8"/>
  <c r="F19" i="8"/>
  <c r="F20" i="8" s="1"/>
  <c r="F26" i="8"/>
  <c r="C49" i="1" l="1"/>
  <c r="B42" i="2"/>
  <c r="E17" i="7" s="1"/>
  <c r="D16" i="4"/>
  <c r="B49" i="1"/>
  <c r="D49" i="1"/>
  <c r="D10" i="4"/>
  <c r="F4" i="4"/>
  <c r="E4" i="4"/>
  <c r="D4" i="4"/>
  <c r="F4" i="1"/>
  <c r="C39" i="1"/>
  <c r="D39" i="1"/>
  <c r="F11" i="2"/>
  <c r="D42" i="2"/>
  <c r="F10" i="4" s="1"/>
  <c r="C42" i="2"/>
  <c r="F16" i="4"/>
  <c r="E16" i="4"/>
  <c r="E10" i="4" l="1"/>
  <c r="E15" i="8"/>
  <c r="D17" i="7"/>
  <c r="F15" i="7"/>
  <c r="F17" i="7" s="1"/>
  <c r="D17" i="8"/>
  <c r="F55" i="1"/>
  <c r="F46" i="1"/>
  <c r="F47" i="1"/>
  <c r="F49" i="1"/>
  <c r="F6" i="3"/>
  <c r="F34" i="1"/>
  <c r="F35" i="1"/>
  <c r="F37" i="1"/>
  <c r="F38" i="1"/>
  <c r="F40" i="1"/>
  <c r="F41" i="1"/>
  <c r="F33" i="1"/>
  <c r="F27" i="1"/>
  <c r="F28" i="1"/>
  <c r="F29" i="1"/>
  <c r="F17" i="1"/>
  <c r="F8" i="1"/>
  <c r="F9" i="1"/>
  <c r="F10" i="1"/>
  <c r="F11" i="1"/>
  <c r="F13" i="1"/>
  <c r="F36" i="2"/>
  <c r="B36" i="2"/>
  <c r="D13" i="2"/>
  <c r="C19" i="1"/>
  <c r="C13" i="2" s="1"/>
  <c r="D19" i="1"/>
  <c r="B19" i="1"/>
  <c r="F19" i="1" s="1"/>
  <c r="D7" i="2"/>
  <c r="B25" i="2"/>
  <c r="F25" i="2" s="1"/>
  <c r="B26" i="2"/>
  <c r="B27" i="2"/>
  <c r="F27" i="2" s="1"/>
  <c r="F28" i="2"/>
  <c r="J8" i="1"/>
  <c r="J26" i="1" s="1"/>
  <c r="J27" i="1" s="1"/>
  <c r="B15" i="2" s="1"/>
  <c r="L8" i="1"/>
  <c r="D24" i="1" s="1"/>
  <c r="D22" i="2" s="1"/>
  <c r="F55" i="2"/>
  <c r="F57" i="2"/>
  <c r="F40" i="2"/>
  <c r="F45" i="2"/>
  <c r="F46" i="2"/>
  <c r="F48" i="2"/>
  <c r="F49" i="2"/>
  <c r="F51" i="2"/>
  <c r="F53" i="2"/>
  <c r="F32" i="2"/>
  <c r="F26" i="2"/>
  <c r="F16" i="2"/>
  <c r="D8" i="2"/>
  <c r="C8" i="2"/>
  <c r="K8" i="1"/>
  <c r="C6" i="2" s="1"/>
  <c r="F42" i="2"/>
  <c r="D37" i="2"/>
  <c r="C37" i="2"/>
  <c r="B37" i="2"/>
  <c r="F37" i="2" s="1"/>
  <c r="D38" i="2"/>
  <c r="C38" i="2"/>
  <c r="F38" i="2" s="1"/>
  <c r="B38" i="2"/>
  <c r="D33" i="2"/>
  <c r="C33" i="2"/>
  <c r="B33" i="2"/>
  <c r="F33" i="2" s="1"/>
  <c r="D32" i="2"/>
  <c r="C32" i="2"/>
  <c r="B32" i="2"/>
  <c r="B41" i="2"/>
  <c r="F41" i="2" s="1"/>
  <c r="B40" i="2"/>
  <c r="B34" i="2"/>
  <c r="F34" i="2" s="1"/>
  <c r="B8" i="2"/>
  <c r="F8" i="2" s="1"/>
  <c r="B18" i="1" l="1"/>
  <c r="D6" i="3"/>
  <c r="E6" i="3"/>
  <c r="F15" i="8"/>
  <c r="F17" i="8" s="1"/>
  <c r="E17" i="8"/>
  <c r="C11" i="2"/>
  <c r="D6" i="1"/>
  <c r="C6" i="1"/>
  <c r="D7" i="1"/>
  <c r="C7" i="1"/>
  <c r="K26" i="1"/>
  <c r="C24" i="1"/>
  <c r="C22" i="2" s="1"/>
  <c r="C23" i="1"/>
  <c r="C25" i="1"/>
  <c r="C23" i="2" s="1"/>
  <c r="D23" i="1"/>
  <c r="D6" i="2"/>
  <c r="C26" i="1"/>
  <c r="D25" i="1"/>
  <c r="D23" i="2" s="1"/>
  <c r="D26" i="1"/>
  <c r="D24" i="2" s="1"/>
  <c r="C7" i="2"/>
  <c r="C5" i="2" s="1"/>
  <c r="B39" i="1"/>
  <c r="F39" i="1" s="1"/>
  <c r="B13" i="2"/>
  <c r="F13" i="2" s="1"/>
  <c r="B6" i="1"/>
  <c r="B7" i="1"/>
  <c r="B36" i="1"/>
  <c r="B26" i="1"/>
  <c r="B6" i="2" l="1"/>
  <c r="B12" i="1"/>
  <c r="F6" i="1"/>
  <c r="F12" i="1" s="1"/>
  <c r="C30" i="1"/>
  <c r="C24" i="2"/>
  <c r="B20" i="1"/>
  <c r="F24" i="2"/>
  <c r="B24" i="2"/>
  <c r="F26" i="1"/>
  <c r="C36" i="1"/>
  <c r="B7" i="2"/>
  <c r="F7" i="1"/>
  <c r="F3" i="3"/>
  <c r="F11" i="3" s="1"/>
  <c r="D5" i="2"/>
  <c r="K27" i="1"/>
  <c r="C18" i="1"/>
  <c r="E3" i="3"/>
  <c r="E11" i="3" s="1"/>
  <c r="D30" i="1"/>
  <c r="F7" i="2"/>
  <c r="B35" i="2"/>
  <c r="D39" i="2"/>
  <c r="C39" i="2"/>
  <c r="B39" i="2"/>
  <c r="F39" i="2" s="1"/>
  <c r="B12" i="2"/>
  <c r="B14" i="2" s="1"/>
  <c r="B10" i="2" s="1"/>
  <c r="B23" i="1"/>
  <c r="F23" i="1" s="1"/>
  <c r="B25" i="1"/>
  <c r="B24" i="1"/>
  <c r="C35" i="2" l="1"/>
  <c r="B43" i="2"/>
  <c r="D4" i="3" s="1"/>
  <c r="D36" i="1"/>
  <c r="C42" i="1"/>
  <c r="C12" i="2"/>
  <c r="C14" i="2" s="1"/>
  <c r="C10" i="2" s="1"/>
  <c r="C17" i="2" s="1"/>
  <c r="C20" i="1"/>
  <c r="B23" i="2"/>
  <c r="F23" i="2" s="1"/>
  <c r="F25" i="1"/>
  <c r="B22" i="2"/>
  <c r="F22" i="2" s="1"/>
  <c r="F24" i="1"/>
  <c r="L26" i="1"/>
  <c r="C15" i="2"/>
  <c r="F6" i="2"/>
  <c r="B5" i="2"/>
  <c r="D3" i="3"/>
  <c r="D11" i="3" s="1"/>
  <c r="D29" i="2"/>
  <c r="B21" i="2"/>
  <c r="C29" i="2"/>
  <c r="E5" i="3" s="1"/>
  <c r="E10" i="3" s="1"/>
  <c r="E14" i="3" s="1"/>
  <c r="B30" i="1"/>
  <c r="F30" i="1" s="1"/>
  <c r="B42" i="1"/>
  <c r="D18" i="1" l="1"/>
  <c r="L27" i="1"/>
  <c r="D15" i="2" s="1"/>
  <c r="B17" i="2"/>
  <c r="F5" i="2"/>
  <c r="D35" i="2"/>
  <c r="C43" i="2"/>
  <c r="E4" i="3" s="1"/>
  <c r="D11" i="2"/>
  <c r="D42" i="1"/>
  <c r="F42" i="1" s="1"/>
  <c r="F36" i="1"/>
  <c r="C44" i="2"/>
  <c r="C47" i="2" s="1"/>
  <c r="E17" i="3"/>
  <c r="B29" i="2"/>
  <c r="F21" i="2"/>
  <c r="F35" i="2" l="1"/>
  <c r="D43" i="2"/>
  <c r="F29" i="2"/>
  <c r="B44" i="2"/>
  <c r="B47" i="2" s="1"/>
  <c r="D5" i="3"/>
  <c r="D10" i="3" s="1"/>
  <c r="D14" i="3" s="1"/>
  <c r="D17" i="3" s="1"/>
  <c r="E18" i="3"/>
  <c r="F15" i="2"/>
  <c r="F8" i="8"/>
  <c r="D20" i="1"/>
  <c r="D12" i="2"/>
  <c r="F12" i="2" s="1"/>
  <c r="F14" i="2" s="1"/>
  <c r="F18" i="1"/>
  <c r="F4" i="3" l="1"/>
  <c r="D44" i="2"/>
  <c r="F43" i="2"/>
  <c r="D18" i="3"/>
  <c r="F20" i="1"/>
  <c r="D14" i="2"/>
  <c r="D10" i="2" s="1"/>
  <c r="D17" i="2" l="1"/>
  <c r="F17" i="2" s="1"/>
  <c r="F5" i="3"/>
  <c r="F10" i="3" s="1"/>
  <c r="F14" i="3" s="1"/>
  <c r="F10" i="2"/>
  <c r="D47" i="2"/>
  <c r="F47" i="2" s="1"/>
  <c r="F44" i="2"/>
  <c r="F17" i="3"/>
  <c r="D48" i="1"/>
  <c r="F22" i="4" s="1"/>
  <c r="F24" i="4" s="1"/>
  <c r="D20" i="4"/>
  <c r="F54" i="1"/>
  <c r="C48" i="1"/>
  <c r="E22" i="4" s="1"/>
  <c r="E24" i="4" s="1"/>
  <c r="B48" i="1"/>
  <c r="N46" i="1"/>
  <c r="N47" i="1" s="1"/>
  <c r="F18" i="3" l="1"/>
  <c r="I17" i="3"/>
  <c r="D22" i="4"/>
  <c r="D24" i="4" s="1"/>
  <c r="B51" i="1"/>
  <c r="B53" i="1" s="1"/>
  <c r="C44" i="1"/>
  <c r="B44" i="1"/>
  <c r="D44" i="1"/>
  <c r="F48" i="1"/>
  <c r="C50" i="2" l="1"/>
  <c r="C52" i="2" s="1"/>
  <c r="C51" i="1"/>
  <c r="E32" i="7"/>
  <c r="D50" i="2"/>
  <c r="D52" i="2" s="1"/>
  <c r="D54" i="2" s="1"/>
  <c r="D51" i="1"/>
  <c r="F51" i="1" s="1"/>
  <c r="C54" i="2"/>
  <c r="D45" i="1" s="1"/>
  <c r="B57" i="1"/>
  <c r="B50" i="2"/>
  <c r="F44" i="1"/>
  <c r="E2" i="4" l="1"/>
  <c r="E36" i="7"/>
  <c r="E31" i="8"/>
  <c r="B61" i="1"/>
  <c r="D52" i="1"/>
  <c r="F9" i="4"/>
  <c r="F11" i="4" s="1"/>
  <c r="D56" i="2"/>
  <c r="F2" i="4" s="1"/>
  <c r="C4" i="1"/>
  <c r="B59" i="1"/>
  <c r="B52" i="2"/>
  <c r="F50" i="2"/>
  <c r="E37" i="7" l="1"/>
  <c r="F26" i="4"/>
  <c r="E28" i="8"/>
  <c r="F28" i="7"/>
  <c r="F32" i="7" s="1"/>
  <c r="F31" i="8"/>
  <c r="D32" i="8"/>
  <c r="E45" i="7"/>
  <c r="E50" i="7"/>
  <c r="E48" i="7"/>
  <c r="E49" i="7"/>
  <c r="E34" i="8"/>
  <c r="F34" i="7"/>
  <c r="F36" i="7" s="1"/>
  <c r="D36" i="7"/>
  <c r="C12" i="1"/>
  <c r="B54" i="2"/>
  <c r="F52" i="2"/>
  <c r="D37" i="7" l="1"/>
  <c r="F37" i="7"/>
  <c r="E41" i="8"/>
  <c r="F41" i="7"/>
  <c r="F43" i="7" s="1"/>
  <c r="F45" i="7" s="1"/>
  <c r="D45" i="7"/>
  <c r="E52" i="7"/>
  <c r="E51" i="7"/>
  <c r="E36" i="8"/>
  <c r="F28" i="8"/>
  <c r="F32" i="8" s="1"/>
  <c r="E32" i="8"/>
  <c r="D2" i="4"/>
  <c r="E9" i="4"/>
  <c r="E11" i="4" s="1"/>
  <c r="E26" i="4" s="1"/>
  <c r="C45" i="1"/>
  <c r="C52" i="1" s="1"/>
  <c r="C53" i="1" s="1"/>
  <c r="C57" i="1" s="1"/>
  <c r="F56" i="2"/>
  <c r="F54" i="2"/>
  <c r="D9" i="4"/>
  <c r="D11" i="4" s="1"/>
  <c r="F6" i="7" l="1"/>
  <c r="D11" i="7"/>
  <c r="E6" i="8"/>
  <c r="E11" i="8" s="1"/>
  <c r="E49" i="8" s="1"/>
  <c r="F41" i="8"/>
  <c r="F43" i="8" s="1"/>
  <c r="D43" i="8"/>
  <c r="D45" i="8" s="1"/>
  <c r="E43" i="8"/>
  <c r="F34" i="8"/>
  <c r="F36" i="8" s="1"/>
  <c r="F37" i="8" s="1"/>
  <c r="D36" i="8"/>
  <c r="E37" i="8"/>
  <c r="D52" i="7"/>
  <c r="D26" i="4"/>
  <c r="C61" i="1"/>
  <c r="D4" i="1"/>
  <c r="D12" i="1" s="1"/>
  <c r="D53" i="1" s="1"/>
  <c r="D57" i="1" s="1"/>
  <c r="F45" i="1"/>
  <c r="F52" i="1"/>
  <c r="F53" i="1" l="1"/>
  <c r="F57" i="1" s="1"/>
  <c r="F45" i="8"/>
  <c r="E50" i="8"/>
  <c r="E22" i="8"/>
  <c r="E48" i="8" s="1"/>
  <c r="D37" i="8"/>
  <c r="E52" i="8"/>
  <c r="D50" i="7"/>
  <c r="D22" i="7"/>
  <c r="D49" i="7"/>
  <c r="D61" i="1"/>
  <c r="E45" i="8"/>
  <c r="D52" i="8"/>
  <c r="E51" i="8" l="1"/>
  <c r="H46" i="7"/>
  <c r="D48" i="7"/>
  <c r="D51" i="7"/>
  <c r="D11" i="8"/>
  <c r="F6" i="8"/>
  <c r="F11" i="8" s="1"/>
  <c r="F22" i="8" s="1"/>
  <c r="D50" i="8" l="1"/>
  <c r="D22" i="8"/>
  <c r="D49" i="8"/>
  <c r="D48" i="8" l="1"/>
  <c r="D51" i="8"/>
  <c r="H4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Utente Windows</author>
    <author>tc={E768975D-742A-5A41-BE82-DDFE710871CF}</author>
    <author>Marco Minati</author>
    <author>tc={3B3F1867-8DB6-E544-B353-7E5BA76397B4}</author>
    <author>tc={42B58759-0799-4996-A071-777C84DABFDA}</author>
    <author>tc={33FA6D29-FD3F-484E-B095-AED1A09311F4}</author>
    <author>tc={6B88B8E9-B323-4A39-B283-224F5098BF64}</author>
    <author>tc={EDC7E3E3-6D6C-C842-9A56-63A7ABA6476E}</author>
    <author>tc={ABD9B0AD-816F-41C5-B0C9-CE1694B5B371}</author>
    <author>tc={F452B000-4494-44E7-AD8F-46009055C494}</author>
    <author>tc={5A0A0165-97A1-4F3D-BC91-5A3909A26119}</author>
    <author>tc={ECDFEC81-78F0-0640-B29F-D11B62E6C94B}</author>
    <author>tc={BD9EA968-2670-4AE3-B980-F644BEB0A041}</author>
    <author>tc={1B4F79E5-D1CA-40F0-AB6A-7CAF9327545A}</author>
    <author>tc={588AD190-4D42-4B4A-A81B-CBA0EE204EC3}</author>
    <author>tc={DCE67E6B-FB77-4DD3-93F3-663D8E6AA735}</author>
    <author>tc={4FD3DE0B-469A-FA44-A8DA-47447F77A286}</author>
    <author>tc={E0567558-D620-C84B-B08D-870BAA5A7AD0}</author>
    <author>Giuseppe</author>
  </authors>
  <commentList>
    <comment ref="A8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Giuseppe:
</t>
        </r>
        <r>
          <rPr>
            <sz val="9"/>
            <color rgb="FF000000"/>
            <rFont val="Tahoma"/>
            <family val="2"/>
          </rPr>
          <t xml:space="preserve">You can think to work a little also as a technical consultant! your advising could yield few k€/year
</t>
        </r>
      </text>
    </comment>
    <comment ref="A9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20 percent receivables in the first year tyhrough our financing plans</t>
      </text>
    </comment>
    <comment ref="A17" authorId="2" shapeId="0" xr:uid="{00000000-0006-0000-0000-000003000000}">
      <text>
        <r>
          <rPr>
            <b/>
            <sz val="9"/>
            <color rgb="FF000000"/>
            <rFont val="Tahoma"/>
            <family val="2"/>
          </rPr>
          <t>Giuseppe: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Material excluded. 
</t>
        </r>
        <r>
          <rPr>
            <sz val="9"/>
            <color rgb="FF000000"/>
            <rFont val="Tahoma"/>
            <family val="2"/>
          </rPr>
          <t>None for you</t>
        </r>
      </text>
    </comment>
    <comment ref="B18" authorId="2" shapeId="0" xr:uid="{00000000-0006-0000-0000-000004000000}">
      <text>
        <r>
          <rPr>
            <b/>
            <sz val="9"/>
            <color rgb="FF000000"/>
            <rFont val="Tahoma"/>
            <family val="2"/>
          </rPr>
          <t xml:space="preserve">Giuseppe: OPTIONAL 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take into account the minimum order quantity from our suppliers 
</t>
        </r>
      </text>
    </comment>
    <comment ref="A19" authorId="3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need 33 employees to reach our production goal of 50000 in a year</t>
      </text>
    </comment>
    <comment ref="B19" authorId="4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just have 1 office worker</t>
      </text>
    </comment>
    <comment ref="C19" authorId="5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have 1 office worker</t>
      </text>
    </comment>
    <comment ref="D19" authorId="6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have 1 office worker</t>
      </text>
    </comment>
    <comment ref="A23" authorId="7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https://www.lyfemarketing.com/blog/average-advertising-costs/
Average advertising costs for a small business are around 100,000 per year</t>
      </text>
    </comment>
    <comment ref="A24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>Giuseppe: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Amazon Freight cost</t>
        </r>
      </text>
    </comment>
    <comment ref="B24" authorId="8" shapeId="0" xr:uid="{00000000-0006-0000-00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Freight cost is included in the fulfillment costs</t>
      </text>
    </comment>
    <comment ref="A25" authorId="0" shapeId="0" xr:uid="{00000000-0006-0000-0000-00000C000000}">
      <text>
        <r>
          <rPr>
            <b/>
            <sz val="9"/>
            <color rgb="FF000000"/>
            <rFont val="Tahoma"/>
            <family val="2"/>
          </rPr>
          <t>Giuseppe: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It is Amazon cost</t>
        </r>
      </text>
    </comment>
    <comment ref="B25" authorId="9" shapeId="0" xr:uid="{00000000-0006-0000-0000-00000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Oversize: https://services.amazon.com/fulfillment-by-amazon/pricing.html#</t>
      </text>
    </comment>
    <comment ref="B26" authorId="10" shapeId="0" xr:uid="{00000000-0006-0000-0000-00000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use a marketplace for the internet sales (1€ per sale). Our packaging cost is 0.5€ per direct sale</t>
      </text>
    </comment>
    <comment ref="A27" authorId="11" shapeId="0" xr:uid="{00000000-0006-0000-0000-00000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our employee, an external worker</t>
      </text>
    </comment>
    <comment ref="B33" authorId="12" shapeId="0" xr:uid="{00000000-0006-0000-0000-000010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Cheap business consultant to handle our finances
</t>
      </text>
    </comment>
    <comment ref="B34" authorId="13" shapeId="0" xr:uid="{00000000-0006-0000-0000-00001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https://www.trustedchoice.com/business-insurance/compare-coverage/cost</t>
      </text>
    </comment>
    <comment ref="B38" authorId="14" shapeId="0" xr:uid="{00000000-0006-0000-0000-00001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Financial management and production and development management</t>
      </text>
    </comment>
    <comment ref="B39" authorId="15" shapeId="0" xr:uid="{00000000-0006-0000-0000-00001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Natural gas + water = 5000kwh*0.06€/kw/h+25€*12 months
Reply:
    Power + Heating = (8Kw*5€/kw+300kw/h*0.2€/kw/h)*12 months</t>
      </text>
    </comment>
    <comment ref="A40" authorId="0" shapeId="0" xr:uid="{00000000-0006-0000-0000-000014000000}">
      <text>
        <r>
          <rPr>
            <b/>
            <sz val="9"/>
            <color rgb="FF000000"/>
            <rFont val="Tahoma"/>
            <family val="2"/>
          </rPr>
          <t>Giuseppes: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office supplies, letters and so on ... Two pc worth 1000 € (only the first year) 
</t>
        </r>
      </text>
    </comment>
    <comment ref="B40" authorId="16" shapeId="0" xr:uid="{00000000-0006-0000-0000-00001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computers worth 2000, regular supplies (paper, pens, ect) worth 1000</t>
      </text>
    </comment>
    <comment ref="A41" authorId="17" shapeId="0" xr:uid="{00000000-0006-0000-0000-00001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https://grasshopper.com/blog/is-it-worth-it-to-join-the-local-chamber-of-commerce/
“Most chambers of commerce charge a 300-400 euro annual fee”
https://www.legalzoom.com/articles/what-are-the-general-costs-of-incorporating
Corporation filing costs around 150 euro in the US</t>
      </text>
    </comment>
    <comment ref="B52" authorId="18" shapeId="0" xr:uid="{00000000-0006-0000-0000-000017000000}">
      <text>
        <r>
          <rPr>
            <b/>
            <sz val="9"/>
            <color rgb="FF000000"/>
            <rFont val="Tahoma"/>
            <family val="2"/>
          </rPr>
          <t>Giuseppe: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=B51+B45, NOT
</t>
        </r>
        <r>
          <rPr>
            <sz val="9"/>
            <color rgb="FF000000"/>
            <rFont val="Tahoma"/>
            <family val="2"/>
          </rPr>
          <t>=B51-B45</t>
        </r>
      </text>
    </comment>
    <comment ref="F53" authorId="18" shapeId="0" xr:uid="{00000000-0006-0000-0000-000018000000}">
      <text>
        <r>
          <rPr>
            <b/>
            <sz val="9"/>
            <color rgb="FF000000"/>
            <rFont val="Tahoma"/>
            <family val="2"/>
          </rPr>
          <t xml:space="preserve">Giuseppe:
</t>
        </r>
        <r>
          <rPr>
            <b/>
            <sz val="9"/>
            <color rgb="FF000000"/>
            <rFont val="Tahoma"/>
            <family val="2"/>
          </rPr>
          <t>I corrected the formula.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Here you must use data inside this column (3 - Years TOTALS") and enter ("TOTAL CASH AVAILABLE" - "TOTAL CASH PAID OUT after taxes"), as I told you last time</t>
        </r>
      </text>
    </comment>
    <comment ref="B54" authorId="0" shapeId="0" xr:uid="{00000000-0006-0000-0000-000019000000}">
      <text>
        <r>
          <rPr>
            <b/>
            <sz val="9"/>
            <color rgb="FF000000"/>
            <rFont val="Tahoma"/>
            <family val="2"/>
          </rPr>
          <t>Giuseppe: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It is the minimum value of loans to be received (in the first year) in order to preserve a certain amount, i.e. to get non-negative value in the last row: "SERVICE BALANCE". 
</t>
        </r>
        <r>
          <rPr>
            <sz val="9"/>
            <color rgb="FF000000"/>
            <rFont val="Tahoma"/>
            <family val="2"/>
          </rPr>
          <t xml:space="preserve">PAY ATTENTION: the row "H. Loan Payments" and other values (like the Interest Expense) depend on this value. 
</t>
        </r>
        <r>
          <rPr>
            <sz val="9"/>
            <color rgb="FF000000"/>
            <rFont val="Tahoma"/>
            <family val="2"/>
          </rPr>
          <t xml:space="preserve">So it requires iterations!
</t>
        </r>
        <r>
          <rPr>
            <b/>
            <i/>
            <sz val="9"/>
            <color rgb="FF000000"/>
            <rFont val="Tahoma"/>
            <family val="2"/>
          </rPr>
          <t>Notice that the last row (SERVICE BALANCE) does not belong to the CF Statement, it has been added only to perform the calculation of the loans needed. Use it as a "target cell".</t>
        </r>
      </text>
    </comment>
    <comment ref="A59" authorId="2" shapeId="0" xr:uid="{00000000-0006-0000-0000-00001A000000}">
      <text>
        <r>
          <rPr>
            <b/>
            <sz val="9"/>
            <color rgb="FF000000"/>
            <rFont val="Tahoma"/>
            <family val="2"/>
          </rPr>
          <t>Giuseppe: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contents of this cell is useful to calculate the amount of loan to balance the annual difference between cash in and cash out, by preserving a part of the equity deposits (20,000 €, i.e. the Venture Capital due to Dad's Friend; the final inventory, if it is present, must be included in the 20,000 €). Remember that 10,000 € are available, thanks to Dad!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Giuseppe</author>
    <author>tc={74716446-085B-3B4A-B921-56ED8776BD7D}</author>
    <author>Utente Windows</author>
  </authors>
  <commentList>
    <comment ref="C21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Giuseppe: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 corrected the formula.
</t>
        </r>
        <r>
          <rPr>
            <sz val="9"/>
            <color rgb="FF000000"/>
            <rFont val="Tahoma"/>
            <family val="2"/>
          </rPr>
          <t>It was like B21</t>
        </r>
      </text>
    </comment>
    <comment ref="C40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After the first year, we no longer need to spend money on computers</t>
      </text>
    </comment>
    <comment ref="A42" authorId="2" shapeId="0" xr:uid="{00000000-0006-0000-0100-000003000000}">
      <text>
        <r>
          <rPr>
            <b/>
            <sz val="9"/>
            <color rgb="FF000000"/>
            <rFont val="Tahoma"/>
            <family val="2"/>
          </rPr>
          <t>Giuseppe: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period to be considered for depreciation: 5 years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Giuseppe</author>
    <author>Utente Windows</author>
  </authors>
  <commentList>
    <comment ref="E5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Giuseppe: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 corrected the formula.  
</t>
        </r>
        <r>
          <rPr>
            <sz val="9"/>
            <color rgb="FF000000"/>
            <rFont val="Tahoma"/>
            <family val="2"/>
          </rPr>
          <t xml:space="preserve">As you know, in the </t>
        </r>
        <r>
          <rPr>
            <b/>
            <sz val="9"/>
            <color rgb="FF000000"/>
            <rFont val="Tahoma"/>
            <family val="2"/>
          </rPr>
          <t>Income Stat.</t>
        </r>
        <r>
          <rPr>
            <sz val="9"/>
            <color rgb="FF000000"/>
            <rFont val="Tahoma"/>
            <family val="2"/>
          </rPr>
          <t xml:space="preserve"> COGS is calculated by adding (Beginning inventory - Ending inventory) to (material +  labor) while in the </t>
        </r>
        <r>
          <rPr>
            <b/>
            <sz val="9"/>
            <color rgb="FF000000"/>
            <rFont val="Tahoma"/>
            <family val="2"/>
          </rPr>
          <t>Cash Flow Stat.</t>
        </r>
        <r>
          <rPr>
            <sz val="9"/>
            <color rgb="FF000000"/>
            <rFont val="Tahoma"/>
            <family val="2"/>
          </rPr>
          <t xml:space="preserve"> there is only (material +  labor).
</t>
        </r>
        <r>
          <rPr>
            <sz val="9"/>
            <color rgb="FF000000"/>
            <rFont val="Tahoma"/>
            <family val="2"/>
          </rPr>
          <t xml:space="preserve">In other words, the Income Stat. contains (Beginning inventory - Ending inventory) as an extra COST compared to the Cash Flow Stat.
</t>
        </r>
        <r>
          <rPr>
            <sz val="9"/>
            <color rgb="FF000000"/>
            <rFont val="Tahoma"/>
            <family val="2"/>
          </rPr>
          <t xml:space="preserve">So here you must add that value: (Beginning inventory - Ending inventory).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Notice: from a different point of view, we could obtain the same result by calculating the difference between the ending inventory in consecutive years from the income statement (with minus sign); in other words, inventory behaves ilke a receivable.</t>
        </r>
      </text>
    </comment>
    <comment ref="B6" authorId="1" shapeId="0" xr:uid="{00000000-0006-0000-0200-000002000000}">
      <text>
        <r>
          <rPr>
            <b/>
            <sz val="9"/>
            <color rgb="FF000000"/>
            <rFont val="Tahoma"/>
            <family val="2"/>
          </rPr>
          <t>Giuseppe: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Prepaid expenses represent expenditures that have not yet been recorded by a company as an expense, but have been paid for in advance.
</t>
        </r>
        <r>
          <rPr>
            <sz val="9"/>
            <color rgb="FF000000"/>
            <rFont val="Tahoma"/>
            <family val="2"/>
          </rPr>
          <t>None for you</t>
        </r>
      </text>
    </comment>
    <comment ref="B8" authorId="1" shapeId="0" xr:uid="{00000000-0006-0000-0200-000003000000}">
      <text>
        <r>
          <rPr>
            <b/>
            <sz val="9"/>
            <color rgb="FF000000"/>
            <rFont val="Tahoma"/>
            <family val="2"/>
          </rPr>
          <t>Giuseppe: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Salaries, energy NEGLECT HERE</t>
        </r>
      </text>
    </comment>
    <comment ref="E9" authorId="0" shapeId="0" xr:uid="{00000000-0006-0000-0200-000004000000}">
      <text>
        <r>
          <rPr>
            <b/>
            <sz val="9"/>
            <color rgb="FF000000"/>
            <rFont val="Tahoma"/>
            <family val="2"/>
          </rPr>
          <t>Giuseppe: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 corrected the formula. Income tax behaves like a payable: 
</t>
        </r>
        <r>
          <rPr>
            <sz val="9"/>
            <color rgb="FF000000"/>
            <rFont val="Tahoma"/>
            <family val="2"/>
          </rPr>
          <t>You must enter the difference between the absolute values in consecutive years (with plus sign).</t>
        </r>
      </text>
    </comment>
    <comment ref="B19" authorId="1" shapeId="0" xr:uid="{00000000-0006-0000-0200-000005000000}">
      <text>
        <r>
          <rPr>
            <b/>
            <sz val="9"/>
            <color rgb="FF000000"/>
            <rFont val="Tahoma"/>
            <family val="2"/>
          </rPr>
          <t>Giuseppe: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Short-term bank loans. These loans often arise when a company sees an immediate need for operating cash. Short-term bank loans are due within a year.
</t>
        </r>
        <r>
          <rPr>
            <u/>
            <sz val="9"/>
            <color rgb="FF000000"/>
            <rFont val="Tahoma"/>
            <family val="2"/>
          </rPr>
          <t>None for you</t>
        </r>
      </text>
    </comment>
    <comment ref="B22" authorId="1" shapeId="0" xr:uid="{00000000-0006-0000-0200-000006000000}">
      <text>
        <r>
          <rPr>
            <b/>
            <sz val="9"/>
            <color rgb="FF000000"/>
            <rFont val="Tahoma"/>
            <family val="2"/>
          </rPr>
          <t>Giuseppe: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It is not a difference between years, but the actual value paid out in the present year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Giuseppe</author>
    <author>Utente Windows</author>
  </authors>
  <commentList>
    <comment ref="C9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Giuseppe: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Prepaid expenses represent expenditures that have not yet been recorded by a company as an expense, but have been paid for in advance.
</t>
        </r>
        <r>
          <rPr>
            <sz val="9"/>
            <color rgb="FF000000"/>
            <rFont val="Tahoma"/>
            <family val="2"/>
          </rPr>
          <t>None for you</t>
        </r>
      </text>
    </comment>
    <comment ref="C27" authorId="0" shapeId="0" xr:uid="{00000000-0006-0000-0400-000002000000}">
      <text>
        <r>
          <rPr>
            <b/>
            <sz val="9"/>
            <color rgb="FF000000"/>
            <rFont val="Tahoma"/>
            <family val="2"/>
          </rPr>
          <t>Giuseppe: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Short-term bank loans. These loans often arise when a company sees an immediate need for operating cash. Short-term bank loans are due within a year. NONE FOR YOU</t>
        </r>
      </text>
    </comment>
    <comment ref="C30" authorId="0" shapeId="0" xr:uid="{00000000-0006-0000-0400-000003000000}">
      <text>
        <r>
          <rPr>
            <b/>
            <sz val="9"/>
            <color rgb="FF000000"/>
            <rFont val="Tahoma"/>
            <family val="2"/>
          </rPr>
          <t>Giuseppe: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Unearned revenue is money received from a customer for work that has not yet been performed.
</t>
        </r>
        <r>
          <rPr>
            <sz val="9"/>
            <color rgb="FF000000"/>
            <rFont val="Tahoma"/>
            <family val="2"/>
          </rPr>
          <t>NONE fOR YOU</t>
        </r>
      </text>
    </comment>
    <comment ref="D34" authorId="1" shapeId="0" xr:uid="{00000000-0006-0000-0400-000004000000}">
      <text>
        <r>
          <rPr>
            <b/>
            <sz val="9"/>
            <color rgb="FF000000"/>
            <rFont val="Tahoma"/>
            <family val="2"/>
          </rPr>
          <t>Giuseppe: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it is the remaining long term debt: during this year (2021) you   paid a second part, (and it affected the value of cash, see the start up Cash sheet), so you must subtract that amount from the Long-term value of the last year (2020)</t>
        </r>
      </text>
    </comment>
    <comment ref="E34" authorId="0" shapeId="0" xr:uid="{00000000-0006-0000-0400-000005000000}">
      <text>
        <r>
          <rPr>
            <b/>
            <sz val="9"/>
            <color rgb="FF000000"/>
            <rFont val="Tahoma"/>
            <family val="2"/>
          </rPr>
          <t>Giuseppe: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it is the remaining long term debt: during this year (2020) you have already paid a part, (and it affected the value of cash, see the start up Cash sheet), and another quote must be included in the "Current portion of long-term debt" row, so here you must subtract it too (from the total loan you required)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Giuseppe</author>
    <author>Utente Windows</author>
  </authors>
  <commentList>
    <comment ref="C9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Giuseppe:</t>
        </r>
        <r>
          <rPr>
            <sz val="9"/>
            <color indexed="81"/>
            <rFont val="Tahoma"/>
            <family val="2"/>
          </rPr>
          <t xml:space="preserve">
Prepaid expenses represent expenditures that have not yet been recorded by a company as an expense, but have been paid for in advance.
None for you</t>
        </r>
      </text>
    </comment>
    <comment ref="C27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Giuseppe:</t>
        </r>
        <r>
          <rPr>
            <sz val="9"/>
            <color indexed="81"/>
            <rFont val="Tahoma"/>
            <family val="2"/>
          </rPr>
          <t xml:space="preserve">
Short-term bank loans. These loans often arise when a company sees an immediate need for operating cash. Short-term bank loans are due within a year. NONE FOR YOU</t>
        </r>
      </text>
    </comment>
    <comment ref="C30" authorId="0" shapeId="0" xr:uid="{00000000-0006-0000-0500-000003000000}">
      <text>
        <r>
          <rPr>
            <b/>
            <sz val="9"/>
            <color rgb="FF000000"/>
            <rFont val="Tahoma"/>
            <family val="2"/>
          </rPr>
          <t>Giuseppe: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Unearned revenue is money received from a customer for work that has not yet been performed.
</t>
        </r>
        <r>
          <rPr>
            <sz val="9"/>
            <color rgb="FF000000"/>
            <rFont val="Tahoma"/>
            <family val="2"/>
          </rPr>
          <t>NONE fOR YOU</t>
        </r>
      </text>
    </comment>
    <comment ref="D34" authorId="1" shapeId="0" xr:uid="{00000000-0006-0000-0500-000004000000}">
      <text>
        <r>
          <rPr>
            <b/>
            <sz val="9"/>
            <color rgb="FF000000"/>
            <rFont val="Tahoma"/>
            <family val="2"/>
          </rPr>
          <t>Giuseppe: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it is the remaining long term debt: during this year (2022) you   paid a third part, so you must subtract that amount from the Long-term value of the last year (2021)</t>
        </r>
      </text>
    </comment>
  </commentList>
</comments>
</file>

<file path=xl/sharedStrings.xml><?xml version="1.0" encoding="utf-8"?>
<sst xmlns="http://schemas.openxmlformats.org/spreadsheetml/2006/main" count="363" uniqueCount="210">
  <si>
    <t>Business Name: EIT 2019</t>
  </si>
  <si>
    <t xml:space="preserve">Year:  </t>
  </si>
  <si>
    <t>3 - Years TOTALS</t>
  </si>
  <si>
    <t>BEGINNING CASH BALANCE</t>
  </si>
  <si>
    <t> </t>
  </si>
  <si>
    <t>Enter Data</t>
  </si>
  <si>
    <t>Cash Receipt</t>
  </si>
  <si>
    <t>Formulas</t>
  </si>
  <si>
    <t>A1. Direct Sales</t>
  </si>
  <si>
    <t>A2. Internet Sales</t>
  </si>
  <si>
    <t>Price/unit</t>
  </si>
  <si>
    <t>B. Service Income (External Advising)</t>
  </si>
  <si>
    <t>Expected Sales</t>
  </si>
  <si>
    <t>C. Receivables</t>
  </si>
  <si>
    <t>Direct Sales</t>
  </si>
  <si>
    <t>D. Miscellaneous Income</t>
  </si>
  <si>
    <t>Internet Sales</t>
  </si>
  <si>
    <t>E. Sale of Long-Term Assets</t>
  </si>
  <si>
    <t>Percentage Receivables</t>
  </si>
  <si>
    <t>TOTAL CASH AVAILABLE</t>
  </si>
  <si>
    <t>CASH PAYMENTS</t>
  </si>
  <si>
    <t>Office workers percentage</t>
  </si>
  <si>
    <t>A. Cost of Goods to be Sold (COGS)</t>
  </si>
  <si>
    <t>1. Purchases</t>
  </si>
  <si>
    <t>2. Material</t>
  </si>
  <si>
    <t>3. Labor</t>
  </si>
  <si>
    <t>Total Cost of Goods</t>
  </si>
  <si>
    <t>B. Variable Expenses</t>
  </si>
  <si>
    <t>1. Advertising</t>
  </si>
  <si>
    <t>2. Freight</t>
  </si>
  <si>
    <t>3. Fulfillment of Orders</t>
  </si>
  <si>
    <t>4. Packaging Costs</t>
  </si>
  <si>
    <t>5. Sales/Salaries</t>
  </si>
  <si>
    <t>6. Travel</t>
  </si>
  <si>
    <t>7. Miscellaneous Selling Expense</t>
  </si>
  <si>
    <t>Total Variable Expenses</t>
  </si>
  <si>
    <t>C. Fixed Expenses</t>
  </si>
  <si>
    <t>1. Financial Admin (business consultant)</t>
  </si>
  <si>
    <t>2. Insurance</t>
  </si>
  <si>
    <t>3. License/Permits</t>
  </si>
  <si>
    <t>4. Office Salaries</t>
  </si>
  <si>
    <t>5a. Rent Expenses (Building)</t>
  </si>
  <si>
    <t>5b. Rent Expenses (sw)</t>
  </si>
  <si>
    <t>6. Utilities</t>
  </si>
  <si>
    <t>7. Miscellaneous Administrative Expense</t>
  </si>
  <si>
    <t xml:space="preserve">8. Starting Up Expenses </t>
  </si>
  <si>
    <t>Total Fixed Expenses</t>
  </si>
  <si>
    <t>D. Interest Expense</t>
  </si>
  <si>
    <t>Let us calculate the Interest Expense:</t>
  </si>
  <si>
    <t>Annual Interest Rate</t>
  </si>
  <si>
    <t>E. Income Tax</t>
  </si>
  <si>
    <t>Years</t>
  </si>
  <si>
    <t>F. Other Uses</t>
  </si>
  <si>
    <t>Loan</t>
  </si>
  <si>
    <t>G. Long-Term Assets Payments</t>
  </si>
  <si>
    <t>Yearly Payments</t>
  </si>
  <si>
    <t>PMT (Payment) Function to be used!</t>
  </si>
  <si>
    <t>H. Loan Payments</t>
  </si>
  <si>
    <t>Annual Loan Mortgage (years):</t>
  </si>
  <si>
    <t>Annual Interest</t>
  </si>
  <si>
    <t>I. Owner Draws</t>
  </si>
  <si>
    <t xml:space="preserve">       3.228.800 €</t>
  </si>
  <si>
    <t>CASH BALANCE/DEFICIENCY</t>
  </si>
  <si>
    <t>LOANS TO BE RECEIVED</t>
  </si>
  <si>
    <t>Incognita, use What IF Analysis --&gt; Goal Seek</t>
  </si>
  <si>
    <t>EQUITY DEPOSITS</t>
  </si>
  <si>
    <t>For Italian people: in Italy a part of equity ("Capitale Sociale") has to be considered as Collateral. It is not cash!</t>
  </si>
  <si>
    <t>ENDING CASH BALANCE</t>
  </si>
  <si>
    <t>SERVICE BALANCE (LOANS INCLUDED but saving a part of equity deposits)</t>
  </si>
  <si>
    <t>Delta Cash (Cash Flow)</t>
  </si>
  <si>
    <t>　</t>
  </si>
  <si>
    <t>Mech kit cost  €/each</t>
  </si>
  <si>
    <t>Electronics supplier cost  €/each</t>
  </si>
  <si>
    <t xml:space="preserve">*OPTIONAL: Minimum order qty: </t>
  </si>
  <si>
    <t>amount of orders</t>
  </si>
  <si>
    <t>cost of packaging on marketplaces</t>
  </si>
  <si>
    <t>Working weeks</t>
  </si>
  <si>
    <t>Working hours/Day</t>
  </si>
  <si>
    <t>Working days/Week</t>
  </si>
  <si>
    <t>Number of workers</t>
  </si>
  <si>
    <t>Vacation weeks</t>
  </si>
  <si>
    <t>Manhour per robot</t>
  </si>
  <si>
    <t xml:space="preserve"> Working efficiency </t>
  </si>
  <si>
    <t>Amount to be preserved (if necessary, subtract the raw material inventory at the end):</t>
  </si>
  <si>
    <t>cost of packaging  (for direct sales)</t>
  </si>
  <si>
    <t> 20%</t>
  </si>
  <si>
    <t>TOTAL CASH PAID OUT after taxes</t>
  </si>
  <si>
    <t>TOTAL CASH PAID OUT before Taxes</t>
  </si>
  <si>
    <t>Labor cost €/manhour</t>
  </si>
  <si>
    <t>INCOME</t>
  </si>
  <si>
    <t>decide how much you will increase revenues in the 2nd and 3rd year</t>
  </si>
  <si>
    <t>1. SALES REVENUES</t>
  </si>
  <si>
    <t>Service Income (External Advising)</t>
  </si>
  <si>
    <t>2. Cost of Goods Sold (COGS): d+e</t>
  </si>
  <si>
    <t>a. Beginning Inventory</t>
  </si>
  <si>
    <t xml:space="preserve">b. Material </t>
  </si>
  <si>
    <t>c. Labor</t>
  </si>
  <si>
    <t>d. C.O.G. Avail. Sale (a+b+c)</t>
  </si>
  <si>
    <t>e. Less ending Inventory (12/31)</t>
  </si>
  <si>
    <t>GROSS PROFIT (1-2)</t>
  </si>
  <si>
    <t>EXPENSES</t>
  </si>
  <si>
    <t>1. Variable (Selling) Expenses</t>
  </si>
  <si>
    <t>1. Advertising/Marketing</t>
  </si>
  <si>
    <t>5. Sales/Salaries (Commissions)</t>
  </si>
  <si>
    <t>8. Depreciation (Prod./Service Assets)</t>
  </si>
  <si>
    <t>2. Fixed Expenses</t>
  </si>
  <si>
    <t>4a. Office Salaries</t>
  </si>
  <si>
    <r>
      <t xml:space="preserve">4b. </t>
    </r>
    <r>
      <rPr>
        <b/>
        <sz val="11"/>
        <color theme="9" tint="-0.499984740745262"/>
        <rFont val="Calibri"/>
        <family val="2"/>
        <scheme val="minor"/>
      </rPr>
      <t>Owner Draws</t>
    </r>
  </si>
  <si>
    <t>8. Starting Up Expenses</t>
  </si>
  <si>
    <t>9. Depreciation (Office Equipment)</t>
  </si>
  <si>
    <t>TOTAL OPERATING EXPENSES</t>
  </si>
  <si>
    <t>NET INCOME OPERATIONS (GPr - Exp)</t>
  </si>
  <si>
    <t>OTHER INCOME (Interests Income)</t>
  </si>
  <si>
    <t>OTHER EXPENSES (Interests Expenses)</t>
  </si>
  <si>
    <t>NET PROFIT (LOSS) BEFORE TAXES</t>
  </si>
  <si>
    <t>TAXES</t>
  </si>
  <si>
    <t>NET PROFIT (LOSS) AFTER TAXES</t>
  </si>
  <si>
    <t xml:space="preserve">Depreciation Rate </t>
  </si>
  <si>
    <t>Number of Workers 2021</t>
  </si>
  <si>
    <t>Number of Workers 2022</t>
  </si>
  <si>
    <t>Computer Value (start)</t>
  </si>
  <si>
    <t>income tax</t>
  </si>
  <si>
    <t>inventory</t>
  </si>
  <si>
    <t>Sales (Product)</t>
  </si>
  <si>
    <t>Sales per unit:</t>
  </si>
  <si>
    <t>FC</t>
  </si>
  <si>
    <t>Fixed Costs</t>
  </si>
  <si>
    <t>VC</t>
  </si>
  <si>
    <t>Variable Costs</t>
  </si>
  <si>
    <t>Units per Year</t>
  </si>
  <si>
    <t>Calculate Cmu:</t>
  </si>
  <si>
    <t xml:space="preserve">Variable Cost per Unit = </t>
  </si>
  <si>
    <t>Sales per Unit =</t>
  </si>
  <si>
    <t>CMu =</t>
  </si>
  <si>
    <t>Calculate BE Point:</t>
  </si>
  <si>
    <t>BE Point (Quantity) = FC / CMu</t>
  </si>
  <si>
    <t>BE Point (Sales) = FC / CMu * Su</t>
  </si>
  <si>
    <t>FC+VC(u)*n=S(u)*n</t>
  </si>
  <si>
    <t>S(u)-sales/unit</t>
  </si>
  <si>
    <t>VC(u)-variable cost /unit</t>
  </si>
  <si>
    <t>n=FC/(S-VC)</t>
  </si>
  <si>
    <t>Net Income after taxes</t>
  </si>
  <si>
    <t>Operating activities</t>
  </si>
  <si>
    <t>Accounts receivable</t>
  </si>
  <si>
    <t>Inventory</t>
  </si>
  <si>
    <t>Pre-paid expenses</t>
  </si>
  <si>
    <t>Acconts payable</t>
  </si>
  <si>
    <t>Accrued Expenses</t>
  </si>
  <si>
    <t>Income tax payable</t>
  </si>
  <si>
    <t>Depreciation expense</t>
  </si>
  <si>
    <t>Cash flow from operations</t>
  </si>
  <si>
    <t>Investing Activities</t>
  </si>
  <si>
    <t>Sale of property, plant and/or equipment</t>
  </si>
  <si>
    <t>Capital expenditures</t>
  </si>
  <si>
    <t>Cash flow from investing activities</t>
  </si>
  <si>
    <t>Financing activities</t>
  </si>
  <si>
    <t>Short term debt decrease</t>
  </si>
  <si>
    <t>Long term borrowing</t>
  </si>
  <si>
    <t>Capital stock (Equity Deposits)</t>
  </si>
  <si>
    <t>Paid Current portion of long-term debt</t>
  </si>
  <si>
    <t>Cash dividends to stockholders</t>
  </si>
  <si>
    <t>Cash flow from financing activities</t>
  </si>
  <si>
    <t>Increase in Cash during year</t>
  </si>
  <si>
    <t>Increase in Salary</t>
  </si>
  <si>
    <t>Balance Sheet</t>
  </si>
  <si>
    <t>Date:</t>
  </si>
  <si>
    <t>Values in Euro</t>
  </si>
  <si>
    <t>Assets</t>
  </si>
  <si>
    <t>Increase (Decrease)</t>
  </si>
  <si>
    <t>Current Assets</t>
  </si>
  <si>
    <t>Cash</t>
  </si>
  <si>
    <t>Prepaid expenses</t>
  </si>
  <si>
    <t>Short-term investments</t>
  </si>
  <si>
    <t>Total current assets</t>
  </si>
  <si>
    <t>Fixed (Long-Term) Assets</t>
  </si>
  <si>
    <t>Long-term investments</t>
  </si>
  <si>
    <t>Property, plant, and equipment</t>
  </si>
  <si>
    <t>(Less accumulated depreciation)</t>
  </si>
  <si>
    <t>Intangible assets</t>
  </si>
  <si>
    <t>Total fixed assets</t>
  </si>
  <si>
    <t>Other Assets</t>
  </si>
  <si>
    <t>Other</t>
  </si>
  <si>
    <t>Total Other Assets</t>
  </si>
  <si>
    <t>Total Assets</t>
  </si>
  <si>
    <t>[42]</t>
  </si>
  <si>
    <t>Liabilities and Owner's Equity</t>
  </si>
  <si>
    <t>Current Liabilities</t>
  </si>
  <si>
    <t>Accounts payable</t>
  </si>
  <si>
    <t>Short-term loans</t>
  </si>
  <si>
    <t>Accrued salaries and wages</t>
  </si>
  <si>
    <t>Unearned revenue</t>
  </si>
  <si>
    <t>Current portion of long-term debt</t>
  </si>
  <si>
    <t>Total current liabilities</t>
  </si>
  <si>
    <t>Long-Term Liabilities</t>
  </si>
  <si>
    <t>Total long-term liabilities</t>
  </si>
  <si>
    <t xml:space="preserve">Total Liabilities </t>
  </si>
  <si>
    <t>Owner's Equity</t>
  </si>
  <si>
    <t>Owner's accumulated investment</t>
  </si>
  <si>
    <t>Total owner's equity</t>
  </si>
  <si>
    <t>Total Liabilities and Owner's Equity</t>
  </si>
  <si>
    <t>{42}</t>
  </si>
  <si>
    <t>Common Financial Ratios</t>
  </si>
  <si>
    <r>
      <t xml:space="preserve">Debt Ratio </t>
    </r>
    <r>
      <rPr>
        <sz val="10"/>
        <rFont val="Calibri"/>
        <family val="2"/>
        <scheme val="minor"/>
      </rPr>
      <t>(Total Liabilities / Total Assets)</t>
    </r>
  </si>
  <si>
    <r>
      <t xml:space="preserve">Current Ratio </t>
    </r>
    <r>
      <rPr>
        <sz val="10"/>
        <rFont val="Calibri"/>
        <family val="2"/>
        <scheme val="minor"/>
      </rPr>
      <t>(Current Assets / Current Liabilities)</t>
    </r>
  </si>
  <si>
    <r>
      <t xml:space="preserve">Working Capital </t>
    </r>
    <r>
      <rPr>
        <sz val="10"/>
        <rFont val="Calibri"/>
        <family val="2"/>
        <scheme val="minor"/>
      </rPr>
      <t>(Current Assets - Current Liabilities)</t>
    </r>
  </si>
  <si>
    <r>
      <t>Assets-to-Equity Ratio</t>
    </r>
    <r>
      <rPr>
        <sz val="10"/>
        <rFont val="Calibri"/>
        <family val="2"/>
        <scheme val="minor"/>
      </rPr>
      <t xml:space="preserve"> (Total Assets / Owner's Equity)</t>
    </r>
  </si>
  <si>
    <r>
      <t>Debt-to-Equity Ratio</t>
    </r>
    <r>
      <rPr>
        <sz val="10"/>
        <rFont val="Calibri"/>
        <family val="2"/>
        <scheme val="minor"/>
      </rPr>
      <t xml:space="preserve"> (Total Liabilities / Owner's Equity)</t>
    </r>
  </si>
  <si>
    <t>Long-term debt (Loan)</t>
  </si>
  <si>
    <t>Accumulated retained earnings (Net profit)</t>
  </si>
  <si>
    <t>Income taxes payable (to be paid within a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</si>
</sst>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-&quot;€&quot;\ * #,##0.00_-;\-&quot;€&quot;\ * #,##0.00_-;_-&quot;€&quot;\ * &quot;-&quot;??_-;_-@_-"/>
    <numFmt numFmtId="165" formatCode="_-* #,##0\ [$€-410]_-;\-* #,##0\ [$€-410]_-;_-* &quot;-&quot;??\ [$€-410]_-;_-@_-"/>
    <numFmt numFmtId="166" formatCode="_(* #,##0_);_(* \(#,##0\);_(* &quot;-&quot;??_);_(@_)"/>
    <numFmt numFmtId="167" formatCode="_-* #,##0.0\ [$€-410]_-;\-* #,##0.0\ [$€-410]_-;_-* &quot;-&quot;?\ [$€-410]_-;_-@_-"/>
    <numFmt numFmtId="168" formatCode="_-[$€-410]\ * #,##0.00_-;\-[$€-410]\ * #,##0.00_-;_-[$€-410]\ * &quot;-&quot;??_-;_-@_-"/>
    <numFmt numFmtId="169" formatCode="[$€-410]\ #,##0.00;[Red]\-[$€-410]\ #,##0.00"/>
    <numFmt numFmtId="170" formatCode="#,##0\ &quot;€&quot;"/>
    <numFmt numFmtId="171" formatCode="0.0"/>
    <numFmt numFmtId="172" formatCode="_-* #,##0.00\ [$€-410]_-;\-* #,##0.00\ [$€-410]_-;_-* &quot;-&quot;??\ [$€-410]_-;_-@_-"/>
    <numFmt numFmtId="175" formatCode="_(* #,##0.00_);_(* \(#,##0.00\);_(* &quot;-&quot;_);_(@_)"/>
  </numFmts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9"/>
      <color rgb="FF000000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</font>
    <font>
      <u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name val="Calibri"/>
      <family val="2"/>
    </font>
    <font>
      <b/>
      <sz val="11"/>
      <color rgb="FFFF0000"/>
      <name val="Calibri"/>
      <family val="2"/>
    </font>
    <font>
      <b/>
      <sz val="14"/>
      <color rgb="FF000000"/>
      <name val="Calibri"/>
      <family val="2"/>
    </font>
    <font>
      <b/>
      <sz val="11"/>
      <color rgb="FF1F4E78"/>
      <name val="Calibri"/>
      <family val="2"/>
    </font>
    <font>
      <b/>
      <sz val="12"/>
      <color rgb="FFFF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 Light"/>
      <family val="2"/>
    </font>
    <font>
      <sz val="11"/>
      <color theme="1"/>
      <name val="Calibri"/>
      <family val="2"/>
    </font>
    <font>
      <sz val="11"/>
      <color rgb="FF000000"/>
      <name val="等线"/>
      <family val="4"/>
      <charset val="134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1F4E78"/>
      <name val="Calibri"/>
      <family val="2"/>
    </font>
    <font>
      <u/>
      <sz val="9"/>
      <color rgb="FF00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0"/>
      <name val="Arial"/>
      <family val="2"/>
    </font>
    <font>
      <sz val="16"/>
      <name val="Calibri Light"/>
      <family val="1"/>
      <scheme val="major"/>
    </font>
    <font>
      <sz val="16"/>
      <name val="Arial"/>
      <family val="2"/>
    </font>
    <font>
      <b/>
      <sz val="20"/>
      <color theme="4"/>
      <name val="Calibri Light"/>
      <family val="1"/>
      <scheme val="maj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4"/>
      <color indexed="9"/>
      <name val="Calibri Light"/>
      <family val="1"/>
      <scheme val="major"/>
    </font>
    <font>
      <sz val="10"/>
      <color indexed="9"/>
      <name val="Arial"/>
      <family val="2"/>
    </font>
    <font>
      <sz val="2"/>
      <color indexed="9"/>
      <name val="Arial"/>
      <family val="2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2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/>
      <name val="Arial"/>
      <family val="2"/>
    </font>
    <font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5050"/>
        <bgColor rgb="FF000000"/>
      </patternFill>
    </fill>
    <fill>
      <patternFill patternType="solid">
        <fgColor rgb="FFFF5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39997558519241921"/>
      </bottom>
      <diagonal/>
    </border>
  </borders>
  <cellStyleXfs count="9">
    <xf numFmtId="0" fontId="0" fillId="0" borderId="0"/>
    <xf numFmtId="44" fontId="27" fillId="0" borderId="0" applyFont="0" applyFill="0" applyBorder="0" applyAlignment="0" applyProtection="0"/>
    <xf numFmtId="0" fontId="36" fillId="0" borderId="0"/>
    <xf numFmtId="0" fontId="43" fillId="0" borderId="0" applyNumberFormat="0" applyFill="0" applyBorder="0" applyAlignment="0" applyProtection="0">
      <alignment vertical="top"/>
      <protection locked="0"/>
    </xf>
    <xf numFmtId="4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53" fillId="0" borderId="0"/>
    <xf numFmtId="0" fontId="54" fillId="0" borderId="32" applyNumberFormat="0" applyFill="0" applyAlignment="0" applyProtection="0"/>
    <xf numFmtId="44" fontId="55" fillId="0" borderId="0" applyFont="0" applyFill="0" applyBorder="0" applyAlignment="0" applyProtection="0"/>
  </cellStyleXfs>
  <cellXfs count="25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6" fillId="0" borderId="1" xfId="0" applyFont="1" applyFill="1" applyBorder="1" applyAlignment="1"/>
    <xf numFmtId="0" fontId="6" fillId="0" borderId="16" xfId="0" applyFont="1" applyFill="1" applyBorder="1" applyAlignment="1"/>
    <xf numFmtId="0" fontId="6" fillId="0" borderId="1" xfId="0" applyFont="1" applyFill="1" applyBorder="1" applyAlignment="1">
      <alignment wrapText="1"/>
    </xf>
    <xf numFmtId="0" fontId="5" fillId="2" borderId="17" xfId="0" applyFont="1" applyFill="1" applyBorder="1" applyAlignment="1"/>
    <xf numFmtId="0" fontId="6" fillId="3" borderId="17" xfId="0" applyFont="1" applyFill="1" applyBorder="1" applyAlignment="1"/>
    <xf numFmtId="0" fontId="6" fillId="3" borderId="6" xfId="0" applyFont="1" applyFill="1" applyBorder="1" applyAlignment="1"/>
    <xf numFmtId="0" fontId="5" fillId="4" borderId="4" xfId="0" applyFont="1" applyFill="1" applyBorder="1" applyAlignment="1"/>
    <xf numFmtId="0" fontId="6" fillId="0" borderId="3" xfId="0" applyFont="1" applyFill="1" applyBorder="1" applyAlignment="1"/>
    <xf numFmtId="0" fontId="5" fillId="0" borderId="11" xfId="0" applyFont="1" applyFill="1" applyBorder="1" applyAlignment="1"/>
    <xf numFmtId="0" fontId="5" fillId="0" borderId="12" xfId="0" applyFont="1" applyFill="1" applyBorder="1" applyAlignment="1"/>
    <xf numFmtId="0" fontId="5" fillId="0" borderId="13" xfId="0" applyFont="1" applyFill="1" applyBorder="1" applyAlignment="1"/>
    <xf numFmtId="0" fontId="6" fillId="3" borderId="1" xfId="0" applyFont="1" applyFill="1" applyBorder="1" applyAlignment="1"/>
    <xf numFmtId="0" fontId="5" fillId="0" borderId="3" xfId="0" applyFont="1" applyFill="1" applyBorder="1" applyAlignment="1"/>
    <xf numFmtId="0" fontId="5" fillId="4" borderId="12" xfId="0" applyFont="1" applyFill="1" applyBorder="1" applyAlignment="1"/>
    <xf numFmtId="0" fontId="5" fillId="5" borderId="12" xfId="0" applyFont="1" applyFill="1" applyBorder="1" applyAlignment="1"/>
    <xf numFmtId="0" fontId="5" fillId="3" borderId="13" xfId="0" applyFont="1" applyFill="1" applyBorder="1" applyAlignment="1"/>
    <xf numFmtId="0" fontId="5" fillId="4" borderId="7" xfId="0" applyFont="1" applyFill="1" applyBorder="1" applyAlignment="1"/>
    <xf numFmtId="0" fontId="5" fillId="5" borderId="7" xfId="0" applyFont="1" applyFill="1" applyBorder="1" applyAlignment="1"/>
    <xf numFmtId="0" fontId="5" fillId="0" borderId="6" xfId="0" applyFont="1" applyFill="1" applyBorder="1" applyAlignment="1"/>
    <xf numFmtId="0" fontId="5" fillId="4" borderId="18" xfId="0" applyFont="1" applyFill="1" applyBorder="1" applyAlignment="1"/>
    <xf numFmtId="0" fontId="7" fillId="0" borderId="6" xfId="0" applyFont="1" applyFill="1" applyBorder="1" applyAlignment="1"/>
    <xf numFmtId="0" fontId="6" fillId="6" borderId="7" xfId="0" applyFont="1" applyFill="1" applyBorder="1" applyAlignment="1"/>
    <xf numFmtId="0" fontId="6" fillId="0" borderId="7" xfId="0" applyFont="1" applyFill="1" applyBorder="1" applyAlignment="1"/>
    <xf numFmtId="0" fontId="6" fillId="0" borderId="2" xfId="0" applyFont="1" applyFill="1" applyBorder="1" applyAlignment="1"/>
    <xf numFmtId="0" fontId="5" fillId="0" borderId="8" xfId="0" applyFont="1" applyFill="1" applyBorder="1" applyAlignment="1"/>
    <xf numFmtId="0" fontId="6" fillId="0" borderId="8" xfId="0" applyFont="1" applyFill="1" applyBorder="1" applyAlignment="1"/>
    <xf numFmtId="0" fontId="5" fillId="0" borderId="9" xfId="0" applyFont="1" applyFill="1" applyBorder="1" applyAlignment="1"/>
    <xf numFmtId="0" fontId="5" fillId="0" borderId="2" xfId="0" applyFont="1" applyFill="1" applyBorder="1" applyAlignment="1"/>
    <xf numFmtId="0" fontId="6" fillId="0" borderId="5" xfId="0" applyFont="1" applyFill="1" applyBorder="1" applyAlignment="1"/>
    <xf numFmtId="0" fontId="5" fillId="5" borderId="14" xfId="0" applyFont="1" applyFill="1" applyBorder="1" applyAlignment="1"/>
    <xf numFmtId="0" fontId="6" fillId="0" borderId="13" xfId="0" applyFont="1" applyFill="1" applyBorder="1" applyAlignment="1"/>
    <xf numFmtId="0" fontId="6" fillId="3" borderId="16" xfId="0" applyFont="1" applyFill="1" applyBorder="1" applyAlignment="1"/>
    <xf numFmtId="0" fontId="5" fillId="6" borderId="14" xfId="0" applyFont="1" applyFill="1" applyBorder="1" applyAlignment="1"/>
    <xf numFmtId="0" fontId="5" fillId="6" borderId="4" xfId="0" applyFont="1" applyFill="1" applyBorder="1" applyAlignment="1"/>
    <xf numFmtId="0" fontId="5" fillId="5" borderId="0" xfId="0" applyFont="1" applyFill="1" applyBorder="1" applyAlignment="1"/>
    <xf numFmtId="0" fontId="5" fillId="4" borderId="0" xfId="0" applyFont="1" applyFill="1" applyBorder="1" applyAlignment="1"/>
    <xf numFmtId="0" fontId="5" fillId="3" borderId="0" xfId="0" applyFont="1" applyFill="1" applyBorder="1" applyAlignment="1"/>
    <xf numFmtId="0" fontId="9" fillId="0" borderId="0" xfId="0" applyFont="1" applyFill="1" applyBorder="1" applyAlignment="1"/>
    <xf numFmtId="0" fontId="6" fillId="4" borderId="0" xfId="0" applyFont="1" applyFill="1" applyBorder="1" applyAlignment="1"/>
    <xf numFmtId="0" fontId="5" fillId="3" borderId="6" xfId="0" applyFont="1" applyFill="1" applyBorder="1" applyAlignment="1"/>
    <xf numFmtId="0" fontId="6" fillId="0" borderId="10" xfId="0" applyFont="1" applyFill="1" applyBorder="1" applyAlignment="1"/>
    <xf numFmtId="0" fontId="5" fillId="4" borderId="13" xfId="0" applyFont="1" applyFill="1" applyBorder="1" applyAlignment="1"/>
    <xf numFmtId="0" fontId="5" fillId="6" borderId="12" xfId="0" applyFont="1" applyFill="1" applyBorder="1" applyAlignment="1"/>
    <xf numFmtId="0" fontId="10" fillId="0" borderId="15" xfId="0" applyFont="1" applyFill="1" applyBorder="1" applyAlignment="1"/>
    <xf numFmtId="0" fontId="7" fillId="0" borderId="19" xfId="0" applyFont="1" applyFill="1" applyBorder="1" applyAlignment="1"/>
    <xf numFmtId="0" fontId="6" fillId="6" borderId="0" xfId="0" applyFont="1" applyFill="1" applyBorder="1" applyAlignment="1"/>
    <xf numFmtId="0" fontId="11" fillId="0" borderId="15" xfId="0" applyFont="1" applyFill="1" applyBorder="1" applyAlignment="1"/>
    <xf numFmtId="0" fontId="5" fillId="7" borderId="0" xfId="0" applyFont="1" applyFill="1" applyBorder="1" applyAlignment="1"/>
    <xf numFmtId="0" fontId="6" fillId="4" borderId="6" xfId="0" applyFont="1" applyFill="1" applyBorder="1" applyAlignment="1"/>
    <xf numFmtId="0" fontId="13" fillId="0" borderId="15" xfId="0" applyFont="1" applyFill="1" applyBorder="1" applyAlignment="1"/>
    <xf numFmtId="0" fontId="15" fillId="0" borderId="15" xfId="0" applyFont="1" applyFill="1" applyBorder="1" applyAlignment="1">
      <alignment wrapText="1"/>
    </xf>
    <xf numFmtId="0" fontId="16" fillId="0" borderId="0" xfId="0" applyFont="1" applyFill="1" applyBorder="1" applyAlignment="1"/>
    <xf numFmtId="0" fontId="12" fillId="0" borderId="0" xfId="0" applyFont="1" applyFill="1" applyBorder="1" applyAlignment="1"/>
    <xf numFmtId="0" fontId="17" fillId="0" borderId="0" xfId="0" applyFont="1" applyFill="1" applyBorder="1" applyAlignment="1"/>
    <xf numFmtId="3" fontId="5" fillId="4" borderId="12" xfId="0" applyNumberFormat="1" applyFont="1" applyFill="1" applyBorder="1" applyAlignment="1"/>
    <xf numFmtId="0" fontId="18" fillId="4" borderId="4" xfId="0" applyFont="1" applyFill="1" applyBorder="1"/>
    <xf numFmtId="0" fontId="18" fillId="0" borderId="0" xfId="0" applyFont="1" applyFill="1" applyBorder="1"/>
    <xf numFmtId="165" fontId="6" fillId="3" borderId="1" xfId="0" applyNumberFormat="1" applyFont="1" applyFill="1" applyBorder="1"/>
    <xf numFmtId="166" fontId="6" fillId="3" borderId="1" xfId="0" applyNumberFormat="1" applyFont="1" applyFill="1" applyBorder="1"/>
    <xf numFmtId="167" fontId="5" fillId="5" borderId="12" xfId="0" applyNumberFormat="1" applyFont="1" applyFill="1" applyBorder="1" applyAlignment="1"/>
    <xf numFmtId="165" fontId="6" fillId="3" borderId="1" xfId="0" applyNumberFormat="1" applyFont="1" applyFill="1" applyBorder="1" applyAlignment="1"/>
    <xf numFmtId="0" fontId="5" fillId="0" borderId="0" xfId="0" applyFont="1"/>
    <xf numFmtId="9" fontId="5" fillId="0" borderId="0" xfId="0" applyNumberFormat="1" applyFont="1"/>
    <xf numFmtId="0" fontId="19" fillId="0" borderId="0" xfId="0" applyFont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5" fillId="5" borderId="21" xfId="0" applyFont="1" applyFill="1" applyBorder="1"/>
    <xf numFmtId="0" fontId="5" fillId="5" borderId="20" xfId="0" applyFont="1" applyFill="1" applyBorder="1"/>
    <xf numFmtId="0" fontId="5" fillId="0" borderId="7" xfId="0" applyFont="1" applyFill="1" applyBorder="1" applyAlignment="1"/>
    <xf numFmtId="1" fontId="5" fillId="4" borderId="12" xfId="0" applyNumberFormat="1" applyFont="1" applyFill="1" applyBorder="1" applyAlignment="1"/>
    <xf numFmtId="165" fontId="8" fillId="3" borderId="1" xfId="0" applyNumberFormat="1" applyFont="1" applyFill="1" applyBorder="1" applyAlignment="1"/>
    <xf numFmtId="1" fontId="18" fillId="4" borderId="4" xfId="0" applyNumberFormat="1" applyFont="1" applyFill="1" applyBorder="1"/>
    <xf numFmtId="1" fontId="6" fillId="3" borderId="16" xfId="0" applyNumberFormat="1" applyFont="1" applyFill="1" applyBorder="1" applyAlignment="1"/>
    <xf numFmtId="8" fontId="5" fillId="3" borderId="12" xfId="0" applyNumberFormat="1" applyFont="1" applyFill="1" applyBorder="1" applyAlignment="1"/>
    <xf numFmtId="10" fontId="5" fillId="4" borderId="0" xfId="0" applyNumberFormat="1" applyFont="1" applyFill="1" applyBorder="1" applyAlignment="1"/>
    <xf numFmtId="165" fontId="14" fillId="3" borderId="1" xfId="0" applyNumberFormat="1" applyFont="1" applyFill="1" applyBorder="1" applyAlignment="1"/>
    <xf numFmtId="165" fontId="6" fillId="7" borderId="13" xfId="0" applyNumberFormat="1" applyFont="1" applyFill="1" applyBorder="1" applyAlignment="1"/>
    <xf numFmtId="168" fontId="5" fillId="3" borderId="12" xfId="0" applyNumberFormat="1" applyFont="1" applyFill="1" applyBorder="1"/>
    <xf numFmtId="169" fontId="8" fillId="3" borderId="1" xfId="0" applyNumberFormat="1" applyFont="1" applyFill="1" applyBorder="1" applyAlignment="1"/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indent="1"/>
    </xf>
    <xf numFmtId="170" fontId="1" fillId="0" borderId="15" xfId="0" applyNumberFormat="1" applyFont="1" applyBorder="1"/>
    <xf numFmtId="170" fontId="1" fillId="0" borderId="24" xfId="0" applyNumberFormat="1" applyFont="1" applyBorder="1"/>
    <xf numFmtId="170" fontId="1" fillId="0" borderId="16" xfId="0" applyNumberFormat="1" applyFont="1" applyBorder="1"/>
    <xf numFmtId="165" fontId="1" fillId="0" borderId="0" xfId="0" applyNumberFormat="1" applyFont="1"/>
    <xf numFmtId="165" fontId="1" fillId="0" borderId="1" xfId="0" applyNumberFormat="1" applyFont="1" applyBorder="1"/>
    <xf numFmtId="0" fontId="1" fillId="0" borderId="2" xfId="0" applyFont="1" applyBorder="1" applyAlignment="1">
      <alignment horizontal="left" indent="1"/>
    </xf>
    <xf numFmtId="165" fontId="1" fillId="8" borderId="4" xfId="0" applyNumberFormat="1" applyFont="1" applyFill="1" applyBorder="1"/>
    <xf numFmtId="165" fontId="1" fillId="8" borderId="1" xfId="0" applyNumberFormat="1" applyFont="1" applyFill="1" applyBorder="1"/>
    <xf numFmtId="0" fontId="0" fillId="0" borderId="3" xfId="0" applyBorder="1" applyAlignment="1">
      <alignment horizontal="left" indent="2"/>
    </xf>
    <xf numFmtId="0" fontId="20" fillId="9" borderId="4" xfId="0" applyFont="1" applyFill="1" applyBorder="1"/>
    <xf numFmtId="0" fontId="1" fillId="10" borderId="7" xfId="0" applyFont="1" applyFill="1" applyBorder="1" applyAlignment="1">
      <alignment horizontal="left" indent="1"/>
    </xf>
    <xf numFmtId="0" fontId="0" fillId="10" borderId="4" xfId="0" applyFill="1" applyBorder="1"/>
    <xf numFmtId="0" fontId="1" fillId="0" borderId="5" xfId="0" applyFont="1" applyBorder="1" applyAlignment="1">
      <alignment horizontal="left" indent="1"/>
    </xf>
    <xf numFmtId="9" fontId="0" fillId="0" borderId="0" xfId="0" applyNumberFormat="1"/>
    <xf numFmtId="0" fontId="20" fillId="0" borderId="3" xfId="0" applyFont="1" applyBorder="1" applyAlignment="1">
      <alignment horizontal="left" indent="2"/>
    </xf>
    <xf numFmtId="165" fontId="21" fillId="0" borderId="0" xfId="0" applyNumberFormat="1" applyFont="1"/>
    <xf numFmtId="0" fontId="20" fillId="0" borderId="0" xfId="0" applyFont="1"/>
    <xf numFmtId="0" fontId="0" fillId="9" borderId="3" xfId="0" applyFill="1" applyBorder="1" applyAlignment="1">
      <alignment horizontal="left" indent="2"/>
    </xf>
    <xf numFmtId="0" fontId="0" fillId="8" borderId="4" xfId="0" applyFill="1" applyBorder="1"/>
    <xf numFmtId="0" fontId="1" fillId="0" borderId="3" xfId="0" applyFont="1" applyBorder="1" applyAlignment="1">
      <alignment horizontal="left" indent="2"/>
    </xf>
    <xf numFmtId="0" fontId="1" fillId="8" borderId="4" xfId="0" applyFont="1" applyFill="1" applyBorder="1"/>
    <xf numFmtId="0" fontId="0" fillId="10" borderId="5" xfId="0" applyFill="1" applyBorder="1"/>
    <xf numFmtId="0" fontId="22" fillId="0" borderId="1" xfId="0" applyFont="1" applyBorder="1" applyAlignment="1">
      <alignment horizontal="left" indent="1"/>
    </xf>
    <xf numFmtId="0" fontId="0" fillId="10" borderId="13" xfId="0" applyFill="1" applyBorder="1"/>
    <xf numFmtId="0" fontId="0" fillId="0" borderId="25" xfId="0" applyBorder="1"/>
    <xf numFmtId="0" fontId="0" fillId="0" borderId="26" xfId="0" applyBorder="1"/>
    <xf numFmtId="0" fontId="0" fillId="0" borderId="14" xfId="0" applyBorder="1"/>
    <xf numFmtId="0" fontId="0" fillId="0" borderId="4" xfId="0" applyBorder="1"/>
    <xf numFmtId="0" fontId="0" fillId="0" borderId="27" xfId="0" applyBorder="1"/>
    <xf numFmtId="0" fontId="0" fillId="0" borderId="28" xfId="0" applyBorder="1"/>
    <xf numFmtId="0" fontId="0" fillId="0" borderId="18" xfId="0" applyBorder="1"/>
    <xf numFmtId="0" fontId="0" fillId="9" borderId="13" xfId="0" applyFill="1" applyBorder="1"/>
    <xf numFmtId="0" fontId="0" fillId="9" borderId="4" xfId="0" applyFill="1" applyBorder="1"/>
    <xf numFmtId="0" fontId="23" fillId="0" borderId="3" xfId="0" applyFont="1" applyBorder="1" applyAlignment="1">
      <alignment horizontal="left" indent="2"/>
    </xf>
    <xf numFmtId="0" fontId="20" fillId="9" borderId="3" xfId="0" applyFont="1" applyFill="1" applyBorder="1"/>
    <xf numFmtId="0" fontId="1" fillId="0" borderId="13" xfId="0" applyFont="1" applyBorder="1" applyAlignment="1">
      <alignment horizontal="left" indent="1"/>
    </xf>
    <xf numFmtId="165" fontId="1" fillId="0" borderId="3" xfId="0" applyNumberFormat="1" applyFont="1" applyBorder="1"/>
    <xf numFmtId="0" fontId="1" fillId="0" borderId="7" xfId="0" applyFont="1" applyBorder="1" applyAlignment="1">
      <alignment horizontal="left" indent="1"/>
    </xf>
    <xf numFmtId="0" fontId="0" fillId="9" borderId="3" xfId="0" applyFill="1" applyBorder="1"/>
    <xf numFmtId="165" fontId="1" fillId="9" borderId="3" xfId="0" applyNumberFormat="1" applyFont="1" applyFill="1" applyBorder="1"/>
    <xf numFmtId="1" fontId="0" fillId="8" borderId="4" xfId="0" applyNumberFormat="1" applyFill="1" applyBorder="1"/>
    <xf numFmtId="0" fontId="25" fillId="0" borderId="0" xfId="0" quotePrefix="1" applyFont="1"/>
    <xf numFmtId="0" fontId="1" fillId="0" borderId="3" xfId="0" applyFont="1" applyBorder="1" applyAlignment="1">
      <alignment horizontal="left" indent="1"/>
    </xf>
    <xf numFmtId="165" fontId="0" fillId="8" borderId="4" xfId="0" applyNumberFormat="1" applyFill="1" applyBorder="1"/>
    <xf numFmtId="0" fontId="1" fillId="10" borderId="0" xfId="0" applyFont="1" applyFill="1" applyAlignment="1">
      <alignment horizontal="left" indent="1"/>
    </xf>
    <xf numFmtId="0" fontId="0" fillId="10" borderId="3" xfId="0" applyFill="1" applyBorder="1"/>
    <xf numFmtId="165" fontId="26" fillId="8" borderId="1" xfId="0" applyNumberFormat="1" applyFont="1" applyFill="1" applyBorder="1"/>
    <xf numFmtId="165" fontId="0" fillId="0" borderId="0" xfId="0" applyNumberFormat="1"/>
    <xf numFmtId="0" fontId="1" fillId="0" borderId="0" xfId="0" applyFont="1" applyAlignment="1">
      <alignment horizontal="left" indent="1"/>
    </xf>
    <xf numFmtId="170" fontId="1" fillId="0" borderId="0" xfId="0" applyNumberFormat="1" applyFont="1"/>
    <xf numFmtId="1" fontId="20" fillId="9" borderId="4" xfId="0" applyNumberFormat="1" applyFont="1" applyFill="1" applyBorder="1"/>
    <xf numFmtId="3" fontId="0" fillId="9" borderId="4" xfId="0" applyNumberFormat="1" applyFill="1" applyBorder="1"/>
    <xf numFmtId="1" fontId="0" fillId="9" borderId="13" xfId="0" applyNumberFormat="1" applyFill="1" applyBorder="1"/>
    <xf numFmtId="1" fontId="0" fillId="9" borderId="4" xfId="0" applyNumberFormat="1" applyFill="1" applyBorder="1"/>
    <xf numFmtId="0" fontId="5" fillId="0" borderId="0" xfId="0" applyFont="1" applyBorder="1"/>
    <xf numFmtId="10" fontId="0" fillId="0" borderId="0" xfId="0" applyNumberFormat="1"/>
    <xf numFmtId="1" fontId="0" fillId="8" borderId="13" xfId="0" applyNumberFormat="1" applyFill="1" applyBorder="1"/>
    <xf numFmtId="165" fontId="0" fillId="8" borderId="13" xfId="0" applyNumberFormat="1" applyFill="1" applyBorder="1"/>
    <xf numFmtId="0" fontId="0" fillId="9" borderId="25" xfId="0" applyFill="1" applyBorder="1"/>
    <xf numFmtId="0" fontId="0" fillId="0" borderId="29" xfId="0" applyBorder="1"/>
    <xf numFmtId="0" fontId="28" fillId="0" borderId="0" xfId="0" applyFont="1"/>
    <xf numFmtId="0" fontId="28" fillId="4" borderId="12" xfId="0" applyFont="1" applyFill="1" applyBorder="1"/>
    <xf numFmtId="1" fontId="29" fillId="4" borderId="4" xfId="0" applyNumberFormat="1" applyFont="1" applyFill="1" applyBorder="1"/>
    <xf numFmtId="1" fontId="28" fillId="4" borderId="12" xfId="0" applyNumberFormat="1" applyFont="1" applyFill="1" applyBorder="1"/>
    <xf numFmtId="1" fontId="30" fillId="3" borderId="16" xfId="0" applyNumberFormat="1" applyFont="1" applyFill="1" applyBorder="1"/>
    <xf numFmtId="0" fontId="29" fillId="4" borderId="4" xfId="0" applyFont="1" applyFill="1" applyBorder="1"/>
    <xf numFmtId="0" fontId="28" fillId="4" borderId="7" xfId="0" applyFont="1" applyFill="1" applyBorder="1"/>
    <xf numFmtId="0" fontId="28" fillId="4" borderId="18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8" borderId="0" xfId="0" applyFill="1" applyProtection="1">
      <protection locked="0"/>
    </xf>
    <xf numFmtId="44" fontId="23" fillId="11" borderId="0" xfId="1" applyFont="1" applyFill="1"/>
    <xf numFmtId="1" fontId="0" fillId="8" borderId="0" xfId="0" applyNumberFormat="1" applyFill="1" applyProtection="1">
      <protection locked="0"/>
    </xf>
    <xf numFmtId="0" fontId="0" fillId="11" borderId="0" xfId="0" applyFill="1" applyProtection="1">
      <protection locked="0"/>
    </xf>
    <xf numFmtId="0" fontId="1" fillId="0" borderId="0" xfId="0" applyFont="1" applyAlignment="1">
      <alignment horizontal="right"/>
    </xf>
    <xf numFmtId="166" fontId="0" fillId="8" borderId="0" xfId="0" applyNumberFormat="1" applyFill="1"/>
    <xf numFmtId="164" fontId="0" fillId="8" borderId="0" xfId="0" applyNumberFormat="1" applyFill="1"/>
    <xf numFmtId="171" fontId="0" fillId="8" borderId="0" xfId="0" applyNumberFormat="1" applyFill="1"/>
    <xf numFmtId="1" fontId="0" fillId="0" borderId="0" xfId="0" applyNumberFormat="1"/>
    <xf numFmtId="0" fontId="31" fillId="0" borderId="0" xfId="0" applyFont="1"/>
    <xf numFmtId="0" fontId="1" fillId="0" borderId="0" xfId="0" applyFont="1"/>
    <xf numFmtId="1" fontId="5" fillId="3" borderId="13" xfId="0" applyNumberFormat="1" applyFont="1" applyFill="1" applyBorder="1" applyAlignment="1"/>
    <xf numFmtId="1" fontId="28" fillId="3" borderId="13" xfId="0" applyNumberFormat="1" applyFont="1" applyFill="1" applyBorder="1"/>
    <xf numFmtId="0" fontId="28" fillId="3" borderId="13" xfId="0" applyFont="1" applyFill="1" applyBorder="1"/>
    <xf numFmtId="0" fontId="28" fillId="6" borderId="13" xfId="0" applyFont="1" applyFill="1" applyBorder="1"/>
    <xf numFmtId="0" fontId="28" fillId="6" borderId="4" xfId="0" applyFont="1" applyFill="1" applyBorder="1"/>
    <xf numFmtId="168" fontId="5" fillId="3" borderId="13" xfId="0" applyNumberFormat="1" applyFont="1" applyFill="1" applyBorder="1" applyAlignment="1"/>
    <xf numFmtId="168" fontId="28" fillId="3" borderId="13" xfId="0" applyNumberFormat="1" applyFont="1" applyFill="1" applyBorder="1"/>
    <xf numFmtId="165" fontId="30" fillId="3" borderId="16" xfId="0" applyNumberFormat="1" applyFont="1" applyFill="1" applyBorder="1"/>
    <xf numFmtId="165" fontId="32" fillId="3" borderId="1" xfId="0" applyNumberFormat="1" applyFont="1" applyFill="1" applyBorder="1"/>
    <xf numFmtId="8" fontId="28" fillId="3" borderId="12" xfId="0" applyNumberFormat="1" applyFont="1" applyFill="1" applyBorder="1"/>
    <xf numFmtId="168" fontId="28" fillId="3" borderId="12" xfId="0" applyNumberFormat="1" applyFont="1" applyFill="1" applyBorder="1"/>
    <xf numFmtId="0" fontId="18" fillId="0" borderId="0" xfId="0" applyFont="1"/>
    <xf numFmtId="0" fontId="6" fillId="0" borderId="29" xfId="0" applyFont="1" applyBorder="1" applyAlignment="1">
      <alignment wrapText="1"/>
    </xf>
    <xf numFmtId="166" fontId="18" fillId="12" borderId="0" xfId="0" applyNumberFormat="1" applyFont="1" applyFill="1"/>
    <xf numFmtId="0" fontId="9" fillId="0" borderId="0" xfId="0" applyFont="1"/>
    <xf numFmtId="166" fontId="18" fillId="0" borderId="0" xfId="0" applyNumberFormat="1" applyFont="1"/>
    <xf numFmtId="0" fontId="6" fillId="0" borderId="29" xfId="0" applyFont="1" applyBorder="1"/>
    <xf numFmtId="166" fontId="18" fillId="3" borderId="29" xfId="0" applyNumberFormat="1" applyFont="1" applyFill="1" applyBorder="1"/>
    <xf numFmtId="0" fontId="18" fillId="0" borderId="0" xfId="0" applyFont="1" applyAlignment="1">
      <alignment horizontal="right"/>
    </xf>
    <xf numFmtId="0" fontId="6" fillId="0" borderId="1" xfId="0" applyFont="1" applyBorder="1"/>
    <xf numFmtId="0" fontId="18" fillId="0" borderId="26" xfId="0" applyFont="1" applyBorder="1"/>
    <xf numFmtId="166" fontId="18" fillId="3" borderId="1" xfId="0" applyNumberFormat="1" applyFont="1" applyFill="1" applyBorder="1"/>
    <xf numFmtId="166" fontId="18" fillId="3" borderId="16" xfId="0" applyNumberFormat="1" applyFont="1" applyFill="1" applyBorder="1"/>
    <xf numFmtId="165" fontId="6" fillId="3" borderId="17" xfId="0" applyNumberFormat="1" applyFont="1" applyFill="1" applyBorder="1" applyAlignment="1"/>
    <xf numFmtId="1" fontId="5" fillId="5" borderId="12" xfId="0" applyNumberFormat="1" applyFont="1" applyFill="1" applyBorder="1" applyAlignment="1"/>
    <xf numFmtId="165" fontId="5" fillId="0" borderId="0" xfId="0" applyNumberFormat="1" applyFont="1" applyFill="1" applyBorder="1" applyAlignment="1"/>
    <xf numFmtId="0" fontId="18" fillId="13" borderId="0" xfId="0" applyFont="1" applyFill="1"/>
    <xf numFmtId="0" fontId="18" fillId="13" borderId="0" xfId="0" applyFont="1" applyFill="1" applyAlignment="1">
      <alignment wrapText="1"/>
    </xf>
    <xf numFmtId="166" fontId="18" fillId="13" borderId="0" xfId="0" applyNumberFormat="1" applyFont="1" applyFill="1"/>
    <xf numFmtId="166" fontId="18" fillId="14" borderId="0" xfId="0" applyNumberFormat="1" applyFont="1" applyFill="1"/>
    <xf numFmtId="166" fontId="28" fillId="3" borderId="13" xfId="0" applyNumberFormat="1" applyFont="1" applyFill="1" applyBorder="1"/>
    <xf numFmtId="165" fontId="6" fillId="15" borderId="1" xfId="0" applyNumberFormat="1" applyFont="1" applyFill="1" applyBorder="1" applyAlignment="1"/>
    <xf numFmtId="165" fontId="30" fillId="15" borderId="16" xfId="0" applyNumberFormat="1" applyFont="1" applyFill="1" applyBorder="1"/>
    <xf numFmtId="1" fontId="0" fillId="16" borderId="13" xfId="0" applyNumberFormat="1" applyFill="1" applyBorder="1"/>
    <xf numFmtId="0" fontId="37" fillId="0" borderId="0" xfId="2" applyFont="1" applyAlignment="1" applyProtection="1">
      <alignment vertical="center"/>
    </xf>
    <xf numFmtId="0" fontId="38" fillId="0" borderId="0" xfId="2" applyFont="1" applyAlignment="1" applyProtection="1">
      <alignment vertical="center"/>
      <protection locked="0"/>
    </xf>
    <xf numFmtId="0" fontId="39" fillId="0" borderId="0" xfId="2" applyFont="1" applyAlignment="1" applyProtection="1">
      <alignment vertical="center"/>
      <protection locked="0"/>
    </xf>
    <xf numFmtId="0" fontId="40" fillId="0" borderId="0" xfId="2" applyFont="1" applyAlignment="1" applyProtection="1">
      <alignment horizontal="right" vertical="center" wrapText="1"/>
    </xf>
    <xf numFmtId="0" fontId="37" fillId="0" borderId="0" xfId="2" applyFont="1" applyAlignment="1" applyProtection="1">
      <alignment horizontal="left" vertical="center"/>
    </xf>
    <xf numFmtId="0" fontId="41" fillId="0" borderId="0" xfId="2" applyFont="1" applyAlignment="1" applyProtection="1">
      <alignment vertical="center"/>
      <protection locked="0"/>
    </xf>
    <xf numFmtId="0" fontId="41" fillId="0" borderId="0" xfId="2" applyFont="1" applyAlignment="1" applyProtection="1">
      <alignment horizontal="left" vertical="center"/>
      <protection locked="0"/>
    </xf>
    <xf numFmtId="0" fontId="42" fillId="0" borderId="0" xfId="2" applyFont="1" applyFill="1" applyAlignment="1" applyProtection="1">
      <alignment horizontal="center" vertical="center"/>
    </xf>
    <xf numFmtId="14" fontId="42" fillId="0" borderId="0" xfId="2" applyNumberFormat="1" applyFont="1" applyAlignment="1" applyProtection="1">
      <alignment horizontal="center" vertical="center"/>
      <protection locked="0"/>
    </xf>
    <xf numFmtId="14" fontId="42" fillId="0" borderId="0" xfId="2" applyNumberFormat="1" applyFont="1" applyAlignment="1" applyProtection="1">
      <alignment horizontal="center" vertical="center" wrapText="1"/>
      <protection locked="0"/>
    </xf>
    <xf numFmtId="0" fontId="43" fillId="0" borderId="0" xfId="3" applyAlignment="1" applyProtection="1">
      <alignment vertical="center"/>
    </xf>
    <xf numFmtId="0" fontId="41" fillId="0" borderId="0" xfId="2" applyFont="1" applyAlignment="1" applyProtection="1">
      <alignment vertical="center"/>
    </xf>
    <xf numFmtId="172" fontId="41" fillId="0" borderId="0" xfId="2" applyNumberFormat="1" applyFont="1" applyAlignment="1" applyProtection="1">
      <alignment vertical="center" wrapText="1"/>
    </xf>
    <xf numFmtId="0" fontId="44" fillId="0" borderId="0" xfId="2" applyFont="1" applyAlignment="1" applyProtection="1">
      <alignment vertical="center"/>
    </xf>
    <xf numFmtId="0" fontId="45" fillId="17" borderId="0" xfId="2" applyFont="1" applyFill="1" applyAlignment="1" applyProtection="1">
      <alignment vertical="center"/>
    </xf>
    <xf numFmtId="0" fontId="45" fillId="17" borderId="0" xfId="2" applyFont="1" applyFill="1" applyAlignment="1" applyProtection="1">
      <alignment vertical="center"/>
      <protection locked="0"/>
    </xf>
    <xf numFmtId="0" fontId="45" fillId="17" borderId="0" xfId="2" applyFont="1" applyFill="1" applyAlignment="1" applyProtection="1">
      <alignment horizontal="center" vertical="center" wrapText="1"/>
      <protection locked="0"/>
    </xf>
    <xf numFmtId="0" fontId="46" fillId="0" borderId="0" xfId="2" applyFont="1" applyFill="1" applyAlignment="1" applyProtection="1">
      <alignment vertical="center"/>
    </xf>
    <xf numFmtId="0" fontId="47" fillId="0" borderId="0" xfId="2" applyFont="1" applyFill="1" applyAlignment="1" applyProtection="1">
      <alignment vertical="center"/>
    </xf>
    <xf numFmtId="0" fontId="48" fillId="18" borderId="0" xfId="2" applyFont="1" applyFill="1" applyAlignment="1" applyProtection="1">
      <alignment vertical="center"/>
    </xf>
    <xf numFmtId="41" fontId="41" fillId="18" borderId="0" xfId="4" applyNumberFormat="1" applyFont="1" applyFill="1" applyAlignment="1" applyProtection="1">
      <alignment vertical="center"/>
    </xf>
    <xf numFmtId="41" fontId="41" fillId="18" borderId="0" xfId="4" applyNumberFormat="1" applyFont="1" applyFill="1" applyAlignment="1" applyProtection="1">
      <alignment vertical="center" wrapText="1"/>
    </xf>
    <xf numFmtId="41" fontId="41" fillId="0" borderId="0" xfId="4" applyNumberFormat="1" applyFont="1" applyAlignment="1" applyProtection="1">
      <alignment vertical="center"/>
      <protection locked="0"/>
    </xf>
    <xf numFmtId="41" fontId="41" fillId="0" borderId="0" xfId="4" applyNumberFormat="1" applyFont="1" applyAlignment="1" applyProtection="1">
      <alignment vertical="center" wrapText="1"/>
      <protection locked="0"/>
    </xf>
    <xf numFmtId="41" fontId="37" fillId="0" borderId="0" xfId="2" applyNumberFormat="1" applyFont="1" applyAlignment="1" applyProtection="1">
      <alignment vertical="center"/>
    </xf>
    <xf numFmtId="0" fontId="49" fillId="0" borderId="0" xfId="2" applyFont="1" applyAlignment="1" applyProtection="1">
      <alignment horizontal="right" vertical="center"/>
    </xf>
    <xf numFmtId="41" fontId="41" fillId="19" borderId="30" xfId="4" applyNumberFormat="1" applyFont="1" applyFill="1" applyBorder="1" applyAlignment="1" applyProtection="1">
      <alignment vertical="center"/>
    </xf>
    <xf numFmtId="41" fontId="41" fillId="19" borderId="30" xfId="4" applyNumberFormat="1" applyFont="1" applyFill="1" applyBorder="1" applyAlignment="1" applyProtection="1">
      <alignment vertical="center" wrapText="1"/>
    </xf>
    <xf numFmtId="0" fontId="41" fillId="0" borderId="0" xfId="2" applyFont="1" applyAlignment="1" applyProtection="1">
      <alignment vertical="center" wrapText="1"/>
      <protection locked="0"/>
    </xf>
    <xf numFmtId="0" fontId="50" fillId="19" borderId="0" xfId="2" applyFont="1" applyFill="1" applyAlignment="1" applyProtection="1">
      <alignment vertical="center"/>
    </xf>
    <xf numFmtId="41" fontId="50" fillId="18" borderId="31" xfId="2" applyNumberFormat="1" applyFont="1" applyFill="1" applyBorder="1" applyAlignment="1" applyProtection="1">
      <alignment vertical="center"/>
    </xf>
    <xf numFmtId="41" fontId="50" fillId="18" borderId="31" xfId="2" applyNumberFormat="1" applyFont="1" applyFill="1" applyBorder="1" applyAlignment="1" applyProtection="1">
      <alignment vertical="center" wrapText="1"/>
    </xf>
    <xf numFmtId="0" fontId="41" fillId="0" borderId="0" xfId="2" applyFont="1" applyAlignment="1" applyProtection="1">
      <alignment vertical="center" wrapText="1"/>
    </xf>
    <xf numFmtId="0" fontId="47" fillId="0" borderId="0" xfId="2" applyFont="1" applyAlignment="1" applyProtection="1">
      <alignment horizontal="right" vertical="center"/>
    </xf>
    <xf numFmtId="0" fontId="45" fillId="17" borderId="0" xfId="2" applyFont="1" applyFill="1" applyAlignment="1" applyProtection="1">
      <alignment vertical="center" wrapText="1"/>
    </xf>
    <xf numFmtId="42" fontId="37" fillId="0" borderId="0" xfId="2" applyNumberFormat="1" applyFont="1" applyAlignment="1" applyProtection="1">
      <alignment vertical="center"/>
    </xf>
    <xf numFmtId="0" fontId="51" fillId="0" borderId="0" xfId="2" applyFont="1" applyFill="1" applyAlignment="1" applyProtection="1">
      <alignment vertical="center"/>
    </xf>
    <xf numFmtId="41" fontId="51" fillId="20" borderId="31" xfId="2" applyNumberFormat="1" applyFont="1" applyFill="1" applyBorder="1" applyAlignment="1" applyProtection="1">
      <alignment vertical="center"/>
    </xf>
    <xf numFmtId="0" fontId="52" fillId="0" borderId="0" xfId="2" applyFont="1" applyAlignment="1" applyProtection="1">
      <alignment horizontal="right" vertical="center"/>
    </xf>
    <xf numFmtId="0" fontId="52" fillId="0" borderId="0" xfId="2" applyFont="1" applyAlignment="1" applyProtection="1">
      <alignment horizontal="right" vertical="center" wrapText="1"/>
    </xf>
    <xf numFmtId="0" fontId="42" fillId="19" borderId="0" xfId="2" applyFont="1" applyFill="1" applyAlignment="1" applyProtection="1">
      <alignment vertical="center"/>
    </xf>
    <xf numFmtId="2" fontId="41" fillId="19" borderId="0" xfId="5" applyNumberFormat="1" applyFont="1" applyFill="1" applyAlignment="1" applyProtection="1">
      <alignment vertical="center"/>
    </xf>
    <xf numFmtId="0" fontId="37" fillId="0" borderId="0" xfId="2" applyFont="1" applyAlignment="1" applyProtection="1">
      <alignment wrapText="1"/>
    </xf>
    <xf numFmtId="41" fontId="41" fillId="19" borderId="0" xfId="4" applyNumberFormat="1" applyFont="1" applyFill="1" applyAlignment="1" applyProtection="1">
      <alignment vertical="center"/>
    </xf>
    <xf numFmtId="0" fontId="37" fillId="0" borderId="0" xfId="2" applyFont="1" applyProtection="1"/>
    <xf numFmtId="0" fontId="40" fillId="0" borderId="0" xfId="2" applyFont="1" applyAlignment="1" applyProtection="1">
      <alignment horizontal="center" vertical="center"/>
    </xf>
    <xf numFmtId="0" fontId="41" fillId="0" borderId="0" xfId="2" applyFont="1" applyAlignment="1" applyProtection="1">
      <alignment horizontal="center" vertical="center"/>
    </xf>
    <xf numFmtId="8" fontId="41" fillId="0" borderId="0" xfId="4" applyNumberFormat="1" applyFont="1" applyAlignment="1" applyProtection="1">
      <alignment vertical="center"/>
      <protection locked="0"/>
    </xf>
    <xf numFmtId="175" fontId="37" fillId="0" borderId="0" xfId="2" applyNumberFormat="1" applyFont="1" applyAlignment="1" applyProtection="1">
      <alignment vertical="center"/>
    </xf>
  </cellXfs>
  <cellStyles count="9">
    <cellStyle name="Currency" xfId="1" builtinId="4"/>
    <cellStyle name="Hyperlink" xfId="3" builtinId="8"/>
    <cellStyle name="Normal" xfId="0" builtinId="0"/>
    <cellStyle name="Normale 2" xfId="6" xr:uid="{00000000-0005-0000-0000-000002000000}"/>
    <cellStyle name="Normale 3" xfId="2" xr:uid="{00000000-0005-0000-0000-000003000000}"/>
    <cellStyle name="Percentuale 2" xfId="5" xr:uid="{00000000-0005-0000-0000-000004000000}"/>
    <cellStyle name="Titolo 2 2" xfId="7" xr:uid="{00000000-0005-0000-0000-000005000000}"/>
    <cellStyle name="Valuta 2" xfId="8" xr:uid="{00000000-0005-0000-0000-000007000000}"/>
    <cellStyle name="Valuta 3" xfId="4" xr:uid="{00000000-0005-0000-0000-000008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27</xdr:row>
      <xdr:rowOff>180975</xdr:rowOff>
    </xdr:from>
    <xdr:to>
      <xdr:col>3</xdr:col>
      <xdr:colOff>704850</xdr:colOff>
      <xdr:row>30</xdr:row>
      <xdr:rowOff>142875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D0017A6-3773-7447-8540-BD030DDF5B27}"/>
            </a:ext>
          </a:extLst>
        </xdr:cNvPr>
        <xdr:cNvSpPr txBox="1"/>
      </xdr:nvSpPr>
      <xdr:spPr>
        <a:xfrm>
          <a:off x="4187825" y="5375275"/>
          <a:ext cx="3438525" cy="533400"/>
        </a:xfrm>
        <a:prstGeom prst="rect">
          <a:avLst/>
        </a:prstGeom>
        <a:solidFill>
          <a:srgbClr val="FFFF00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Formulas: already included</a:t>
          </a:r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10</xdr:col>
      <xdr:colOff>457200</xdr:colOff>
      <xdr:row>25</xdr:row>
      <xdr:rowOff>0</xdr:rowOff>
    </xdr:to>
    <xdr:sp macro="" textlink="">
      <xdr:nvSpPr>
        <xdr:cNvPr id="9" name="CasellaDiTesto 2">
          <a:extLst>
            <a:ext uri="{FF2B5EF4-FFF2-40B4-BE49-F238E27FC236}">
              <a16:creationId xmlns:a16="http://schemas.microsoft.com/office/drawing/2014/main" id="{09F4C401-CCCD-704A-8A59-9C95794364AF}"/>
            </a:ext>
            <a:ext uri="{147F2762-F138-4A5C-976F-8EAC2B608ADB}">
              <a16:predDERef xmlns:a16="http://schemas.microsoft.com/office/drawing/2014/main" pred="{CD0017A6-3773-7447-8540-BD030DDF5B27}"/>
            </a:ext>
          </a:extLst>
        </xdr:cNvPr>
        <xdr:cNvSpPr txBox="1"/>
      </xdr:nvSpPr>
      <xdr:spPr>
        <a:xfrm>
          <a:off x="8791575" y="723900"/>
          <a:ext cx="2228850" cy="3810000"/>
        </a:xfrm>
        <a:prstGeom prst="rect">
          <a:avLst/>
        </a:prstGeom>
        <a:solidFill>
          <a:srgbClr val="FFFF00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Which are the factors affecting the difference between the results in Cash Flow and in Income Statement?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In the Income Statement we do not find all the information included in the Cash Flow and viceversa.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If you have beginning and/or ending inventory you will have 6 differences, otherwise 5 differences.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Before you start writing, identify  these differences!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They do not belong to the "Investing Activities" section.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In some cases you must think in terms of differences between consecutive years!</a:t>
          </a:r>
          <a:endParaRPr kumimoji="0" lang="it-IT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it-IT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it-IT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it-IT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295275</xdr:colOff>
      <xdr:row>0</xdr:row>
      <xdr:rowOff>123825</xdr:rowOff>
    </xdr:from>
    <xdr:ext cx="2162175" cy="387286"/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8D2040D4-AA82-4809-9B95-839E85C798BF}"/>
            </a:ext>
          </a:extLst>
        </xdr:cNvPr>
        <xdr:cNvSpPr/>
      </xdr:nvSpPr>
      <xdr:spPr>
        <a:xfrm>
          <a:off x="466725" y="123825"/>
          <a:ext cx="2162175" cy="3872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it-IT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My company Inc.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295275</xdr:colOff>
      <xdr:row>0</xdr:row>
      <xdr:rowOff>123825</xdr:rowOff>
    </xdr:from>
    <xdr:ext cx="2162175" cy="387286"/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DF11575A-5C0E-40A0-A841-F171E931AA84}"/>
            </a:ext>
          </a:extLst>
        </xdr:cNvPr>
        <xdr:cNvSpPr/>
      </xdr:nvSpPr>
      <xdr:spPr>
        <a:xfrm>
          <a:off x="466725" y="123825"/>
          <a:ext cx="2162175" cy="3872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it-IT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My company Inc.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marco/Google%20Drive/UNITN/LOGIMP2018/ENGLISH/2018-2019/GDT/9%20-%20-%20finance%20serv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:/Users/marco/Google%20Drive/UNITN/LOGIMP2018/ENGLISH/2018-2019/GDT/9%20-%20-%20finance%20serv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empio &quot;tabella&quot;"/>
      <sheetName val="PVsp"/>
      <sheetName val="PVa"/>
      <sheetName val="Interesse semplice e composto"/>
      <sheetName val="Ammortamenti"/>
      <sheetName val="Comp. costante"/>
      <sheetName val="Comp. costante (2)"/>
      <sheetName val="Grafico1"/>
      <sheetName val="Foglio1"/>
      <sheetName val="BalanceSheet"/>
      <sheetName val="SingleStep"/>
      <sheetName val="MultiStep"/>
      <sheetName val="budget#1"/>
      <sheetName val="CashFlowStatement"/>
      <sheetName val="3YearCashFlow"/>
      <sheetName val="12MonthCashFlow"/>
      <sheetName val="Services"/>
      <sheetName val="Goods"/>
      <sheetName val="cash vs profi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empio &quot;tabella&quot;"/>
      <sheetName val="PVsp"/>
      <sheetName val="PVa"/>
      <sheetName val="Interesse semplice e composto"/>
      <sheetName val="Ammortamenti"/>
      <sheetName val="Comp. costante"/>
      <sheetName val="Comp. costante (2)"/>
      <sheetName val="Grafico1"/>
      <sheetName val="Foglio1"/>
      <sheetName val="BalanceSheet"/>
      <sheetName val="SingleStep"/>
      <sheetName val="MultiStep"/>
      <sheetName val="budget#1"/>
      <sheetName val="CashFlowStatement"/>
      <sheetName val="3YearCashFlow"/>
      <sheetName val="12MonthCashFlow"/>
      <sheetName val="Services"/>
      <sheetName val="Goods"/>
      <sheetName val="cash vs profi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128C020C-7233-47EE-98D0-9F82A996EB26}" userId="" providerId="Windows Live"/>
  <person displayName="Pablo Rosales" id="{8335240D-955C-43EE-BDF9-4F360C7C5ADA}" userId="Pablo Rosales" providerId="None"/>
  <person displayName="Jessica Kelly" id="{2C541ABC-19C2-024C-B812-5421AF52BD20}" userId="9f7b3a84bec973cb" providerId="Windows Live"/>
  <person displayName="Pablo Rosales" id="{F50B9C35-4945-4496-9F5E-4579433C4D79}" userId="b6b41f040573ff7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19-11-06T16:04:15.53" personId="{2C541ABC-19C2-024C-B812-5421AF52BD20}" id="{E768975D-742A-5A41-BE82-DDFE710871CF}">
    <text>Assuming 20 percent receivables in the first year tyhrough our financing plans</text>
  </threadedComment>
  <threadedComment ref="A19" dT="2019-11-06T16:27:39.59" personId="{2C541ABC-19C2-024C-B812-5421AF52BD20}" id="{3B3F1867-8DB6-E544-B353-7E5BA76397B4}">
    <text>We need 33 employees to reach our production goal of 50000 in a year</text>
  </threadedComment>
  <threadedComment ref="B19" dT="2019-11-13T16:16:45.50" personId="{F50B9C35-4945-4496-9F5E-4579433C4D79}" id="{42B58759-0799-4996-A071-777C84DABFDA}">
    <text>We just have 1 office worker</text>
  </threadedComment>
  <threadedComment ref="C19" dT="2019-11-13T16:17:01.60" personId="{F50B9C35-4945-4496-9F5E-4579433C4D79}" id="{33FA6D29-FD3F-484E-B095-AED1A09311F4}">
    <text>We have 1 office worker</text>
  </threadedComment>
  <threadedComment ref="D19" dT="2019-11-13T16:17:13.86" personId="{F50B9C35-4945-4496-9F5E-4579433C4D79}" id="{6B88B8E9-B323-4A39-B283-224F5098BF64}">
    <text>We have 1 office worker</text>
  </threadedComment>
  <threadedComment ref="A23" dT="2019-11-06T17:10:58.30" personId="{2C541ABC-19C2-024C-B812-5421AF52BD20}" id="{EDC7E3E3-6D6C-C842-9A56-63A7ABA6476E}">
    <text>https://www.lyfemarketing.com/blog/average-advertising-costs/
Average advertising costs for a small business are around 100,000 per year</text>
  </threadedComment>
  <threadedComment ref="B24" dT="2019-11-06T17:23:13.91" personId="{F50B9C35-4945-4496-9F5E-4579433C4D79}" id="{ABD9B0AD-816F-41C5-B0C9-CE1694B5B371}">
    <text>Freight cost is included in the fulfillment costs</text>
  </threadedComment>
  <threadedComment ref="B25" dT="2019-11-06T16:50:12.86" personId="{8335240D-955C-43EE-BDF9-4F360C7C5ADA}" id="{F452B000-4494-44E7-AD8F-46009055C494}">
    <text>Small Oversize: https://services.amazon.com/fulfillment-by-amazon/pricing.html#</text>
  </threadedComment>
  <threadedComment ref="B26" dT="2019-11-13T13:21:03.40" personId="{F50B9C35-4945-4496-9F5E-4579433C4D79}" id="{5A0A0165-97A1-4F3D-BC91-5A3909A26119}">
    <text>We use a marketplace for the internet sales (1€ per sale). Our packaging cost is 0.5€ per direct sale</text>
  </threadedComment>
  <threadedComment ref="A27" dT="2019-11-06T17:18:18.22" personId="{2C541ABC-19C2-024C-B812-5421AF52BD20}" id="{ECDFEC81-78F0-0640-B29F-D11B62E6C94B}">
    <text>not our employee, an external worker</text>
  </threadedComment>
  <threadedComment ref="B33" dT="2019-11-11T14:13:30.98" personId="{128C020C-7233-47EE-98D0-9F82A996EB26}" id="{BD9EA968-2670-4AE3-B980-F644BEB0A041}">
    <text xml:space="preserve">Cheap business consultant to handle our finances
</text>
  </threadedComment>
  <threadedComment ref="B34" dT="2019-11-06T17:16:04.06" personId="{F50B9C35-4945-4496-9F5E-4579433C4D79}" id="{1B4F79E5-D1CA-40F0-AB6A-7CAF9327545A}">
    <text>https://www.trustedchoice.com/business-insurance/compare-coverage/cost</text>
  </threadedComment>
  <threadedComment ref="B38" dT="2019-11-13T13:19:29.02" personId="{2C541ABC-19C2-024C-B812-5421AF52BD20}" id="{588AD190-4D42-4B4A-A81B-CBA0EE204EC3}">
    <text>Financial management and production and development management</text>
  </threadedComment>
  <threadedComment ref="B39" dT="2019-11-06T17:36:09.03" personId="{F50B9C35-4945-4496-9F5E-4579433C4D79}" id="{DCE67E6B-FB77-4DD3-93F3-663D8E6AA735}">
    <text>Natural gas + water = 5000kwh*0.06€/kw/h+25€*12 months</text>
  </threadedComment>
  <threadedComment ref="B39" dT="2019-11-13T13:18:55.62" personId="{2C541ABC-19C2-024C-B812-5421AF52BD20}" id="{58EC542E-194F-6343-B88B-532D9BB2D1BC}" parentId="{DCE67E6B-FB77-4DD3-93F3-663D8E6AA735}">
    <text>Power + Heating = (8Kw*5€/kw+300kw/h*0.2€/kw/h)*12 months</text>
  </threadedComment>
  <threadedComment ref="B40" dT="2019-11-06T17:15:59.50" personId="{2C541ABC-19C2-024C-B812-5421AF52BD20}" id="{4FD3DE0B-469A-FA44-A8DA-47447F77A286}">
    <text>Two computers worth 2000, regular supplies (paper, pens, ect) worth 1000</text>
  </threadedComment>
  <threadedComment ref="A41" dT="2019-11-06T17:26:37.62" personId="{2C541ABC-19C2-024C-B812-5421AF52BD20}" id="{E0567558-D620-C84B-B08D-870BAA5A7AD0}">
    <text>https://grasshopper.com/blog/is-it-worth-it-to-join-the-local-chamber-of-commerce/
“Most chambers of commerce charge a 300-400 euro annual fee”
https://www.legalzoom.com/articles/what-are-the-general-costs-of-incorporating
Corporation filing costs around 150 euro in the US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0" dT="2019-11-13T15:22:50.00" personId="{2C541ABC-19C2-024C-B812-5421AF52BD20}" id="{74716446-085B-3B4A-B921-56ED8776BD7D}">
    <text>After the first year, we no longer need to spend money on computers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zoomScale="93" zoomScaleNormal="100" workbookViewId="0">
      <selection activeCell="B48" sqref="B48"/>
    </sheetView>
  </sheetViews>
  <sheetFormatPr baseColWidth="10" defaultColWidth="8.83203125" defaultRowHeight="15"/>
  <cols>
    <col min="1" max="1" width="38" customWidth="1"/>
    <col min="2" max="2" width="17.1640625" customWidth="1"/>
    <col min="3" max="3" width="10.6640625" customWidth="1"/>
    <col min="4" max="4" width="11.1640625" customWidth="1"/>
    <col min="5" max="5" width="1.83203125" style="2" customWidth="1"/>
    <col min="6" max="6" width="12.5" customWidth="1"/>
    <col min="7" max="7" width="4.1640625" customWidth="1"/>
    <col min="8" max="8" width="28.33203125" customWidth="1"/>
    <col min="9" max="9" width="33.1640625" customWidth="1"/>
    <col min="10" max="11" width="17.5" customWidth="1"/>
    <col min="12" max="12" width="10.33203125" customWidth="1"/>
    <col min="13" max="13" width="17.1640625" customWidth="1"/>
    <col min="14" max="14" width="13.83203125" customWidth="1"/>
    <col min="15" max="15" width="9.5" bestFit="1" customWidth="1"/>
  </cols>
  <sheetData>
    <row r="1" spans="1:16">
      <c r="A1" s="150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6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s="1" customFormat="1" ht="30.75" customHeight="1">
      <c r="A3" s="4" t="s">
        <v>1</v>
      </c>
      <c r="B3" s="5">
        <v>2020</v>
      </c>
      <c r="C3" s="6">
        <v>2021</v>
      </c>
      <c r="D3" s="6">
        <v>2022</v>
      </c>
      <c r="E3" s="4"/>
      <c r="F3" s="7" t="s">
        <v>2</v>
      </c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>
      <c r="A4" s="5" t="s">
        <v>3</v>
      </c>
      <c r="B4" s="8">
        <v>0</v>
      </c>
      <c r="C4" s="194">
        <f>B57</f>
        <v>20000.259829977906</v>
      </c>
      <c r="D4" s="194">
        <f>C57</f>
        <v>1256.8716599558829</v>
      </c>
      <c r="E4" s="3"/>
      <c r="F4" s="10">
        <f>B4</f>
        <v>0</v>
      </c>
      <c r="G4" s="3"/>
      <c r="H4" s="11" t="s">
        <v>5</v>
      </c>
      <c r="I4" s="3"/>
      <c r="J4" s="3"/>
      <c r="K4" s="3"/>
      <c r="L4" s="3"/>
      <c r="M4" s="3"/>
      <c r="N4" s="3"/>
      <c r="O4" s="3"/>
      <c r="P4" s="3"/>
    </row>
    <row r="5" spans="1:16">
      <c r="A5" s="12" t="s">
        <v>6</v>
      </c>
      <c r="B5" s="13" t="s">
        <v>4</v>
      </c>
      <c r="C5" s="13" t="s">
        <v>4</v>
      </c>
      <c r="D5" s="14" t="s">
        <v>4</v>
      </c>
      <c r="E5" s="3"/>
      <c r="F5" s="15" t="s">
        <v>4</v>
      </c>
      <c r="G5" s="3"/>
      <c r="H5" s="16" t="s">
        <v>7</v>
      </c>
      <c r="I5" s="3"/>
      <c r="J5" s="3"/>
      <c r="K5" s="3"/>
      <c r="L5" s="3"/>
      <c r="M5" s="3"/>
      <c r="N5" s="3"/>
      <c r="O5" s="3"/>
      <c r="P5" s="3"/>
    </row>
    <row r="6" spans="1:16">
      <c r="A6" s="17" t="s">
        <v>8</v>
      </c>
      <c r="B6" s="76">
        <f>J9/100*J8*J7</f>
        <v>36864.000000000007</v>
      </c>
      <c r="C6" s="153">
        <f>K9/100*K8*K7</f>
        <v>73728.000000000015</v>
      </c>
      <c r="D6" s="153">
        <f>L9/100*L8*L7</f>
        <v>147456.00000000003</v>
      </c>
      <c r="E6" s="3"/>
      <c r="F6" s="171">
        <f t="shared" ref="F6:F13" si="0">SUM(B6:D6)</f>
        <v>258048.00000000006</v>
      </c>
      <c r="G6" s="3"/>
      <c r="H6" s="3"/>
      <c r="I6" s="3"/>
      <c r="J6" s="3">
        <v>2020</v>
      </c>
      <c r="K6" s="3">
        <v>2021</v>
      </c>
      <c r="L6" s="3">
        <v>2022</v>
      </c>
      <c r="M6" s="3"/>
      <c r="N6" s="3"/>
      <c r="O6" s="3"/>
      <c r="P6" s="3"/>
    </row>
    <row r="7" spans="1:16">
      <c r="A7" s="17" t="s">
        <v>9</v>
      </c>
      <c r="B7" s="76">
        <f>J10/100*J8*J7</f>
        <v>147456.00000000003</v>
      </c>
      <c r="C7" s="153">
        <f>K10/100*K8*K7</f>
        <v>294912.00000000006</v>
      </c>
      <c r="D7" s="153">
        <f>L10/100*L8*L7</f>
        <v>589824.00000000012</v>
      </c>
      <c r="E7" s="3"/>
      <c r="F7" s="172">
        <f t="shared" si="0"/>
        <v>1032192.0000000002</v>
      </c>
      <c r="G7" s="3"/>
      <c r="H7" s="3"/>
      <c r="I7" s="3" t="s">
        <v>10</v>
      </c>
      <c r="J7" s="3">
        <v>120</v>
      </c>
      <c r="K7" s="3">
        <v>120</v>
      </c>
      <c r="L7" s="3">
        <v>120</v>
      </c>
      <c r="M7" s="3"/>
      <c r="N7" s="3"/>
      <c r="O7" s="3"/>
      <c r="P7" s="3"/>
    </row>
    <row r="8" spans="1:16">
      <c r="A8" s="17" t="s">
        <v>11</v>
      </c>
      <c r="B8" s="18">
        <v>4000</v>
      </c>
      <c r="C8" s="151">
        <v>4000</v>
      </c>
      <c r="D8" s="151">
        <v>4000</v>
      </c>
      <c r="E8" s="3"/>
      <c r="F8" s="172">
        <f t="shared" si="0"/>
        <v>12000</v>
      </c>
      <c r="G8" s="3"/>
      <c r="H8" s="3"/>
      <c r="I8" s="3" t="s">
        <v>12</v>
      </c>
      <c r="J8" s="3">
        <f>J18*J19*J20*$N$18*1</f>
        <v>1536</v>
      </c>
      <c r="K8" s="3">
        <f>K18*K19*K20*$N$18*2</f>
        <v>3072</v>
      </c>
      <c r="L8" s="3">
        <f>L18*L19*L20*$N$18*4</f>
        <v>6144</v>
      </c>
      <c r="M8" s="3"/>
      <c r="N8" s="3"/>
      <c r="O8" s="3"/>
      <c r="P8" s="3"/>
    </row>
    <row r="9" spans="1:16">
      <c r="A9" s="17" t="s">
        <v>13</v>
      </c>
      <c r="B9" s="60">
        <v>0</v>
      </c>
      <c r="C9" s="155">
        <v>0</v>
      </c>
      <c r="D9" s="155">
        <v>0</v>
      </c>
      <c r="E9" s="3"/>
      <c r="F9" s="172">
        <f t="shared" si="0"/>
        <v>0</v>
      </c>
      <c r="G9" s="3"/>
      <c r="H9" s="3"/>
      <c r="I9" s="3" t="s">
        <v>14</v>
      </c>
      <c r="J9" s="3">
        <v>20</v>
      </c>
      <c r="K9" s="3">
        <v>20</v>
      </c>
      <c r="L9" s="3">
        <v>20</v>
      </c>
      <c r="M9" s="3"/>
      <c r="N9" s="3"/>
      <c r="O9" s="3"/>
      <c r="P9" s="3"/>
    </row>
    <row r="10" spans="1:16">
      <c r="A10" s="17" t="s">
        <v>15</v>
      </c>
      <c r="B10" s="21">
        <v>0</v>
      </c>
      <c r="C10" s="156">
        <v>0</v>
      </c>
      <c r="D10" s="156">
        <v>0</v>
      </c>
      <c r="E10" s="3"/>
      <c r="F10" s="172">
        <f t="shared" si="0"/>
        <v>0</v>
      </c>
      <c r="G10" s="3"/>
      <c r="H10" s="3"/>
      <c r="I10" s="3" t="s">
        <v>16</v>
      </c>
      <c r="J10" s="3">
        <v>80</v>
      </c>
      <c r="K10" s="3">
        <v>80</v>
      </c>
      <c r="L10" s="3">
        <v>80</v>
      </c>
      <c r="M10" s="3"/>
      <c r="N10" s="3"/>
      <c r="O10" s="3"/>
      <c r="P10" s="3"/>
    </row>
    <row r="11" spans="1:16" ht="16" thickBot="1">
      <c r="A11" s="23" t="s">
        <v>17</v>
      </c>
      <c r="B11" s="24">
        <v>0</v>
      </c>
      <c r="C11" s="157">
        <v>0</v>
      </c>
      <c r="D11" s="157">
        <v>0</v>
      </c>
      <c r="E11" s="3"/>
      <c r="F11" s="172">
        <f t="shared" si="0"/>
        <v>0</v>
      </c>
      <c r="G11" s="3"/>
      <c r="H11" s="3"/>
      <c r="I11" s="3" t="s">
        <v>18</v>
      </c>
      <c r="J11" s="3">
        <v>20</v>
      </c>
      <c r="K11" s="3"/>
      <c r="L11" s="3"/>
      <c r="M11" s="3"/>
      <c r="N11" s="3"/>
      <c r="O11" s="3"/>
      <c r="P11" s="3"/>
    </row>
    <row r="12" spans="1:16" ht="17" thickBot="1">
      <c r="A12" s="25" t="s">
        <v>19</v>
      </c>
      <c r="B12" s="62">
        <f>SUM(B4:B11)</f>
        <v>188320.00000000003</v>
      </c>
      <c r="C12" s="194">
        <f>SUM(C4:C11)</f>
        <v>392640.25982997799</v>
      </c>
      <c r="D12" s="9">
        <f>SUM(D4:D11)</f>
        <v>742536.87165995606</v>
      </c>
      <c r="E12" s="4"/>
      <c r="F12" s="172">
        <f>SUM(F4:F11)</f>
        <v>1302240.0000000002</v>
      </c>
      <c r="G12" s="3"/>
      <c r="H12" s="3"/>
      <c r="I12" s="3"/>
      <c r="J12" s="61"/>
      <c r="K12" s="61"/>
      <c r="L12" s="61"/>
      <c r="M12" s="61"/>
      <c r="N12" s="3"/>
      <c r="O12" s="3"/>
      <c r="P12" s="3"/>
    </row>
    <row r="13" spans="1:16" ht="3.75" customHeight="1" thickBot="1">
      <c r="A13" s="26" t="s">
        <v>4</v>
      </c>
      <c r="B13" s="26" t="s">
        <v>4</v>
      </c>
      <c r="C13" s="26" t="s">
        <v>4</v>
      </c>
      <c r="D13" s="26" t="s">
        <v>4</v>
      </c>
      <c r="E13" s="27" t="s">
        <v>4</v>
      </c>
      <c r="F13" s="172">
        <f t="shared" si="0"/>
        <v>0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28" t="s">
        <v>20</v>
      </c>
      <c r="B14" s="29" t="s">
        <v>4</v>
      </c>
      <c r="C14" s="30" t="s">
        <v>4</v>
      </c>
      <c r="D14" s="31" t="s">
        <v>4</v>
      </c>
      <c r="E14" s="3"/>
      <c r="F14" s="32" t="s">
        <v>4</v>
      </c>
      <c r="G14" s="3"/>
      <c r="H14" s="3"/>
      <c r="I14" s="3" t="s">
        <v>21</v>
      </c>
      <c r="J14" s="3">
        <v>20</v>
      </c>
      <c r="K14" s="3">
        <v>20</v>
      </c>
      <c r="L14" s="3">
        <v>20</v>
      </c>
      <c r="M14" s="3"/>
      <c r="N14" s="3"/>
      <c r="O14" s="3"/>
      <c r="P14" s="3"/>
    </row>
    <row r="15" spans="1:16">
      <c r="A15" s="12"/>
      <c r="B15" s="3"/>
      <c r="C15" s="4"/>
      <c r="D15" s="75"/>
      <c r="E15" s="3"/>
      <c r="F15" s="17"/>
      <c r="G15" s="3"/>
      <c r="H15" s="3"/>
      <c r="I15" s="3" t="s">
        <v>79</v>
      </c>
      <c r="J15" s="3">
        <v>2</v>
      </c>
      <c r="K15" s="3">
        <v>3</v>
      </c>
      <c r="L15" s="3">
        <v>5</v>
      </c>
      <c r="M15" s="3"/>
      <c r="N15" s="3"/>
      <c r="O15" s="3"/>
      <c r="P15" s="3"/>
    </row>
    <row r="16" spans="1:16">
      <c r="A16" s="33" t="s">
        <v>22</v>
      </c>
      <c r="B16" s="13" t="s">
        <v>4</v>
      </c>
      <c r="C16" s="13" t="s">
        <v>4</v>
      </c>
      <c r="D16" s="14" t="s">
        <v>4</v>
      </c>
      <c r="E16" s="3"/>
      <c r="F16" s="15" t="s">
        <v>4</v>
      </c>
      <c r="G16" s="3"/>
      <c r="H16" s="3"/>
      <c r="I16" s="3" t="s">
        <v>81</v>
      </c>
      <c r="J16" s="3">
        <v>1.2</v>
      </c>
      <c r="K16" s="3">
        <v>1.2</v>
      </c>
      <c r="L16" s="3">
        <v>1.2</v>
      </c>
      <c r="M16" s="3"/>
      <c r="N16" s="3"/>
      <c r="O16" s="3"/>
      <c r="P16" s="3"/>
    </row>
    <row r="17" spans="1:16">
      <c r="A17" s="17" t="s">
        <v>23</v>
      </c>
      <c r="B17" s="18">
        <v>0</v>
      </c>
      <c r="C17" s="34">
        <v>0</v>
      </c>
      <c r="D17" s="19">
        <v>0</v>
      </c>
      <c r="E17" s="3"/>
      <c r="F17" s="20">
        <f>SUM(B17:D17)</f>
        <v>0</v>
      </c>
      <c r="G17" s="3"/>
      <c r="H17" s="3"/>
      <c r="I17" s="3" t="s">
        <v>80</v>
      </c>
      <c r="J17" s="3">
        <v>4</v>
      </c>
      <c r="K17" s="3">
        <v>4</v>
      </c>
      <c r="L17" s="150">
        <v>4</v>
      </c>
      <c r="M17" s="66"/>
      <c r="N17" s="66"/>
      <c r="O17" s="3"/>
      <c r="P17" s="3"/>
    </row>
    <row r="18" spans="1:16">
      <c r="A18" s="17" t="s">
        <v>24</v>
      </c>
      <c r="B18" s="18">
        <f>(J23+J24)*J26*J25</f>
        <v>64000</v>
      </c>
      <c r="C18" s="151">
        <f>(K23+K24)*K26*K25</f>
        <v>128000</v>
      </c>
      <c r="D18" s="151">
        <f>(L23+L24)*L26*L25</f>
        <v>240000</v>
      </c>
      <c r="E18" s="3"/>
      <c r="F18" s="20">
        <f>SUM(B18:D18)</f>
        <v>432000</v>
      </c>
      <c r="G18" s="3"/>
      <c r="H18" s="3"/>
      <c r="I18" s="3" t="s">
        <v>76</v>
      </c>
      <c r="J18" s="3">
        <v>48</v>
      </c>
      <c r="K18" s="3">
        <v>48</v>
      </c>
      <c r="L18" s="150">
        <v>48</v>
      </c>
      <c r="M18" s="66" t="s">
        <v>82</v>
      </c>
      <c r="N18" s="67">
        <v>0.8</v>
      </c>
      <c r="O18" s="3"/>
      <c r="P18" s="3"/>
    </row>
    <row r="19" spans="1:16" ht="16" thickBot="1">
      <c r="A19" s="17" t="s">
        <v>25</v>
      </c>
      <c r="B19" s="18">
        <f>(J15-1)*J16*(J18+J17)*J19*J20*J22</f>
        <v>49920</v>
      </c>
      <c r="C19" s="151">
        <f>(K15-1)*K16*(K18+K17)*K19*K20*K22</f>
        <v>99840</v>
      </c>
      <c r="D19" s="151">
        <f>(L15-1)*L16*(L18+L17)*L19*L20*L22</f>
        <v>199680</v>
      </c>
      <c r="E19" s="3"/>
      <c r="F19" s="20">
        <f>SUM(B19:D19)</f>
        <v>349440</v>
      </c>
      <c r="G19" s="3"/>
      <c r="H19" s="3"/>
      <c r="I19" s="3" t="s">
        <v>77</v>
      </c>
      <c r="J19" s="3">
        <v>8</v>
      </c>
      <c r="K19" s="3">
        <v>8</v>
      </c>
      <c r="L19" s="150">
        <v>8</v>
      </c>
      <c r="M19" s="66"/>
      <c r="N19" s="66"/>
      <c r="O19" s="3"/>
      <c r="P19" s="3"/>
    </row>
    <row r="20" spans="1:16" ht="15" customHeight="1" thickBot="1">
      <c r="A20" s="35" t="s">
        <v>26</v>
      </c>
      <c r="B20" s="63">
        <f>SUM(B17:B19)</f>
        <v>113920</v>
      </c>
      <c r="C20" s="63">
        <f t="shared" ref="C20:D20" si="1">SUM(C17:C19)</f>
        <v>227840</v>
      </c>
      <c r="D20" s="63">
        <f t="shared" si="1"/>
        <v>439680</v>
      </c>
      <c r="E20" s="27" t="s">
        <v>4</v>
      </c>
      <c r="F20" s="201">
        <f>SUM(B20:D20)</f>
        <v>781440</v>
      </c>
      <c r="G20" s="3"/>
      <c r="H20" s="3"/>
      <c r="I20" s="3" t="s">
        <v>78</v>
      </c>
      <c r="J20" s="3">
        <v>5</v>
      </c>
      <c r="K20" s="3">
        <v>5</v>
      </c>
      <c r="L20" s="150">
        <v>5</v>
      </c>
      <c r="M20" s="66"/>
      <c r="N20" s="66"/>
      <c r="O20" s="3"/>
      <c r="P20" s="3"/>
    </row>
    <row r="21" spans="1:16" s="2" customFormat="1" ht="16.5" customHeight="1">
      <c r="A21" s="26" t="s">
        <v>4</v>
      </c>
      <c r="B21" s="37" t="s">
        <v>4</v>
      </c>
      <c r="C21" s="37" t="s">
        <v>4</v>
      </c>
      <c r="D21" s="37" t="s">
        <v>4</v>
      </c>
      <c r="E21" s="3"/>
      <c r="F21" s="38" t="s">
        <v>4</v>
      </c>
      <c r="G21" s="3"/>
      <c r="H21" s="3"/>
      <c r="I21" s="66"/>
      <c r="J21" s="68"/>
      <c r="K21" s="68"/>
      <c r="L21" s="66"/>
      <c r="M21" s="66"/>
      <c r="N21" s="66"/>
      <c r="O21" s="3"/>
      <c r="P21" s="3"/>
    </row>
    <row r="22" spans="1:16">
      <c r="A22" s="33" t="s">
        <v>27</v>
      </c>
      <c r="B22" s="13" t="s">
        <v>4</v>
      </c>
      <c r="C22" s="13" t="s">
        <v>4</v>
      </c>
      <c r="D22" s="14" t="s">
        <v>4</v>
      </c>
      <c r="E22" s="3"/>
      <c r="F22" s="15" t="s">
        <v>4</v>
      </c>
      <c r="G22" s="3"/>
      <c r="H22" s="3"/>
      <c r="I22" s="69" t="s">
        <v>88</v>
      </c>
      <c r="J22" s="70">
        <v>20</v>
      </c>
      <c r="K22" s="70">
        <v>20</v>
      </c>
      <c r="L22" s="70">
        <v>20</v>
      </c>
      <c r="M22" s="70" t="s">
        <v>70</v>
      </c>
      <c r="N22" s="70" t="s">
        <v>70</v>
      </c>
      <c r="O22" s="3"/>
      <c r="P22" s="3"/>
    </row>
    <row r="23" spans="1:16">
      <c r="A23" s="17" t="s">
        <v>28</v>
      </c>
      <c r="B23" s="76">
        <f>J8*J10*120*0.15/100+1000</f>
        <v>23118.400000000001</v>
      </c>
      <c r="C23" s="153">
        <f>K8*K10*120*0.15/100+1000</f>
        <v>45236.800000000003</v>
      </c>
      <c r="D23" s="153">
        <f>L8*L10*120*0.15/100+1000</f>
        <v>89473.600000000006</v>
      </c>
      <c r="E23" s="3"/>
      <c r="F23" s="171">
        <f t="shared" ref="F23:F30" si="2">SUM(B23:D23)</f>
        <v>157828.80000000002</v>
      </c>
      <c r="G23" s="3"/>
      <c r="H23" s="3"/>
      <c r="I23" s="71" t="s">
        <v>71</v>
      </c>
      <c r="J23" s="72">
        <v>25</v>
      </c>
      <c r="K23" s="70">
        <v>25</v>
      </c>
      <c r="L23" s="69">
        <v>25</v>
      </c>
      <c r="M23" s="68"/>
      <c r="N23" s="68"/>
      <c r="O23" s="3"/>
      <c r="P23" s="3"/>
    </row>
    <row r="24" spans="1:16">
      <c r="A24" s="17" t="s">
        <v>29</v>
      </c>
      <c r="B24" s="18">
        <f>J8*J10*10/100</f>
        <v>12288</v>
      </c>
      <c r="C24" s="151">
        <f>K8*K10*10/100</f>
        <v>24576</v>
      </c>
      <c r="D24" s="151">
        <f>L8*L10*10/100</f>
        <v>49152</v>
      </c>
      <c r="E24" s="3"/>
      <c r="F24" s="172">
        <f t="shared" si="2"/>
        <v>86016</v>
      </c>
      <c r="G24" s="3"/>
      <c r="H24" s="3"/>
      <c r="I24" s="69" t="s">
        <v>72</v>
      </c>
      <c r="J24" s="70">
        <v>15</v>
      </c>
      <c r="K24" s="70">
        <v>15</v>
      </c>
      <c r="L24" s="70">
        <v>15</v>
      </c>
      <c r="M24" s="72" t="s">
        <v>70</v>
      </c>
      <c r="N24" s="72" t="s">
        <v>70</v>
      </c>
      <c r="O24" s="3"/>
      <c r="P24" s="3"/>
    </row>
    <row r="25" spans="1:16">
      <c r="A25" s="17" t="s">
        <v>30</v>
      </c>
      <c r="B25" s="78">
        <f>7.46*J8*J10/100</f>
        <v>9166.848</v>
      </c>
      <c r="C25" s="152">
        <f>7.46*K8*K10/100</f>
        <v>18333.696</v>
      </c>
      <c r="D25" s="152">
        <f>7.46*L8*L10/100</f>
        <v>36667.392</v>
      </c>
      <c r="E25" s="3"/>
      <c r="F25" s="172">
        <f t="shared" si="2"/>
        <v>64167.936000000002</v>
      </c>
      <c r="G25" s="3"/>
      <c r="H25" s="39" t="s">
        <v>4</v>
      </c>
      <c r="I25" s="69" t="s">
        <v>73</v>
      </c>
      <c r="J25" s="70">
        <v>200</v>
      </c>
      <c r="K25" s="70">
        <v>200</v>
      </c>
      <c r="L25" s="73">
        <v>200</v>
      </c>
      <c r="M25" s="73" t="s">
        <v>4</v>
      </c>
      <c r="N25" s="73" t="s">
        <v>4</v>
      </c>
      <c r="O25" s="39" t="s">
        <v>4</v>
      </c>
      <c r="P25" s="39" t="s">
        <v>4</v>
      </c>
    </row>
    <row r="26" spans="1:16">
      <c r="A26" s="17" t="s">
        <v>31</v>
      </c>
      <c r="B26" s="76">
        <f>J28*J10/100*J8+J30*J9/100*J8</f>
        <v>1382.4</v>
      </c>
      <c r="C26" s="153">
        <f>K28*K10/100*K8+K30*K9/100*K8</f>
        <v>2764.8</v>
      </c>
      <c r="D26" s="153">
        <f>L28*L10/100*L8+L30*L9/100*L8</f>
        <v>5529.6</v>
      </c>
      <c r="E26" s="3"/>
      <c r="F26" s="172">
        <f t="shared" si="2"/>
        <v>9676.8000000000011</v>
      </c>
      <c r="G26" s="3"/>
      <c r="H26" s="39" t="s">
        <v>4</v>
      </c>
      <c r="I26" s="74" t="s">
        <v>74</v>
      </c>
      <c r="J26" s="73">
        <f>ROUNDUP((J8/J25),0)</f>
        <v>8</v>
      </c>
      <c r="K26" s="73">
        <f>ROUNDUP((K8-J27)/K25,0)</f>
        <v>16</v>
      </c>
      <c r="L26" s="73">
        <f>ROUNDUP((L8-K27)/L25,0)</f>
        <v>30</v>
      </c>
      <c r="M26" s="73"/>
      <c r="N26" s="73" t="s">
        <v>4</v>
      </c>
      <c r="O26" s="39" t="s">
        <v>4</v>
      </c>
      <c r="P26" s="39" t="s">
        <v>4</v>
      </c>
    </row>
    <row r="27" spans="1:16">
      <c r="A27" s="17" t="s">
        <v>32</v>
      </c>
      <c r="B27" s="18">
        <v>0</v>
      </c>
      <c r="C27" s="151">
        <v>0</v>
      </c>
      <c r="D27" s="151">
        <v>0</v>
      </c>
      <c r="E27" s="3"/>
      <c r="F27" s="172">
        <f t="shared" si="2"/>
        <v>0</v>
      </c>
      <c r="G27" s="3"/>
      <c r="H27" s="39" t="s">
        <v>4</v>
      </c>
      <c r="I27" s="69" t="s">
        <v>122</v>
      </c>
      <c r="J27" s="70">
        <f>J25*J26-J8</f>
        <v>64</v>
      </c>
      <c r="K27" s="70">
        <f>K25*K26+J27-K8</f>
        <v>192</v>
      </c>
      <c r="L27" s="73">
        <f>L25*L26+K27-L8</f>
        <v>48</v>
      </c>
      <c r="M27" s="73" t="s">
        <v>4</v>
      </c>
      <c r="N27" s="73" t="s">
        <v>4</v>
      </c>
      <c r="O27" s="39" t="s">
        <v>4</v>
      </c>
      <c r="P27" s="39" t="s">
        <v>4</v>
      </c>
    </row>
    <row r="28" spans="1:16">
      <c r="A28" s="17" t="s">
        <v>33</v>
      </c>
      <c r="B28" s="18">
        <v>0</v>
      </c>
      <c r="C28" s="151">
        <v>0</v>
      </c>
      <c r="D28" s="151">
        <v>0</v>
      </c>
      <c r="E28" s="3"/>
      <c r="F28" s="172">
        <f t="shared" si="2"/>
        <v>0</v>
      </c>
      <c r="G28" s="3"/>
      <c r="H28" s="3"/>
      <c r="I28" s="69" t="s">
        <v>75</v>
      </c>
      <c r="J28" s="70">
        <v>1</v>
      </c>
      <c r="K28" s="144">
        <v>1</v>
      </c>
      <c r="L28" s="70">
        <v>1</v>
      </c>
      <c r="M28" s="70" t="s">
        <v>70</v>
      </c>
      <c r="N28" s="70" t="s">
        <v>70</v>
      </c>
      <c r="O28" s="3"/>
      <c r="P28" s="3"/>
    </row>
    <row r="29" spans="1:16" ht="16" thickBot="1">
      <c r="A29" s="17" t="s">
        <v>34</v>
      </c>
      <c r="B29" s="18">
        <v>0</v>
      </c>
      <c r="C29" s="151">
        <v>0</v>
      </c>
      <c r="D29" s="151">
        <v>0</v>
      </c>
      <c r="E29" s="3"/>
      <c r="F29" s="172">
        <f t="shared" si="2"/>
        <v>0</v>
      </c>
      <c r="G29" s="3"/>
      <c r="H29" s="3"/>
      <c r="I29" s="3"/>
      <c r="J29" s="3"/>
      <c r="K29" s="3"/>
      <c r="L29" s="70" t="s">
        <v>70</v>
      </c>
      <c r="M29" s="70" t="s">
        <v>70</v>
      </c>
      <c r="N29" s="70" t="s">
        <v>70</v>
      </c>
      <c r="O29" s="3"/>
      <c r="P29" s="3"/>
    </row>
    <row r="30" spans="1:16" ht="16" thickBot="1">
      <c r="A30" s="35" t="s">
        <v>35</v>
      </c>
      <c r="B30" s="79">
        <f>SUM(B23:B29)</f>
        <v>45955.648000000001</v>
      </c>
      <c r="C30" s="154">
        <f>SUM(C23:C29)</f>
        <v>90911.296000000002</v>
      </c>
      <c r="D30" s="154">
        <f>SUM(D23:D29)</f>
        <v>180822.592</v>
      </c>
      <c r="E30" s="27" t="s">
        <v>4</v>
      </c>
      <c r="F30" s="172">
        <f t="shared" si="2"/>
        <v>317689.53600000002</v>
      </c>
      <c r="G30" s="3"/>
      <c r="H30" s="3"/>
      <c r="I30" s="3" t="s">
        <v>84</v>
      </c>
      <c r="J30" s="3">
        <v>0.5</v>
      </c>
      <c r="K30" s="3">
        <v>0.5</v>
      </c>
      <c r="L30" s="3">
        <v>0.5</v>
      </c>
      <c r="M30" s="3"/>
      <c r="N30" s="3"/>
      <c r="O30" s="3"/>
      <c r="P30" s="3"/>
    </row>
    <row r="31" spans="1:16" ht="3.75" customHeight="1">
      <c r="A31" s="26" t="s">
        <v>4</v>
      </c>
      <c r="B31" s="37" t="s">
        <v>4</v>
      </c>
      <c r="C31" s="37" t="s">
        <v>4</v>
      </c>
      <c r="D31" s="37" t="s">
        <v>4</v>
      </c>
      <c r="E31" s="3"/>
      <c r="F31" s="38" t="s">
        <v>4</v>
      </c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3" t="s">
        <v>36</v>
      </c>
      <c r="B32" s="13" t="s">
        <v>4</v>
      </c>
      <c r="C32" s="13" t="s">
        <v>4</v>
      </c>
      <c r="D32" s="14" t="s">
        <v>4</v>
      </c>
      <c r="E32" s="3"/>
      <c r="F32" s="15" t="s">
        <v>4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>
      <c r="A33" s="17" t="s">
        <v>37</v>
      </c>
      <c r="B33" s="18">
        <v>2000</v>
      </c>
      <c r="C33" s="19">
        <v>2000</v>
      </c>
      <c r="D33" s="19">
        <v>2000</v>
      </c>
      <c r="E33" s="3"/>
      <c r="F33" s="20">
        <f t="shared" ref="F33:F42" si="3">SUM(B33:D33)</f>
        <v>6000</v>
      </c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>
      <c r="A34" s="17" t="s">
        <v>38</v>
      </c>
      <c r="B34" s="18">
        <v>3000</v>
      </c>
      <c r="C34" s="19">
        <v>3000</v>
      </c>
      <c r="D34" s="19">
        <v>3000</v>
      </c>
      <c r="E34" s="3"/>
      <c r="F34" s="20">
        <f t="shared" si="3"/>
        <v>9000</v>
      </c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>
      <c r="A35" s="17" t="s">
        <v>39</v>
      </c>
      <c r="B35" s="18">
        <v>0</v>
      </c>
      <c r="C35" s="19">
        <v>0</v>
      </c>
      <c r="D35" s="19">
        <v>0</v>
      </c>
      <c r="E35" s="3"/>
      <c r="F35" s="20">
        <f t="shared" si="3"/>
        <v>0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>
      <c r="A36" s="17" t="s">
        <v>40</v>
      </c>
      <c r="B36" s="59">
        <f>0.8*(J17+J18)*J22*J19*J20</f>
        <v>33280</v>
      </c>
      <c r="C36" s="19">
        <f>B36*(1+'Income Statement'!I11)</f>
        <v>34944</v>
      </c>
      <c r="D36" s="195">
        <f>C36*(1+'Income Statement'!I11)</f>
        <v>36691.200000000004</v>
      </c>
      <c r="E36" s="3"/>
      <c r="F36" s="20">
        <f t="shared" si="3"/>
        <v>104915.20000000001</v>
      </c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>
      <c r="A37" s="17" t="s">
        <v>41</v>
      </c>
      <c r="B37" s="18">
        <v>2000</v>
      </c>
      <c r="C37" s="22">
        <v>2000</v>
      </c>
      <c r="D37" s="22">
        <v>2000</v>
      </c>
      <c r="E37" s="3"/>
      <c r="F37" s="20">
        <f t="shared" si="3"/>
        <v>6000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>
      <c r="A38" s="17" t="s">
        <v>42</v>
      </c>
      <c r="B38" s="18">
        <v>5000</v>
      </c>
      <c r="C38" s="18">
        <v>5000</v>
      </c>
      <c r="D38" s="18">
        <v>5000</v>
      </c>
      <c r="E38" s="3"/>
      <c r="F38" s="20">
        <f t="shared" si="3"/>
        <v>15000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>
      <c r="A39" s="17" t="s">
        <v>43</v>
      </c>
      <c r="B39" s="18">
        <f>(5*8*12+0.2*300*12)+5000*0.06+12*20</f>
        <v>1740</v>
      </c>
      <c r="C39" s="18">
        <f t="shared" ref="C39:D39" si="4">(5*8*12+0.2*300*12)+5000*0.06+12*20</f>
        <v>1740</v>
      </c>
      <c r="D39" s="18">
        <f t="shared" si="4"/>
        <v>1740</v>
      </c>
      <c r="E39" s="3"/>
      <c r="F39" s="20">
        <f t="shared" si="3"/>
        <v>5220</v>
      </c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>
      <c r="A40" s="17" t="s">
        <v>44</v>
      </c>
      <c r="B40" s="18">
        <v>3000</v>
      </c>
      <c r="C40" s="34">
        <v>1000</v>
      </c>
      <c r="D40" s="34">
        <v>1000</v>
      </c>
      <c r="E40" s="3"/>
      <c r="F40" s="20">
        <f t="shared" si="3"/>
        <v>5000</v>
      </c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16" thickBot="1">
      <c r="A41" s="17" t="s">
        <v>45</v>
      </c>
      <c r="B41" s="18">
        <v>600</v>
      </c>
      <c r="C41" s="19">
        <v>0</v>
      </c>
      <c r="D41" s="19">
        <v>0</v>
      </c>
      <c r="E41" s="3"/>
      <c r="F41" s="20">
        <f t="shared" si="3"/>
        <v>600</v>
      </c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16" thickBot="1">
      <c r="A42" s="35" t="s">
        <v>46</v>
      </c>
      <c r="B42" s="36">
        <f>SUM(B33:B41)</f>
        <v>50620</v>
      </c>
      <c r="C42" s="36">
        <f t="shared" ref="C42:D42" si="5">SUM(C33:C41)</f>
        <v>49684</v>
      </c>
      <c r="D42" s="36">
        <f t="shared" si="5"/>
        <v>51431.200000000004</v>
      </c>
      <c r="E42" s="27" t="s">
        <v>4</v>
      </c>
      <c r="F42" s="173">
        <f t="shared" si="3"/>
        <v>151735.20000000001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3.75" customHeight="1">
      <c r="A43" s="26" t="s">
        <v>4</v>
      </c>
      <c r="B43" s="37" t="s">
        <v>4</v>
      </c>
      <c r="C43" s="37" t="s">
        <v>4</v>
      </c>
      <c r="D43" s="37" t="s">
        <v>4</v>
      </c>
      <c r="E43" s="3"/>
      <c r="F43" s="175" t="s">
        <v>4</v>
      </c>
      <c r="G43" s="3"/>
      <c r="H43" s="3"/>
      <c r="I43" s="3"/>
      <c r="J43" s="3" t="s">
        <v>49</v>
      </c>
      <c r="K43" s="3"/>
      <c r="L43" s="3"/>
      <c r="M43" s="3"/>
      <c r="N43" s="3"/>
      <c r="O43" s="3"/>
      <c r="P43" s="3"/>
    </row>
    <row r="44" spans="1:16">
      <c r="A44" s="33" t="s">
        <v>47</v>
      </c>
      <c r="B44" s="84">
        <f>N47-B48</f>
        <v>243.29217002213773</v>
      </c>
      <c r="C44" s="181">
        <f>N47-C48</f>
        <v>243.29217002213773</v>
      </c>
      <c r="D44" s="181">
        <f>N47-D48</f>
        <v>243.29217002213773</v>
      </c>
      <c r="E44" s="3"/>
      <c r="F44" s="176">
        <f t="shared" ref="F44:F49" si="6">SUM(B44:D44)</f>
        <v>729.87651006641318</v>
      </c>
      <c r="G44" s="3"/>
      <c r="H44" s="3"/>
      <c r="I44" s="3"/>
      <c r="J44" s="3"/>
      <c r="K44" s="3"/>
      <c r="M44" s="3"/>
      <c r="N44" s="3"/>
    </row>
    <row r="45" spans="1:16">
      <c r="A45" s="12" t="s">
        <v>50</v>
      </c>
      <c r="B45" s="64">
        <v>0</v>
      </c>
      <c r="C45" s="64">
        <f>'Income Statement'!B54</f>
        <v>0</v>
      </c>
      <c r="D45" s="64">
        <f>'Income Statement'!C54</f>
        <v>0</v>
      </c>
      <c r="E45" s="3"/>
      <c r="F45" s="177">
        <f t="shared" si="6"/>
        <v>0</v>
      </c>
      <c r="G45" s="3"/>
      <c r="H45" s="3" t="s">
        <v>48</v>
      </c>
      <c r="I45" s="3"/>
      <c r="J45" s="3"/>
      <c r="K45" s="3"/>
      <c r="L45" s="81">
        <v>1.2E-2</v>
      </c>
      <c r="M45" s="3" t="s">
        <v>51</v>
      </c>
      <c r="N45" s="41">
        <v>5</v>
      </c>
      <c r="O45" s="3"/>
      <c r="P45" s="3"/>
    </row>
    <row r="46" spans="1:16" ht="16" thickBot="1">
      <c r="A46" s="12" t="s">
        <v>52</v>
      </c>
      <c r="B46" s="18">
        <v>0</v>
      </c>
      <c r="C46" s="19">
        <v>0</v>
      </c>
      <c r="D46" s="19">
        <v>0</v>
      </c>
      <c r="E46" s="3"/>
      <c r="F46" s="177">
        <f t="shared" si="6"/>
        <v>0</v>
      </c>
      <c r="G46" s="3"/>
      <c r="H46" s="3"/>
      <c r="I46" s="43">
        <v>5</v>
      </c>
      <c r="J46" s="3"/>
      <c r="K46" s="3"/>
      <c r="L46" s="3"/>
      <c r="M46" s="3" t="s">
        <v>53</v>
      </c>
      <c r="N46" s="41">
        <f>B54</f>
        <v>33524</v>
      </c>
      <c r="O46" s="3"/>
      <c r="P46" s="3"/>
    </row>
    <row r="47" spans="1:16" ht="16" thickBot="1">
      <c r="A47" s="12" t="s">
        <v>54</v>
      </c>
      <c r="B47" s="18">
        <v>0</v>
      </c>
      <c r="C47" s="19">
        <v>0</v>
      </c>
      <c r="D47" s="19">
        <v>0</v>
      </c>
      <c r="E47" s="3"/>
      <c r="F47" s="177">
        <f t="shared" si="6"/>
        <v>0</v>
      </c>
      <c r="G47" s="3"/>
      <c r="H47" s="3"/>
      <c r="J47" s="3" t="s">
        <v>59</v>
      </c>
      <c r="K47" s="3"/>
      <c r="L47" s="3"/>
      <c r="M47" s="4" t="s">
        <v>55</v>
      </c>
      <c r="N47" s="85">
        <f>PMT(L45,N45,-N46)</f>
        <v>6948.0921700221379</v>
      </c>
      <c r="O47" s="42" t="s">
        <v>56</v>
      </c>
    </row>
    <row r="48" spans="1:16">
      <c r="A48" s="12" t="s">
        <v>57</v>
      </c>
      <c r="B48" s="80">
        <f>B54/5</f>
        <v>6704.8</v>
      </c>
      <c r="C48" s="180">
        <f>B54/5</f>
        <v>6704.8</v>
      </c>
      <c r="D48" s="180">
        <f>B54/5</f>
        <v>6704.8</v>
      </c>
      <c r="E48" s="3"/>
      <c r="F48" s="177">
        <f t="shared" si="6"/>
        <v>20114.400000000001</v>
      </c>
      <c r="G48" s="3"/>
      <c r="H48" s="3" t="s">
        <v>58</v>
      </c>
      <c r="I48" s="3"/>
      <c r="J48" s="3"/>
      <c r="K48" s="3"/>
      <c r="L48" t="s">
        <v>4</v>
      </c>
      <c r="M48" s="3"/>
      <c r="N48" s="3"/>
    </row>
    <row r="49" spans="1:16" ht="16" thickBot="1">
      <c r="A49" s="45" t="s">
        <v>60</v>
      </c>
      <c r="B49" s="46">
        <f>1200*12</f>
        <v>14400</v>
      </c>
      <c r="C49" s="19">
        <f>'Income Statement'!C36</f>
        <v>16000</v>
      </c>
      <c r="D49" s="19">
        <f>'Income Statement'!D36</f>
        <v>17000</v>
      </c>
      <c r="E49" s="3"/>
      <c r="F49" s="177">
        <f t="shared" si="6"/>
        <v>47400</v>
      </c>
      <c r="G49" s="3"/>
      <c r="H49" s="3"/>
      <c r="I49" s="3"/>
      <c r="J49" s="3"/>
      <c r="K49" s="3"/>
      <c r="L49" s="44" t="s">
        <v>85</v>
      </c>
      <c r="M49" s="3"/>
      <c r="N49" s="3"/>
      <c r="O49" s="3"/>
      <c r="P49" s="3"/>
    </row>
    <row r="50" spans="1:16" ht="3.75" customHeight="1" thickBot="1">
      <c r="A50" s="26" t="s">
        <v>4</v>
      </c>
      <c r="B50" s="47" t="s">
        <v>61</v>
      </c>
      <c r="C50" s="47" t="s">
        <v>4</v>
      </c>
      <c r="D50" s="47" t="s">
        <v>4</v>
      </c>
      <c r="E50" s="3"/>
      <c r="F50" s="174" t="s">
        <v>4</v>
      </c>
      <c r="G50" s="3"/>
      <c r="H50" s="3"/>
      <c r="I50" s="3"/>
      <c r="J50" s="3"/>
      <c r="K50" s="3"/>
      <c r="L50" t="s">
        <v>4</v>
      </c>
      <c r="M50" s="3"/>
      <c r="N50" s="3"/>
      <c r="O50" s="3"/>
      <c r="P50" s="3"/>
    </row>
    <row r="51" spans="1:16" ht="16" thickBot="1">
      <c r="A51" s="48" t="s">
        <v>87</v>
      </c>
      <c r="B51" s="65">
        <f>(B20+B30+B42+B49+B48+B44)</f>
        <v>231843.74017002212</v>
      </c>
      <c r="C51" s="65">
        <f>(C20+C30+C42+C49+C44+C48)</f>
        <v>391383.38817002211</v>
      </c>
      <c r="D51" s="65">
        <f>(D20+D30+D42+D49+D44+D48)</f>
        <v>695881.88417002209</v>
      </c>
      <c r="E51" s="27"/>
      <c r="F51" s="178">
        <f>SUM(B51:D51)</f>
        <v>1319109.0125100664</v>
      </c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17" thickBot="1">
      <c r="A52" s="49" t="s">
        <v>86</v>
      </c>
      <c r="B52" s="202">
        <f>B51+B45</f>
        <v>231843.74017002212</v>
      </c>
      <c r="C52" s="65">
        <f t="shared" ref="C52:D52" si="7">C51+C45</f>
        <v>391383.38817002211</v>
      </c>
      <c r="D52" s="65">
        <f t="shared" si="7"/>
        <v>695881.88417002209</v>
      </c>
      <c r="E52" s="27" t="s">
        <v>4</v>
      </c>
      <c r="F52" s="178">
        <f>SUM(B52:D52)</f>
        <v>1319109.0125100664</v>
      </c>
      <c r="G52" s="3"/>
      <c r="H52" s="3"/>
      <c r="I52" t="s">
        <v>4</v>
      </c>
      <c r="J52" s="3"/>
      <c r="K52" s="3"/>
      <c r="L52" s="3"/>
      <c r="M52" s="3"/>
      <c r="N52" s="3"/>
      <c r="O52" s="3"/>
      <c r="P52" s="3"/>
    </row>
    <row r="53" spans="1:16" ht="17" thickBot="1">
      <c r="A53" s="51" t="s">
        <v>62</v>
      </c>
      <c r="B53" s="77">
        <f>B12-B52</f>
        <v>-43523.740170022094</v>
      </c>
      <c r="C53" s="77">
        <f>C12-C52</f>
        <v>1256.8716599558829</v>
      </c>
      <c r="D53" s="77">
        <f>D12-D52</f>
        <v>46654.987489933963</v>
      </c>
      <c r="E53" s="3"/>
      <c r="F53" s="203">
        <f>F12-F52</f>
        <v>-16869.012510066153</v>
      </c>
      <c r="G53" s="3"/>
      <c r="H53" s="3"/>
      <c r="I53" t="s">
        <v>4</v>
      </c>
      <c r="J53" s="3"/>
      <c r="K53" s="3"/>
      <c r="L53" s="3"/>
      <c r="M53" s="3"/>
      <c r="N53" s="3"/>
      <c r="O53" s="3"/>
      <c r="P53" s="3"/>
    </row>
    <row r="54" spans="1:16" ht="17" thickBot="1">
      <c r="A54" s="49" t="s">
        <v>63</v>
      </c>
      <c r="B54" s="83">
        <v>33524</v>
      </c>
      <c r="C54" s="34">
        <v>0</v>
      </c>
      <c r="D54" s="34">
        <v>0</v>
      </c>
      <c r="E54" s="3"/>
      <c r="F54" s="178">
        <f>SUM(B54:D54)</f>
        <v>33524</v>
      </c>
      <c r="G54" s="3"/>
      <c r="H54" s="52" t="s">
        <v>64</v>
      </c>
      <c r="L54" s="3"/>
      <c r="M54" s="3"/>
    </row>
    <row r="55" spans="1:16" ht="17" thickBot="1">
      <c r="A55" s="49" t="s">
        <v>65</v>
      </c>
      <c r="B55" s="53">
        <v>30000</v>
      </c>
      <c r="C55" s="19">
        <v>0</v>
      </c>
      <c r="D55" s="19">
        <v>0</v>
      </c>
      <c r="E55" s="3"/>
      <c r="F55" s="178">
        <f>SUM(B55:D55)</f>
        <v>30000</v>
      </c>
      <c r="G55" s="3"/>
      <c r="H55" s="3" t="s">
        <v>66</v>
      </c>
      <c r="I55" s="3"/>
      <c r="J55" s="3"/>
      <c r="K55" s="3"/>
    </row>
    <row r="56" spans="1:16" ht="3.75" customHeight="1" thickBot="1">
      <c r="A56" s="50" t="s">
        <v>4</v>
      </c>
      <c r="B56" s="50" t="s">
        <v>4</v>
      </c>
      <c r="C56" s="50" t="s">
        <v>4</v>
      </c>
      <c r="D56" s="26" t="s">
        <v>4</v>
      </c>
      <c r="E56" s="3"/>
      <c r="F56" s="174" t="s">
        <v>4</v>
      </c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0" thickBot="1">
      <c r="A57" s="54" t="s">
        <v>67</v>
      </c>
      <c r="B57" s="82">
        <f>SUM(B53:B55)</f>
        <v>20000.259829977906</v>
      </c>
      <c r="C57" s="82">
        <f t="shared" ref="C57" si="8">SUM(C53:C55)</f>
        <v>1256.8716599558829</v>
      </c>
      <c r="D57" s="82">
        <f>SUM(D53:D55)</f>
        <v>46654.987489933963</v>
      </c>
      <c r="E57" s="3"/>
      <c r="F57" s="179">
        <f>SUM(F53:F55)</f>
        <v>46654.987489933847</v>
      </c>
      <c r="G57" s="3"/>
      <c r="H57" s="3"/>
      <c r="I57" s="40">
        <v>20000</v>
      </c>
      <c r="J57" s="3"/>
      <c r="K57" s="3"/>
      <c r="L57" s="3"/>
      <c r="M57" s="3"/>
      <c r="N57" s="3"/>
      <c r="O57" s="3"/>
      <c r="P57" s="3"/>
    </row>
    <row r="58" spans="1:16" ht="16" thickBot="1">
      <c r="A58" s="4"/>
      <c r="B58" s="3"/>
      <c r="C58" s="4"/>
      <c r="D58" s="3"/>
      <c r="E58" s="3"/>
      <c r="F58" s="150"/>
      <c r="G58" s="3"/>
      <c r="H58" s="3"/>
      <c r="I58" s="3"/>
      <c r="J58" s="56"/>
      <c r="K58" s="56"/>
      <c r="L58" s="3"/>
      <c r="M58" s="3"/>
      <c r="N58" s="3"/>
      <c r="O58" s="3"/>
      <c r="P58" s="3"/>
    </row>
    <row r="59" spans="1:16" ht="33" customHeight="1" thickBot="1">
      <c r="A59" s="55" t="s">
        <v>68</v>
      </c>
      <c r="B59" s="82">
        <f>B57-20000</f>
        <v>0.25982997790561058</v>
      </c>
      <c r="C59" s="3"/>
      <c r="D59" s="3"/>
      <c r="E59" s="3"/>
      <c r="F59" s="3"/>
      <c r="G59" s="3"/>
      <c r="H59" s="3" t="s">
        <v>83</v>
      </c>
      <c r="I59" s="3"/>
      <c r="J59" s="3"/>
      <c r="K59" s="3"/>
      <c r="L59" s="3"/>
      <c r="M59" s="3"/>
      <c r="N59" s="3"/>
    </row>
    <row r="60" spans="1:1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>
      <c r="A61" s="57" t="s">
        <v>69</v>
      </c>
      <c r="B61" s="196">
        <f>B57-B4</f>
        <v>20000.259829977906</v>
      </c>
      <c r="C61" s="196">
        <f>C57-C4</f>
        <v>-18743.388170022023</v>
      </c>
      <c r="D61" s="196">
        <f>D57-D4</f>
        <v>45398.11582997808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58"/>
      <c r="P61" s="3"/>
    </row>
    <row r="62" spans="1:1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>
      <c r="A68" s="3"/>
      <c r="B68" s="3"/>
      <c r="C68" s="3"/>
      <c r="D68" s="3"/>
      <c r="E68" s="3"/>
      <c r="F68" s="3"/>
      <c r="G68" s="3"/>
      <c r="H68" s="3"/>
      <c r="L68" s="3"/>
      <c r="M68" s="3"/>
      <c r="N68" s="3"/>
      <c r="O68" s="3"/>
      <c r="P68" s="3"/>
    </row>
  </sheetData>
  <pageMargins left="0.7" right="0.7" top="0.75" bottom="0.75" header="0.3" footer="0.3"/>
  <pageSetup paperSize="9" orientation="portrait" horizontalDpi="4294967293" verticalDpi="0" r:id="rId1"/>
  <headerFooter>
    <oddHeader>&amp;C&amp;"-,Grassetto"&amp;16Partial Cash Flow Statement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zoomScale="86" workbookViewId="0">
      <selection activeCell="C20" sqref="C20"/>
    </sheetView>
  </sheetViews>
  <sheetFormatPr baseColWidth="10" defaultColWidth="8.83203125" defaultRowHeight="15"/>
  <cols>
    <col min="1" max="1" width="38" customWidth="1"/>
    <col min="2" max="3" width="10.6640625" customWidth="1"/>
    <col min="4" max="4" width="10.5" customWidth="1"/>
    <col min="5" max="5" width="1.83203125" customWidth="1"/>
    <col min="6" max="6" width="12.5" customWidth="1"/>
    <col min="8" max="8" width="21.83203125" customWidth="1"/>
    <col min="9" max="9" width="9.1640625" bestFit="1" customWidth="1"/>
    <col min="14" max="14" width="10.1640625" bestFit="1" customWidth="1"/>
  </cols>
  <sheetData>
    <row r="1" spans="1:15">
      <c r="A1" s="170" t="s">
        <v>0</v>
      </c>
    </row>
    <row r="2" spans="1:15" ht="6.75" customHeight="1" thickBot="1"/>
    <row r="3" spans="1:15" s="1" customFormat="1" ht="30.75" customHeight="1" thickBot="1">
      <c r="A3" s="86" t="s">
        <v>1</v>
      </c>
      <c r="B3" s="87">
        <v>2020</v>
      </c>
      <c r="C3" s="87">
        <v>2021</v>
      </c>
      <c r="D3" s="87">
        <v>2022</v>
      </c>
      <c r="F3" s="88" t="s">
        <v>2</v>
      </c>
    </row>
    <row r="4" spans="1:15" ht="16" thickBot="1">
      <c r="A4" s="89" t="s">
        <v>89</v>
      </c>
      <c r="B4" s="90"/>
      <c r="C4" s="91"/>
      <c r="D4" s="92"/>
      <c r="E4" s="93"/>
      <c r="F4" s="94"/>
      <c r="H4" t="s">
        <v>90</v>
      </c>
    </row>
    <row r="5" spans="1:15" ht="16" thickBot="1">
      <c r="A5" s="95" t="s">
        <v>91</v>
      </c>
      <c r="B5" s="96">
        <f>SUM(B6:B8)</f>
        <v>188320.00000000003</v>
      </c>
      <c r="C5" s="96">
        <f>SUM(C6:C8)</f>
        <v>372640</v>
      </c>
      <c r="D5" s="96">
        <f>SUM(D6:D8)</f>
        <v>741280.00000000012</v>
      </c>
      <c r="E5" s="93"/>
      <c r="F5" s="97">
        <f>SUM(B5:D5)</f>
        <v>1302240</v>
      </c>
    </row>
    <row r="6" spans="1:15">
      <c r="A6" s="98" t="s">
        <v>14</v>
      </c>
      <c r="B6" s="140">
        <f>'start up Cash flow'!B6</f>
        <v>36864.000000000007</v>
      </c>
      <c r="C6" s="99">
        <f>'start up Cash flow'!K7*'start up Cash flow'!K8*'start up Cash flow'!K9/100</f>
        <v>73728</v>
      </c>
      <c r="D6" s="99">
        <f>'start up Cash flow'!L8*'start up Cash flow'!L9/100*'start up Cash flow'!L7</f>
        <v>147456</v>
      </c>
      <c r="E6" s="93"/>
      <c r="F6" s="146">
        <f>SUM(B6:D6)</f>
        <v>258048</v>
      </c>
      <c r="H6" t="s">
        <v>121</v>
      </c>
      <c r="I6" s="145">
        <v>0.35</v>
      </c>
    </row>
    <row r="7" spans="1:15">
      <c r="A7" s="98" t="s">
        <v>16</v>
      </c>
      <c r="B7" s="140">
        <f>'start up Cash flow'!B7</f>
        <v>147456.00000000003</v>
      </c>
      <c r="C7" s="99">
        <f>'start up Cash flow'!K7*'start up Cash flow'!K8*'start up Cash flow'!K10/100</f>
        <v>294912</v>
      </c>
      <c r="D7" s="99">
        <f>'start up Cash flow'!L10/100*'start up Cash flow'!L8*'start up Cash flow'!L7</f>
        <v>589824.00000000012</v>
      </c>
      <c r="E7" s="93"/>
      <c r="F7" s="146">
        <f>SUM(B7:D7)</f>
        <v>1032192.0000000001</v>
      </c>
      <c r="H7" t="s">
        <v>117</v>
      </c>
      <c r="I7">
        <v>0.2</v>
      </c>
    </row>
    <row r="8" spans="1:15">
      <c r="A8" s="98" t="s">
        <v>92</v>
      </c>
      <c r="B8" s="140">
        <f>'start up Cash flow'!B8</f>
        <v>4000</v>
      </c>
      <c r="C8" s="140">
        <f>'start up Cash flow'!B8</f>
        <v>4000</v>
      </c>
      <c r="D8" s="140">
        <f>'start up Cash flow'!B8</f>
        <v>4000</v>
      </c>
      <c r="E8" s="93"/>
      <c r="F8" s="146">
        <f>SUM(B8:D8)</f>
        <v>12000</v>
      </c>
      <c r="H8" t="s">
        <v>118</v>
      </c>
      <c r="I8">
        <v>3</v>
      </c>
    </row>
    <row r="9" spans="1:15" ht="14.25" customHeight="1">
      <c r="A9" s="100"/>
      <c r="B9" s="100"/>
      <c r="C9" s="100"/>
      <c r="D9" s="100"/>
      <c r="E9" s="93"/>
      <c r="F9" s="101"/>
      <c r="H9" t="s">
        <v>119</v>
      </c>
      <c r="I9">
        <v>5</v>
      </c>
    </row>
    <row r="10" spans="1:15">
      <c r="A10" s="102" t="s">
        <v>93</v>
      </c>
      <c r="B10" s="96">
        <f>SUM(B14,B15)</f>
        <v>111360</v>
      </c>
      <c r="C10" s="96">
        <f>SUM(C14,C15)</f>
        <v>222720</v>
      </c>
      <c r="D10" s="96">
        <f>SUM(D14,D15)</f>
        <v>445440</v>
      </c>
      <c r="E10" s="93"/>
      <c r="F10" s="147">
        <f t="shared" ref="F10:F17" si="0">SUM(B10:D10)</f>
        <v>779520</v>
      </c>
      <c r="H10" t="s">
        <v>120</v>
      </c>
      <c r="I10">
        <v>2000</v>
      </c>
      <c r="K10" s="103"/>
    </row>
    <row r="11" spans="1:15" s="106" customFormat="1">
      <c r="A11" s="104" t="s">
        <v>94</v>
      </c>
      <c r="B11" s="99">
        <v>0</v>
      </c>
      <c r="C11" s="99">
        <f>ABS(B15)</f>
        <v>2560</v>
      </c>
      <c r="D11" s="99">
        <f>ABS(C15)</f>
        <v>7680</v>
      </c>
      <c r="E11" s="105"/>
      <c r="F11" s="147">
        <f>B11</f>
        <v>0</v>
      </c>
      <c r="G11"/>
      <c r="H11" t="s">
        <v>163</v>
      </c>
      <c r="I11">
        <v>0.05</v>
      </c>
      <c r="J11"/>
      <c r="K11" s="103"/>
      <c r="L11"/>
      <c r="M11"/>
      <c r="N11"/>
      <c r="O11"/>
    </row>
    <row r="12" spans="1:15">
      <c r="A12" s="107" t="s">
        <v>95</v>
      </c>
      <c r="B12" s="99">
        <f>'start up Cash flow'!B18</f>
        <v>64000</v>
      </c>
      <c r="C12" s="99">
        <f>'start up Cash flow'!C18</f>
        <v>128000</v>
      </c>
      <c r="D12" s="99">
        <f>'start up Cash flow'!D18</f>
        <v>240000</v>
      </c>
      <c r="E12" s="93"/>
      <c r="F12" s="147">
        <f t="shared" si="0"/>
        <v>432000</v>
      </c>
    </row>
    <row r="13" spans="1:15">
      <c r="A13" s="107" t="s">
        <v>96</v>
      </c>
      <c r="B13" s="99">
        <f>'start up Cash flow'!B19</f>
        <v>49920</v>
      </c>
      <c r="C13" s="99">
        <f>'start up Cash flow'!C19</f>
        <v>99840</v>
      </c>
      <c r="D13" s="99">
        <f>'start up Cash flow'!D19</f>
        <v>199680</v>
      </c>
      <c r="E13" s="93"/>
      <c r="F13" s="147">
        <f t="shared" si="0"/>
        <v>349440</v>
      </c>
    </row>
    <row r="14" spans="1:15">
      <c r="A14" s="109" t="s">
        <v>97</v>
      </c>
      <c r="B14" s="110">
        <f>SUM(B11:B13)</f>
        <v>113920</v>
      </c>
      <c r="C14" s="110">
        <f>SUM(C11:C13)</f>
        <v>230400</v>
      </c>
      <c r="D14" s="110">
        <f>SUM(D11:D13)</f>
        <v>447360</v>
      </c>
      <c r="E14" s="93"/>
      <c r="F14" s="147">
        <f>SUM(F11:F13)</f>
        <v>781440</v>
      </c>
      <c r="H14" s="106"/>
      <c r="I14" s="106"/>
    </row>
    <row r="15" spans="1:15" s="106" customFormat="1">
      <c r="A15" s="104" t="s">
        <v>98</v>
      </c>
      <c r="B15" s="99">
        <f>-'start up Cash flow'!J27*('start up Cash flow'!J23+'start up Cash flow'!J24)</f>
        <v>-2560</v>
      </c>
      <c r="C15" s="99">
        <f>-'start up Cash flow'!K27*('start up Cash flow'!J23+'start up Cash flow'!J24)</f>
        <v>-7680</v>
      </c>
      <c r="D15" s="99">
        <f>-'start up Cash flow'!L27*('start up Cash flow'!J23+'start up Cash flow'!J24)</f>
        <v>-1920</v>
      </c>
      <c r="E15" s="105"/>
      <c r="F15" s="147">
        <f>D15</f>
        <v>-1920</v>
      </c>
      <c r="H15"/>
      <c r="I15"/>
    </row>
    <row r="16" spans="1:15" ht="3.5" customHeight="1" thickBot="1">
      <c r="A16" s="111"/>
      <c r="B16" s="101"/>
      <c r="C16" s="101"/>
      <c r="D16" s="101"/>
      <c r="E16" s="93"/>
      <c r="F16" s="147">
        <f t="shared" si="0"/>
        <v>0</v>
      </c>
    </row>
    <row r="17" spans="1:10" ht="16" thickBot="1">
      <c r="A17" s="112" t="s">
        <v>99</v>
      </c>
      <c r="B17" s="97">
        <f>B5-B10</f>
        <v>76960.000000000029</v>
      </c>
      <c r="C17" s="97">
        <f>C5-C10</f>
        <v>149920</v>
      </c>
      <c r="D17" s="97">
        <f>D5-D10</f>
        <v>295840.00000000012</v>
      </c>
      <c r="E17" s="93"/>
      <c r="F17" s="147">
        <f t="shared" si="0"/>
        <v>522720.00000000012</v>
      </c>
    </row>
    <row r="18" spans="1:10" ht="3.75" customHeight="1">
      <c r="A18" s="113"/>
      <c r="B18" s="101"/>
      <c r="C18" s="101"/>
      <c r="D18" s="101"/>
      <c r="E18" s="93"/>
      <c r="F18" s="101"/>
    </row>
    <row r="19" spans="1:10">
      <c r="A19" s="102" t="s">
        <v>100</v>
      </c>
      <c r="B19" s="114"/>
      <c r="C19" s="115"/>
      <c r="D19" s="116"/>
      <c r="E19" s="93"/>
      <c r="F19" s="117"/>
    </row>
    <row r="20" spans="1:10" ht="16" thickBot="1">
      <c r="A20" s="102" t="s">
        <v>101</v>
      </c>
      <c r="B20" s="118"/>
      <c r="C20" s="119"/>
      <c r="D20" s="120"/>
      <c r="E20" s="93"/>
      <c r="F20" s="117"/>
    </row>
    <row r="21" spans="1:10">
      <c r="A21" s="98" t="s">
        <v>102</v>
      </c>
      <c r="B21" s="142">
        <f>'start up Cash flow'!B23</f>
        <v>23118.400000000001</v>
      </c>
      <c r="C21" s="204">
        <f>'start up Cash flow'!C23</f>
        <v>45236.800000000003</v>
      </c>
      <c r="D21" s="204">
        <f>'start up Cash flow'!D23</f>
        <v>89473.600000000006</v>
      </c>
      <c r="E21" s="93"/>
      <c r="F21" s="130">
        <f t="shared" ref="F21:F29" si="1">SUM(B21:D21)</f>
        <v>157828.80000000002</v>
      </c>
    </row>
    <row r="22" spans="1:10">
      <c r="A22" s="98" t="s">
        <v>29</v>
      </c>
      <c r="B22" s="143">
        <f>'start up Cash flow'!B24</f>
        <v>12288</v>
      </c>
      <c r="C22" s="143">
        <f>'start up Cash flow'!C24</f>
        <v>24576</v>
      </c>
      <c r="D22" s="143">
        <f>'start up Cash flow'!D24</f>
        <v>49152</v>
      </c>
      <c r="F22" s="130">
        <f t="shared" si="1"/>
        <v>86016</v>
      </c>
    </row>
    <row r="23" spans="1:10">
      <c r="A23" s="123" t="s">
        <v>30</v>
      </c>
      <c r="B23" s="143">
        <f>'start up Cash flow'!B25</f>
        <v>9166.848</v>
      </c>
      <c r="C23" s="143">
        <f>'start up Cash flow'!C25</f>
        <v>18333.696</v>
      </c>
      <c r="D23" s="143">
        <f>'start up Cash flow'!D25</f>
        <v>36667.392</v>
      </c>
      <c r="F23" s="130">
        <f t="shared" si="1"/>
        <v>64167.936000000002</v>
      </c>
      <c r="J23" s="103"/>
    </row>
    <row r="24" spans="1:10">
      <c r="A24" s="98" t="s">
        <v>31</v>
      </c>
      <c r="B24" s="143">
        <f>'start up Cash flow'!B26</f>
        <v>1382.4</v>
      </c>
      <c r="C24" s="143">
        <f>'start up Cash flow'!C26</f>
        <v>2764.8</v>
      </c>
      <c r="D24" s="143">
        <f>'start up Cash flow'!D26</f>
        <v>5529.6</v>
      </c>
      <c r="F24" s="130">
        <f t="shared" si="1"/>
        <v>9676.8000000000011</v>
      </c>
    </row>
    <row r="25" spans="1:10">
      <c r="A25" s="98" t="s">
        <v>103</v>
      </c>
      <c r="B25" s="143">
        <f>'start up Cash flow'!B27</f>
        <v>0</v>
      </c>
      <c r="C25" s="122">
        <v>0</v>
      </c>
      <c r="D25" s="122">
        <v>0</v>
      </c>
      <c r="F25" s="130">
        <f t="shared" si="1"/>
        <v>0</v>
      </c>
    </row>
    <row r="26" spans="1:10">
      <c r="A26" s="98" t="s">
        <v>33</v>
      </c>
      <c r="B26" s="143">
        <f>'start up Cash flow'!B28</f>
        <v>0</v>
      </c>
      <c r="C26" s="148">
        <v>0</v>
      </c>
      <c r="D26" s="149">
        <v>0</v>
      </c>
      <c r="F26" s="130">
        <f t="shared" si="1"/>
        <v>0</v>
      </c>
    </row>
    <row r="27" spans="1:10">
      <c r="A27" s="98" t="s">
        <v>34</v>
      </c>
      <c r="B27" s="143">
        <f>'start up Cash flow'!B29</f>
        <v>0</v>
      </c>
      <c r="C27" s="122">
        <v>0</v>
      </c>
      <c r="D27" s="122">
        <v>0</v>
      </c>
      <c r="F27" s="130">
        <f t="shared" si="1"/>
        <v>0</v>
      </c>
    </row>
    <row r="28" spans="1:10" ht="16" thickBot="1">
      <c r="A28" s="104" t="s">
        <v>104</v>
      </c>
      <c r="B28" s="143">
        <v>0</v>
      </c>
      <c r="C28" s="124">
        <v>0</v>
      </c>
      <c r="D28" s="124">
        <v>0</v>
      </c>
      <c r="E28" s="106"/>
      <c r="F28" s="130">
        <f t="shared" si="1"/>
        <v>0</v>
      </c>
    </row>
    <row r="29" spans="1:10" ht="16" thickBot="1">
      <c r="A29" s="125" t="s">
        <v>35</v>
      </c>
      <c r="B29" s="97">
        <f>SUM(B21:B28)</f>
        <v>45955.648000000001</v>
      </c>
      <c r="C29" s="97">
        <f>SUM(C21:C28)</f>
        <v>90911.296000000002</v>
      </c>
      <c r="D29" s="97">
        <f>SUM(D21:D28)</f>
        <v>180822.592</v>
      </c>
      <c r="E29" s="126"/>
      <c r="F29" s="130">
        <f t="shared" si="1"/>
        <v>317689.53600000002</v>
      </c>
    </row>
    <row r="30" spans="1:10" ht="3.75" customHeight="1">
      <c r="A30" s="127"/>
      <c r="B30" s="117"/>
      <c r="C30" s="117"/>
      <c r="D30" s="117"/>
      <c r="F30" s="117"/>
      <c r="H30">
        <v>0</v>
      </c>
    </row>
    <row r="31" spans="1:10" ht="16" thickBot="1">
      <c r="A31" s="102" t="s">
        <v>105</v>
      </c>
      <c r="B31" s="118"/>
      <c r="C31" s="119"/>
      <c r="D31" s="120"/>
      <c r="F31" s="117"/>
    </row>
    <row r="32" spans="1:10">
      <c r="A32" s="98" t="s">
        <v>37</v>
      </c>
      <c r="B32" s="121">
        <f>'start up Cash flow'!B33</f>
        <v>2000</v>
      </c>
      <c r="C32" s="121">
        <f>'start up Cash flow'!B33</f>
        <v>2000</v>
      </c>
      <c r="D32" s="121">
        <f>'start up Cash flow'!B33</f>
        <v>2000</v>
      </c>
      <c r="F32" s="108">
        <f t="shared" ref="F32:F57" si="2">SUM(B32:D32)</f>
        <v>6000</v>
      </c>
    </row>
    <row r="33" spans="1:6">
      <c r="A33" s="98" t="s">
        <v>38</v>
      </c>
      <c r="B33" s="122">
        <f>'start up Cash flow'!B34</f>
        <v>3000</v>
      </c>
      <c r="C33" s="122">
        <f>'start up Cash flow'!B34</f>
        <v>3000</v>
      </c>
      <c r="D33" s="122">
        <f>'start up Cash flow'!B34</f>
        <v>3000</v>
      </c>
      <c r="F33" s="108">
        <f t="shared" si="2"/>
        <v>9000</v>
      </c>
    </row>
    <row r="34" spans="1:6">
      <c r="A34" s="98" t="s">
        <v>39</v>
      </c>
      <c r="B34" s="122">
        <f>'start up Cash flow'!B35</f>
        <v>0</v>
      </c>
      <c r="C34" s="122">
        <v>0</v>
      </c>
      <c r="D34" s="122">
        <v>0</v>
      </c>
      <c r="F34" s="108">
        <f t="shared" si="2"/>
        <v>0</v>
      </c>
    </row>
    <row r="35" spans="1:6">
      <c r="A35" s="98" t="s">
        <v>106</v>
      </c>
      <c r="B35" s="141">
        <f>'start up Cash flow'!B36</f>
        <v>33280</v>
      </c>
      <c r="C35" s="141">
        <f>B35*(1+I11)</f>
        <v>34944</v>
      </c>
      <c r="D35" s="141">
        <f>C35*(1+I11)</f>
        <v>36691.200000000004</v>
      </c>
      <c r="F35" s="108">
        <f t="shared" si="2"/>
        <v>104915.20000000001</v>
      </c>
    </row>
    <row r="36" spans="1:6">
      <c r="A36" s="98" t="s">
        <v>107</v>
      </c>
      <c r="B36" s="122">
        <f>'start up Cash flow'!B49</f>
        <v>14400</v>
      </c>
      <c r="C36" s="122">
        <v>16000</v>
      </c>
      <c r="D36" s="122">
        <v>17000</v>
      </c>
      <c r="F36" s="108">
        <f t="shared" si="2"/>
        <v>47400</v>
      </c>
    </row>
    <row r="37" spans="1:6">
      <c r="A37" s="98" t="s">
        <v>41</v>
      </c>
      <c r="B37" s="122">
        <f>'start up Cash flow'!B37</f>
        <v>2000</v>
      </c>
      <c r="C37" s="122">
        <f>'start up Cash flow'!B37</f>
        <v>2000</v>
      </c>
      <c r="D37" s="122">
        <f>'start up Cash flow'!B37</f>
        <v>2000</v>
      </c>
      <c r="F37" s="108">
        <f t="shared" si="2"/>
        <v>6000</v>
      </c>
    </row>
    <row r="38" spans="1:6">
      <c r="A38" s="98" t="s">
        <v>42</v>
      </c>
      <c r="B38" s="122">
        <f>'start up Cash flow'!B38</f>
        <v>5000</v>
      </c>
      <c r="C38" s="122">
        <f>'start up Cash flow'!B38</f>
        <v>5000</v>
      </c>
      <c r="D38" s="122">
        <f>'start up Cash flow'!B38</f>
        <v>5000</v>
      </c>
      <c r="F38" s="108">
        <f t="shared" si="2"/>
        <v>15000</v>
      </c>
    </row>
    <row r="39" spans="1:6">
      <c r="A39" s="98" t="s">
        <v>43</v>
      </c>
      <c r="B39" s="122">
        <f>'start up Cash flow'!B39</f>
        <v>1740</v>
      </c>
      <c r="C39" s="122">
        <f>'start up Cash flow'!B39</f>
        <v>1740</v>
      </c>
      <c r="D39" s="122">
        <f>'start up Cash flow'!B39</f>
        <v>1740</v>
      </c>
      <c r="F39" s="108">
        <f t="shared" si="2"/>
        <v>5220</v>
      </c>
    </row>
    <row r="40" spans="1:6">
      <c r="A40" s="98" t="s">
        <v>44</v>
      </c>
      <c r="B40" s="122">
        <f>'start up Cash flow'!B40</f>
        <v>3000</v>
      </c>
      <c r="C40" s="122">
        <v>1000</v>
      </c>
      <c r="D40" s="122">
        <v>1000</v>
      </c>
      <c r="F40" s="108">
        <f t="shared" si="2"/>
        <v>5000</v>
      </c>
    </row>
    <row r="41" spans="1:6">
      <c r="A41" s="98" t="s">
        <v>108</v>
      </c>
      <c r="B41" s="122">
        <f>'start up Cash flow'!B41</f>
        <v>600</v>
      </c>
      <c r="C41" s="122">
        <v>0</v>
      </c>
      <c r="D41" s="122">
        <v>0</v>
      </c>
      <c r="F41" s="108">
        <f t="shared" si="2"/>
        <v>600</v>
      </c>
    </row>
    <row r="42" spans="1:6" ht="16" thickBot="1">
      <c r="A42" s="104" t="s">
        <v>109</v>
      </c>
      <c r="B42" s="128">
        <f>I10*I7</f>
        <v>400</v>
      </c>
      <c r="C42" s="128">
        <f>(I10)*I7</f>
        <v>400</v>
      </c>
      <c r="D42" s="128">
        <f>(I10)*I7</f>
        <v>400</v>
      </c>
      <c r="F42" s="108">
        <f t="shared" si="2"/>
        <v>1200</v>
      </c>
    </row>
    <row r="43" spans="1:6" ht="16" thickBot="1">
      <c r="A43" s="125" t="s">
        <v>46</v>
      </c>
      <c r="B43" s="97">
        <f>SUM(B32:B42)</f>
        <v>65420</v>
      </c>
      <c r="C43" s="97">
        <f>SUM(C32:C42)</f>
        <v>66084</v>
      </c>
      <c r="D43" s="97">
        <f>SUM(D32:D42)</f>
        <v>68831.200000000012</v>
      </c>
      <c r="E43" s="93"/>
      <c r="F43" s="108">
        <f t="shared" si="2"/>
        <v>200335.2</v>
      </c>
    </row>
    <row r="44" spans="1:6" ht="16" thickBot="1">
      <c r="A44" s="89" t="s">
        <v>110</v>
      </c>
      <c r="B44" s="97">
        <f>SUM(B29,B43)</f>
        <v>111375.648</v>
      </c>
      <c r="C44" s="97">
        <f>SUM(C29,C43)</f>
        <v>156995.296</v>
      </c>
      <c r="D44" s="97">
        <f>SUM(D29,D43)</f>
        <v>249653.79200000002</v>
      </c>
      <c r="E44" s="93"/>
      <c r="F44" s="108">
        <f t="shared" si="2"/>
        <v>518024.73600000003</v>
      </c>
    </row>
    <row r="45" spans="1:6" ht="3.75" customHeight="1">
      <c r="A45" s="127"/>
      <c r="B45" s="117"/>
      <c r="C45" s="117"/>
      <c r="D45" s="117"/>
      <c r="F45">
        <f t="shared" si="2"/>
        <v>0</v>
      </c>
    </row>
    <row r="46" spans="1:6" ht="3.75" customHeight="1" thickBot="1">
      <c r="A46" s="111"/>
      <c r="B46" s="101"/>
      <c r="C46" s="101"/>
      <c r="D46" s="101"/>
      <c r="F46">
        <f t="shared" si="2"/>
        <v>0</v>
      </c>
    </row>
    <row r="47" spans="1:6" ht="16" thickBot="1">
      <c r="A47" s="112" t="s">
        <v>111</v>
      </c>
      <c r="B47" s="97">
        <f>B5-B10-B44</f>
        <v>-34415.647999999972</v>
      </c>
      <c r="C47" s="97">
        <f>C5-C10-C44</f>
        <v>-7075.2960000000021</v>
      </c>
      <c r="D47" s="97">
        <f>D5-D10-D44</f>
        <v>46186.208000000101</v>
      </c>
      <c r="E47" s="126"/>
      <c r="F47" s="108">
        <f t="shared" si="2"/>
        <v>4695.2640000001265</v>
      </c>
    </row>
    <row r="48" spans="1:6" ht="3.75" customHeight="1">
      <c r="A48" s="113"/>
      <c r="B48" s="101"/>
      <c r="C48" s="101"/>
      <c r="D48" s="101"/>
      <c r="F48" s="108">
        <f t="shared" si="2"/>
        <v>0</v>
      </c>
    </row>
    <row r="49" spans="1:9">
      <c r="A49" s="127" t="s">
        <v>112</v>
      </c>
      <c r="B49" s="129">
        <v>0</v>
      </c>
      <c r="C49" s="129">
        <v>0</v>
      </c>
      <c r="D49" s="129">
        <v>0</v>
      </c>
      <c r="E49" s="93"/>
      <c r="F49" s="108">
        <f t="shared" si="2"/>
        <v>0</v>
      </c>
      <c r="H49" s="131"/>
    </row>
    <row r="50" spans="1:9">
      <c r="A50" s="127" t="s">
        <v>113</v>
      </c>
      <c r="B50" s="130">
        <f>'start up Cash flow'!B44</f>
        <v>243.29217002213773</v>
      </c>
      <c r="C50" s="130">
        <f>'start up Cash flow'!C44</f>
        <v>243.29217002213773</v>
      </c>
      <c r="D50" s="130">
        <f>'start up Cash flow'!D44</f>
        <v>243.29217002213773</v>
      </c>
      <c r="E50" s="93"/>
      <c r="F50" s="108">
        <f t="shared" si="2"/>
        <v>729.87651006641318</v>
      </c>
      <c r="H50" s="137"/>
      <c r="I50" s="137"/>
    </row>
    <row r="51" spans="1:9" ht="3.75" customHeight="1" thickBot="1">
      <c r="A51" s="111"/>
      <c r="B51" s="101"/>
      <c r="C51" s="101"/>
      <c r="D51" s="101"/>
      <c r="F51">
        <f t="shared" si="2"/>
        <v>0</v>
      </c>
    </row>
    <row r="52" spans="1:9" ht="16" thickBot="1">
      <c r="A52" s="112" t="s">
        <v>114</v>
      </c>
      <c r="B52" s="97">
        <f>B47-B50</f>
        <v>-34658.940170022106</v>
      </c>
      <c r="C52" s="97">
        <f>C47-C50</f>
        <v>-7318.5881700221398</v>
      </c>
      <c r="D52" s="97">
        <f>D47-D50</f>
        <v>45942.915829977966</v>
      </c>
      <c r="E52" s="93"/>
      <c r="F52" s="108">
        <f t="shared" si="2"/>
        <v>3965.3874899337243</v>
      </c>
      <c r="H52" s="137"/>
      <c r="I52" s="137"/>
    </row>
    <row r="53" spans="1:9" ht="3.75" customHeight="1">
      <c r="A53" s="111"/>
      <c r="B53" s="101"/>
      <c r="C53" s="101"/>
      <c r="D53" s="101"/>
      <c r="F53">
        <f t="shared" si="2"/>
        <v>0</v>
      </c>
    </row>
    <row r="54" spans="1:9">
      <c r="A54" s="132" t="s">
        <v>115</v>
      </c>
      <c r="B54" s="133">
        <f>IF(B52&gt;0,B52*I6,0)</f>
        <v>0</v>
      </c>
      <c r="C54" s="133">
        <f>IF(C52&gt;0,C52*I6,0)</f>
        <v>0</v>
      </c>
      <c r="D54" s="133">
        <f>IF(D52&gt;0,D52*I6,0)</f>
        <v>16080.020540492287</v>
      </c>
      <c r="F54" s="108">
        <f t="shared" si="2"/>
        <v>16080.020540492287</v>
      </c>
    </row>
    <row r="55" spans="1:9" ht="3.75" customHeight="1" thickBot="1">
      <c r="A55" s="134"/>
      <c r="B55" s="135"/>
      <c r="C55" s="135"/>
      <c r="D55" s="135"/>
      <c r="F55">
        <f t="shared" si="2"/>
        <v>0</v>
      </c>
      <c r="I55" s="137"/>
    </row>
    <row r="56" spans="1:9" ht="16" thickBot="1">
      <c r="A56" s="112" t="s">
        <v>116</v>
      </c>
      <c r="B56" s="136">
        <f>B52-B54</f>
        <v>-34658.940170022106</v>
      </c>
      <c r="C56" s="136">
        <f>C52-C54</f>
        <v>-7318.5881700221398</v>
      </c>
      <c r="D56" s="136">
        <f>D52-D54</f>
        <v>29862.895289485677</v>
      </c>
      <c r="F56" s="108">
        <f t="shared" si="2"/>
        <v>-12114.633050558565</v>
      </c>
    </row>
    <row r="57" spans="1:9" ht="3.75" customHeight="1">
      <c r="A57" s="134"/>
      <c r="B57" s="134"/>
      <c r="C57" s="134"/>
      <c r="D57" s="134"/>
      <c r="E57" s="138"/>
      <c r="F57" s="108">
        <f t="shared" si="2"/>
        <v>0</v>
      </c>
    </row>
    <row r="58" spans="1:9">
      <c r="A58" s="138"/>
      <c r="C58" s="13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zoomScaleNormal="100" workbookViewId="0">
      <selection activeCell="E9" sqref="E9"/>
    </sheetView>
  </sheetViews>
  <sheetFormatPr baseColWidth="10" defaultColWidth="8.83203125" defaultRowHeight="15"/>
  <cols>
    <col min="1" max="1" width="17.6640625" style="182" bestFit="1" customWidth="1"/>
    <col min="2" max="2" width="37.1640625" style="182" bestFit="1" customWidth="1"/>
    <col min="3" max="3" width="36" style="182" customWidth="1"/>
    <col min="4" max="4" width="10.6640625" style="182" customWidth="1"/>
    <col min="5" max="5" width="10.6640625" style="186" customWidth="1"/>
    <col min="6" max="6" width="10.6640625" style="182" customWidth="1"/>
    <col min="7" max="16384" width="8.83203125" style="182"/>
  </cols>
  <sheetData>
    <row r="1" spans="1:6">
      <c r="D1" s="182">
        <v>2020</v>
      </c>
      <c r="E1" s="182">
        <v>2021</v>
      </c>
      <c r="F1" s="182">
        <v>2022</v>
      </c>
    </row>
    <row r="2" spans="1:6" ht="16">
      <c r="C2" s="183" t="s">
        <v>141</v>
      </c>
      <c r="D2" s="184">
        <f>'Income Statement'!B56</f>
        <v>-34658.940170022106</v>
      </c>
      <c r="E2" s="184">
        <f>'Income Statement'!C56</f>
        <v>-7318.5881700221398</v>
      </c>
      <c r="F2" s="184">
        <f>'Income Statement'!D56</f>
        <v>29862.895289485677</v>
      </c>
    </row>
    <row r="3" spans="1:6">
      <c r="A3" s="185" t="s">
        <v>142</v>
      </c>
      <c r="D3" s="186"/>
      <c r="E3" s="182"/>
    </row>
    <row r="4" spans="1:6">
      <c r="B4" s="182" t="s">
        <v>143</v>
      </c>
      <c r="D4" s="186">
        <f>0</f>
        <v>0</v>
      </c>
      <c r="E4" s="186">
        <f>0</f>
        <v>0</v>
      </c>
      <c r="F4" s="186">
        <f>0</f>
        <v>0</v>
      </c>
    </row>
    <row r="5" spans="1:6">
      <c r="B5" s="197" t="s">
        <v>144</v>
      </c>
      <c r="C5" s="197"/>
      <c r="D5" s="199">
        <f>'Income Statement'!B15</f>
        <v>-2560</v>
      </c>
      <c r="E5" s="200">
        <f>('Income Statement'!C15+'Income Statement'!C11)</f>
        <v>-5120</v>
      </c>
      <c r="F5" s="200">
        <f>('Income Statement'!D15+'Income Statement'!D11)</f>
        <v>5760</v>
      </c>
    </row>
    <row r="6" spans="1:6">
      <c r="B6" s="182" t="s">
        <v>145</v>
      </c>
      <c r="D6" s="186">
        <v>0</v>
      </c>
      <c r="E6" s="186">
        <v>0</v>
      </c>
      <c r="F6" s="186">
        <v>0</v>
      </c>
    </row>
    <row r="7" spans="1:6">
      <c r="B7" s="182" t="s">
        <v>146</v>
      </c>
      <c r="D7" s="186">
        <v>0</v>
      </c>
      <c r="E7" s="186">
        <v>0</v>
      </c>
      <c r="F7" s="186">
        <v>0</v>
      </c>
    </row>
    <row r="8" spans="1:6">
      <c r="B8" s="182" t="s">
        <v>147</v>
      </c>
      <c r="D8" s="186">
        <v>0</v>
      </c>
      <c r="E8" s="186">
        <v>0</v>
      </c>
      <c r="F8" s="186">
        <v>0</v>
      </c>
    </row>
    <row r="9" spans="1:6">
      <c r="B9" s="197" t="s">
        <v>148</v>
      </c>
      <c r="C9" s="197"/>
      <c r="D9" s="199">
        <f>'Income Statement'!B54</f>
        <v>0</v>
      </c>
      <c r="E9" s="200">
        <f>('Income Statement'!C54-'Income Statement'!B54)</f>
        <v>0</v>
      </c>
      <c r="F9" s="200">
        <f>('Income Statement'!D54-'Income Statement'!C54)</f>
        <v>16080.020540492287</v>
      </c>
    </row>
    <row r="10" spans="1:6">
      <c r="B10" s="197" t="s">
        <v>149</v>
      </c>
      <c r="C10" s="197"/>
      <c r="D10" s="199">
        <f>'Income Statement'!B42</f>
        <v>400</v>
      </c>
      <c r="E10" s="199">
        <f>'Income Statement'!C42</f>
        <v>400</v>
      </c>
      <c r="F10" s="199">
        <f>'Income Statement'!D42</f>
        <v>400</v>
      </c>
    </row>
    <row r="11" spans="1:6">
      <c r="C11" s="187" t="s">
        <v>150</v>
      </c>
      <c r="D11" s="188">
        <f>SUM(D4:D10)</f>
        <v>-2160</v>
      </c>
      <c r="E11" s="188">
        <f>SUM(E4:E10)</f>
        <v>-4720</v>
      </c>
      <c r="F11" s="188">
        <f t="shared" ref="F11" si="0">SUM(F4:F10)</f>
        <v>22240.020540492289</v>
      </c>
    </row>
    <row r="12" spans="1:6">
      <c r="D12" s="186"/>
      <c r="F12" s="186"/>
    </row>
    <row r="13" spans="1:6">
      <c r="A13" s="185" t="s">
        <v>151</v>
      </c>
      <c r="D13" s="186"/>
      <c r="F13" s="186"/>
    </row>
    <row r="14" spans="1:6">
      <c r="B14" s="182" t="s">
        <v>152</v>
      </c>
      <c r="D14" s="186">
        <v>0</v>
      </c>
      <c r="E14" s="186">
        <v>0</v>
      </c>
      <c r="F14" s="186">
        <v>0</v>
      </c>
    </row>
    <row r="15" spans="1:6">
      <c r="B15" s="182" t="s">
        <v>153</v>
      </c>
      <c r="D15" s="186">
        <v>0</v>
      </c>
      <c r="E15" s="186">
        <v>0</v>
      </c>
      <c r="F15" s="186">
        <v>0</v>
      </c>
    </row>
    <row r="16" spans="1:6">
      <c r="C16" s="187" t="s">
        <v>154</v>
      </c>
      <c r="D16" s="188">
        <f>SUM(D14:D15)</f>
        <v>0</v>
      </c>
      <c r="E16" s="188">
        <f t="shared" ref="E16:F16" si="1">SUM(E14:E15)</f>
        <v>0</v>
      </c>
      <c r="F16" s="188">
        <f t="shared" si="1"/>
        <v>0</v>
      </c>
    </row>
    <row r="17" spans="1:8">
      <c r="D17" s="186"/>
      <c r="F17" s="186"/>
    </row>
    <row r="18" spans="1:8">
      <c r="A18" s="185" t="s">
        <v>155</v>
      </c>
      <c r="D18" s="186"/>
      <c r="F18" s="186"/>
    </row>
    <row r="19" spans="1:8">
      <c r="B19" s="182" t="s">
        <v>156</v>
      </c>
      <c r="D19" s="186">
        <v>0</v>
      </c>
      <c r="E19" s="186">
        <v>0</v>
      </c>
      <c r="F19" s="186">
        <v>0</v>
      </c>
      <c r="H19" s="189"/>
    </row>
    <row r="20" spans="1:8">
      <c r="B20" s="197" t="s">
        <v>157</v>
      </c>
      <c r="C20" s="197"/>
      <c r="D20" s="199">
        <f>'start up Cash flow'!B54</f>
        <v>33524</v>
      </c>
      <c r="E20" s="199">
        <v>0</v>
      </c>
      <c r="F20" s="199">
        <v>0</v>
      </c>
      <c r="H20" s="189"/>
    </row>
    <row r="21" spans="1:8">
      <c r="B21" s="197" t="s">
        <v>158</v>
      </c>
      <c r="C21" s="197"/>
      <c r="D21" s="199">
        <v>30000</v>
      </c>
      <c r="E21" s="199">
        <v>0</v>
      </c>
      <c r="F21" s="199">
        <v>0</v>
      </c>
    </row>
    <row r="22" spans="1:8" ht="16">
      <c r="B22" s="198" t="s">
        <v>159</v>
      </c>
      <c r="C22" s="197"/>
      <c r="D22" s="199">
        <f>-'start up Cash flow'!B48</f>
        <v>-6704.8</v>
      </c>
      <c r="E22" s="199">
        <f>-'start up Cash flow'!C48</f>
        <v>-6704.8</v>
      </c>
      <c r="F22" s="199">
        <f>-'start up Cash flow'!D48</f>
        <v>-6704.8</v>
      </c>
    </row>
    <row r="23" spans="1:8">
      <c r="B23" s="182" t="s">
        <v>160</v>
      </c>
      <c r="D23" s="186">
        <v>0</v>
      </c>
      <c r="E23" s="186">
        <v>0</v>
      </c>
      <c r="F23" s="186">
        <v>0</v>
      </c>
    </row>
    <row r="24" spans="1:8">
      <c r="C24" s="187" t="s">
        <v>161</v>
      </c>
      <c r="D24" s="188">
        <f>SUM(D19:D23)</f>
        <v>56819.199999999997</v>
      </c>
      <c r="E24" s="188">
        <f t="shared" ref="E24:F24" si="2">SUM(E19:E23)</f>
        <v>-6704.8</v>
      </c>
      <c r="F24" s="188">
        <f t="shared" si="2"/>
        <v>-6704.8</v>
      </c>
    </row>
    <row r="25" spans="1:8" ht="16" thickBot="1">
      <c r="D25" s="186"/>
      <c r="F25" s="186"/>
    </row>
    <row r="26" spans="1:8" ht="16" thickBot="1">
      <c r="B26" s="190" t="s">
        <v>162</v>
      </c>
      <c r="C26" s="191"/>
      <c r="D26" s="192">
        <f>D2+D11+D16+D24</f>
        <v>20000.259829977891</v>
      </c>
      <c r="E26" s="193">
        <f>E2+E11+E16+E24</f>
        <v>-18743.388170022139</v>
      </c>
      <c r="F26" s="193">
        <f>F2+F11+F16+F24</f>
        <v>45398.115829977964</v>
      </c>
    </row>
    <row r="27" spans="1:8">
      <c r="D27" s="186"/>
    </row>
    <row r="30" spans="1:8">
      <c r="G30" s="186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K25"/>
  <sheetViews>
    <sheetView workbookViewId="0">
      <selection activeCell="G24" sqref="G24"/>
    </sheetView>
  </sheetViews>
  <sheetFormatPr baseColWidth="10" defaultColWidth="8.83203125" defaultRowHeight="15"/>
  <cols>
    <col min="3" max="3" width="28.1640625" bestFit="1" customWidth="1"/>
    <col min="4" max="6" width="10.5" bestFit="1" customWidth="1"/>
    <col min="7" max="7" width="21.33203125" customWidth="1"/>
    <col min="8" max="8" width="13.6640625" bestFit="1" customWidth="1"/>
  </cols>
  <sheetData>
    <row r="2" spans="3:11">
      <c r="D2" s="158">
        <v>2020</v>
      </c>
      <c r="E2" s="158">
        <v>2021</v>
      </c>
      <c r="F2" s="158">
        <v>2022</v>
      </c>
      <c r="I2" s="158">
        <v>2020</v>
      </c>
      <c r="J2" s="158">
        <v>2021</v>
      </c>
      <c r="K2" s="158">
        <v>2022</v>
      </c>
    </row>
    <row r="3" spans="3:11">
      <c r="C3" s="159" t="s">
        <v>123</v>
      </c>
      <c r="D3" s="162">
        <f>'Income Statement'!B6+'Income Statement'!B7</f>
        <v>184320.00000000003</v>
      </c>
      <c r="E3" s="162">
        <f>'Income Statement'!C6+'Income Statement'!C7</f>
        <v>368640</v>
      </c>
      <c r="F3" s="162">
        <f>'Income Statement'!D6+'Income Statement'!D7</f>
        <v>737280.00000000012</v>
      </c>
      <c r="H3" t="s">
        <v>124</v>
      </c>
      <c r="I3" s="161"/>
      <c r="J3" s="161"/>
      <c r="K3" s="161"/>
    </row>
    <row r="4" spans="3:11">
      <c r="C4" s="159" t="s">
        <v>125</v>
      </c>
      <c r="D4" s="160">
        <f>'Income Statement'!B43</f>
        <v>65420</v>
      </c>
      <c r="E4" s="160">
        <f>'Income Statement'!C43</f>
        <v>66084</v>
      </c>
      <c r="F4" s="160">
        <f>'Income Statement'!D43</f>
        <v>68831.200000000012</v>
      </c>
      <c r="G4" t="s">
        <v>126</v>
      </c>
    </row>
    <row r="5" spans="3:11">
      <c r="C5" s="159" t="s">
        <v>127</v>
      </c>
      <c r="D5" s="162">
        <f>'Income Statement'!B29+'Income Statement'!B10</f>
        <v>157315.64799999999</v>
      </c>
      <c r="E5" s="160">
        <f>'Income Statement'!C29+'Income Statement'!C10</f>
        <v>313631.29599999997</v>
      </c>
      <c r="F5" s="162">
        <f>'Income Statement'!D29+'Income Statement'!D10</f>
        <v>626262.59199999995</v>
      </c>
      <c r="G5" t="s">
        <v>128</v>
      </c>
    </row>
    <row r="6" spans="3:11">
      <c r="C6" s="159" t="s">
        <v>129</v>
      </c>
      <c r="D6" s="163">
        <f>'start up Cash flow'!J8</f>
        <v>1536</v>
      </c>
      <c r="E6" s="163">
        <f>'start up Cash flow'!K8</f>
        <v>3072</v>
      </c>
      <c r="F6" s="163">
        <f>'start up Cash flow'!L8</f>
        <v>6144</v>
      </c>
    </row>
    <row r="9" spans="3:11">
      <c r="C9" s="164" t="s">
        <v>130</v>
      </c>
      <c r="D9" s="158">
        <v>2020</v>
      </c>
      <c r="E9" s="158">
        <v>2021</v>
      </c>
      <c r="F9" s="158">
        <v>2022</v>
      </c>
    </row>
    <row r="10" spans="3:11">
      <c r="C10" t="s">
        <v>131</v>
      </c>
      <c r="D10" s="165">
        <f>D5/D6</f>
        <v>102.41904166666666</v>
      </c>
      <c r="E10" s="165">
        <f>E5/E6</f>
        <v>102.09352083333333</v>
      </c>
      <c r="F10" s="165">
        <f>F5/F6</f>
        <v>101.93076041666666</v>
      </c>
    </row>
    <row r="11" spans="3:11">
      <c r="C11" t="s">
        <v>132</v>
      </c>
      <c r="D11" s="166">
        <f>D3/D6</f>
        <v>120.00000000000001</v>
      </c>
      <c r="E11" s="166">
        <f>E3/E6</f>
        <v>120</v>
      </c>
      <c r="F11" s="166">
        <f>F3/F6</f>
        <v>120.00000000000001</v>
      </c>
    </row>
    <row r="14" spans="3:11">
      <c r="C14" t="s">
        <v>133</v>
      </c>
      <c r="D14" s="167">
        <f>D11-D10</f>
        <v>17.580958333333356</v>
      </c>
      <c r="E14" s="167">
        <f>E11-E10</f>
        <v>17.906479166666671</v>
      </c>
      <c r="F14" s="167">
        <f>F11-F10</f>
        <v>18.069239583333356</v>
      </c>
    </row>
    <row r="16" spans="3:11">
      <c r="C16" s="164" t="s">
        <v>134</v>
      </c>
    </row>
    <row r="17" spans="3:9">
      <c r="C17" t="s">
        <v>135</v>
      </c>
      <c r="D17" s="168">
        <f>D4/D14</f>
        <v>3721.0713295397672</v>
      </c>
      <c r="E17" s="168">
        <f>E4/E14</f>
        <v>3690.5077421929436</v>
      </c>
      <c r="F17" s="168">
        <f>F4/F14</f>
        <v>3809.3025266812169</v>
      </c>
      <c r="G17" s="169"/>
      <c r="H17" s="169"/>
      <c r="I17" s="169" t="str">
        <f>IF(ISERROR(F17),"",IF(F17&gt;F6,"NOT IN THE THIRD YEAR!",""))</f>
        <v/>
      </c>
    </row>
    <row r="18" spans="3:9">
      <c r="C18" t="s">
        <v>136</v>
      </c>
      <c r="D18" s="137">
        <f>D17*D11</f>
        <v>446528.55954477214</v>
      </c>
      <c r="E18" s="137">
        <f>E17*E11</f>
        <v>442860.92906315322</v>
      </c>
      <c r="F18" s="137">
        <f>F17*F11</f>
        <v>457116.30320174608</v>
      </c>
    </row>
    <row r="22" spans="3:9">
      <c r="C22" t="s">
        <v>137</v>
      </c>
    </row>
    <row r="23" spans="3:9">
      <c r="C23" t="s">
        <v>138</v>
      </c>
    </row>
    <row r="24" spans="3:9">
      <c r="C24" t="s">
        <v>139</v>
      </c>
    </row>
    <row r="25" spans="3:9">
      <c r="C25" t="s">
        <v>140</v>
      </c>
    </row>
  </sheetData>
  <conditionalFormatting sqref="E17">
    <cfRule type="cellIs" dxfId="11" priority="3" operator="lessThan">
      <formula>$E$6</formula>
    </cfRule>
    <cfRule type="cellIs" dxfId="10" priority="4" operator="greaterThan">
      <formula>$E$6</formula>
    </cfRule>
  </conditionalFormatting>
  <conditionalFormatting sqref="F17">
    <cfRule type="cellIs" dxfId="9" priority="5" operator="lessThan">
      <formula>$F$6</formula>
    </cfRule>
    <cfRule type="cellIs" dxfId="8" priority="6" operator="greaterThan">
      <formula>$F$6</formula>
    </cfRule>
  </conditionalFormatting>
  <conditionalFormatting sqref="D18">
    <cfRule type="cellIs" dxfId="7" priority="7" operator="lessThan">
      <formula>$D$3</formula>
    </cfRule>
    <cfRule type="cellIs" dxfId="6" priority="8" operator="greaterThan">
      <formula>$D$3</formula>
    </cfRule>
  </conditionalFormatting>
  <conditionalFormatting sqref="E18">
    <cfRule type="cellIs" dxfId="5" priority="9" operator="lessThan">
      <formula>$E$3</formula>
    </cfRule>
    <cfRule type="cellIs" dxfId="4" priority="10" operator="greaterThan">
      <formula>$E$3</formula>
    </cfRule>
  </conditionalFormatting>
  <conditionalFormatting sqref="F18">
    <cfRule type="cellIs" dxfId="3" priority="11" operator="lessThan">
      <formula>$F$3</formula>
    </cfRule>
    <cfRule type="cellIs" dxfId="2" priority="12" operator="greaterThan">
      <formula>$F$3</formula>
    </cfRule>
  </conditionalFormatting>
  <conditionalFormatting sqref="D17">
    <cfRule type="cellIs" dxfId="1" priority="1" operator="lessThan">
      <formula>$D$6</formula>
    </cfRule>
    <cfRule type="cellIs" dxfId="0" priority="2" operator="greaterThan">
      <formula>$D$6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52"/>
  <sheetViews>
    <sheetView showGridLines="0" topLeftCell="A16" workbookViewId="0">
      <selection activeCell="J17" sqref="J17"/>
    </sheetView>
  </sheetViews>
  <sheetFormatPr baseColWidth="10" defaultColWidth="9.83203125" defaultRowHeight="13"/>
  <cols>
    <col min="1" max="1" width="2.5" style="249" customWidth="1"/>
    <col min="2" max="2" width="8.83203125" style="249" customWidth="1"/>
    <col min="3" max="3" width="43.1640625" style="249" customWidth="1"/>
    <col min="4" max="5" width="15" style="249" customWidth="1"/>
    <col min="6" max="6" width="15" style="247" customWidth="1"/>
    <col min="7" max="7" width="7.6640625" style="249" customWidth="1"/>
    <col min="8" max="8" width="23" style="249" customWidth="1"/>
    <col min="9" max="16384" width="9.83203125" style="249"/>
  </cols>
  <sheetData>
    <row r="1" spans="1:8" s="205" customFormat="1" ht="26">
      <c r="B1" s="206"/>
      <c r="C1" s="207"/>
      <c r="D1" s="250" t="s">
        <v>164</v>
      </c>
      <c r="E1" s="250"/>
      <c r="F1" s="208"/>
    </row>
    <row r="2" spans="1:8" s="205" customFormat="1" ht="14">
      <c r="A2" s="209"/>
      <c r="B2" s="210"/>
      <c r="C2" s="211"/>
      <c r="D2" s="212" t="s">
        <v>165</v>
      </c>
      <c r="E2" s="213">
        <v>44561</v>
      </c>
      <c r="F2" s="214"/>
      <c r="H2" s="215"/>
    </row>
    <row r="3" spans="1:8" s="205" customFormat="1" ht="14">
      <c r="B3" s="216"/>
      <c r="C3" s="216"/>
      <c r="D3" s="251" t="s">
        <v>166</v>
      </c>
      <c r="E3" s="251"/>
      <c r="F3" s="217"/>
      <c r="H3" s="218"/>
    </row>
    <row r="4" spans="1:8" s="205" customFormat="1" ht="40">
      <c r="B4" s="219" t="s">
        <v>167</v>
      </c>
      <c r="C4" s="219"/>
      <c r="D4" s="220">
        <v>2021</v>
      </c>
      <c r="E4" s="220">
        <v>2020</v>
      </c>
      <c r="F4" s="221" t="s">
        <v>168</v>
      </c>
      <c r="G4" s="222"/>
      <c r="H4" s="223"/>
    </row>
    <row r="5" spans="1:8" s="205" customFormat="1" ht="14">
      <c r="B5" s="224" t="s">
        <v>169</v>
      </c>
      <c r="C5" s="224"/>
      <c r="D5" s="225"/>
      <c r="E5" s="225"/>
      <c r="F5" s="226"/>
    </row>
    <row r="6" spans="1:8" s="205" customFormat="1" ht="14">
      <c r="B6" s="216"/>
      <c r="C6" s="210" t="s">
        <v>170</v>
      </c>
      <c r="D6" s="227">
        <f>'start up Cash flow'!C57</f>
        <v>1256.8716599558829</v>
      </c>
      <c r="E6" s="227">
        <f>'start up Cash flow'!B57</f>
        <v>20000.259829977906</v>
      </c>
      <c r="F6" s="228">
        <f>D6-E6</f>
        <v>-18743.388170022023</v>
      </c>
    </row>
    <row r="7" spans="1:8" s="205" customFormat="1" ht="14">
      <c r="B7" s="216"/>
      <c r="C7" s="210" t="s">
        <v>143</v>
      </c>
      <c r="D7" s="227">
        <v>0</v>
      </c>
      <c r="E7" s="227">
        <v>0</v>
      </c>
      <c r="F7" s="228">
        <f t="shared" ref="F7:F10" si="0">D7-E7</f>
        <v>0</v>
      </c>
      <c r="H7" s="229"/>
    </row>
    <row r="8" spans="1:8" s="205" customFormat="1" ht="14">
      <c r="B8" s="216"/>
      <c r="C8" s="210" t="s">
        <v>144</v>
      </c>
      <c r="D8" s="227">
        <f>'Income Statement'!D11</f>
        <v>7680</v>
      </c>
      <c r="E8" s="205">
        <f>'Income Statement'!C11</f>
        <v>2560</v>
      </c>
      <c r="F8" s="228">
        <f>E8-D8</f>
        <v>-5120</v>
      </c>
    </row>
    <row r="9" spans="1:8" s="205" customFormat="1" ht="14">
      <c r="B9" s="216"/>
      <c r="C9" s="210" t="s">
        <v>171</v>
      </c>
      <c r="D9" s="227">
        <v>0</v>
      </c>
      <c r="E9" s="227">
        <v>0</v>
      </c>
      <c r="F9" s="228">
        <f t="shared" si="0"/>
        <v>0</v>
      </c>
    </row>
    <row r="10" spans="1:8" s="205" customFormat="1" ht="14">
      <c r="B10" s="216"/>
      <c r="C10" s="210" t="s">
        <v>172</v>
      </c>
      <c r="D10" s="227">
        <v>0</v>
      </c>
      <c r="E10" s="227">
        <v>0</v>
      </c>
      <c r="F10" s="228">
        <f t="shared" si="0"/>
        <v>0</v>
      </c>
    </row>
    <row r="11" spans="1:8" s="205" customFormat="1" ht="14">
      <c r="B11" s="216"/>
      <c r="C11" s="230" t="s">
        <v>173</v>
      </c>
      <c r="D11" s="231">
        <f>SUM(D6:D10)</f>
        <v>8936.8716599558829</v>
      </c>
      <c r="E11" s="231">
        <f>SUM(E6:E10)</f>
        <v>22560.259829977906</v>
      </c>
      <c r="F11" s="232">
        <f>SUM(F6:F10)</f>
        <v>-23863.388170022023</v>
      </c>
    </row>
    <row r="12" spans="1:8" s="205" customFormat="1" ht="14">
      <c r="B12" s="224" t="s">
        <v>174</v>
      </c>
      <c r="C12" s="224"/>
      <c r="D12" s="225"/>
      <c r="E12" s="225"/>
      <c r="F12" s="226"/>
    </row>
    <row r="13" spans="1:8" s="205" customFormat="1" ht="14">
      <c r="B13" s="216"/>
      <c r="C13" s="210" t="s">
        <v>175</v>
      </c>
      <c r="D13" s="227">
        <v>0</v>
      </c>
      <c r="E13" s="227">
        <v>0</v>
      </c>
      <c r="F13" s="228">
        <f t="shared" ref="F13:F16" si="1">D13-E13</f>
        <v>0</v>
      </c>
    </row>
    <row r="14" spans="1:8" s="205" customFormat="1" ht="14">
      <c r="B14" s="216"/>
      <c r="C14" s="210" t="s">
        <v>176</v>
      </c>
      <c r="D14" s="227">
        <v>0</v>
      </c>
      <c r="E14" s="227">
        <v>0</v>
      </c>
      <c r="F14" s="228">
        <f t="shared" si="1"/>
        <v>0</v>
      </c>
    </row>
    <row r="15" spans="1:8" s="205" customFormat="1" ht="14">
      <c r="B15" s="216"/>
      <c r="C15" s="210" t="s">
        <v>177</v>
      </c>
      <c r="D15" s="227">
        <f>-('Increase in Cash'!D10+'Increase in Cash'!E10)</f>
        <v>-800</v>
      </c>
      <c r="E15" s="227">
        <f>-'Increase in Cash'!D10</f>
        <v>-400</v>
      </c>
      <c r="F15" s="228">
        <f t="shared" si="1"/>
        <v>-400</v>
      </c>
    </row>
    <row r="16" spans="1:8" s="205" customFormat="1" ht="14">
      <c r="B16" s="216"/>
      <c r="C16" s="210" t="s">
        <v>178</v>
      </c>
      <c r="D16" s="227">
        <v>0</v>
      </c>
      <c r="E16" s="227">
        <v>0</v>
      </c>
      <c r="F16" s="228">
        <f t="shared" si="1"/>
        <v>0</v>
      </c>
    </row>
    <row r="17" spans="1:8" s="205" customFormat="1" ht="14">
      <c r="B17" s="216"/>
      <c r="C17" s="230" t="s">
        <v>179</v>
      </c>
      <c r="D17" s="231">
        <f>SUM(D13:D16)</f>
        <v>-800</v>
      </c>
      <c r="E17" s="231">
        <f>SUM(E13:E16)</f>
        <v>-400</v>
      </c>
      <c r="F17" s="232">
        <f>SUM(F13:F16)</f>
        <v>-400</v>
      </c>
    </row>
    <row r="18" spans="1:8" s="205" customFormat="1" ht="14">
      <c r="B18" s="224" t="s">
        <v>180</v>
      </c>
      <c r="C18" s="224"/>
      <c r="D18" s="225"/>
      <c r="E18" s="225"/>
      <c r="F18" s="226"/>
    </row>
    <row r="19" spans="1:8" s="205" customFormat="1" ht="14">
      <c r="B19" s="216"/>
      <c r="C19" s="210" t="s">
        <v>181</v>
      </c>
      <c r="D19" s="227"/>
      <c r="E19" s="227"/>
      <c r="F19" s="228">
        <f t="shared" ref="F19" si="2">D19-E19</f>
        <v>0</v>
      </c>
    </row>
    <row r="20" spans="1:8" s="205" customFormat="1" ht="14">
      <c r="B20" s="216"/>
      <c r="C20" s="230" t="s">
        <v>182</v>
      </c>
      <c r="D20" s="231">
        <f>SUM(D19:D19)</f>
        <v>0</v>
      </c>
      <c r="E20" s="231">
        <f>SUM(E19:E19)</f>
        <v>0</v>
      </c>
      <c r="F20" s="232">
        <f>SUM(F19:F19)</f>
        <v>0</v>
      </c>
    </row>
    <row r="21" spans="1:8" s="205" customFormat="1" ht="14">
      <c r="B21" s="216"/>
      <c r="C21" s="216"/>
      <c r="D21" s="210"/>
      <c r="E21" s="210"/>
      <c r="F21" s="233"/>
    </row>
    <row r="22" spans="1:8" s="205" customFormat="1" ht="17" thickBot="1">
      <c r="B22" s="234" t="s">
        <v>183</v>
      </c>
      <c r="C22" s="234"/>
      <c r="D22" s="235">
        <f>D11+D17+D20</f>
        <v>8136.8716599558829</v>
      </c>
      <c r="E22" s="235">
        <f>E11+E17+E20</f>
        <v>22160.259829977906</v>
      </c>
      <c r="F22" s="236">
        <f>F11+F17+F20</f>
        <v>-24263.388170022023</v>
      </c>
    </row>
    <row r="23" spans="1:8" s="205" customFormat="1" ht="15" thickTop="1">
      <c r="B23" s="216"/>
      <c r="C23" s="216"/>
      <c r="D23" s="216"/>
      <c r="E23" s="216"/>
      <c r="F23" s="237"/>
    </row>
    <row r="24" spans="1:8" s="205" customFormat="1" ht="19">
      <c r="A24" s="238" t="s">
        <v>184</v>
      </c>
      <c r="B24" s="219" t="s">
        <v>185</v>
      </c>
      <c r="C24" s="219"/>
      <c r="D24" s="219"/>
      <c r="E24" s="219"/>
      <c r="F24" s="239"/>
      <c r="G24" s="222"/>
      <c r="H24" s="222"/>
    </row>
    <row r="25" spans="1:8" s="205" customFormat="1" ht="14">
      <c r="B25" s="224" t="s">
        <v>186</v>
      </c>
      <c r="C25" s="224"/>
      <c r="D25" s="225"/>
      <c r="E25" s="225"/>
      <c r="F25" s="226"/>
    </row>
    <row r="26" spans="1:8" s="205" customFormat="1" ht="14">
      <c r="B26" s="216"/>
      <c r="C26" s="210" t="s">
        <v>187</v>
      </c>
      <c r="D26" s="227">
        <v>0</v>
      </c>
      <c r="E26" s="227">
        <v>0</v>
      </c>
      <c r="F26" s="228">
        <f t="shared" ref="F26:F31" si="3">D26-E26</f>
        <v>0</v>
      </c>
      <c r="H26" s="229"/>
    </row>
    <row r="27" spans="1:8" s="205" customFormat="1" ht="14">
      <c r="B27" s="216"/>
      <c r="C27" s="210" t="s">
        <v>188</v>
      </c>
      <c r="D27" s="227">
        <v>0</v>
      </c>
      <c r="E27" s="227">
        <v>0</v>
      </c>
      <c r="F27" s="228">
        <f t="shared" si="3"/>
        <v>0</v>
      </c>
    </row>
    <row r="28" spans="1:8" s="205" customFormat="1" ht="14">
      <c r="B28" s="216"/>
      <c r="C28" s="210" t="s">
        <v>209</v>
      </c>
      <c r="D28" s="227">
        <v>0</v>
      </c>
      <c r="E28" s="227">
        <f>'start up Cash flow'!B45</f>
        <v>0</v>
      </c>
      <c r="F28" s="228">
        <f t="shared" si="3"/>
        <v>0</v>
      </c>
      <c r="G28" s="240"/>
    </row>
    <row r="29" spans="1:8" s="205" customFormat="1" ht="14">
      <c r="B29" s="216"/>
      <c r="C29" s="210" t="s">
        <v>189</v>
      </c>
      <c r="D29" s="227">
        <v>0</v>
      </c>
      <c r="E29" s="227">
        <v>0</v>
      </c>
      <c r="F29" s="228">
        <f t="shared" si="3"/>
        <v>0</v>
      </c>
    </row>
    <row r="30" spans="1:8" s="205" customFormat="1" ht="14">
      <c r="B30" s="216"/>
      <c r="C30" s="210" t="s">
        <v>190</v>
      </c>
      <c r="D30" s="227">
        <v>0</v>
      </c>
      <c r="E30" s="227">
        <v>0</v>
      </c>
      <c r="F30" s="228">
        <f t="shared" si="3"/>
        <v>0</v>
      </c>
    </row>
    <row r="31" spans="1:8" s="205" customFormat="1" ht="14">
      <c r="B31" s="216"/>
      <c r="C31" s="210" t="s">
        <v>191</v>
      </c>
      <c r="D31" s="252">
        <f>'start up Cash flow'!C48</f>
        <v>6704.8</v>
      </c>
      <c r="E31" s="252">
        <f>'start up Cash flow'!B48</f>
        <v>6704.8</v>
      </c>
      <c r="F31" s="228">
        <f>D31-E31</f>
        <v>0</v>
      </c>
    </row>
    <row r="32" spans="1:8" s="205" customFormat="1" ht="14">
      <c r="B32" s="216"/>
      <c r="C32" s="230" t="s">
        <v>192</v>
      </c>
      <c r="D32" s="231">
        <f>SUM(D26:D31)</f>
        <v>6704.8</v>
      </c>
      <c r="E32" s="231">
        <f>SUM(E26:E31)</f>
        <v>6704.8</v>
      </c>
      <c r="F32" s="232">
        <f>SUM(F26:F31)</f>
        <v>0</v>
      </c>
    </row>
    <row r="33" spans="2:8" s="205" customFormat="1" ht="14">
      <c r="B33" s="224" t="s">
        <v>193</v>
      </c>
      <c r="C33" s="224"/>
      <c r="D33" s="225"/>
      <c r="E33" s="225"/>
      <c r="F33" s="226"/>
    </row>
    <row r="34" spans="2:8" s="205" customFormat="1" ht="14">
      <c r="B34" s="216"/>
      <c r="C34" s="210" t="s">
        <v>207</v>
      </c>
      <c r="D34" s="252">
        <f>E34-D31</f>
        <v>13409.600000000002</v>
      </c>
      <c r="E34" s="252">
        <f>'start up Cash flow'!B54-E31-E31</f>
        <v>20114.400000000001</v>
      </c>
      <c r="F34" s="228">
        <f t="shared" ref="F34:F35" si="4">D34-E34</f>
        <v>-6704.7999999999993</v>
      </c>
    </row>
    <row r="35" spans="2:8" s="205" customFormat="1" ht="14">
      <c r="B35" s="216"/>
      <c r="C35" s="210" t="s">
        <v>181</v>
      </c>
      <c r="D35" s="227">
        <v>0</v>
      </c>
      <c r="E35" s="227">
        <v>0</v>
      </c>
      <c r="F35" s="228">
        <f t="shared" si="4"/>
        <v>0</v>
      </c>
      <c r="H35" s="229"/>
    </row>
    <row r="36" spans="2:8" s="205" customFormat="1" ht="14">
      <c r="B36" s="216"/>
      <c r="C36" s="230" t="s">
        <v>194</v>
      </c>
      <c r="D36" s="231">
        <f>SUM(D34:D35)</f>
        <v>13409.600000000002</v>
      </c>
      <c r="E36" s="231">
        <f>SUM(E34:E35)</f>
        <v>20114.400000000001</v>
      </c>
      <c r="F36" s="232">
        <f>SUM(F34:F35)</f>
        <v>-6704.7999999999993</v>
      </c>
    </row>
    <row r="37" spans="2:8" s="205" customFormat="1" ht="17" thickBot="1">
      <c r="B37" s="241" t="s">
        <v>195</v>
      </c>
      <c r="C37" s="230"/>
      <c r="D37" s="242">
        <f>D32+D36</f>
        <v>20114.400000000001</v>
      </c>
      <c r="E37" s="242">
        <f>E32+E36</f>
        <v>26819.200000000001</v>
      </c>
      <c r="F37" s="242">
        <f>F32+F36</f>
        <v>-6704.7999999999993</v>
      </c>
      <c r="H37" s="253"/>
    </row>
    <row r="38" spans="2:8" s="205" customFormat="1" ht="15" thickTop="1">
      <c r="B38" s="216"/>
      <c r="C38" s="230"/>
    </row>
    <row r="39" spans="2:8" s="205" customFormat="1" ht="14">
      <c r="B39" s="224" t="s">
        <v>196</v>
      </c>
      <c r="C39" s="224"/>
      <c r="D39" s="225"/>
      <c r="E39" s="225"/>
      <c r="F39" s="226"/>
    </row>
    <row r="40" spans="2:8" s="205" customFormat="1" ht="14">
      <c r="B40" s="216"/>
      <c r="C40" s="210" t="s">
        <v>197</v>
      </c>
      <c r="D40" s="227">
        <f>'start up Cash flow'!B55</f>
        <v>30000</v>
      </c>
      <c r="E40" s="227">
        <f>'start up Cash flow'!B55</f>
        <v>30000</v>
      </c>
      <c r="F40" s="228">
        <f t="shared" ref="F40:F42" si="5">D40-E40</f>
        <v>0</v>
      </c>
    </row>
    <row r="41" spans="2:8" s="205" customFormat="1" ht="14">
      <c r="B41" s="216"/>
      <c r="C41" s="210" t="s">
        <v>208</v>
      </c>
      <c r="D41" s="227">
        <f>E41+'Income Statement'!C56</f>
        <v>-41977.528340044242</v>
      </c>
      <c r="E41" s="227">
        <f>'Income Statement'!B56</f>
        <v>-34658.940170022106</v>
      </c>
      <c r="F41" s="228">
        <f t="shared" si="5"/>
        <v>-7318.5881700221362</v>
      </c>
    </row>
    <row r="42" spans="2:8" s="205" customFormat="1" ht="14">
      <c r="B42" s="216"/>
      <c r="C42" s="210" t="s">
        <v>181</v>
      </c>
      <c r="D42" s="227">
        <v>0</v>
      </c>
      <c r="E42" s="227">
        <v>0</v>
      </c>
      <c r="F42" s="228">
        <f t="shared" si="5"/>
        <v>0</v>
      </c>
    </row>
    <row r="43" spans="2:8" s="205" customFormat="1" ht="14">
      <c r="B43" s="216"/>
      <c r="C43" s="230" t="s">
        <v>198</v>
      </c>
      <c r="D43" s="231">
        <f>SUM(D40:D42)</f>
        <v>-11977.528340044242</v>
      </c>
      <c r="E43" s="231">
        <f>SUM(E40:E42)</f>
        <v>-4658.940170022106</v>
      </c>
      <c r="F43" s="232">
        <f>SUM(F40:F42)</f>
        <v>-7318.5881700221362</v>
      </c>
      <c r="H43" s="229"/>
    </row>
    <row r="44" spans="2:8" s="205" customFormat="1" ht="14">
      <c r="B44" s="216"/>
      <c r="C44" s="216"/>
      <c r="D44" s="216"/>
      <c r="E44" s="216"/>
      <c r="F44" s="237"/>
    </row>
    <row r="45" spans="2:8" s="205" customFormat="1" ht="17" thickBot="1">
      <c r="B45" s="234" t="s">
        <v>199</v>
      </c>
      <c r="C45" s="234"/>
      <c r="D45" s="235">
        <f>D32+D36+D43</f>
        <v>8136.8716599557592</v>
      </c>
      <c r="E45" s="235">
        <f>E32+E36+E43</f>
        <v>22160.259829977895</v>
      </c>
      <c r="F45" s="236">
        <f>F32+F36+F43</f>
        <v>-14023.388170022135</v>
      </c>
      <c r="H45" s="229"/>
    </row>
    <row r="46" spans="2:8" s="205" customFormat="1" ht="15" thickTop="1">
      <c r="B46" s="216"/>
      <c r="C46" s="216"/>
      <c r="D46" s="216"/>
      <c r="E46" s="243" t="s">
        <v>200</v>
      </c>
      <c r="F46" s="244" t="s">
        <v>200</v>
      </c>
      <c r="H46" s="229">
        <f>D22-D45</f>
        <v>1.2369127944111824E-10</v>
      </c>
    </row>
    <row r="47" spans="2:8" s="205" customFormat="1" ht="19">
      <c r="B47" s="219" t="s">
        <v>201</v>
      </c>
      <c r="C47" s="219"/>
      <c r="D47" s="219"/>
      <c r="E47" s="219"/>
      <c r="F47" s="239"/>
    </row>
    <row r="48" spans="2:8" s="205" customFormat="1" ht="14">
      <c r="B48" s="245" t="s">
        <v>202</v>
      </c>
      <c r="C48" s="245"/>
      <c r="D48" s="246">
        <f>IF(D22=0,"",(D32+D36)/D22)</f>
        <v>2.4720065450938988</v>
      </c>
      <c r="E48" s="246">
        <f>IF(E22=0,"",(E32+E36)/E22)</f>
        <v>1.210238517317364</v>
      </c>
      <c r="F48" s="247"/>
    </row>
    <row r="49" spans="2:6" s="205" customFormat="1" ht="14">
      <c r="B49" s="245" t="s">
        <v>203</v>
      </c>
      <c r="C49" s="245"/>
      <c r="D49" s="246">
        <f>IF(D32=0,"",D11/D32)</f>
        <v>1.3329065236779445</v>
      </c>
      <c r="E49" s="246">
        <f>IF(E32=0,"",E11/E32)</f>
        <v>3.3647923621849878</v>
      </c>
      <c r="F49" s="247"/>
    </row>
    <row r="50" spans="2:6" s="205" customFormat="1" ht="14">
      <c r="B50" s="245" t="s">
        <v>204</v>
      </c>
      <c r="C50" s="245"/>
      <c r="D50" s="248">
        <f>D11-D32</f>
        <v>2232.0716599558828</v>
      </c>
      <c r="E50" s="248">
        <f>E11-E32</f>
        <v>15855.459829977906</v>
      </c>
      <c r="F50" s="247"/>
    </row>
    <row r="51" spans="2:6" s="205" customFormat="1" ht="14">
      <c r="B51" s="245" t="s">
        <v>205</v>
      </c>
      <c r="C51" s="245"/>
      <c r="D51" s="246">
        <f>IF(D43=0,"",D22/D43)</f>
        <v>-0.67934480545139142</v>
      </c>
      <c r="E51" s="246">
        <f>IF(E43=0,"",E22/E43)</f>
        <v>-4.7565023420064136</v>
      </c>
      <c r="F51" s="247"/>
    </row>
    <row r="52" spans="2:6" s="205" customFormat="1" ht="14">
      <c r="B52" s="245" t="s">
        <v>206</v>
      </c>
      <c r="C52" s="245"/>
      <c r="D52" s="246">
        <f>IF(D43=0,"",(D32+D36)/D43)</f>
        <v>-1.6793448054513811</v>
      </c>
      <c r="E52" s="246">
        <f>IF(E43=0,"",(E32+E36)/E43)</f>
        <v>-5.756502342006411</v>
      </c>
      <c r="F52" s="247"/>
    </row>
  </sheetData>
  <mergeCells count="2">
    <mergeCell ref="D1:E1"/>
    <mergeCell ref="D3:E3"/>
  </mergeCells>
  <printOptions horizontalCentered="1"/>
  <pageMargins left="0.5" right="0.5" top="0.5" bottom="0.5" header="0.5" footer="0.25"/>
  <pageSetup scale="96" fitToHeight="0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52"/>
  <sheetViews>
    <sheetView showGridLines="0" workbookViewId="0">
      <selection activeCell="I10" sqref="I10"/>
    </sheetView>
  </sheetViews>
  <sheetFormatPr baseColWidth="10" defaultColWidth="9.83203125" defaultRowHeight="13"/>
  <cols>
    <col min="1" max="1" width="2.5" style="249" customWidth="1"/>
    <col min="2" max="2" width="8.83203125" style="249" customWidth="1"/>
    <col min="3" max="3" width="43.1640625" style="249" customWidth="1"/>
    <col min="4" max="5" width="15" style="249" customWidth="1"/>
    <col min="6" max="6" width="15" style="247" customWidth="1"/>
    <col min="7" max="7" width="7.6640625" style="249" customWidth="1"/>
    <col min="8" max="8" width="23" style="249" customWidth="1"/>
    <col min="9" max="16384" width="9.83203125" style="249"/>
  </cols>
  <sheetData>
    <row r="1" spans="1:8" s="205" customFormat="1" ht="26">
      <c r="B1" s="206"/>
      <c r="C1" s="207"/>
      <c r="D1" s="250" t="s">
        <v>164</v>
      </c>
      <c r="E1" s="250"/>
      <c r="F1" s="208"/>
    </row>
    <row r="2" spans="1:8" s="205" customFormat="1" ht="14">
      <c r="A2" s="209"/>
      <c r="B2" s="210"/>
      <c r="C2" s="211"/>
      <c r="D2" s="212" t="s">
        <v>165</v>
      </c>
      <c r="E2" s="213">
        <v>44926</v>
      </c>
      <c r="F2" s="214"/>
      <c r="H2" s="215"/>
    </row>
    <row r="3" spans="1:8" s="205" customFormat="1" ht="14">
      <c r="B3" s="216"/>
      <c r="C3" s="216"/>
      <c r="D3" s="251" t="s">
        <v>166</v>
      </c>
      <c r="E3" s="251"/>
      <c r="F3" s="217"/>
      <c r="H3" s="218"/>
    </row>
    <row r="4" spans="1:8" s="205" customFormat="1" ht="40">
      <c r="B4" s="219" t="s">
        <v>167</v>
      </c>
      <c r="C4" s="219"/>
      <c r="D4" s="220">
        <v>2022</v>
      </c>
      <c r="E4" s="220">
        <v>2021</v>
      </c>
      <c r="F4" s="221" t="s">
        <v>168</v>
      </c>
      <c r="G4" s="222"/>
      <c r="H4" s="223"/>
    </row>
    <row r="5" spans="1:8" s="205" customFormat="1" ht="14">
      <c r="B5" s="224" t="s">
        <v>169</v>
      </c>
      <c r="C5" s="224"/>
      <c r="D5" s="225"/>
      <c r="E5" s="225"/>
      <c r="F5" s="226"/>
    </row>
    <row r="6" spans="1:8" s="205" customFormat="1" ht="14">
      <c r="B6" s="216"/>
      <c r="C6" s="210" t="s">
        <v>170</v>
      </c>
      <c r="D6" s="227">
        <f>'start up Cash flow'!D57</f>
        <v>46654.987489933963</v>
      </c>
      <c r="E6" s="227">
        <f>'BS 20-21'!D6</f>
        <v>1256.8716599558829</v>
      </c>
      <c r="F6" s="228">
        <f t="shared" ref="F6:F10" si="0">D6-E6</f>
        <v>45398.11582997808</v>
      </c>
    </row>
    <row r="7" spans="1:8" s="205" customFormat="1" ht="14">
      <c r="B7" s="216"/>
      <c r="C7" s="210" t="s">
        <v>143</v>
      </c>
      <c r="D7" s="227">
        <v>0</v>
      </c>
      <c r="E7" s="227">
        <f>'BS 20-21'!D7</f>
        <v>0</v>
      </c>
      <c r="F7" s="228">
        <f t="shared" si="0"/>
        <v>0</v>
      </c>
      <c r="H7" s="229"/>
    </row>
    <row r="8" spans="1:8" s="205" customFormat="1" ht="14">
      <c r="B8" s="216"/>
      <c r="C8" s="210" t="s">
        <v>144</v>
      </c>
      <c r="D8" s="227">
        <f>ABS('Income Statement'!D15)</f>
        <v>1920</v>
      </c>
      <c r="E8" s="227">
        <f>'BS 20-21'!D8</f>
        <v>7680</v>
      </c>
      <c r="F8" s="228">
        <f t="shared" si="0"/>
        <v>-5760</v>
      </c>
    </row>
    <row r="9" spans="1:8" s="205" customFormat="1" ht="14">
      <c r="B9" s="216"/>
      <c r="C9" s="210" t="s">
        <v>171</v>
      </c>
      <c r="D9" s="227"/>
      <c r="E9" s="227">
        <f>'BS 20-21'!D9</f>
        <v>0</v>
      </c>
      <c r="F9" s="228">
        <f t="shared" si="0"/>
        <v>0</v>
      </c>
    </row>
    <row r="10" spans="1:8" s="205" customFormat="1" ht="14">
      <c r="B10" s="216"/>
      <c r="C10" s="210" t="s">
        <v>172</v>
      </c>
      <c r="D10" s="227">
        <v>0</v>
      </c>
      <c r="E10" s="227">
        <f>'BS 20-21'!D10</f>
        <v>0</v>
      </c>
      <c r="F10" s="228">
        <f t="shared" si="0"/>
        <v>0</v>
      </c>
    </row>
    <row r="11" spans="1:8" s="205" customFormat="1" ht="14">
      <c r="B11" s="216"/>
      <c r="C11" s="230" t="s">
        <v>173</v>
      </c>
      <c r="D11" s="231">
        <f>SUM(D6:D10)</f>
        <v>48574.987489933963</v>
      </c>
      <c r="E11" s="231">
        <f>SUM(E6:E10)</f>
        <v>8936.8716599558829</v>
      </c>
      <c r="F11" s="232">
        <f>SUM(F6:F10)</f>
        <v>39638.11582997808</v>
      </c>
    </row>
    <row r="12" spans="1:8" s="205" customFormat="1" ht="14">
      <c r="B12" s="224" t="s">
        <v>174</v>
      </c>
      <c r="C12" s="224"/>
      <c r="D12" s="225"/>
      <c r="E12" s="225"/>
      <c r="F12" s="226"/>
    </row>
    <row r="13" spans="1:8" s="205" customFormat="1" ht="14">
      <c r="B13" s="216"/>
      <c r="C13" s="210" t="s">
        <v>175</v>
      </c>
      <c r="D13" s="227">
        <v>0</v>
      </c>
      <c r="E13" s="227">
        <f>'BS 20-21'!D13</f>
        <v>0</v>
      </c>
      <c r="F13" s="228">
        <f t="shared" ref="F13:F16" si="1">D13-E13</f>
        <v>0</v>
      </c>
    </row>
    <row r="14" spans="1:8" s="205" customFormat="1" ht="14">
      <c r="B14" s="216"/>
      <c r="C14" s="210" t="s">
        <v>176</v>
      </c>
      <c r="D14" s="227"/>
      <c r="E14" s="227">
        <f>'BS 20-21'!D14</f>
        <v>0</v>
      </c>
      <c r="F14" s="228">
        <f t="shared" si="1"/>
        <v>0</v>
      </c>
    </row>
    <row r="15" spans="1:8" s="205" customFormat="1" ht="14">
      <c r="B15" s="216"/>
      <c r="C15" s="210" t="s">
        <v>177</v>
      </c>
      <c r="D15" s="227">
        <f>-'Increase in Cash'!F10+E15</f>
        <v>-1200</v>
      </c>
      <c r="E15" s="227">
        <f>'BS 20-21'!D15</f>
        <v>-800</v>
      </c>
      <c r="F15" s="228">
        <f t="shared" si="1"/>
        <v>-400</v>
      </c>
    </row>
    <row r="16" spans="1:8" s="205" customFormat="1" ht="14">
      <c r="B16" s="216"/>
      <c r="C16" s="210" t="s">
        <v>178</v>
      </c>
      <c r="D16" s="227"/>
      <c r="E16" s="227">
        <f>'BS 20-21'!D16</f>
        <v>0</v>
      </c>
      <c r="F16" s="228">
        <f t="shared" si="1"/>
        <v>0</v>
      </c>
    </row>
    <row r="17" spans="1:8" s="205" customFormat="1" ht="14">
      <c r="B17" s="216"/>
      <c r="C17" s="230" t="s">
        <v>179</v>
      </c>
      <c r="D17" s="231">
        <f>SUM(D13:D16)</f>
        <v>-1200</v>
      </c>
      <c r="E17" s="231">
        <f>SUM(E13:E16)</f>
        <v>-800</v>
      </c>
      <c r="F17" s="232">
        <f>SUM(F13:F16)</f>
        <v>-400</v>
      </c>
    </row>
    <row r="18" spans="1:8" s="205" customFormat="1" ht="14">
      <c r="B18" s="224" t="s">
        <v>180</v>
      </c>
      <c r="C18" s="224"/>
      <c r="D18" s="225"/>
      <c r="E18" s="225"/>
      <c r="F18" s="226"/>
    </row>
    <row r="19" spans="1:8" s="205" customFormat="1" ht="14">
      <c r="B19" s="216"/>
      <c r="C19" s="210" t="s">
        <v>181</v>
      </c>
      <c r="D19" s="227"/>
      <c r="E19" s="227">
        <f>'BS 20-21'!D19</f>
        <v>0</v>
      </c>
      <c r="F19" s="228">
        <f t="shared" ref="F19" si="2">D19-E19</f>
        <v>0</v>
      </c>
    </row>
    <row r="20" spans="1:8" s="205" customFormat="1" ht="14">
      <c r="B20" s="216"/>
      <c r="C20" s="230" t="s">
        <v>182</v>
      </c>
      <c r="D20" s="231">
        <f>SUM(D19:D19)</f>
        <v>0</v>
      </c>
      <c r="E20" s="231">
        <f>SUM(E19:E19)</f>
        <v>0</v>
      </c>
      <c r="F20" s="232">
        <f>SUM(F19:F19)</f>
        <v>0</v>
      </c>
    </row>
    <row r="21" spans="1:8" s="205" customFormat="1" ht="14">
      <c r="B21" s="216"/>
      <c r="C21" s="216"/>
      <c r="D21" s="210"/>
      <c r="E21" s="210"/>
      <c r="F21" s="233"/>
    </row>
    <row r="22" spans="1:8" s="205" customFormat="1" ht="17" thickBot="1">
      <c r="B22" s="234" t="s">
        <v>183</v>
      </c>
      <c r="C22" s="234"/>
      <c r="D22" s="235">
        <f>D11+D17+D20</f>
        <v>47374.987489933963</v>
      </c>
      <c r="E22" s="235">
        <f>E11+E17+E20</f>
        <v>8136.8716599558829</v>
      </c>
      <c r="F22" s="236">
        <f>F11+F17+F20</f>
        <v>39238.11582997808</v>
      </c>
    </row>
    <row r="23" spans="1:8" s="205" customFormat="1" ht="15" thickTop="1">
      <c r="B23" s="216"/>
      <c r="C23" s="216"/>
      <c r="D23" s="216"/>
      <c r="E23" s="216"/>
      <c r="F23" s="237"/>
    </row>
    <row r="24" spans="1:8" s="205" customFormat="1" ht="19">
      <c r="A24" s="238" t="s">
        <v>184</v>
      </c>
      <c r="B24" s="219" t="s">
        <v>185</v>
      </c>
      <c r="C24" s="219"/>
      <c r="D24" s="219"/>
      <c r="E24" s="219"/>
      <c r="F24" s="239"/>
      <c r="G24" s="222"/>
      <c r="H24" s="222"/>
    </row>
    <row r="25" spans="1:8" s="205" customFormat="1" ht="14">
      <c r="B25" s="224" t="s">
        <v>186</v>
      </c>
      <c r="C25" s="224"/>
      <c r="D25" s="225"/>
      <c r="E25" s="225"/>
      <c r="F25" s="226"/>
    </row>
    <row r="26" spans="1:8" s="205" customFormat="1" ht="14">
      <c r="B26" s="216"/>
      <c r="C26" s="210" t="s">
        <v>187</v>
      </c>
      <c r="D26" s="227">
        <v>0</v>
      </c>
      <c r="E26" s="227">
        <f>'BS 20-21'!D26</f>
        <v>0</v>
      </c>
      <c r="F26" s="228">
        <f t="shared" ref="F26:F31" si="3">D26-E26</f>
        <v>0</v>
      </c>
    </row>
    <row r="27" spans="1:8" s="205" customFormat="1" ht="14">
      <c r="B27" s="216"/>
      <c r="C27" s="210" t="s">
        <v>188</v>
      </c>
      <c r="D27" s="227">
        <v>0</v>
      </c>
      <c r="E27" s="227">
        <f>'BS 20-21'!D27</f>
        <v>0</v>
      </c>
      <c r="F27" s="228">
        <f t="shared" si="3"/>
        <v>0</v>
      </c>
    </row>
    <row r="28" spans="1:8" s="205" customFormat="1" ht="14">
      <c r="B28" s="216"/>
      <c r="C28" s="210" t="s">
        <v>209</v>
      </c>
      <c r="D28" s="227">
        <f>'Increase in Cash'!F9</f>
        <v>16080.020540492287</v>
      </c>
      <c r="E28" s="227">
        <f>'BS 20-21'!D28</f>
        <v>0</v>
      </c>
      <c r="F28" s="228">
        <f t="shared" si="3"/>
        <v>16080.020540492287</v>
      </c>
      <c r="G28" s="240"/>
    </row>
    <row r="29" spans="1:8" s="205" customFormat="1" ht="14">
      <c r="B29" s="216"/>
      <c r="C29" s="210" t="s">
        <v>189</v>
      </c>
      <c r="D29" s="227">
        <v>0</v>
      </c>
      <c r="E29" s="227">
        <f>'BS 20-21'!D29</f>
        <v>0</v>
      </c>
      <c r="F29" s="228">
        <f t="shared" si="3"/>
        <v>0</v>
      </c>
    </row>
    <row r="30" spans="1:8" s="205" customFormat="1" ht="14">
      <c r="B30" s="216"/>
      <c r="C30" s="210" t="s">
        <v>190</v>
      </c>
      <c r="D30" s="227">
        <v>0</v>
      </c>
      <c r="E30" s="227">
        <f>'BS 20-21'!D30</f>
        <v>0</v>
      </c>
      <c r="F30" s="228">
        <f t="shared" si="3"/>
        <v>0</v>
      </c>
    </row>
    <row r="31" spans="1:8" s="205" customFormat="1" ht="14">
      <c r="B31" s="216"/>
      <c r="C31" s="210" t="s">
        <v>191</v>
      </c>
      <c r="D31" s="227">
        <f>E31</f>
        <v>6704.8</v>
      </c>
      <c r="E31" s="227">
        <f>'BS 20-21'!D31</f>
        <v>6704.8</v>
      </c>
      <c r="F31" s="228">
        <f t="shared" si="3"/>
        <v>0</v>
      </c>
    </row>
    <row r="32" spans="1:8" s="205" customFormat="1" ht="14">
      <c r="B32" s="216"/>
      <c r="C32" s="230" t="s">
        <v>192</v>
      </c>
      <c r="D32" s="231">
        <f>SUM(D26:D31)</f>
        <v>22784.820540492288</v>
      </c>
      <c r="E32" s="231">
        <f>SUM(E26:E31)</f>
        <v>6704.8</v>
      </c>
      <c r="F32" s="232">
        <f>SUM(F26:F31)</f>
        <v>16080.020540492287</v>
      </c>
    </row>
    <row r="33" spans="2:8" s="205" customFormat="1" ht="14">
      <c r="B33" s="224" t="s">
        <v>193</v>
      </c>
      <c r="C33" s="224"/>
      <c r="D33" s="225"/>
      <c r="E33" s="225"/>
      <c r="F33" s="226"/>
    </row>
    <row r="34" spans="2:8" s="205" customFormat="1" ht="14">
      <c r="B34" s="216"/>
      <c r="C34" s="210" t="s">
        <v>207</v>
      </c>
      <c r="D34" s="227">
        <f>E34-D31</f>
        <v>6704.800000000002</v>
      </c>
      <c r="E34" s="227">
        <f>'BS 20-21'!D34</f>
        <v>13409.600000000002</v>
      </c>
      <c r="F34" s="228">
        <f t="shared" ref="F34:F35" si="4">D34-E34</f>
        <v>-6704.8</v>
      </c>
    </row>
    <row r="35" spans="2:8" s="205" customFormat="1" ht="14">
      <c r="B35" s="216"/>
      <c r="C35" s="210" t="s">
        <v>181</v>
      </c>
      <c r="D35" s="227">
        <v>0</v>
      </c>
      <c r="E35" s="227">
        <f>'BS 20-21'!D35</f>
        <v>0</v>
      </c>
      <c r="F35" s="228">
        <f t="shared" si="4"/>
        <v>0</v>
      </c>
    </row>
    <row r="36" spans="2:8" s="205" customFormat="1" ht="14">
      <c r="B36" s="216"/>
      <c r="C36" s="230" t="s">
        <v>194</v>
      </c>
      <c r="D36" s="231">
        <f>SUM(D34:D35)</f>
        <v>6704.800000000002</v>
      </c>
      <c r="E36" s="231">
        <f>SUM(E34:E35)</f>
        <v>13409.600000000002</v>
      </c>
      <c r="F36" s="232">
        <f>SUM(F34:F35)</f>
        <v>-6704.8</v>
      </c>
    </row>
    <row r="37" spans="2:8" s="205" customFormat="1" ht="17" thickBot="1">
      <c r="B37" s="241" t="s">
        <v>195</v>
      </c>
      <c r="C37" s="230"/>
      <c r="D37" s="242">
        <f>D32+D36</f>
        <v>29489.620540492291</v>
      </c>
      <c r="E37" s="242">
        <f>E32+E36</f>
        <v>20114.400000000001</v>
      </c>
      <c r="F37" s="242">
        <f>F32+F36</f>
        <v>9375.2205404922861</v>
      </c>
      <c r="H37" s="229"/>
    </row>
    <row r="38" spans="2:8" s="205" customFormat="1" ht="15" thickTop="1">
      <c r="B38" s="216"/>
      <c r="C38" s="230"/>
    </row>
    <row r="39" spans="2:8" s="205" customFormat="1" ht="14">
      <c r="B39" s="224" t="s">
        <v>196</v>
      </c>
      <c r="C39" s="224"/>
      <c r="D39" s="225"/>
      <c r="E39" s="225"/>
      <c r="F39" s="226"/>
    </row>
    <row r="40" spans="2:8" s="205" customFormat="1" ht="14">
      <c r="B40" s="216"/>
      <c r="C40" s="210" t="s">
        <v>197</v>
      </c>
      <c r="D40" s="227">
        <f>E40</f>
        <v>30000</v>
      </c>
      <c r="E40" s="227">
        <f>'BS 20-21'!D40</f>
        <v>30000</v>
      </c>
      <c r="F40" s="228">
        <f t="shared" ref="F40:F42" si="5">D40-E40</f>
        <v>0</v>
      </c>
    </row>
    <row r="41" spans="2:8" s="205" customFormat="1" ht="14">
      <c r="B41" s="216"/>
      <c r="C41" s="210" t="s">
        <v>208</v>
      </c>
      <c r="D41" s="227">
        <f>E41+'Income Statement'!D56</f>
        <v>-12114.633050558565</v>
      </c>
      <c r="E41" s="227">
        <f>'BS 20-21'!D41</f>
        <v>-41977.528340044242</v>
      </c>
      <c r="F41" s="228">
        <f t="shared" si="5"/>
        <v>29862.895289485677</v>
      </c>
    </row>
    <row r="42" spans="2:8" s="205" customFormat="1" ht="14">
      <c r="B42" s="216"/>
      <c r="C42" s="210" t="s">
        <v>181</v>
      </c>
      <c r="D42" s="227">
        <v>0</v>
      </c>
      <c r="E42" s="227">
        <f>'BS 20-21'!D42</f>
        <v>0</v>
      </c>
      <c r="F42" s="228">
        <f t="shared" si="5"/>
        <v>0</v>
      </c>
    </row>
    <row r="43" spans="2:8" s="205" customFormat="1" ht="14">
      <c r="B43" s="216"/>
      <c r="C43" s="230" t="s">
        <v>198</v>
      </c>
      <c r="D43" s="231">
        <f>SUM(D40:D42)</f>
        <v>17885.366949441435</v>
      </c>
      <c r="E43" s="231">
        <f>SUM(E40:E42)</f>
        <v>-11977.528340044242</v>
      </c>
      <c r="F43" s="232">
        <f>SUM(F40:F42)</f>
        <v>29862.895289485677</v>
      </c>
    </row>
    <row r="44" spans="2:8" s="205" customFormat="1" ht="14">
      <c r="B44" s="216"/>
      <c r="C44" s="216"/>
      <c r="D44" s="216"/>
      <c r="E44" s="216"/>
      <c r="F44" s="237"/>
    </row>
    <row r="45" spans="2:8" s="205" customFormat="1" ht="17" thickBot="1">
      <c r="B45" s="234" t="s">
        <v>199</v>
      </c>
      <c r="C45" s="234"/>
      <c r="D45" s="235">
        <f>D32+D36+D43</f>
        <v>47374.98748993373</v>
      </c>
      <c r="E45" s="235">
        <f>E32+E36+E43</f>
        <v>8136.8716599557592</v>
      </c>
      <c r="F45" s="236">
        <f>F32+F36+F43</f>
        <v>39238.115829977964</v>
      </c>
      <c r="H45" s="229"/>
    </row>
    <row r="46" spans="2:8" s="205" customFormat="1" ht="15" thickTop="1">
      <c r="B46" s="216"/>
      <c r="C46" s="216"/>
      <c r="D46" s="216"/>
      <c r="E46" s="243" t="s">
        <v>200</v>
      </c>
      <c r="F46" s="244" t="s">
        <v>200</v>
      </c>
      <c r="H46" s="229">
        <f>D22-D45</f>
        <v>2.3283064365386963E-10</v>
      </c>
    </row>
    <row r="47" spans="2:8" s="205" customFormat="1" ht="19">
      <c r="B47" s="219" t="s">
        <v>201</v>
      </c>
      <c r="C47" s="219"/>
      <c r="D47" s="219"/>
      <c r="E47" s="219"/>
      <c r="F47" s="239"/>
    </row>
    <row r="48" spans="2:8" s="205" customFormat="1" ht="14">
      <c r="B48" s="245" t="s">
        <v>202</v>
      </c>
      <c r="C48" s="245"/>
      <c r="D48" s="246">
        <f>IF(D22=0,"",(D32+D36)/D22)</f>
        <v>0.62247236575541309</v>
      </c>
      <c r="E48" s="246">
        <f>IF(E22=0,"",(E32+E36)/E22)</f>
        <v>2.4720065450938988</v>
      </c>
      <c r="F48" s="247"/>
    </row>
    <row r="49" spans="2:6" s="205" customFormat="1" ht="14">
      <c r="B49" s="245" t="s">
        <v>203</v>
      </c>
      <c r="C49" s="245"/>
      <c r="D49" s="246">
        <f>IF(D32=0,"",D11/D32)</f>
        <v>2.1319012543288811</v>
      </c>
      <c r="E49" s="246">
        <f>IF(E32=0,"",E11/E32)</f>
        <v>1.3329065236779445</v>
      </c>
      <c r="F49" s="247"/>
    </row>
    <row r="50" spans="2:6" s="205" customFormat="1" ht="14">
      <c r="B50" s="245" t="s">
        <v>204</v>
      </c>
      <c r="C50" s="245"/>
      <c r="D50" s="248">
        <f>D11-D32</f>
        <v>25790.166949441675</v>
      </c>
      <c r="E50" s="248">
        <f>E11-E32</f>
        <v>2232.0716599558828</v>
      </c>
      <c r="F50" s="247"/>
    </row>
    <row r="51" spans="2:6" s="205" customFormat="1" ht="14">
      <c r="B51" s="245" t="s">
        <v>205</v>
      </c>
      <c r="C51" s="245"/>
      <c r="D51" s="246">
        <f>IF(D43=0,"",D22/D43)</f>
        <v>2.6488127206925154</v>
      </c>
      <c r="E51" s="246">
        <f>IF(E43=0,"",E22/E43)</f>
        <v>-0.67934480545139142</v>
      </c>
      <c r="F51" s="247"/>
    </row>
    <row r="52" spans="2:6" s="205" customFormat="1" ht="14">
      <c r="B52" s="245" t="s">
        <v>206</v>
      </c>
      <c r="C52" s="245"/>
      <c r="D52" s="246">
        <f>IF(D43=0,"",(D32+D36)/D43)</f>
        <v>1.6488127206925023</v>
      </c>
      <c r="E52" s="246">
        <f>IF(E43=0,"",(E32+E36)/E43)</f>
        <v>-1.6793448054513811</v>
      </c>
      <c r="F52" s="247"/>
    </row>
  </sheetData>
  <mergeCells count="2">
    <mergeCell ref="D1:E1"/>
    <mergeCell ref="D3:E3"/>
  </mergeCells>
  <printOptions horizontalCentered="1"/>
  <pageMargins left="0.5" right="0.5" top="0.5" bottom="0.5" header="0.5" footer="0.25"/>
  <pageSetup scale="96" fitToHeight="0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start up Cash flow</vt:lpstr>
      <vt:lpstr>Income Statement</vt:lpstr>
      <vt:lpstr>Increase in Cash</vt:lpstr>
      <vt:lpstr>BE</vt:lpstr>
      <vt:lpstr>BS 20-21</vt:lpstr>
      <vt:lpstr>BS 21 - 22</vt:lpstr>
      <vt:lpstr>'BS 20-21'!Print_Area</vt:lpstr>
      <vt:lpstr>'BS 21 - 22'!Print_Area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 Windows</dc:creator>
  <cp:keywords/>
  <dc:description/>
  <cp:lastModifiedBy>Jessica Kelly</cp:lastModifiedBy>
  <cp:revision/>
  <dcterms:created xsi:type="dcterms:W3CDTF">2019-10-29T07:26:41Z</dcterms:created>
  <dcterms:modified xsi:type="dcterms:W3CDTF">2019-12-04T14:11:50Z</dcterms:modified>
  <cp:category/>
  <cp:contentStatus/>
</cp:coreProperties>
</file>