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aldo PC al 13-08-19\Disco D\EMPRESAS\CONSTRUCTORA FERRAMAR LTDA\Proyectos en ESTUDIO\Fco Galan\"/>
    </mc:Choice>
  </mc:AlternateContent>
  <bookViews>
    <workbookView xWindow="0" yWindow="0" windowWidth="20490" windowHeight="7620" tabRatio="864" activeTab="5"/>
  </bookViews>
  <sheets>
    <sheet name="RESUMEN SUPERFICIES" sheetId="19" r:id="rId1"/>
    <sheet name="SUP. DEPARTAMENTOS" sheetId="20" r:id="rId2"/>
    <sheet name="PRODUCTOS SECUNDARIOS" sheetId="18" r:id="rId3"/>
    <sheet name="INFO CONCON" sheetId="21" r:id="rId4"/>
    <sheet name="INFO COMERCIAL" sheetId="22" r:id="rId5"/>
    <sheet name="Evaluación V0" sheetId="23" r:id="rId6"/>
  </sheets>
  <definedNames>
    <definedName name="_xlnm.Print_Area" localSheetId="0">'RESUMEN SUPERFICIES'!$A$130:$R$207</definedName>
  </definedNames>
  <calcPr calcId="152511"/>
</workbook>
</file>

<file path=xl/calcChain.xml><?xml version="1.0" encoding="utf-8"?>
<calcChain xmlns="http://schemas.openxmlformats.org/spreadsheetml/2006/main">
  <c r="H26" i="23" l="1"/>
  <c r="H24" i="23"/>
  <c r="H22" i="23"/>
  <c r="I22" i="23"/>
  <c r="J22" i="23"/>
  <c r="K22" i="23"/>
  <c r="L22" i="23"/>
  <c r="M22" i="23"/>
  <c r="G22" i="23"/>
  <c r="E157" i="19"/>
  <c r="F157" i="19"/>
  <c r="I157" i="19"/>
  <c r="J157" i="19"/>
  <c r="E158" i="19"/>
  <c r="F158" i="19"/>
  <c r="I158" i="19" s="1"/>
  <c r="J158" i="19" s="1"/>
  <c r="E159" i="19"/>
  <c r="F159" i="19"/>
  <c r="I159" i="19"/>
  <c r="J159" i="19"/>
  <c r="E160" i="19"/>
  <c r="F160" i="19"/>
  <c r="I160" i="19"/>
  <c r="J160" i="19"/>
  <c r="E161" i="19"/>
  <c r="F161" i="19"/>
  <c r="I161" i="19"/>
  <c r="J161" i="19"/>
  <c r="E162" i="19"/>
  <c r="F162" i="19"/>
  <c r="I162" i="19" s="1"/>
  <c r="J162" i="19" s="1"/>
  <c r="E163" i="19"/>
  <c r="F163" i="19"/>
  <c r="I163" i="19"/>
  <c r="J163" i="19" s="1"/>
  <c r="C30" i="23"/>
  <c r="C28" i="23"/>
  <c r="C24" i="23"/>
  <c r="C16" i="23"/>
  <c r="I204" i="20"/>
  <c r="H200" i="18" l="1"/>
  <c r="H198" i="18"/>
  <c r="H193" i="18"/>
  <c r="H189" i="18"/>
  <c r="R33" i="18"/>
  <c r="B2" i="18"/>
  <c r="R37" i="18"/>
  <c r="R32" i="18"/>
  <c r="M72" i="18"/>
  <c r="R22" i="18"/>
  <c r="R26" i="18"/>
  <c r="R21" i="18"/>
  <c r="H74" i="18"/>
  <c r="H73" i="18"/>
  <c r="H72" i="18"/>
  <c r="H71" i="18"/>
  <c r="H70" i="18"/>
  <c r="H191" i="18" s="1"/>
  <c r="M41" i="18"/>
  <c r="M20" i="18"/>
  <c r="M18" i="18"/>
  <c r="M39" i="18"/>
  <c r="M35" i="18"/>
  <c r="M31" i="18"/>
  <c r="M27" i="18"/>
  <c r="M23" i="18"/>
  <c r="M21" i="18"/>
  <c r="M19" i="18"/>
  <c r="M17" i="18"/>
  <c r="M15" i="18"/>
  <c r="M13" i="18"/>
  <c r="M9" i="18"/>
  <c r="G53" i="19"/>
  <c r="G54" i="19"/>
  <c r="J76" i="19"/>
  <c r="J57" i="19"/>
  <c r="J56" i="19"/>
  <c r="W142" i="19"/>
  <c r="W141" i="19"/>
  <c r="J55" i="19" s="1"/>
  <c r="V141" i="19"/>
  <c r="J96" i="19" s="1"/>
  <c r="V146" i="19"/>
  <c r="V156" i="19"/>
  <c r="J117" i="19" s="1"/>
  <c r="F22" i="20"/>
  <c r="D22" i="20"/>
  <c r="F21" i="20"/>
  <c r="D21" i="20"/>
  <c r="F20" i="20"/>
  <c r="D20" i="20"/>
  <c r="F19" i="20"/>
  <c r="D19" i="20"/>
  <c r="F18" i="20"/>
  <c r="D18" i="20"/>
  <c r="F17" i="20"/>
  <c r="D17" i="20"/>
  <c r="F16" i="20"/>
  <c r="D16" i="20"/>
  <c r="D15" i="20"/>
  <c r="F14" i="20"/>
  <c r="D14" i="20"/>
  <c r="F13" i="20"/>
  <c r="D13" i="20"/>
  <c r="K95" i="19"/>
  <c r="R10" i="18"/>
  <c r="D31" i="18"/>
  <c r="D26" i="18"/>
  <c r="D25" i="18"/>
  <c r="D24" i="18"/>
  <c r="D23" i="18"/>
  <c r="D18" i="18"/>
  <c r="D17" i="18"/>
  <c r="D8" i="18"/>
  <c r="D53" i="18"/>
  <c r="V128" i="19" s="1"/>
  <c r="I76" i="19"/>
  <c r="I56" i="19"/>
  <c r="I55" i="19"/>
  <c r="F117" i="19"/>
  <c r="F97" i="19"/>
  <c r="F96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98" i="19"/>
  <c r="E97" i="19"/>
  <c r="E96" i="19"/>
  <c r="D97" i="19"/>
  <c r="J180" i="19"/>
  <c r="I180" i="19"/>
  <c r="H180" i="19"/>
  <c r="G180" i="19"/>
  <c r="F180" i="19"/>
  <c r="E184" i="19"/>
  <c r="F98" i="19" s="1"/>
  <c r="G185" i="19"/>
  <c r="G186" i="19" s="1"/>
  <c r="G187" i="19" s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1" i="19" s="1"/>
  <c r="G202" i="19" s="1"/>
  <c r="H185" i="19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I185" i="19"/>
  <c r="I186" i="19" s="1"/>
  <c r="I187" i="19" s="1"/>
  <c r="I188" i="19" s="1"/>
  <c r="I189" i="19" s="1"/>
  <c r="I190" i="19" s="1"/>
  <c r="I191" i="19" s="1"/>
  <c r="I192" i="19" s="1"/>
  <c r="I193" i="19" s="1"/>
  <c r="I194" i="19" s="1"/>
  <c r="I195" i="19" s="1"/>
  <c r="I196" i="19" s="1"/>
  <c r="I197" i="19" s="1"/>
  <c r="I198" i="19" s="1"/>
  <c r="I199" i="19" s="1"/>
  <c r="I200" i="19" s="1"/>
  <c r="I201" i="19" s="1"/>
  <c r="I202" i="19" s="1"/>
  <c r="J185" i="19"/>
  <c r="J186" i="19" s="1"/>
  <c r="J187" i="19" s="1"/>
  <c r="J188" i="19" s="1"/>
  <c r="J189" i="19" s="1"/>
  <c r="J190" i="19" s="1"/>
  <c r="J191" i="19" s="1"/>
  <c r="J192" i="19" s="1"/>
  <c r="J193" i="19" s="1"/>
  <c r="J194" i="19" s="1"/>
  <c r="J195" i="19" s="1"/>
  <c r="J196" i="19" s="1"/>
  <c r="J197" i="19" s="1"/>
  <c r="J198" i="19" s="1"/>
  <c r="J199" i="19" s="1"/>
  <c r="J200" i="19" s="1"/>
  <c r="J201" i="19" s="1"/>
  <c r="J202" i="19" s="1"/>
  <c r="N162" i="19"/>
  <c r="N159" i="19"/>
  <c r="R7" i="18" l="1"/>
  <c r="M147" i="18"/>
  <c r="I57" i="19"/>
  <c r="D98" i="19"/>
  <c r="R16" i="18"/>
  <c r="R15" i="18"/>
  <c r="R35" i="18"/>
  <c r="V133" i="19" s="1"/>
  <c r="R24" i="18"/>
  <c r="V138" i="19" s="1"/>
  <c r="V149" i="19"/>
  <c r="F56" i="19" s="1"/>
  <c r="R18" i="18"/>
  <c r="R11" i="18"/>
  <c r="R13" i="18" s="1"/>
  <c r="D51" i="18"/>
  <c r="D55" i="18" s="1"/>
  <c r="F99" i="19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D99" i="19"/>
  <c r="D100" i="19" s="1"/>
  <c r="D101" i="19" s="1"/>
  <c r="D102" i="19" s="1"/>
  <c r="D103" i="19" s="1"/>
  <c r="D104" i="19" s="1"/>
  <c r="D105" i="19" s="1"/>
  <c r="D106" i="19" s="1"/>
  <c r="D107" i="19" s="1"/>
  <c r="D108" i="19" s="1"/>
  <c r="D109" i="19" s="1"/>
  <c r="D110" i="19" s="1"/>
  <c r="D111" i="19" s="1"/>
  <c r="D112" i="19" s="1"/>
  <c r="D113" i="19" s="1"/>
  <c r="D114" i="19" s="1"/>
  <c r="D115" i="19" s="1"/>
  <c r="D116" i="19" s="1"/>
  <c r="G97" i="19" l="1"/>
  <c r="N163" i="19"/>
  <c r="V126" i="19" l="1"/>
  <c r="G93" i="19" s="1"/>
  <c r="H206" i="18"/>
  <c r="H212" i="18" s="1"/>
  <c r="D66" i="18"/>
  <c r="F223" i="20"/>
  <c r="D223" i="20"/>
  <c r="V124" i="19" s="1"/>
  <c r="E223" i="20"/>
  <c r="G214" i="20"/>
  <c r="G221" i="20"/>
  <c r="G218" i="20"/>
  <c r="G217" i="20"/>
  <c r="G213" i="20"/>
  <c r="I93" i="19" l="1"/>
  <c r="F165" i="19"/>
  <c r="G211" i="20"/>
  <c r="G220" i="20"/>
  <c r="G212" i="20"/>
  <c r="G216" i="20"/>
  <c r="G219" i="20"/>
  <c r="G215" i="20"/>
  <c r="G223" i="20" l="1"/>
  <c r="K165" i="19"/>
  <c r="O134" i="19"/>
  <c r="D93" i="19"/>
  <c r="O139" i="19"/>
  <c r="I169" i="19"/>
  <c r="N169" i="19"/>
  <c r="I168" i="19"/>
  <c r="N168" i="19"/>
  <c r="I167" i="19"/>
  <c r="N167" i="19"/>
  <c r="N146" i="19"/>
  <c r="N149" i="19"/>
  <c r="T32" i="22"/>
  <c r="T37" i="22" s="1"/>
  <c r="U37" i="22" s="1"/>
  <c r="P80" i="21"/>
  <c r="P83" i="21" s="1"/>
  <c r="T35" i="22" l="1"/>
  <c r="U35" i="22" s="1"/>
  <c r="H93" i="19"/>
  <c r="O93" i="19" s="1"/>
  <c r="D52" i="19"/>
  <c r="G52" i="19" s="1"/>
  <c r="D117" i="19"/>
  <c r="D96" i="19"/>
  <c r="H52" i="19" l="1"/>
  <c r="L52" i="19"/>
  <c r="M126" i="18"/>
  <c r="M122" i="18"/>
  <c r="M114" i="18"/>
  <c r="M70" i="18"/>
  <c r="M68" i="18"/>
  <c r="R38" i="18" l="1"/>
  <c r="M148" i="18"/>
  <c r="R40" i="18"/>
  <c r="V131" i="19" s="1"/>
  <c r="R27" i="18"/>
  <c r="R29" i="18" s="1"/>
  <c r="V136" i="19" s="1"/>
  <c r="H204" i="18"/>
  <c r="H202" i="18"/>
  <c r="G96" i="19"/>
  <c r="N64" i="19"/>
  <c r="D64" i="18" l="1"/>
  <c r="D62" i="18"/>
  <c r="D60" i="18"/>
  <c r="D58" i="18"/>
  <c r="H211" i="18"/>
  <c r="H210" i="18"/>
  <c r="M155" i="18"/>
  <c r="M153" i="18"/>
  <c r="M151" i="18"/>
  <c r="J97" i="19"/>
  <c r="K96" i="19"/>
  <c r="F55" i="19"/>
  <c r="D68" i="18" l="1"/>
  <c r="K97" i="19"/>
  <c r="K98" i="19" l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L95" i="19" l="1"/>
  <c r="L96" i="19" s="1"/>
  <c r="G95" i="19"/>
  <c r="G94" i="19"/>
  <c r="V157" i="19"/>
  <c r="V152" i="19"/>
  <c r="J98" i="19"/>
  <c r="V130" i="19"/>
  <c r="E37" i="19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F32" i="20"/>
  <c r="F42" i="20" s="1"/>
  <c r="F52" i="20" s="1"/>
  <c r="F62" i="20" s="1"/>
  <c r="F72" i="20" s="1"/>
  <c r="F82" i="20" s="1"/>
  <c r="F92" i="20" s="1"/>
  <c r="F102" i="20" s="1"/>
  <c r="F112" i="20" s="1"/>
  <c r="F122" i="20" s="1"/>
  <c r="F132" i="20" s="1"/>
  <c r="F142" i="20" s="1"/>
  <c r="F152" i="20" s="1"/>
  <c r="F162" i="20" s="1"/>
  <c r="F172" i="20" s="1"/>
  <c r="F182" i="20" s="1"/>
  <c r="D32" i="20"/>
  <c r="D42" i="20" s="1"/>
  <c r="D52" i="20" s="1"/>
  <c r="D62" i="20" s="1"/>
  <c r="D72" i="20" s="1"/>
  <c r="D82" i="20" s="1"/>
  <c r="D92" i="20" s="1"/>
  <c r="D102" i="20" s="1"/>
  <c r="D112" i="20" s="1"/>
  <c r="D122" i="20" s="1"/>
  <c r="D132" i="20" s="1"/>
  <c r="D142" i="20" s="1"/>
  <c r="F31" i="20"/>
  <c r="D31" i="20"/>
  <c r="D41" i="20" s="1"/>
  <c r="D51" i="20" s="1"/>
  <c r="D61" i="20" s="1"/>
  <c r="D71" i="20" s="1"/>
  <c r="D81" i="20" s="1"/>
  <c r="D91" i="20" s="1"/>
  <c r="D101" i="20" s="1"/>
  <c r="D111" i="20" s="1"/>
  <c r="D121" i="20" s="1"/>
  <c r="D131" i="20" s="1"/>
  <c r="D141" i="20" s="1"/>
  <c r="F11" i="20"/>
  <c r="D30" i="20"/>
  <c r="D40" i="20" s="1"/>
  <c r="D50" i="20" s="1"/>
  <c r="D60" i="20" s="1"/>
  <c r="D70" i="20" s="1"/>
  <c r="D80" i="20" s="1"/>
  <c r="D90" i="20" s="1"/>
  <c r="D100" i="20" s="1"/>
  <c r="D110" i="20" s="1"/>
  <c r="D120" i="20" s="1"/>
  <c r="D130" i="20" s="1"/>
  <c r="D140" i="20" s="1"/>
  <c r="D150" i="20" s="1"/>
  <c r="F29" i="20"/>
  <c r="F39" i="20" s="1"/>
  <c r="F49" i="20" s="1"/>
  <c r="F59" i="20" s="1"/>
  <c r="F69" i="20" s="1"/>
  <c r="F79" i="20" s="1"/>
  <c r="F89" i="20" s="1"/>
  <c r="F99" i="20" s="1"/>
  <c r="F109" i="20" s="1"/>
  <c r="F119" i="20" s="1"/>
  <c r="F129" i="20" s="1"/>
  <c r="F139" i="20" s="1"/>
  <c r="F149" i="20" s="1"/>
  <c r="F159" i="20" s="1"/>
  <c r="F169" i="20" s="1"/>
  <c r="F179" i="20" s="1"/>
  <c r="D10" i="20"/>
  <c r="F28" i="20"/>
  <c r="F38" i="20" s="1"/>
  <c r="F48" i="20" s="1"/>
  <c r="F58" i="20" s="1"/>
  <c r="F68" i="20" s="1"/>
  <c r="F78" i="20" s="1"/>
  <c r="F88" i="20" s="1"/>
  <c r="F98" i="20" s="1"/>
  <c r="F108" i="20" s="1"/>
  <c r="F118" i="20" s="1"/>
  <c r="F128" i="20" s="1"/>
  <c r="F138" i="20" s="1"/>
  <c r="F148" i="20" s="1"/>
  <c r="F158" i="20" s="1"/>
  <c r="F168" i="20" s="1"/>
  <c r="F178" i="20" s="1"/>
  <c r="D28" i="20"/>
  <c r="D38" i="20" s="1"/>
  <c r="D48" i="20" s="1"/>
  <c r="D58" i="20" s="1"/>
  <c r="D68" i="20" s="1"/>
  <c r="D78" i="20" s="1"/>
  <c r="D88" i="20" s="1"/>
  <c r="D98" i="20" s="1"/>
  <c r="D108" i="20" s="1"/>
  <c r="D118" i="20" s="1"/>
  <c r="D128" i="20" s="1"/>
  <c r="D138" i="20" s="1"/>
  <c r="F27" i="20"/>
  <c r="F37" i="20" s="1"/>
  <c r="F47" i="20" s="1"/>
  <c r="F57" i="20" s="1"/>
  <c r="F67" i="20" s="1"/>
  <c r="F77" i="20" s="1"/>
  <c r="F87" i="20" s="1"/>
  <c r="F97" i="20" s="1"/>
  <c r="F107" i="20" s="1"/>
  <c r="F117" i="20" s="1"/>
  <c r="F127" i="20" s="1"/>
  <c r="F137" i="20" s="1"/>
  <c r="F147" i="20" s="1"/>
  <c r="D27" i="20"/>
  <c r="D37" i="20" s="1"/>
  <c r="D47" i="20" s="1"/>
  <c r="D57" i="20" s="1"/>
  <c r="D67" i="20" s="1"/>
  <c r="D77" i="20" s="1"/>
  <c r="D87" i="20" s="1"/>
  <c r="D97" i="20" s="1"/>
  <c r="D107" i="20" s="1"/>
  <c r="D117" i="20" s="1"/>
  <c r="D127" i="20" s="1"/>
  <c r="D137" i="20" s="1"/>
  <c r="F8" i="20"/>
  <c r="D26" i="20"/>
  <c r="D36" i="20" s="1"/>
  <c r="D46" i="20" s="1"/>
  <c r="D56" i="20" s="1"/>
  <c r="D66" i="20" s="1"/>
  <c r="D76" i="20" s="1"/>
  <c r="D86" i="20" s="1"/>
  <c r="D96" i="20" s="1"/>
  <c r="D106" i="20" s="1"/>
  <c r="D116" i="20" s="1"/>
  <c r="D126" i="20" s="1"/>
  <c r="D136" i="20" s="1"/>
  <c r="D146" i="20" s="1"/>
  <c r="F15" i="20"/>
  <c r="F25" i="20" s="1"/>
  <c r="F35" i="20" s="1"/>
  <c r="F45" i="20" s="1"/>
  <c r="F55" i="20" s="1"/>
  <c r="F65" i="20" s="1"/>
  <c r="F75" i="20" s="1"/>
  <c r="F85" i="20" s="1"/>
  <c r="F95" i="20" s="1"/>
  <c r="F105" i="20" s="1"/>
  <c r="F115" i="20" s="1"/>
  <c r="F125" i="20" s="1"/>
  <c r="F135" i="20" s="1"/>
  <c r="F145" i="20" s="1"/>
  <c r="F155" i="20" s="1"/>
  <c r="F165" i="20" s="1"/>
  <c r="F175" i="20" s="1"/>
  <c r="D25" i="20"/>
  <c r="D35" i="20" s="1"/>
  <c r="D45" i="20" s="1"/>
  <c r="D55" i="20" s="1"/>
  <c r="D65" i="20" s="1"/>
  <c r="D75" i="20" s="1"/>
  <c r="D85" i="20" s="1"/>
  <c r="D95" i="20" s="1"/>
  <c r="D105" i="20" s="1"/>
  <c r="D115" i="20" s="1"/>
  <c r="D125" i="20" s="1"/>
  <c r="D135" i="20" s="1"/>
  <c r="F24" i="20"/>
  <c r="F34" i="20" s="1"/>
  <c r="F44" i="20" s="1"/>
  <c r="F54" i="20" s="1"/>
  <c r="F64" i="20" s="1"/>
  <c r="F74" i="20" s="1"/>
  <c r="F84" i="20" s="1"/>
  <c r="F94" i="20" s="1"/>
  <c r="F104" i="20" s="1"/>
  <c r="F114" i="20" s="1"/>
  <c r="F124" i="20" s="1"/>
  <c r="F134" i="20" s="1"/>
  <c r="F144" i="20" s="1"/>
  <c r="F154" i="20" s="1"/>
  <c r="F164" i="20" s="1"/>
  <c r="F174" i="20" s="1"/>
  <c r="D24" i="20"/>
  <c r="D34" i="20" s="1"/>
  <c r="D44" i="20" s="1"/>
  <c r="D54" i="20" s="1"/>
  <c r="D64" i="20" s="1"/>
  <c r="D74" i="20" s="1"/>
  <c r="D84" i="20" s="1"/>
  <c r="D94" i="20" s="1"/>
  <c r="D104" i="20" s="1"/>
  <c r="D114" i="20" s="1"/>
  <c r="D124" i="20" s="1"/>
  <c r="D134" i="20" s="1"/>
  <c r="F23" i="20"/>
  <c r="F33" i="20" s="1"/>
  <c r="F43" i="20" s="1"/>
  <c r="F53" i="20" s="1"/>
  <c r="F63" i="20" s="1"/>
  <c r="F73" i="20" s="1"/>
  <c r="F83" i="20" s="1"/>
  <c r="F93" i="20" s="1"/>
  <c r="F103" i="20" s="1"/>
  <c r="F113" i="20" s="1"/>
  <c r="F123" i="20" s="1"/>
  <c r="F133" i="20" s="1"/>
  <c r="F143" i="20" s="1"/>
  <c r="D23" i="20"/>
  <c r="D33" i="20" s="1"/>
  <c r="D43" i="20" s="1"/>
  <c r="D53" i="20" s="1"/>
  <c r="D63" i="20" s="1"/>
  <c r="D73" i="20" s="1"/>
  <c r="D83" i="20" s="1"/>
  <c r="D93" i="20" s="1"/>
  <c r="D103" i="20" s="1"/>
  <c r="D113" i="20" s="1"/>
  <c r="D123" i="20" s="1"/>
  <c r="D133" i="20" s="1"/>
  <c r="C65" i="19"/>
  <c r="C66" i="19"/>
  <c r="C67" i="19"/>
  <c r="C68" i="19"/>
  <c r="C69" i="19"/>
  <c r="C70" i="19"/>
  <c r="C71" i="19"/>
  <c r="C72" i="19"/>
  <c r="C73" i="19"/>
  <c r="C74" i="19"/>
  <c r="C75" i="19"/>
  <c r="C76" i="19"/>
  <c r="F72" i="19"/>
  <c r="C61" i="19"/>
  <c r="C62" i="19"/>
  <c r="C63" i="19"/>
  <c r="C64" i="19"/>
  <c r="F71" i="19"/>
  <c r="F73" i="19"/>
  <c r="C57" i="19"/>
  <c r="C58" i="19"/>
  <c r="C59" i="19"/>
  <c r="C60" i="19"/>
  <c r="F74" i="19"/>
  <c r="D185" i="19"/>
  <c r="D186" i="19" s="1"/>
  <c r="D187" i="19" s="1"/>
  <c r="D188" i="19" s="1"/>
  <c r="D189" i="19" s="1"/>
  <c r="D190" i="19" s="1"/>
  <c r="D191" i="19" s="1"/>
  <c r="D192" i="19" s="1"/>
  <c r="D193" i="19" s="1"/>
  <c r="D194" i="19" s="1"/>
  <c r="D195" i="19" s="1"/>
  <c r="D196" i="19" s="1"/>
  <c r="D197" i="19" s="1"/>
  <c r="D198" i="19" s="1"/>
  <c r="D199" i="19" s="1"/>
  <c r="D200" i="19" s="1"/>
  <c r="D201" i="19" s="1"/>
  <c r="D202" i="19" s="1"/>
  <c r="E185" i="19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F185" i="19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D57" i="19" l="1"/>
  <c r="D58" i="19" s="1"/>
  <c r="D59" i="19" s="1"/>
  <c r="D60" i="19" s="1"/>
  <c r="D61" i="19" s="1"/>
  <c r="D62" i="19" s="1"/>
  <c r="D63" i="19" s="1"/>
  <c r="D64" i="19" s="1"/>
  <c r="D65" i="19" s="1"/>
  <c r="D66" i="19" s="1"/>
  <c r="D67" i="19" s="1"/>
  <c r="D68" i="19" s="1"/>
  <c r="D69" i="19" s="1"/>
  <c r="D70" i="19" s="1"/>
  <c r="D71" i="19" s="1"/>
  <c r="D72" i="19" s="1"/>
  <c r="D73" i="19" s="1"/>
  <c r="D74" i="19" s="1"/>
  <c r="D75" i="19" s="1"/>
  <c r="D56" i="19"/>
  <c r="D76" i="19"/>
  <c r="D55" i="19"/>
  <c r="I94" i="19"/>
  <c r="H53" i="19" s="1"/>
  <c r="I58" i="19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F41" i="20"/>
  <c r="F51" i="20" s="1"/>
  <c r="F61" i="20" s="1"/>
  <c r="F71" i="20" s="1"/>
  <c r="F81" i="20" s="1"/>
  <c r="F91" i="20" s="1"/>
  <c r="F101" i="20" s="1"/>
  <c r="F111" i="20" s="1"/>
  <c r="F121" i="20" s="1"/>
  <c r="F131" i="20" s="1"/>
  <c r="F141" i="20" s="1"/>
  <c r="F151" i="20" s="1"/>
  <c r="F161" i="20" s="1"/>
  <c r="F171" i="20" s="1"/>
  <c r="G125" i="19"/>
  <c r="L97" i="19"/>
  <c r="J99" i="19"/>
  <c r="J100" i="19" s="1"/>
  <c r="J101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111" i="19" s="1"/>
  <c r="J112" i="19" s="1"/>
  <c r="J113" i="19" s="1"/>
  <c r="J114" i="19" s="1"/>
  <c r="J115" i="19" s="1"/>
  <c r="J116" i="19" s="1"/>
  <c r="I95" i="19"/>
  <c r="F153" i="20"/>
  <c r="F163" i="20" s="1"/>
  <c r="G137" i="20"/>
  <c r="D147" i="20"/>
  <c r="D157" i="20" s="1"/>
  <c r="D151" i="20"/>
  <c r="D161" i="20" s="1"/>
  <c r="G133" i="20"/>
  <c r="D143" i="20"/>
  <c r="D153" i="20" s="1"/>
  <c r="F157" i="20"/>
  <c r="F167" i="20" s="1"/>
  <c r="D145" i="20"/>
  <c r="G135" i="20"/>
  <c r="D144" i="20"/>
  <c r="G134" i="20"/>
  <c r="D156" i="20"/>
  <c r="D166" i="20" s="1"/>
  <c r="D148" i="20"/>
  <c r="G138" i="20"/>
  <c r="D160" i="20"/>
  <c r="D170" i="20" s="1"/>
  <c r="D152" i="20"/>
  <c r="G142" i="20"/>
  <c r="F12" i="20"/>
  <c r="D12" i="20"/>
  <c r="D11" i="20"/>
  <c r="F30" i="20"/>
  <c r="F40" i="20" s="1"/>
  <c r="F50" i="20" s="1"/>
  <c r="F60" i="20" s="1"/>
  <c r="F70" i="20" s="1"/>
  <c r="F80" i="20" s="1"/>
  <c r="F90" i="20" s="1"/>
  <c r="F100" i="20" s="1"/>
  <c r="F110" i="20" s="1"/>
  <c r="F120" i="20" s="1"/>
  <c r="F130" i="20" s="1"/>
  <c r="F140" i="20" s="1"/>
  <c r="D29" i="20"/>
  <c r="D39" i="20" s="1"/>
  <c r="D49" i="20" s="1"/>
  <c r="D59" i="20" s="1"/>
  <c r="D69" i="20" s="1"/>
  <c r="D79" i="20" s="1"/>
  <c r="D89" i="20" s="1"/>
  <c r="D99" i="20" s="1"/>
  <c r="D109" i="20" s="1"/>
  <c r="D119" i="20" s="1"/>
  <c r="D129" i="20" s="1"/>
  <c r="D139" i="20" s="1"/>
  <c r="F10" i="20"/>
  <c r="D8" i="20"/>
  <c r="F26" i="20"/>
  <c r="F36" i="20" s="1"/>
  <c r="F46" i="20" s="1"/>
  <c r="F56" i="20" s="1"/>
  <c r="F66" i="20" s="1"/>
  <c r="F76" i="20" s="1"/>
  <c r="F86" i="20" s="1"/>
  <c r="F96" i="20" s="1"/>
  <c r="F106" i="20" s="1"/>
  <c r="F116" i="20" s="1"/>
  <c r="F126" i="20" s="1"/>
  <c r="F136" i="20" s="1"/>
  <c r="F9" i="20"/>
  <c r="D9" i="20"/>
  <c r="O94" i="19" l="1"/>
  <c r="G141" i="20"/>
  <c r="H111" i="19"/>
  <c r="K55" i="19"/>
  <c r="H115" i="19"/>
  <c r="H114" i="19"/>
  <c r="L98" i="19"/>
  <c r="K56" i="19"/>
  <c r="O95" i="19"/>
  <c r="H54" i="19"/>
  <c r="I125" i="19"/>
  <c r="H112" i="19"/>
  <c r="G147" i="20"/>
  <c r="D158" i="20"/>
  <c r="G148" i="20"/>
  <c r="G161" i="20"/>
  <c r="D171" i="20"/>
  <c r="D181" i="20" s="1"/>
  <c r="G151" i="20"/>
  <c r="D154" i="20"/>
  <c r="G144" i="20"/>
  <c r="F173" i="20"/>
  <c r="F181" i="20"/>
  <c r="G136" i="20"/>
  <c r="F146" i="20"/>
  <c r="F177" i="20"/>
  <c r="D176" i="20"/>
  <c r="G145" i="20"/>
  <c r="D155" i="20"/>
  <c r="G153" i="20"/>
  <c r="D163" i="20"/>
  <c r="D173" i="20" s="1"/>
  <c r="G157" i="20"/>
  <c r="D167" i="20"/>
  <c r="D177" i="20" s="1"/>
  <c r="D162" i="20"/>
  <c r="G152" i="20"/>
  <c r="G140" i="20"/>
  <c r="F150" i="20"/>
  <c r="G139" i="20"/>
  <c r="D149" i="20"/>
  <c r="D180" i="20"/>
  <c r="G143" i="20"/>
  <c r="L99" i="19" l="1"/>
  <c r="L100" i="19" s="1"/>
  <c r="L101" i="19" s="1"/>
  <c r="L102" i="19" s="1"/>
  <c r="L103" i="19" s="1"/>
  <c r="L104" i="19" s="1"/>
  <c r="L105" i="19" s="1"/>
  <c r="L106" i="19" s="1"/>
  <c r="L107" i="19" s="1"/>
  <c r="L108" i="19" s="1"/>
  <c r="L109" i="19" s="1"/>
  <c r="L110" i="19" s="1"/>
  <c r="L111" i="19" s="1"/>
  <c r="G181" i="20"/>
  <c r="G171" i="20"/>
  <c r="G167" i="20"/>
  <c r="G177" i="20"/>
  <c r="G173" i="20"/>
  <c r="F156" i="20"/>
  <c r="G146" i="20"/>
  <c r="G149" i="20"/>
  <c r="D159" i="20"/>
  <c r="D168" i="20"/>
  <c r="G158" i="20"/>
  <c r="D164" i="20"/>
  <c r="G154" i="20"/>
  <c r="F160" i="20"/>
  <c r="G150" i="20"/>
  <c r="G155" i="20"/>
  <c r="D165" i="20"/>
  <c r="D172" i="20"/>
  <c r="G162" i="20"/>
  <c r="G163" i="20"/>
  <c r="K57" i="19" l="1"/>
  <c r="J58" i="19"/>
  <c r="L112" i="19"/>
  <c r="O111" i="19"/>
  <c r="D178" i="20"/>
  <c r="G178" i="20" s="1"/>
  <c r="G168" i="20"/>
  <c r="D182" i="20"/>
  <c r="G182" i="20" s="1"/>
  <c r="G172" i="20"/>
  <c r="G160" i="20"/>
  <c r="F170" i="20"/>
  <c r="G156" i="20"/>
  <c r="F166" i="20"/>
  <c r="D174" i="20"/>
  <c r="G174" i="20" s="1"/>
  <c r="G164" i="20"/>
  <c r="G165" i="20"/>
  <c r="D175" i="20"/>
  <c r="G175" i="20" s="1"/>
  <c r="D169" i="20"/>
  <c r="G159" i="20"/>
  <c r="O81" i="19"/>
  <c r="H97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5" i="19"/>
  <c r="F76" i="19"/>
  <c r="E35" i="19"/>
  <c r="E38" i="19" s="1"/>
  <c r="E39" i="19" s="1"/>
  <c r="O205" i="19" s="1"/>
  <c r="E29" i="19"/>
  <c r="E31" i="19" s="1"/>
  <c r="E25" i="19"/>
  <c r="E26" i="19" s="1"/>
  <c r="P81" i="19" l="1"/>
  <c r="J59" i="19"/>
  <c r="K58" i="19"/>
  <c r="L113" i="19"/>
  <c r="L114" i="19" s="1"/>
  <c r="O112" i="19"/>
  <c r="E36" i="19"/>
  <c r="G133" i="19"/>
  <c r="G169" i="20"/>
  <c r="D179" i="20"/>
  <c r="G179" i="20" s="1"/>
  <c r="F180" i="20"/>
  <c r="G170" i="20"/>
  <c r="F176" i="20"/>
  <c r="G176" i="20" s="1"/>
  <c r="G166" i="20"/>
  <c r="F133" i="19"/>
  <c r="D147" i="19" s="1"/>
  <c r="O151" i="19"/>
  <c r="I164" i="19"/>
  <c r="I165" i="19"/>
  <c r="I166" i="19"/>
  <c r="N161" i="19"/>
  <c r="N164" i="19"/>
  <c r="N165" i="19"/>
  <c r="N166" i="19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8" i="20"/>
  <c r="G9" i="20"/>
  <c r="G10" i="20"/>
  <c r="G11" i="20"/>
  <c r="G12" i="20"/>
  <c r="H133" i="19" l="1"/>
  <c r="E147" i="19"/>
  <c r="K59" i="19"/>
  <c r="J60" i="19"/>
  <c r="L115" i="19"/>
  <c r="O114" i="19"/>
  <c r="G180" i="20"/>
  <c r="G204" i="20" s="1"/>
  <c r="F204" i="20"/>
  <c r="D204" i="20"/>
  <c r="M204" i="19"/>
  <c r="E168" i="19" s="1"/>
  <c r="N204" i="19"/>
  <c r="E169" i="19" s="1"/>
  <c r="H204" i="19"/>
  <c r="I204" i="19"/>
  <c r="J204" i="19"/>
  <c r="K204" i="19"/>
  <c r="L204" i="19"/>
  <c r="E167" i="19" s="1"/>
  <c r="E180" i="19"/>
  <c r="E204" i="20"/>
  <c r="G3" i="20"/>
  <c r="G2" i="20"/>
  <c r="B2" i="20"/>
  <c r="N3" i="18"/>
  <c r="N2" i="18"/>
  <c r="L53" i="19"/>
  <c r="G204" i="19"/>
  <c r="F204" i="19"/>
  <c r="E204" i="19"/>
  <c r="D204" i="19"/>
  <c r="O203" i="19"/>
  <c r="O202" i="19"/>
  <c r="O201" i="19"/>
  <c r="O200" i="19"/>
  <c r="O199" i="19"/>
  <c r="O198" i="19"/>
  <c r="O197" i="19"/>
  <c r="G74" i="19" s="1"/>
  <c r="O196" i="19"/>
  <c r="G73" i="19" s="1"/>
  <c r="O195" i="19"/>
  <c r="O194" i="19"/>
  <c r="C194" i="19"/>
  <c r="O193" i="19"/>
  <c r="C193" i="19"/>
  <c r="O192" i="19"/>
  <c r="C192" i="19"/>
  <c r="O191" i="19"/>
  <c r="C191" i="19"/>
  <c r="O190" i="19"/>
  <c r="C190" i="19"/>
  <c r="O189" i="19"/>
  <c r="C189" i="19"/>
  <c r="O188" i="19"/>
  <c r="C188" i="19"/>
  <c r="O187" i="19"/>
  <c r="C187" i="19"/>
  <c r="O186" i="19"/>
  <c r="C186" i="19"/>
  <c r="O185" i="19"/>
  <c r="C185" i="19"/>
  <c r="O184" i="19"/>
  <c r="C184" i="19"/>
  <c r="O183" i="19"/>
  <c r="C183" i="19"/>
  <c r="O182" i="19"/>
  <c r="C182" i="19"/>
  <c r="M171" i="19"/>
  <c r="N160" i="19"/>
  <c r="M151" i="19"/>
  <c r="L151" i="19"/>
  <c r="K151" i="19"/>
  <c r="N148" i="19"/>
  <c r="N147" i="19"/>
  <c r="E133" i="19"/>
  <c r="D133" i="19"/>
  <c r="N145" i="19"/>
  <c r="N125" i="19"/>
  <c r="M125" i="19"/>
  <c r="K125" i="19"/>
  <c r="J125" i="19"/>
  <c r="O124" i="19"/>
  <c r="O123" i="19"/>
  <c r="O121" i="19"/>
  <c r="O120" i="19"/>
  <c r="O119" i="19"/>
  <c r="O118" i="19"/>
  <c r="N63" i="19"/>
  <c r="N62" i="19"/>
  <c r="N61" i="19"/>
  <c r="C56" i="19"/>
  <c r="C55" i="19"/>
  <c r="H84" i="19"/>
  <c r="L54" i="19"/>
  <c r="K30" i="19"/>
  <c r="K32" i="19" s="1"/>
  <c r="E40" i="19"/>
  <c r="O132" i="19" l="1"/>
  <c r="O137" i="19"/>
  <c r="O162" i="19"/>
  <c r="O159" i="19"/>
  <c r="O163" i="19"/>
  <c r="O169" i="19"/>
  <c r="J169" i="19"/>
  <c r="O168" i="19"/>
  <c r="J168" i="19"/>
  <c r="O167" i="19"/>
  <c r="J167" i="19"/>
  <c r="K60" i="19"/>
  <c r="J61" i="19"/>
  <c r="G71" i="19"/>
  <c r="G72" i="19"/>
  <c r="L116" i="19"/>
  <c r="O115" i="19"/>
  <c r="O204" i="19"/>
  <c r="M205" i="19" s="1"/>
  <c r="O165" i="19"/>
  <c r="J165" i="19"/>
  <c r="J166" i="19"/>
  <c r="O166" i="19"/>
  <c r="O164" i="19"/>
  <c r="J164" i="19"/>
  <c r="O61" i="19"/>
  <c r="P61" i="19" s="1"/>
  <c r="O160" i="19"/>
  <c r="F125" i="19"/>
  <c r="H99" i="19"/>
  <c r="O99" i="19" s="1"/>
  <c r="N157" i="19"/>
  <c r="O157" i="19" s="1"/>
  <c r="N158" i="19"/>
  <c r="O158" i="19" s="1"/>
  <c r="N151" i="19"/>
  <c r="I171" i="19"/>
  <c r="L171" i="19"/>
  <c r="E125" i="19"/>
  <c r="H107" i="19"/>
  <c r="O107" i="19" s="1"/>
  <c r="F84" i="19"/>
  <c r="H113" i="19"/>
  <c r="O113" i="19" s="1"/>
  <c r="D84" i="19"/>
  <c r="H103" i="19"/>
  <c r="O103" i="19" s="1"/>
  <c r="H98" i="19"/>
  <c r="O98" i="19" s="1"/>
  <c r="H102" i="19"/>
  <c r="O102" i="19" s="1"/>
  <c r="H106" i="19"/>
  <c r="O106" i="19" s="1"/>
  <c r="H110" i="19"/>
  <c r="O110" i="19" s="1"/>
  <c r="O62" i="19"/>
  <c r="P62" i="19" s="1"/>
  <c r="H100" i="19"/>
  <c r="O100" i="19" s="1"/>
  <c r="H104" i="19"/>
  <c r="O104" i="19" s="1"/>
  <c r="H108" i="19"/>
  <c r="O108" i="19" s="1"/>
  <c r="H116" i="19"/>
  <c r="O60" i="19"/>
  <c r="K171" i="19"/>
  <c r="H101" i="19"/>
  <c r="O101" i="19" s="1"/>
  <c r="H105" i="19"/>
  <c r="O105" i="19" s="1"/>
  <c r="H109" i="19"/>
  <c r="O109" i="19" s="1"/>
  <c r="H117" i="19"/>
  <c r="O63" i="19"/>
  <c r="P63" i="19" s="1"/>
  <c r="O116" i="19" l="1"/>
  <c r="O138" i="19"/>
  <c r="E171" i="19"/>
  <c r="O144" i="19" s="1"/>
  <c r="D148" i="19"/>
  <c r="E148" i="19" s="1"/>
  <c r="P73" i="19"/>
  <c r="J62" i="19"/>
  <c r="K61" i="19"/>
  <c r="L117" i="19"/>
  <c r="K76" i="19" s="1"/>
  <c r="O97" i="19"/>
  <c r="O133" i="19"/>
  <c r="O135" i="19" s="1"/>
  <c r="G55" i="19"/>
  <c r="L55" i="19" s="1"/>
  <c r="O82" i="19" s="1"/>
  <c r="P82" i="19" s="1"/>
  <c r="G68" i="19"/>
  <c r="G67" i="19"/>
  <c r="G70" i="19"/>
  <c r="G69" i="19"/>
  <c r="G60" i="19"/>
  <c r="L60" i="19" s="1"/>
  <c r="G59" i="19"/>
  <c r="L59" i="19" s="1"/>
  <c r="G57" i="19"/>
  <c r="L57" i="19" s="1"/>
  <c r="G64" i="19"/>
  <c r="G75" i="19"/>
  <c r="G65" i="19"/>
  <c r="G56" i="19"/>
  <c r="L56" i="19" s="1"/>
  <c r="G66" i="19"/>
  <c r="G58" i="19"/>
  <c r="L58" i="19" s="1"/>
  <c r="G63" i="19"/>
  <c r="G76" i="19"/>
  <c r="G61" i="19"/>
  <c r="G62" i="19"/>
  <c r="I84" i="19"/>
  <c r="L205" i="19"/>
  <c r="J205" i="19"/>
  <c r="E205" i="19"/>
  <c r="K205" i="19"/>
  <c r="H205" i="19"/>
  <c r="F205" i="19"/>
  <c r="G205" i="19"/>
  <c r="I205" i="19"/>
  <c r="D205" i="19"/>
  <c r="N205" i="19"/>
  <c r="O161" i="19"/>
  <c r="O64" i="19"/>
  <c r="P64" i="19" s="1"/>
  <c r="N171" i="19"/>
  <c r="H96" i="19"/>
  <c r="H125" i="19" s="1"/>
  <c r="D125" i="19"/>
  <c r="O127" i="19" s="1"/>
  <c r="P60" i="19"/>
  <c r="P67" i="19" l="1"/>
  <c r="O140" i="19"/>
  <c r="L61" i="19"/>
  <c r="L76" i="19"/>
  <c r="L125" i="19"/>
  <c r="O171" i="19"/>
  <c r="O117" i="19"/>
  <c r="K62" i="19"/>
  <c r="L62" i="19" s="1"/>
  <c r="J63" i="19"/>
  <c r="J171" i="19"/>
  <c r="E84" i="19"/>
  <c r="O96" i="19"/>
  <c r="O125" i="19" l="1"/>
  <c r="M126" i="19" s="1"/>
  <c r="K63" i="19"/>
  <c r="L63" i="19" s="1"/>
  <c r="J64" i="19"/>
  <c r="G84" i="19"/>
  <c r="H134" i="19" s="1"/>
  <c r="E126" i="19"/>
  <c r="G126" i="19"/>
  <c r="D126" i="19"/>
  <c r="F126" i="19"/>
  <c r="O128" i="19" l="1"/>
  <c r="J126" i="19"/>
  <c r="I126" i="19"/>
  <c r="L126" i="19"/>
  <c r="K126" i="19"/>
  <c r="N126" i="19"/>
  <c r="O126" i="19"/>
  <c r="H126" i="19"/>
  <c r="J65" i="19"/>
  <c r="K64" i="19"/>
  <c r="L64" i="19" s="1"/>
  <c r="G147" i="19"/>
  <c r="F147" i="19"/>
  <c r="J66" i="19" l="1"/>
  <c r="K65" i="19"/>
  <c r="L65" i="19" s="1"/>
  <c r="D134" i="19"/>
  <c r="I134" i="19"/>
  <c r="K66" i="19" l="1"/>
  <c r="L66" i="19" s="1"/>
  <c r="J67" i="19"/>
  <c r="K67" i="19" l="1"/>
  <c r="L67" i="19" s="1"/>
  <c r="J68" i="19"/>
  <c r="N60" i="19"/>
  <c r="D180" i="19"/>
  <c r="K68" i="19" l="1"/>
  <c r="L68" i="19" s="1"/>
  <c r="J69" i="19"/>
  <c r="J70" i="19" l="1"/>
  <c r="K69" i="19"/>
  <c r="L69" i="19" s="1"/>
  <c r="K70" i="19" l="1"/>
  <c r="L70" i="19" s="1"/>
  <c r="J71" i="19"/>
  <c r="K71" i="19" l="1"/>
  <c r="L71" i="19" s="1"/>
  <c r="J72" i="19"/>
  <c r="K72" i="19" l="1"/>
  <c r="L72" i="19" s="1"/>
  <c r="J73" i="19"/>
  <c r="J74" i="19" l="1"/>
  <c r="K73" i="19"/>
  <c r="L73" i="19" s="1"/>
  <c r="J75" i="19" l="1"/>
  <c r="K74" i="19"/>
  <c r="L74" i="19" s="1"/>
  <c r="K75" i="19" l="1"/>
  <c r="J84" i="19"/>
  <c r="J85" i="19" s="1"/>
  <c r="K84" i="19" l="1"/>
  <c r="O74" i="19" s="1"/>
  <c r="L75" i="19"/>
  <c r="L84" i="19" s="1"/>
  <c r="G148" i="19" l="1"/>
  <c r="P74" i="19"/>
  <c r="K85" i="19"/>
  <c r="F85" i="19"/>
  <c r="G85" i="19"/>
  <c r="I85" i="19"/>
  <c r="L85" i="19"/>
  <c r="D85" i="19"/>
  <c r="E85" i="19"/>
  <c r="P75" i="19" l="1"/>
  <c r="Q75" i="19" s="1"/>
  <c r="Q74" i="19"/>
  <c r="G149" i="19"/>
  <c r="F148" i="19"/>
  <c r="P76" i="19" l="1"/>
  <c r="F149" i="19"/>
  <c r="G150" i="19"/>
  <c r="F150" i="19" s="1"/>
  <c r="H135" i="19"/>
  <c r="I135" i="19" l="1"/>
  <c r="F135" i="19"/>
</calcChain>
</file>

<file path=xl/comments1.xml><?xml version="1.0" encoding="utf-8"?>
<comments xmlns="http://schemas.openxmlformats.org/spreadsheetml/2006/main">
  <authors>
    <author>Usuario de Windows</author>
    <author>Juan Eduardo</author>
  </authors>
  <commentList>
    <comment ref="L53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este no cuadra en AP da 2.225,23 (diferencia 0,09)
</t>
        </r>
      </text>
    </comment>
    <comment ref="V131" authorId="0" shapeId="0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V136" authorId="0" shapeId="0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O205" authorId="1" shapeId="0">
      <text>
        <r>
          <rPr>
            <b/>
            <sz val="9"/>
            <color indexed="81"/>
            <rFont val="Tahoma"/>
            <family val="2"/>
          </rPr>
          <t>Juan Eduardo:</t>
        </r>
        <r>
          <rPr>
            <sz val="9"/>
            <color indexed="81"/>
            <rFont val="Tahoma"/>
            <family val="2"/>
          </rPr>
          <t xml:space="preserve">
DENSIDAD MAXIMA</t>
        </r>
      </text>
    </comment>
  </commentList>
</comments>
</file>

<file path=xl/sharedStrings.xml><?xml version="1.0" encoding="utf-8"?>
<sst xmlns="http://schemas.openxmlformats.org/spreadsheetml/2006/main" count="1179" uniqueCount="684">
  <si>
    <t>PISO</t>
  </si>
  <si>
    <t>USO</t>
  </si>
  <si>
    <t>N° DEPTO</t>
  </si>
  <si>
    <t xml:space="preserve">PISO </t>
  </si>
  <si>
    <t>N° ESTACIONAMIENTO</t>
  </si>
  <si>
    <t>N° BODEGA</t>
  </si>
  <si>
    <t>USO Y GOCE EXCLUSIVO</t>
  </si>
  <si>
    <t>ROL ASIGNADO</t>
  </si>
  <si>
    <t>SUPERFICIE</t>
  </si>
  <si>
    <t>BODEGA</t>
  </si>
  <si>
    <t>ESTACIONAMIENTO</t>
  </si>
  <si>
    <t>VENTA EN CONJUNTO</t>
  </si>
  <si>
    <t>M2 TOTAL</t>
  </si>
  <si>
    <t>M2 UTIL MUNICIPAL</t>
  </si>
  <si>
    <t>M2 INTERIOR</t>
  </si>
  <si>
    <t>M2 TERRAZA TECHO</t>
  </si>
  <si>
    <t>M2 TERRAZA BALCON</t>
  </si>
  <si>
    <t>FICHA ARQUITECTONICA</t>
  </si>
  <si>
    <t>COMUNA:</t>
  </si>
  <si>
    <t>CERTIFICADO DE INFORMES PREVIOS N°</t>
  </si>
  <si>
    <t>CONDICIONES DE EDIFICACION</t>
  </si>
  <si>
    <t>DISTANCIAMIENTOS</t>
  </si>
  <si>
    <t>NOTAS:</t>
  </si>
  <si>
    <t>Zona de Edificacion</t>
  </si>
  <si>
    <t>Antejardin</t>
  </si>
  <si>
    <t>Densidad Maxima</t>
  </si>
  <si>
    <t xml:space="preserve">Dist. Medianeros </t>
  </si>
  <si>
    <t>Maximo Ocupacion de suelo</t>
  </si>
  <si>
    <t>Dist. Antejardin Subterraneo</t>
  </si>
  <si>
    <t>Maximo Ocupacion de Pisos Superiores</t>
  </si>
  <si>
    <t>Dist. Medianeros Subterraneo</t>
  </si>
  <si>
    <t>Superficie Predial Minima</t>
  </si>
  <si>
    <t>Constructibilidad</t>
  </si>
  <si>
    <t xml:space="preserve">PROPUESTA </t>
  </si>
  <si>
    <t>N° de Pisos</t>
  </si>
  <si>
    <t>Altura max (pisos)</t>
  </si>
  <si>
    <t>Altura piso 1°</t>
  </si>
  <si>
    <t>Altura piso tipo</t>
  </si>
  <si>
    <t>Piso Recogido</t>
  </si>
  <si>
    <t>-</t>
  </si>
  <si>
    <t>Altura Subterraneo 1</t>
  </si>
  <si>
    <t>Altura Subterraneo 2</t>
  </si>
  <si>
    <t>Superficie terreno</t>
  </si>
  <si>
    <t>m2</t>
  </si>
  <si>
    <t>Altura Subterraneo 3</t>
  </si>
  <si>
    <t>Constructibilidad max permitida</t>
  </si>
  <si>
    <t>Altura npt 1° Nivel acceso</t>
  </si>
  <si>
    <t>Altura total Edificio</t>
  </si>
  <si>
    <t>Numero de vivendas permitidas</t>
  </si>
  <si>
    <t>Altura a enterrarse</t>
  </si>
  <si>
    <t>Media departamentos</t>
  </si>
  <si>
    <t>Altura total sobre N.T.N.</t>
  </si>
  <si>
    <t>CUADROS DE SUPERFICIES EDIFICIO VIVIENDA</t>
  </si>
  <si>
    <t>PISOS</t>
  </si>
  <si>
    <t>Superficie Municipal x Recinto</t>
  </si>
  <si>
    <t>Int Dpto</t>
  </si>
  <si>
    <t>Loggia</t>
  </si>
  <si>
    <t>Terraza</t>
  </si>
  <si>
    <t>Bodegas</t>
  </si>
  <si>
    <t>Total Util</t>
  </si>
  <si>
    <t>Subterraneos</t>
  </si>
  <si>
    <t>Comun</t>
  </si>
  <si>
    <t>TOTAL</t>
  </si>
  <si>
    <t>Municipal</t>
  </si>
  <si>
    <t>Subterraneo 1</t>
  </si>
  <si>
    <t>Carga Ocupacion</t>
  </si>
  <si>
    <t>2 escaleras 1,4 m</t>
  </si>
  <si>
    <t>Calculo Areas Comunes (DFL2)</t>
  </si>
  <si>
    <t>MAX. 20% =</t>
  </si>
  <si>
    <t>PROPUESTO=</t>
  </si>
  <si>
    <t>Coeficiente de ocupacion de suelo</t>
  </si>
  <si>
    <t>PORCENTAJE</t>
  </si>
  <si>
    <t>Superficies de Losas (al 100%)</t>
  </si>
  <si>
    <t>Total Dpto</t>
  </si>
  <si>
    <t>Escalera</t>
  </si>
  <si>
    <t>Ascensor</t>
  </si>
  <si>
    <t>Sup</t>
  </si>
  <si>
    <t>Porteria</t>
  </si>
  <si>
    <t>Total</t>
  </si>
  <si>
    <t>Losa</t>
  </si>
  <si>
    <t>Cubiertas</t>
  </si>
  <si>
    <t xml:space="preserve">Subterraneo 1 </t>
  </si>
  <si>
    <t xml:space="preserve">Piso N° 1 </t>
  </si>
  <si>
    <t xml:space="preserve">Piso N° 2 </t>
  </si>
  <si>
    <t xml:space="preserve">Piso N° 3 </t>
  </si>
  <si>
    <t>Piso N° 4</t>
  </si>
  <si>
    <t>Piso N° 5</t>
  </si>
  <si>
    <t>Piso N° 6</t>
  </si>
  <si>
    <t>Piso N° 7</t>
  </si>
  <si>
    <t>Piso N° 8</t>
  </si>
  <si>
    <t>Piso N° 9</t>
  </si>
  <si>
    <t>Piso N° 10</t>
  </si>
  <si>
    <t>Piso N° 11</t>
  </si>
  <si>
    <t>Piso N° 12</t>
  </si>
  <si>
    <t>Piso N° 13</t>
  </si>
  <si>
    <t>Piso N° 14</t>
  </si>
  <si>
    <t>Piso N° 15</t>
  </si>
  <si>
    <t>Piso N° 16</t>
  </si>
  <si>
    <t>Piso N° 17</t>
  </si>
  <si>
    <t>Piso N° 18</t>
  </si>
  <si>
    <t>Sala de Maquinas</t>
  </si>
  <si>
    <t xml:space="preserve">METROS CUADRADOS VENDIBLES (TERRAZAS 50%) </t>
  </si>
  <si>
    <t>EFICIENCIA</t>
  </si>
  <si>
    <t>* NO SE CONSIDERA ESCOTILLA PARA CALCULO DE LOSA</t>
  </si>
  <si>
    <t>Cuadro Estacionamientos</t>
  </si>
  <si>
    <t>Estacionamientos Exigidos</t>
  </si>
  <si>
    <t>Total estacionamientos exigidos bicicletas</t>
  </si>
  <si>
    <t>Total estacionamientos exigidos</t>
  </si>
  <si>
    <t>Estacionamientos Propuestos</t>
  </si>
  <si>
    <t>CALCULO</t>
  </si>
  <si>
    <t>Const.</t>
  </si>
  <si>
    <t>Final</t>
  </si>
  <si>
    <t>Terreno</t>
  </si>
  <si>
    <t>Const Util</t>
  </si>
  <si>
    <t>Ubicación</t>
  </si>
  <si>
    <t>Venta</t>
  </si>
  <si>
    <t>Visitas</t>
  </si>
  <si>
    <t>UTIL CONSTRUIBLE</t>
  </si>
  <si>
    <t>Util</t>
  </si>
  <si>
    <t>MAX</t>
  </si>
  <si>
    <t>Piso 1</t>
  </si>
  <si>
    <t>Factores</t>
  </si>
  <si>
    <t>CONSTRUCTIBILIDAD PROPUESTA</t>
  </si>
  <si>
    <t>Subterraneo 2</t>
  </si>
  <si>
    <t xml:space="preserve">Cuadro Superficies Departamentos </t>
  </si>
  <si>
    <t>Superficies Municipales</t>
  </si>
  <si>
    <t>Superficies de Losas</t>
  </si>
  <si>
    <t>Tipologia</t>
  </si>
  <si>
    <t>Cant</t>
  </si>
  <si>
    <t>Dpto</t>
  </si>
  <si>
    <t>Total Losa</t>
  </si>
  <si>
    <t>c/u</t>
  </si>
  <si>
    <t>Cuadro Resumen Unidades Por Piso</t>
  </si>
  <si>
    <t>Piso Nº 14</t>
  </si>
  <si>
    <t>Piso Nº 15</t>
  </si>
  <si>
    <t>Piso Nº 16</t>
  </si>
  <si>
    <t>Piso Nº 17</t>
  </si>
  <si>
    <t>Piso Nº 18</t>
  </si>
  <si>
    <t>Piso Nº 19</t>
  </si>
  <si>
    <t>Piso Nº 20</t>
  </si>
  <si>
    <t>Piso Nº 21</t>
  </si>
  <si>
    <t>Piso Nº 22</t>
  </si>
  <si>
    <t>TOTAL BODEGAS</t>
  </si>
  <si>
    <t>ESTACIONAMIENTOS INDIVIDUALES</t>
  </si>
  <si>
    <t>SUPERFICIES DE LOSAS DEPARTAMENTOS</t>
  </si>
  <si>
    <t>TIPOLOGIAS</t>
  </si>
  <si>
    <t>BODEGAS INDIVIDUALES</t>
  </si>
  <si>
    <t>Premio</t>
  </si>
  <si>
    <t>Area Afecta a Utilidad Publica</t>
  </si>
  <si>
    <t>Premio 25% C.A.</t>
  </si>
  <si>
    <t>Premio Fusion o C.A. (30% - 50%)</t>
  </si>
  <si>
    <t>Rasante</t>
  </si>
  <si>
    <t>Superficie Neta</t>
  </si>
  <si>
    <t>Superficie Media Calzada</t>
  </si>
  <si>
    <t>Superficie para Densidad</t>
  </si>
  <si>
    <t>un</t>
  </si>
  <si>
    <t>Hab/ha</t>
  </si>
  <si>
    <t>Cubierta</t>
  </si>
  <si>
    <t>MAX.</t>
  </si>
  <si>
    <t>SE DEBEN CHEQUEAR SUPERFICIES TOTALES CON DATOS DE RESUMEN, DEBEN SER IDENTICAS</t>
  </si>
  <si>
    <t>CONCON</t>
  </si>
  <si>
    <t>3032/3033</t>
  </si>
  <si>
    <t>ZVCM-H7</t>
  </si>
  <si>
    <t>70°</t>
  </si>
  <si>
    <t>B-001</t>
  </si>
  <si>
    <t>E-28</t>
  </si>
  <si>
    <t>B-003</t>
  </si>
  <si>
    <t>E-31</t>
  </si>
  <si>
    <t>B-004</t>
  </si>
  <si>
    <t>E-32</t>
  </si>
  <si>
    <t>B-005</t>
  </si>
  <si>
    <t>E-33</t>
  </si>
  <si>
    <t>E-34</t>
  </si>
  <si>
    <t>E-35</t>
  </si>
  <si>
    <t>B-006</t>
  </si>
  <si>
    <t>B-007</t>
  </si>
  <si>
    <t>B-008</t>
  </si>
  <si>
    <t>E-36</t>
  </si>
  <si>
    <t>B-009</t>
  </si>
  <si>
    <t>E-37</t>
  </si>
  <si>
    <t>B-010</t>
  </si>
  <si>
    <t>E-38</t>
  </si>
  <si>
    <t>B-011</t>
  </si>
  <si>
    <t>E-39</t>
  </si>
  <si>
    <t>B-012</t>
  </si>
  <si>
    <t>E-40</t>
  </si>
  <si>
    <t>B-013</t>
  </si>
  <si>
    <t>E-43</t>
  </si>
  <si>
    <t>B-015</t>
  </si>
  <si>
    <t>E-46</t>
  </si>
  <si>
    <t>B-016</t>
  </si>
  <si>
    <t>E-47</t>
  </si>
  <si>
    <t>B-017</t>
  </si>
  <si>
    <t>E-48</t>
  </si>
  <si>
    <t>B-018</t>
  </si>
  <si>
    <t>E-49</t>
  </si>
  <si>
    <t>B-019</t>
  </si>
  <si>
    <t>E-50</t>
  </si>
  <si>
    <t>B-020</t>
  </si>
  <si>
    <t>E-51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</si>
  <si>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</si>
  <si>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</si>
  <si>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</si>
  <si>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</si>
  <si>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</si>
  <si>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</si>
  <si>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</si>
  <si>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</si>
  <si>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</si>
  <si>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</si>
  <si>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</si>
  <si>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</si>
  <si>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</si>
  <si>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</si>
  <si>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</si>
  <si>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</si>
  <si>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</si>
  <si>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B-318</t>
  </si>
  <si>
    <t>B-319</t>
  </si>
  <si>
    <t>B-320</t>
  </si>
  <si>
    <t>B-321</t>
  </si>
  <si>
    <t>B-322</t>
  </si>
  <si>
    <t>B-323</t>
  </si>
  <si>
    <t>B-324</t>
  </si>
  <si>
    <t>B-325</t>
  </si>
  <si>
    <t>B-002</t>
  </si>
  <si>
    <t>B-014</t>
  </si>
  <si>
    <t>B-114</t>
  </si>
  <si>
    <t>B-123</t>
  </si>
  <si>
    <t>B-225</t>
  </si>
  <si>
    <t>B-228</t>
  </si>
  <si>
    <t>E-01</t>
  </si>
  <si>
    <t>EV-01</t>
  </si>
  <si>
    <t>EV-02</t>
  </si>
  <si>
    <t>EV-03</t>
  </si>
  <si>
    <t>EV-04</t>
  </si>
  <si>
    <t>EV-05</t>
  </si>
  <si>
    <t>EV-06</t>
  </si>
  <si>
    <t>EV-07</t>
  </si>
  <si>
    <t>EV-08</t>
  </si>
  <si>
    <t>EV-09</t>
  </si>
  <si>
    <t>EV-10</t>
  </si>
  <si>
    <t>EV-11</t>
  </si>
  <si>
    <t>EV-12</t>
  </si>
  <si>
    <t>EV-13</t>
  </si>
  <si>
    <t>EV-14</t>
  </si>
  <si>
    <t>EV-15</t>
  </si>
  <si>
    <t>EV-16</t>
  </si>
  <si>
    <t>EV-17</t>
  </si>
  <si>
    <t>EV-18</t>
  </si>
  <si>
    <t>EV-19</t>
  </si>
  <si>
    <t>EV-20</t>
  </si>
  <si>
    <t>EV-21</t>
  </si>
  <si>
    <t>EV-22</t>
  </si>
  <si>
    <t>EV-23</t>
  </si>
  <si>
    <t>EV-24</t>
  </si>
  <si>
    <t>EV-25</t>
  </si>
  <si>
    <t>EV-26</t>
  </si>
  <si>
    <t>EV-27</t>
  </si>
  <si>
    <t>EV-28</t>
  </si>
  <si>
    <t>EV-29</t>
  </si>
  <si>
    <t>EV-30</t>
  </si>
  <si>
    <t>EV-31</t>
  </si>
  <si>
    <t>EV-32</t>
  </si>
  <si>
    <t>EV-33</t>
  </si>
  <si>
    <t>EV-34</t>
  </si>
  <si>
    <t>EV-35</t>
  </si>
  <si>
    <t>EV-36</t>
  </si>
  <si>
    <t>EV-37</t>
  </si>
  <si>
    <t>EV-38</t>
  </si>
  <si>
    <t>EV-39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</si>
  <si>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</si>
  <si>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</si>
  <si>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</si>
  <si>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</si>
  <si>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</si>
  <si>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</si>
  <si>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</si>
  <si>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</si>
  <si>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</si>
  <si>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</si>
  <si>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</si>
  <si>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</si>
  <si>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</si>
  <si>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</si>
  <si>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</si>
  <si>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</si>
  <si>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</si>
  <si>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</si>
  <si>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</si>
  <si>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</si>
  <si>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</si>
  <si>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</si>
  <si>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</si>
  <si>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</si>
  <si>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</si>
  <si>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</si>
  <si>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E-41</t>
  </si>
  <si>
    <t>E-42</t>
  </si>
  <si>
    <t>E-44</t>
  </si>
  <si>
    <t>E-45</t>
  </si>
  <si>
    <t>E-61</t>
  </si>
  <si>
    <t>E-62</t>
  </si>
  <si>
    <t>E-63</t>
  </si>
  <si>
    <t>E-64</t>
  </si>
  <si>
    <t>E-65</t>
  </si>
  <si>
    <t>E-66</t>
  </si>
  <si>
    <t>E-67</t>
  </si>
  <si>
    <t>E-68</t>
  </si>
  <si>
    <t>E-69</t>
  </si>
  <si>
    <t>E-70</t>
  </si>
  <si>
    <t>E-71</t>
  </si>
  <si>
    <t>E-72</t>
  </si>
  <si>
    <t>E-73</t>
  </si>
  <si>
    <t>E-74</t>
  </si>
  <si>
    <t>E-75</t>
  </si>
  <si>
    <t>E-76</t>
  </si>
  <si>
    <t>E-77</t>
  </si>
  <si>
    <t>E-78</t>
  </si>
  <si>
    <t>E-79</t>
  </si>
  <si>
    <t>E-80</t>
  </si>
  <si>
    <t>E-81</t>
  </si>
  <si>
    <t>E-82</t>
  </si>
  <si>
    <t>E-83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</si>
  <si>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</si>
  <si>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</si>
  <si>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</si>
  <si>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</si>
  <si>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</si>
  <si>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</si>
  <si>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</si>
  <si>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</si>
  <si>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</si>
  <si>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</si>
  <si>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</si>
  <si>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</si>
  <si>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</si>
  <si>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</si>
  <si>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</si>
  <si>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</si>
  <si>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</si>
  <si>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</si>
  <si>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</si>
  <si>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</si>
  <si>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</si>
  <si>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</si>
  <si>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</si>
  <si>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</si>
  <si>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</si>
  <si>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</si>
  <si>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</si>
  <si>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</si>
  <si>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</si>
  <si>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</si>
  <si>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</si>
  <si>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</si>
  <si>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</si>
  <si>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</si>
  <si>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</si>
  <si>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</si>
  <si>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E-144</t>
  </si>
  <si>
    <t>E-145</t>
  </si>
  <si>
    <t>E-146</t>
  </si>
  <si>
    <t>E-147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</si>
  <si>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</si>
  <si>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</si>
  <si>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</si>
  <si>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</si>
  <si>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</si>
  <si>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</si>
  <si>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</si>
  <si>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</si>
  <si>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</si>
  <si>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</si>
  <si>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</si>
  <si>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</si>
  <si>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</si>
  <si>
    <t>E-161</t>
  </si>
  <si>
    <t>E-162</t>
  </si>
  <si>
    <t>E-163</t>
  </si>
  <si>
    <t>E-164</t>
  </si>
  <si>
    <t>E-165</t>
  </si>
  <si>
    <t>E-180</t>
  </si>
  <si>
    <t>E-181</t>
  </si>
  <si>
    <t>E-182</t>
  </si>
  <si>
    <t>E-183</t>
  </si>
  <si>
    <t>E-184</t>
  </si>
  <si>
    <t>E-185</t>
  </si>
  <si>
    <t>E-186</t>
  </si>
  <si>
    <t>E-187</t>
  </si>
  <si>
    <t>E-188</t>
  </si>
  <si>
    <t>E-189</t>
  </si>
  <si>
    <t>E-190</t>
  </si>
  <si>
    <t>E-191</t>
  </si>
  <si>
    <t>E-192</t>
  </si>
  <si>
    <t>E-193</t>
  </si>
  <si>
    <t>E-194</t>
  </si>
  <si>
    <t>E-195</t>
  </si>
  <si>
    <t>E-196</t>
  </si>
  <si>
    <t>E-197</t>
  </si>
  <si>
    <t>E-198</t>
  </si>
  <si>
    <t>E-199</t>
  </si>
  <si>
    <t>E-200</t>
  </si>
  <si>
    <t>E-201</t>
  </si>
  <si>
    <t>E-202</t>
  </si>
  <si>
    <t>E-203</t>
  </si>
  <si>
    <t>E-204</t>
  </si>
  <si>
    <t>E-205</t>
  </si>
  <si>
    <t>E-206</t>
  </si>
  <si>
    <t>E-207</t>
  </si>
  <si>
    <t>B-125</t>
  </si>
  <si>
    <t>E-085</t>
  </si>
  <si>
    <t>B-124</t>
  </si>
  <si>
    <t>E-086</t>
  </si>
  <si>
    <t>B-122</t>
  </si>
  <si>
    <t>E-087</t>
  </si>
  <si>
    <t>B-121</t>
  </si>
  <si>
    <t>E-088</t>
  </si>
  <si>
    <t>B-120</t>
  </si>
  <si>
    <t>E-089</t>
  </si>
  <si>
    <t>B-119</t>
  </si>
  <si>
    <t>B-118</t>
  </si>
  <si>
    <t>B-117</t>
  </si>
  <si>
    <t>E-092</t>
  </si>
  <si>
    <t>B-116</t>
  </si>
  <si>
    <t>E-093</t>
  </si>
  <si>
    <t>B-115</t>
  </si>
  <si>
    <t>E-094</t>
  </si>
  <si>
    <t>B-113</t>
  </si>
  <si>
    <t>E-095</t>
  </si>
  <si>
    <t>B-112</t>
  </si>
  <si>
    <t>E-096</t>
  </si>
  <si>
    <t>B-111</t>
  </si>
  <si>
    <t>E-097</t>
  </si>
  <si>
    <t>B-110</t>
  </si>
  <si>
    <t>E-098</t>
  </si>
  <si>
    <t>B-109</t>
  </si>
  <si>
    <t>E-099</t>
  </si>
  <si>
    <t>E-100</t>
  </si>
  <si>
    <t>B-107</t>
  </si>
  <si>
    <t>E-101</t>
  </si>
  <si>
    <t>E-102</t>
  </si>
  <si>
    <t>B-105</t>
  </si>
  <si>
    <t>E-103</t>
  </si>
  <si>
    <t>B-104</t>
  </si>
  <si>
    <t>E-104</t>
  </si>
  <si>
    <t>B-103</t>
  </si>
  <si>
    <t>E-105</t>
  </si>
  <si>
    <t>B-102</t>
  </si>
  <si>
    <t>E-106</t>
  </si>
  <si>
    <t>B-101</t>
  </si>
  <si>
    <t>E-107</t>
  </si>
  <si>
    <t>B-227</t>
  </si>
  <si>
    <t>B-226</t>
  </si>
  <si>
    <t>B-224</t>
  </si>
  <si>
    <t>B-223</t>
  </si>
  <si>
    <t>B-222</t>
  </si>
  <si>
    <t>B-221</t>
  </si>
  <si>
    <t>B-220</t>
  </si>
  <si>
    <t>B-219</t>
  </si>
  <si>
    <t>B-218</t>
  </si>
  <si>
    <t>B-217</t>
  </si>
  <si>
    <t>B-216</t>
  </si>
  <si>
    <t>E-166</t>
  </si>
  <si>
    <t>B-215</t>
  </si>
  <si>
    <t>E-167</t>
  </si>
  <si>
    <t>B-214</t>
  </si>
  <si>
    <t>E-168</t>
  </si>
  <si>
    <t>B-213</t>
  </si>
  <si>
    <t>E-169</t>
  </si>
  <si>
    <t>B-212</t>
  </si>
  <si>
    <t>E-170</t>
  </si>
  <si>
    <t>B-211</t>
  </si>
  <si>
    <t>E-171</t>
  </si>
  <si>
    <t>B-210</t>
  </si>
  <si>
    <t>B-209</t>
  </si>
  <si>
    <t>B-208</t>
  </si>
  <si>
    <t>E-172</t>
  </si>
  <si>
    <t>B-207</t>
  </si>
  <si>
    <t>E-173</t>
  </si>
  <si>
    <t>B-206</t>
  </si>
  <si>
    <t>E-174</t>
  </si>
  <si>
    <t>B-205</t>
  </si>
  <si>
    <t>E-175</t>
  </si>
  <si>
    <t>B-204</t>
  </si>
  <si>
    <t>E-176</t>
  </si>
  <si>
    <t>B-203</t>
  </si>
  <si>
    <t>E-177</t>
  </si>
  <si>
    <t>B-202</t>
  </si>
  <si>
    <t>E-178</t>
  </si>
  <si>
    <t>B-201</t>
  </si>
  <si>
    <t>E-179</t>
  </si>
  <si>
    <t>1D+1B+K</t>
  </si>
  <si>
    <t>2D+2B+K</t>
  </si>
  <si>
    <t>2D+2B+K (MARIPOSA)</t>
  </si>
  <si>
    <t>3D+2B+K</t>
  </si>
  <si>
    <t>Piso 2</t>
  </si>
  <si>
    <t>Bicicletero</t>
  </si>
  <si>
    <t>Estacionamientos Bicicletas Exigidos</t>
  </si>
  <si>
    <t>50% Visitas según estándar Concon</t>
  </si>
  <si>
    <t>Piso N° 19</t>
  </si>
  <si>
    <t>Piso N° 20</t>
  </si>
  <si>
    <t>Piso N° 21</t>
  </si>
  <si>
    <t>Piso N° 22</t>
  </si>
  <si>
    <t>LOSA</t>
  </si>
  <si>
    <t>MUNI</t>
  </si>
  <si>
    <t>sup.</t>
  </si>
  <si>
    <t>actualizado</t>
  </si>
  <si>
    <t>est</t>
  </si>
  <si>
    <t>ramp</t>
  </si>
  <si>
    <t>SUBTERRANEO 2</t>
  </si>
  <si>
    <t>bod</t>
  </si>
  <si>
    <t>SUBTERRANEO 1</t>
  </si>
  <si>
    <t>sup.comun</t>
  </si>
  <si>
    <t>PISO1</t>
  </si>
  <si>
    <t>PISO 2</t>
  </si>
  <si>
    <t>PISO 3-21</t>
  </si>
  <si>
    <t>PISO CUBIERTA</t>
  </si>
  <si>
    <t>TOTAL ESTACIONAMIENTOS</t>
  </si>
  <si>
    <t>TOTAL ESTACIONAMIENTOS VISITA</t>
  </si>
  <si>
    <t>TOTAL ESTACIONAMIENTOS DEPTOS.</t>
  </si>
  <si>
    <t>Bodegas y Est. Mun.</t>
  </si>
  <si>
    <t>Area</t>
  </si>
  <si>
    <t>Total Comun</t>
  </si>
  <si>
    <t>y Est.</t>
  </si>
  <si>
    <t>CONJUNTO ASOCIADOS PISO 1</t>
  </si>
  <si>
    <t>CONJUNTO ASOCIADOS SUBTE. -1</t>
  </si>
  <si>
    <t>CONJUNTO ASOCIADOS SUBTE. -2</t>
  </si>
  <si>
    <t>ESTACIONAMIENTOS VISITA PISO 1</t>
  </si>
  <si>
    <t>E. INDIVIDUALES PISO 1</t>
  </si>
  <si>
    <t>E. INDIVIDUALES PISO -1</t>
  </si>
  <si>
    <t>E. INDIVIDUALES PISO -2</t>
  </si>
  <si>
    <t>BODEGAS IND. PISO2</t>
  </si>
  <si>
    <t>BODEGAS IND. PISO1</t>
  </si>
  <si>
    <t>BODEGAS IND. PISO -1</t>
  </si>
  <si>
    <t>BODEGAS IND. PISO -2</t>
  </si>
  <si>
    <t>TOTAL BODEGAS IND.</t>
  </si>
  <si>
    <t>PRORRATEO AREAS COMUNES</t>
  </si>
  <si>
    <t>NORMAS URBANISTICAS</t>
  </si>
  <si>
    <t>Exigido</t>
  </si>
  <si>
    <t>Proyectado</t>
  </si>
  <si>
    <t>Coef. De Constructibilidad</t>
  </si>
  <si>
    <t>DFL2(20% util habitacional)</t>
  </si>
  <si>
    <t>Prorrateo áreas comunes</t>
  </si>
  <si>
    <t>Constructibilidad total Proyectada</t>
  </si>
  <si>
    <t>PROPUESTO FINAL</t>
  </si>
  <si>
    <t>NºPERSONAS</t>
  </si>
  <si>
    <t>0-50</t>
  </si>
  <si>
    <t>1 escaleras 1,1 m</t>
  </si>
  <si>
    <t>51-100</t>
  </si>
  <si>
    <t>1 escaleras 1,2 m</t>
  </si>
  <si>
    <t>101-150</t>
  </si>
  <si>
    <t>1 escaleras 1,3 m</t>
  </si>
  <si>
    <t>151-200</t>
  </si>
  <si>
    <t>1 escaleras 1,4 m</t>
  </si>
  <si>
    <t>201-250</t>
  </si>
  <si>
    <t>1 escaleras 1,5 m</t>
  </si>
  <si>
    <t>251-300</t>
  </si>
  <si>
    <t>2 escaleras 1,2 m</t>
  </si>
  <si>
    <t>301-400</t>
  </si>
  <si>
    <t>2 escaleras 1,3 m</t>
  </si>
  <si>
    <t>401-500</t>
  </si>
  <si>
    <t>501-700</t>
  </si>
  <si>
    <t>2 escaleras 1,5 m</t>
  </si>
  <si>
    <t>701-1000</t>
  </si>
  <si>
    <t>2 escaleras 1,6 m</t>
  </si>
  <si>
    <t>E-29</t>
  </si>
  <si>
    <t>E-30</t>
  </si>
  <si>
    <t>E-084</t>
  </si>
  <si>
    <t>E-90</t>
  </si>
  <si>
    <t>E-091</t>
  </si>
  <si>
    <t>EST.MINUSVALIDO</t>
  </si>
  <si>
    <t>P.E.</t>
  </si>
  <si>
    <t>PLANO REFERENCIA:</t>
  </si>
  <si>
    <t>sumatorio longuitudes en metros de las curvas</t>
  </si>
  <si>
    <t>s=(IxLx100)/A</t>
  </si>
  <si>
    <t>1 por cada 50m2</t>
  </si>
  <si>
    <t>1 por cada 100m2</t>
  </si>
  <si>
    <t>Subterraneo 3</t>
  </si>
  <si>
    <t>DEPTO-A</t>
  </si>
  <si>
    <t>DEPTO/LOCAL COMERCIAL</t>
  </si>
  <si>
    <t>DEPTO-D</t>
  </si>
  <si>
    <t>DEPTO-E</t>
  </si>
  <si>
    <t>LOCALES COMERCIALES</t>
  </si>
  <si>
    <t>SUBTERRANEO 3</t>
  </si>
  <si>
    <t>sup. Sub</t>
  </si>
  <si>
    <t>comercial</t>
  </si>
  <si>
    <t>Estacionamientos por DEPARTAMENTOS</t>
  </si>
  <si>
    <t>20% VISITAS según estándar Concon</t>
  </si>
  <si>
    <t>Estacionamiento COMERCIAL (1 cada 50m2)</t>
  </si>
  <si>
    <t>Bicicletas exigidas COMERCIAL (1 cada 100m2)</t>
  </si>
  <si>
    <t>N° LOCAL</t>
  </si>
  <si>
    <t>L.C.01</t>
  </si>
  <si>
    <t>L.C.02</t>
  </si>
  <si>
    <t>L.C.03</t>
  </si>
  <si>
    <t>L.C.04</t>
  </si>
  <si>
    <t>L.C.05</t>
  </si>
  <si>
    <t>L.C.06</t>
  </si>
  <si>
    <t>L.C.07</t>
  </si>
  <si>
    <t>L.C.08</t>
  </si>
  <si>
    <t>L.C.09</t>
  </si>
  <si>
    <t>L.C.10</t>
  </si>
  <si>
    <t>L.C.11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</si>
  <si>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</si>
  <si>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</si>
  <si>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</si>
  <si>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</si>
  <si>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</si>
  <si>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</si>
  <si>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</si>
  <si>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</si>
  <si>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</si>
  <si>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</si>
  <si>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BODEGAS IND. PISO -3</t>
  </si>
  <si>
    <t>TOTAL ESTACIONAMIENTOS L.C.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</si>
  <si>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</si>
  <si>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</si>
  <si>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</si>
  <si>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</si>
  <si>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</si>
  <si>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</si>
  <si>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</si>
  <si>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</si>
  <si>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</si>
  <si>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</si>
  <si>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EC-11</t>
  </si>
  <si>
    <t>BC-11</t>
  </si>
  <si>
    <t>EC-12</t>
  </si>
  <si>
    <t>E. LOCALES COMERCIALES -3</t>
  </si>
  <si>
    <t>SUPERFICIES DE LOSAS LOCALES COMERCIALES</t>
  </si>
  <si>
    <t>DEPTO-F</t>
  </si>
  <si>
    <t>DEPTO-C1</t>
  </si>
  <si>
    <t>DEPTO-C2</t>
  </si>
  <si>
    <t>DEPTO-B</t>
  </si>
  <si>
    <t>TOTAL BODEGAS DPTO</t>
  </si>
  <si>
    <t>TOTAL BODEGAS LC</t>
  </si>
  <si>
    <t>TOTAL BODEGAS P2</t>
  </si>
  <si>
    <t>TOTAL BODEGAS P1</t>
  </si>
  <si>
    <t>TOTAL BOD P1 INDV</t>
  </si>
  <si>
    <t>TOTAL BOD P1 CONJ</t>
  </si>
  <si>
    <t>ACTUALIZADO 11-10-2019</t>
  </si>
  <si>
    <t>VERSION 25</t>
  </si>
  <si>
    <t>TOTAL EST P1 INDV</t>
  </si>
  <si>
    <t>TOTAL EST P1 CONJ</t>
  </si>
  <si>
    <t>TOTAL EST P1</t>
  </si>
  <si>
    <t>TOTAL BOD SUB1 INDV</t>
  </si>
  <si>
    <t>PISO 1</t>
  </si>
  <si>
    <t>TOTAL EST SUB1 INDV</t>
  </si>
  <si>
    <t>TOTAL EST SUB1 CONJ</t>
  </si>
  <si>
    <t>TOTAL EST SUB1</t>
  </si>
  <si>
    <t>B-126</t>
  </si>
  <si>
    <t>B108</t>
  </si>
  <si>
    <t>B-106</t>
  </si>
  <si>
    <t>SUBTE. -1</t>
  </si>
  <si>
    <t>TOTAL BOD SUB1 CONJ</t>
  </si>
  <si>
    <t>TOTAL BODEGAS SUB1</t>
  </si>
  <si>
    <t>SUBTE. -2</t>
  </si>
  <si>
    <t>TOTAL BOD SUB2 INDV</t>
  </si>
  <si>
    <t>TOTAL BOD SUB2 CONJ</t>
  </si>
  <si>
    <t>TOTAL BODEGAS SUB2</t>
  </si>
  <si>
    <t>TOTAL EST SUB2 INDV</t>
  </si>
  <si>
    <t>TOTAL EST SUB2 CONJ</t>
  </si>
  <si>
    <t>TOTAL EST SUB2</t>
  </si>
  <si>
    <t>B-229</t>
  </si>
  <si>
    <t>DUNAMAR</t>
  </si>
  <si>
    <t>07. DESARROLLO\01. ARQUITECTURA\01. A0\100-V25-DUNAMAR PLANTAS-14-10-19.dwg</t>
  </si>
  <si>
    <t>1, LA CABIDA SE HACE CON INFORMES PREVIOS</t>
  </si>
  <si>
    <t>2, LA CABIDA SE HACE CON PLANO TOPOGRAFICO</t>
  </si>
  <si>
    <r>
      <t xml:space="preserve">Subterraneo 3 </t>
    </r>
    <r>
      <rPr>
        <b/>
        <sz val="8"/>
        <rFont val="Arial"/>
        <family val="2"/>
      </rPr>
      <t>LOCALES COMERCIALES</t>
    </r>
  </si>
  <si>
    <t>Superficie total a construir</t>
  </si>
  <si>
    <t>Costo Construcció</t>
  </si>
  <si>
    <t>UF</t>
  </si>
  <si>
    <t>Total Construcción</t>
  </si>
  <si>
    <t>Neto</t>
  </si>
  <si>
    <t>Evaluación y Estudios</t>
  </si>
  <si>
    <t>Comercialización</t>
  </si>
  <si>
    <t>Imprevistos</t>
  </si>
  <si>
    <t>Valor Terreno</t>
  </si>
  <si>
    <t>Total Terreno</t>
  </si>
  <si>
    <t>Total Proyecto</t>
  </si>
  <si>
    <t>Costos</t>
  </si>
  <si>
    <t>Ingresos</t>
  </si>
  <si>
    <t>Total Ingresos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</si>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</sst>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 * #,##0_ ;_ * \-#,##0_ ;_ * &quot;-&quot;_ ;_ @_ "/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_-;\-* #,##0.00_-;_-* &quot;-&quot;??_-;_-@_-"/>
    <numFmt numFmtId="167" formatCode="#.00"/>
    <numFmt numFmtId="168" formatCode="[$-340A]d&quot; de &quot;mmmm&quot; de &quot;yyyy;@"/>
    <numFmt numFmtId="169" formatCode="#,##0.00_ ;\-#,##0.00\ "/>
    <numFmt numFmtId="170" formatCode="#,##0_ ;\-#,##0\ "/>
    <numFmt numFmtId="171" formatCode="_-* #,##0_-;\-* #,##0_-;_-* &quot;-&quot;??_-;_-@_-"/>
    <numFmt numFmtId="172" formatCode="_(* #,##0_);_(* \(#,##0\);_(* &quot;-&quot;??_);_(@_)"/>
    <numFmt numFmtId="173" formatCode="_(* #,##0.00_);_(* \(#,##0.00\);_(* &quot;-&quot;??_);_(@_)"/>
    <numFmt numFmtId="174" formatCode="_-* #,##0_-;\-* #,##0_-;_-* &quot;-&quot;_-;_-@_-"/>
    <numFmt numFmtId="175" formatCode="_-* #,##0.00_-;\-* #,##0.00_-;_-* &quot;-&quot;???_-;_-@_-"/>
    <numFmt numFmtId="176" formatCode="#"/>
    <numFmt numFmtId="177" formatCode="_-* #,##0\ _€_-;\-* #,##0\ _€_-;_-* &quot;-&quot;??\ _€_-;_-@_-"/>
    <numFmt numFmtId="178" formatCode="_ * #,##0.00_ ;_ * \-#,##0.00_ ;_ * &quot;-&quot;_ ;_ @_ 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9"/>
      <name val="Arial"/>
      <family val="2"/>
    </font>
    <font>
      <b/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b/>
      <sz val="8"/>
      <color rgb="FFFF0000"/>
      <name val="Arial"/>
      <family val="2"/>
    </font>
    <font>
      <sz val="12"/>
      <color indexed="8"/>
      <name val="Verdana"/>
      <family val="2"/>
    </font>
    <font>
      <sz val="12"/>
      <name val="Verdana"/>
      <family val="2"/>
    </font>
    <font>
      <b/>
      <sz val="11"/>
      <color theme="0" tint="-4.9989318521683403E-2"/>
      <name val="Arial"/>
      <family val="2"/>
    </font>
    <font>
      <u/>
      <sz val="8"/>
      <color theme="10"/>
      <name val="Arial"/>
      <family val="2"/>
    </font>
    <font>
      <sz val="14"/>
      <name val="Arial"/>
      <family val="2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3">
    <xf numFmtId="0" fontId="0" fillId="0" borderId="0"/>
    <xf numFmtId="165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2" borderId="0" applyNumberFormat="0" applyBorder="0" applyAlignment="0" applyProtection="0"/>
    <xf numFmtId="0" fontId="6" fillId="0" borderId="0"/>
    <xf numFmtId="0" fontId="8" fillId="0" borderId="1" applyNumberFormat="0" applyFill="0" applyAlignment="0" applyProtection="0"/>
    <xf numFmtId="165" fontId="1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0" fontId="43" fillId="0" borderId="0" applyNumberFormat="0" applyFill="0" applyBorder="0" applyAlignment="0" applyProtection="0">
      <alignment vertical="top"/>
      <protection locked="0"/>
    </xf>
    <xf numFmtId="41" fontId="45" fillId="0" borderId="0" applyFont="0" applyFill="0" applyBorder="0" applyAlignment="0" applyProtection="0"/>
  </cellStyleXfs>
  <cellXfs count="726">
    <xf numFmtId="0" fontId="0" fillId="0" borderId="0" xfId="0"/>
    <xf numFmtId="0" fontId="0" fillId="0" borderId="0" xfId="0" applyFill="1"/>
    <xf numFmtId="2" fontId="0" fillId="0" borderId="0" xfId="0" applyNumberFormat="1" applyFill="1" applyBorder="1"/>
    <xf numFmtId="0" fontId="0" fillId="0" borderId="0" xfId="0"/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0" borderId="3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49" fontId="5" fillId="5" borderId="37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center" vertical="center"/>
    </xf>
    <xf numFmtId="49" fontId="5" fillId="5" borderId="38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67" fontId="12" fillId="4" borderId="5" xfId="27" applyNumberFormat="1" applyFont="1" applyFill="1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7" fontId="12" fillId="0" borderId="0" xfId="27" applyNumberFormat="1" applyFont="1" applyFill="1" applyBorder="1" applyAlignment="1">
      <alignment horizontal="center"/>
    </xf>
    <xf numFmtId="0" fontId="4" fillId="0" borderId="0" xfId="26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4" fillId="0" borderId="0" xfId="26" applyNumberFormat="1" applyFont="1" applyFill="1" applyBorder="1" applyAlignment="1">
      <alignment horizontal="center" vertical="center"/>
    </xf>
    <xf numFmtId="4" fontId="4" fillId="0" borderId="0" xfId="26" applyNumberFormat="1" applyFont="1" applyFill="1" applyBorder="1" applyAlignment="1">
      <alignment horizontal="center" vertical="center"/>
    </xf>
    <xf numFmtId="0" fontId="4" fillId="0" borderId="0" xfId="26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167" fontId="4" fillId="0" borderId="0" xfId="27" applyNumberFormat="1" applyFont="1" applyFill="1" applyBorder="1" applyAlignment="1">
      <alignment horizontal="center"/>
    </xf>
    <xf numFmtId="0" fontId="4" fillId="0" borderId="0" xfId="26" applyFont="1" applyFill="1" applyBorder="1" applyAlignment="1">
      <alignment horizontal="center" vertical="center"/>
    </xf>
    <xf numFmtId="167" fontId="13" fillId="0" borderId="0" xfId="27" applyNumberFormat="1" applyFont="1" applyFill="1" applyBorder="1" applyAlignment="1">
      <alignment horizontal="center"/>
    </xf>
    <xf numFmtId="167" fontId="0" fillId="0" borderId="0" xfId="0" applyNumberFormat="1"/>
    <xf numFmtId="0" fontId="4" fillId="0" borderId="0" xfId="0" applyFont="1" applyFill="1" applyBorder="1" applyAlignment="1">
      <alignment horizontal="right"/>
    </xf>
    <xf numFmtId="0" fontId="4" fillId="0" borderId="0" xfId="26" applyFont="1" applyFill="1" applyProtection="1">
      <protection locked="0"/>
    </xf>
    <xf numFmtId="0" fontId="4" fillId="0" borderId="0" xfId="26" applyFont="1" applyProtection="1">
      <protection locked="0"/>
    </xf>
    <xf numFmtId="0" fontId="4" fillId="0" borderId="49" xfId="16" applyFont="1" applyBorder="1" applyProtection="1">
      <protection locked="0"/>
    </xf>
    <xf numFmtId="0" fontId="4" fillId="0" borderId="18" xfId="16" applyFont="1" applyBorder="1" applyProtection="1">
      <protection locked="0"/>
    </xf>
    <xf numFmtId="0" fontId="4" fillId="0" borderId="50" xfId="16" applyFont="1" applyBorder="1" applyProtection="1">
      <protection locked="0"/>
    </xf>
    <xf numFmtId="0" fontId="4" fillId="0" borderId="0" xfId="16" applyFont="1" applyBorder="1" applyProtection="1">
      <protection locked="0"/>
    </xf>
    <xf numFmtId="0" fontId="16" fillId="6" borderId="29" xfId="30" applyNumberFormat="1" applyFont="1" applyFill="1" applyBorder="1" applyAlignment="1">
      <alignment horizontal="center" vertical="center"/>
    </xf>
    <xf numFmtId="14" fontId="4" fillId="6" borderId="25" xfId="30" applyNumberFormat="1" applyFont="1" applyFill="1" applyBorder="1" applyAlignment="1">
      <alignment horizontal="center" vertical="center"/>
    </xf>
    <xf numFmtId="0" fontId="17" fillId="0" borderId="0" xfId="16" applyFont="1" applyBorder="1" applyAlignment="1" applyProtection="1">
      <alignment horizontal="left"/>
      <protection locked="0"/>
    </xf>
    <xf numFmtId="168" fontId="18" fillId="0" borderId="0" xfId="16" applyNumberFormat="1" applyFont="1" applyFill="1" applyBorder="1" applyAlignment="1" applyProtection="1">
      <alignment horizontal="left"/>
    </xf>
    <xf numFmtId="0" fontId="19" fillId="0" borderId="0" xfId="0" applyFont="1" applyFill="1" applyBorder="1" applyAlignment="1">
      <alignment horizontal="left" vertical="center"/>
    </xf>
    <xf numFmtId="0" fontId="20" fillId="0" borderId="0" xfId="0" applyFont="1" applyFill="1" applyBorder="1"/>
    <xf numFmtId="0" fontId="15" fillId="0" borderId="0" xfId="0" applyFont="1" applyBorder="1"/>
    <xf numFmtId="0" fontId="19" fillId="0" borderId="0" xfId="0" applyFont="1" applyFill="1" applyBorder="1"/>
    <xf numFmtId="0" fontId="4" fillId="0" borderId="47" xfId="16" applyFont="1" applyFill="1" applyBorder="1" applyAlignment="1" applyProtection="1">
      <alignment vertical="center"/>
    </xf>
    <xf numFmtId="0" fontId="4" fillId="0" borderId="54" xfId="16" applyFont="1" applyFill="1" applyBorder="1" applyAlignment="1" applyProtection="1">
      <alignment vertical="center"/>
    </xf>
    <xf numFmtId="0" fontId="21" fillId="0" borderId="2" xfId="16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Fill="1" applyBorder="1"/>
    <xf numFmtId="0" fontId="4" fillId="0" borderId="0" xfId="0" applyFont="1" applyFill="1" applyBorder="1" applyProtection="1">
      <protection locked="0"/>
    </xf>
    <xf numFmtId="169" fontId="4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  <protection locked="0"/>
    </xf>
    <xf numFmtId="169" fontId="4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/>
    <xf numFmtId="9" fontId="4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 applyProtection="1">
      <alignment horizontal="left"/>
      <protection locked="0"/>
    </xf>
    <xf numFmtId="0" fontId="4" fillId="0" borderId="55" xfId="0" applyFont="1" applyFill="1" applyBorder="1" applyAlignment="1">
      <alignment horizontal="right"/>
    </xf>
    <xf numFmtId="0" fontId="4" fillId="0" borderId="0" xfId="0" applyFont="1" applyFill="1" applyBorder="1" applyAlignment="1" applyProtection="1">
      <alignment horizontal="center"/>
      <protection locked="0"/>
    </xf>
    <xf numFmtId="170" fontId="4" fillId="0" borderId="0" xfId="0" applyNumberFormat="1" applyFont="1" applyFill="1" applyBorder="1" applyAlignment="1" applyProtection="1">
      <alignment horizontal="right"/>
    </xf>
    <xf numFmtId="2" fontId="4" fillId="0" borderId="0" xfId="26" applyNumberFormat="1" applyFont="1" applyProtection="1">
      <protection locked="0"/>
    </xf>
    <xf numFmtId="0" fontId="4" fillId="0" borderId="0" xfId="26" applyFont="1" applyFill="1" applyBorder="1" applyProtection="1"/>
    <xf numFmtId="0" fontId="4" fillId="0" borderId="0" xfId="26" applyFont="1" applyBorder="1" applyProtection="1"/>
    <xf numFmtId="0" fontId="24" fillId="0" borderId="0" xfId="16" applyFont="1" applyBorder="1" applyProtection="1">
      <protection locked="0"/>
    </xf>
    <xf numFmtId="0" fontId="5" fillId="0" borderId="0" xfId="0" applyFont="1" applyFill="1" applyBorder="1" applyProtection="1">
      <protection locked="0"/>
    </xf>
    <xf numFmtId="169" fontId="5" fillId="0" borderId="0" xfId="0" applyNumberFormat="1" applyFont="1" applyFill="1" applyBorder="1" applyAlignment="1" applyProtection="1">
      <alignment horizontal="right"/>
    </xf>
    <xf numFmtId="0" fontId="21" fillId="0" borderId="0" xfId="16" applyFont="1" applyBorder="1" applyAlignment="1" applyProtection="1">
      <alignment horizontal="left" vertical="center" wrapText="1"/>
    </xf>
    <xf numFmtId="0" fontId="4" fillId="0" borderId="52" xfId="16" applyFont="1" applyBorder="1" applyProtection="1">
      <protection locked="0"/>
    </xf>
    <xf numFmtId="0" fontId="4" fillId="0" borderId="53" xfId="16" applyFont="1" applyBorder="1" applyProtection="1">
      <protection locked="0"/>
    </xf>
    <xf numFmtId="0" fontId="4" fillId="0" borderId="49" xfId="26" applyFont="1" applyBorder="1" applyProtection="1">
      <protection locked="0"/>
    </xf>
    <xf numFmtId="0" fontId="4" fillId="0" borderId="18" xfId="26" applyFont="1" applyBorder="1" applyProtection="1">
      <protection locked="0"/>
    </xf>
    <xf numFmtId="0" fontId="4" fillId="0" borderId="14" xfId="26" applyFont="1" applyBorder="1" applyProtection="1">
      <protection locked="0"/>
    </xf>
    <xf numFmtId="0" fontId="4" fillId="0" borderId="50" xfId="26" applyFont="1" applyBorder="1" applyProtection="1">
      <protection locked="0"/>
    </xf>
    <xf numFmtId="0" fontId="17" fillId="0" borderId="0" xfId="26" applyFont="1" applyBorder="1" applyProtection="1"/>
    <xf numFmtId="0" fontId="4" fillId="0" borderId="0" xfId="26" applyFont="1" applyBorder="1" applyProtection="1">
      <protection locked="0"/>
    </xf>
    <xf numFmtId="0" fontId="4" fillId="0" borderId="51" xfId="26" applyFont="1" applyBorder="1" applyProtection="1">
      <protection locked="0"/>
    </xf>
    <xf numFmtId="0" fontId="4" fillId="0" borderId="0" xfId="26" quotePrefix="1" applyFont="1" applyBorder="1" applyAlignment="1" applyProtection="1">
      <alignment horizontal="left"/>
      <protection locked="0"/>
    </xf>
    <xf numFmtId="0" fontId="4" fillId="0" borderId="13" xfId="26" applyFont="1" applyBorder="1" applyAlignment="1" applyProtection="1">
      <alignment horizontal="center"/>
    </xf>
    <xf numFmtId="0" fontId="5" fillId="0" borderId="13" xfId="26" quotePrefix="1" applyFont="1" applyBorder="1" applyAlignment="1" applyProtection="1">
      <alignment horizontal="center"/>
    </xf>
    <xf numFmtId="0" fontId="5" fillId="0" borderId="11" xfId="26" applyFont="1" applyBorder="1" applyAlignment="1" applyProtection="1">
      <alignment horizontal="center"/>
    </xf>
    <xf numFmtId="0" fontId="4" fillId="0" borderId="58" xfId="26" applyFont="1" applyBorder="1" applyAlignment="1" applyProtection="1">
      <alignment horizontal="center"/>
    </xf>
    <xf numFmtId="0" fontId="4" fillId="0" borderId="21" xfId="26" applyFont="1" applyBorder="1" applyAlignment="1" applyProtection="1">
      <alignment horizontal="center"/>
    </xf>
    <xf numFmtId="0" fontId="4" fillId="0" borderId="21" xfId="26" applyFont="1" applyFill="1" applyBorder="1" applyAlignment="1" applyProtection="1">
      <alignment horizontal="center"/>
    </xf>
    <xf numFmtId="0" fontId="5" fillId="0" borderId="21" xfId="26" quotePrefix="1" applyFont="1" applyBorder="1" applyAlignment="1" applyProtection="1">
      <alignment horizontal="center"/>
    </xf>
    <xf numFmtId="165" fontId="4" fillId="0" borderId="21" xfId="9" quotePrefix="1" applyFont="1" applyBorder="1" applyAlignment="1" applyProtection="1">
      <alignment horizontal="center"/>
    </xf>
    <xf numFmtId="0" fontId="5" fillId="0" borderId="59" xfId="26" applyFont="1" applyBorder="1" applyAlignment="1" applyProtection="1">
      <alignment horizontal="center"/>
    </xf>
    <xf numFmtId="0" fontId="4" fillId="0" borderId="42" xfId="26" applyFont="1" applyBorder="1" applyAlignment="1" applyProtection="1">
      <alignment horizontal="center"/>
    </xf>
    <xf numFmtId="0" fontId="4" fillId="0" borderId="60" xfId="26" applyFont="1" applyBorder="1" applyAlignment="1" applyProtection="1">
      <alignment horizontal="center"/>
    </xf>
    <xf numFmtId="0" fontId="4" fillId="0" borderId="60" xfId="26" applyFont="1" applyFill="1" applyBorder="1" applyAlignment="1" applyProtection="1">
      <alignment horizontal="center"/>
    </xf>
    <xf numFmtId="0" fontId="5" fillId="0" borderId="60" xfId="26" applyFont="1" applyBorder="1" applyAlignment="1" applyProtection="1">
      <alignment horizontal="center"/>
    </xf>
    <xf numFmtId="165" fontId="4" fillId="0" borderId="60" xfId="9" applyFont="1" applyBorder="1" applyAlignment="1" applyProtection="1">
      <alignment horizontal="center"/>
    </xf>
    <xf numFmtId="0" fontId="5" fillId="0" borderId="61" xfId="26" applyFont="1" applyBorder="1" applyAlignment="1" applyProtection="1">
      <alignment horizontal="center"/>
    </xf>
    <xf numFmtId="0" fontId="25" fillId="0" borderId="62" xfId="26" applyFont="1" applyFill="1" applyBorder="1" applyAlignment="1" applyProtection="1">
      <alignment horizontal="left"/>
    </xf>
    <xf numFmtId="165" fontId="24" fillId="0" borderId="63" xfId="9" applyFont="1" applyFill="1" applyBorder="1" applyProtection="1">
      <protection locked="0"/>
    </xf>
    <xf numFmtId="165" fontId="24" fillId="0" borderId="64" xfId="9" applyFont="1" applyFill="1" applyBorder="1" applyProtection="1">
      <protection locked="0"/>
    </xf>
    <xf numFmtId="165" fontId="26" fillId="0" borderId="64" xfId="9" applyFont="1" applyFill="1" applyBorder="1" applyProtection="1"/>
    <xf numFmtId="165" fontId="24" fillId="0" borderId="65" xfId="9" applyFont="1" applyFill="1" applyBorder="1" applyProtection="1">
      <protection locked="0"/>
    </xf>
    <xf numFmtId="165" fontId="26" fillId="0" borderId="66" xfId="9" applyFont="1" applyFill="1" applyBorder="1" applyProtection="1"/>
    <xf numFmtId="166" fontId="24" fillId="0" borderId="0" xfId="26" applyNumberFormat="1" applyFont="1" applyFill="1" applyBorder="1" applyProtection="1">
      <protection locked="0"/>
    </xf>
    <xf numFmtId="0" fontId="26" fillId="0" borderId="22" xfId="26" applyFont="1" applyFill="1" applyBorder="1" applyAlignment="1" applyProtection="1">
      <alignment horizontal="left"/>
      <protection locked="0"/>
    </xf>
    <xf numFmtId="0" fontId="26" fillId="0" borderId="23" xfId="26" applyFont="1" applyFill="1" applyBorder="1" applyAlignment="1" applyProtection="1">
      <alignment horizontal="left"/>
      <protection locked="0"/>
    </xf>
    <xf numFmtId="0" fontId="26" fillId="0" borderId="24" xfId="26" applyFont="1" applyFill="1" applyBorder="1" applyAlignment="1" applyProtection="1">
      <alignment horizontal="left"/>
      <protection locked="0"/>
    </xf>
    <xf numFmtId="10" fontId="4" fillId="0" borderId="0" xfId="28" applyNumberFormat="1" applyFont="1" applyBorder="1" applyProtection="1"/>
    <xf numFmtId="166" fontId="26" fillId="0" borderId="50" xfId="26" applyNumberFormat="1" applyFont="1" applyFill="1" applyBorder="1" applyAlignment="1" applyProtection="1">
      <alignment horizontal="center"/>
      <protection locked="0"/>
    </xf>
    <xf numFmtId="166" fontId="24" fillId="0" borderId="51" xfId="26" applyNumberFormat="1" applyFont="1" applyFill="1" applyBorder="1" applyProtection="1">
      <protection locked="0"/>
    </xf>
    <xf numFmtId="0" fontId="4" fillId="0" borderId="0" xfId="26" applyFont="1" applyFill="1" applyBorder="1" applyAlignment="1" applyProtection="1">
      <alignment horizontal="right"/>
      <protection locked="0"/>
    </xf>
    <xf numFmtId="0" fontId="4" fillId="0" borderId="50" xfId="26" applyFont="1" applyFill="1" applyBorder="1" applyProtection="1">
      <protection locked="0"/>
    </xf>
    <xf numFmtId="10" fontId="4" fillId="0" borderId="0" xfId="28" applyNumberFormat="1" applyFont="1" applyFill="1" applyBorder="1" applyProtection="1"/>
    <xf numFmtId="0" fontId="4" fillId="0" borderId="51" xfId="26" applyFont="1" applyFill="1" applyBorder="1" applyProtection="1">
      <protection locked="0"/>
    </xf>
    <xf numFmtId="0" fontId="5" fillId="0" borderId="22" xfId="26" applyFont="1" applyFill="1" applyBorder="1" applyAlignment="1" applyProtection="1">
      <alignment horizontal="left"/>
      <protection locked="0"/>
    </xf>
    <xf numFmtId="0" fontId="5" fillId="0" borderId="23" xfId="26" applyFont="1" applyFill="1" applyBorder="1" applyAlignment="1" applyProtection="1">
      <alignment horizontal="left"/>
      <protection locked="0"/>
    </xf>
    <xf numFmtId="0" fontId="5" fillId="0" borderId="24" xfId="26" applyFont="1" applyFill="1" applyBorder="1" applyAlignment="1" applyProtection="1">
      <alignment horizontal="left"/>
      <protection locked="0"/>
    </xf>
    <xf numFmtId="0" fontId="4" fillId="0" borderId="62" xfId="26" applyFont="1" applyFill="1" applyBorder="1" applyProtection="1"/>
    <xf numFmtId="165" fontId="4" fillId="0" borderId="63" xfId="9" applyFont="1" applyFill="1" applyBorder="1" applyProtection="1">
      <protection locked="0"/>
    </xf>
    <xf numFmtId="165" fontId="4" fillId="0" borderId="64" xfId="9" applyFont="1" applyFill="1" applyBorder="1" applyProtection="1">
      <protection locked="0"/>
    </xf>
    <xf numFmtId="165" fontId="5" fillId="0" borderId="64" xfId="9" applyFont="1" applyFill="1" applyBorder="1" applyProtection="1">
      <protection hidden="1"/>
    </xf>
    <xf numFmtId="165" fontId="5" fillId="0" borderId="66" xfId="9" applyFont="1" applyFill="1" applyBorder="1" applyProtection="1"/>
    <xf numFmtId="165" fontId="26" fillId="0" borderId="64" xfId="9" applyFont="1" applyFill="1" applyBorder="1" applyProtection="1">
      <protection hidden="1"/>
    </xf>
    <xf numFmtId="165" fontId="4" fillId="0" borderId="67" xfId="9" applyFont="1" applyFill="1" applyBorder="1" applyProtection="1">
      <protection locked="0"/>
    </xf>
    <xf numFmtId="165" fontId="4" fillId="0" borderId="68" xfId="9" applyFont="1" applyFill="1" applyBorder="1" applyProtection="1">
      <protection locked="0"/>
    </xf>
    <xf numFmtId="165" fontId="5" fillId="0" borderId="64" xfId="9" applyFont="1" applyFill="1" applyBorder="1" applyProtection="1"/>
    <xf numFmtId="165" fontId="4" fillId="0" borderId="69" xfId="9" applyFont="1" applyFill="1" applyBorder="1" applyProtection="1">
      <protection locked="0"/>
    </xf>
    <xf numFmtId="0" fontId="25" fillId="0" borderId="70" xfId="26" applyFont="1" applyFill="1" applyBorder="1" applyAlignment="1" applyProtection="1">
      <alignment horizontal="left"/>
    </xf>
    <xf numFmtId="165" fontId="4" fillId="0" borderId="67" xfId="9" applyFont="1" applyBorder="1" applyProtection="1">
      <protection locked="0"/>
    </xf>
    <xf numFmtId="165" fontId="4" fillId="0" borderId="68" xfId="9" applyFont="1" applyBorder="1" applyProtection="1">
      <protection locked="0"/>
    </xf>
    <xf numFmtId="165" fontId="5" fillId="0" borderId="64" xfId="9" applyFont="1" applyBorder="1" applyProtection="1"/>
    <xf numFmtId="165" fontId="4" fillId="0" borderId="71" xfId="9" applyFont="1" applyBorder="1" applyProtection="1">
      <protection locked="0"/>
    </xf>
    <xf numFmtId="165" fontId="5" fillId="0" borderId="66" xfId="9" applyFont="1" applyBorder="1" applyProtection="1"/>
    <xf numFmtId="0" fontId="5" fillId="0" borderId="72" xfId="26" applyFont="1" applyBorder="1" applyProtection="1"/>
    <xf numFmtId="165" fontId="5" fillId="0" borderId="73" xfId="9" applyFont="1" applyFill="1" applyBorder="1" applyProtection="1"/>
    <xf numFmtId="165" fontId="5" fillId="0" borderId="74" xfId="9" applyFont="1" applyBorder="1" applyProtection="1"/>
    <xf numFmtId="165" fontId="5" fillId="0" borderId="74" xfId="9" applyFont="1" applyFill="1" applyBorder="1" applyProtection="1"/>
    <xf numFmtId="165" fontId="5" fillId="0" borderId="37" xfId="9" applyFont="1" applyFill="1" applyBorder="1" applyProtection="1"/>
    <xf numFmtId="165" fontId="5" fillId="0" borderId="75" xfId="9" applyFont="1" applyFill="1" applyBorder="1" applyProtection="1"/>
    <xf numFmtId="0" fontId="5" fillId="0" borderId="76" xfId="26" applyFont="1" applyBorder="1" applyProtection="1"/>
    <xf numFmtId="10" fontId="4" fillId="0" borderId="77" xfId="28" applyNumberFormat="1" applyFont="1" applyBorder="1" applyProtection="1"/>
    <xf numFmtId="10" fontId="4" fillId="0" borderId="71" xfId="28" applyNumberFormat="1" applyFont="1" applyBorder="1" applyProtection="1"/>
    <xf numFmtId="10" fontId="5" fillId="0" borderId="78" xfId="28" applyNumberFormat="1" applyFont="1" applyBorder="1" applyProtection="1"/>
    <xf numFmtId="10" fontId="4" fillId="0" borderId="71" xfId="28" applyNumberFormat="1" applyFont="1" applyBorder="1" applyAlignment="1" applyProtection="1">
      <alignment horizontal="center"/>
    </xf>
    <xf numFmtId="10" fontId="5" fillId="0" borderId="79" xfId="28" applyNumberFormat="1" applyFont="1" applyBorder="1" applyProtection="1"/>
    <xf numFmtId="0" fontId="5" fillId="0" borderId="18" xfId="26" applyFont="1" applyBorder="1" applyProtection="1"/>
    <xf numFmtId="10" fontId="5" fillId="0" borderId="0" xfId="28" applyNumberFormat="1" applyFont="1" applyBorder="1" applyProtection="1"/>
    <xf numFmtId="2" fontId="5" fillId="0" borderId="0" xfId="28" applyNumberFormat="1" applyFont="1" applyBorder="1" applyProtection="1"/>
    <xf numFmtId="0" fontId="5" fillId="0" borderId="0" xfId="26" applyFont="1" applyBorder="1" applyProtection="1"/>
    <xf numFmtId="0" fontId="4" fillId="0" borderId="13" xfId="26" quotePrefix="1" applyFont="1" applyBorder="1" applyAlignment="1" applyProtection="1">
      <alignment horizontal="center"/>
    </xf>
    <xf numFmtId="0" fontId="4" fillId="0" borderId="13" xfId="26" applyFont="1" applyFill="1" applyBorder="1" applyAlignment="1" applyProtection="1">
      <alignment horizontal="center"/>
    </xf>
    <xf numFmtId="165" fontId="5" fillId="0" borderId="65" xfId="9" applyFont="1" applyFill="1" applyBorder="1" applyProtection="1"/>
    <xf numFmtId="165" fontId="4" fillId="0" borderId="65" xfId="9" applyFont="1" applyFill="1" applyBorder="1" applyProtection="1">
      <protection locked="0"/>
    </xf>
    <xf numFmtId="0" fontId="4" fillId="0" borderId="62" xfId="26" applyFont="1" applyFill="1" applyBorder="1" applyAlignment="1" applyProtection="1">
      <alignment horizontal="left"/>
    </xf>
    <xf numFmtId="165" fontId="4" fillId="0" borderId="0" xfId="26" applyNumberFormat="1" applyFont="1" applyProtection="1">
      <protection locked="0"/>
    </xf>
    <xf numFmtId="166" fontId="4" fillId="0" borderId="0" xfId="26" applyNumberFormat="1" applyFont="1" applyProtection="1">
      <protection locked="0"/>
    </xf>
    <xf numFmtId="166" fontId="4" fillId="0" borderId="64" xfId="9" applyNumberFormat="1" applyFont="1" applyFill="1" applyBorder="1" applyProtection="1">
      <protection locked="0"/>
    </xf>
    <xf numFmtId="165" fontId="4" fillId="0" borderId="80" xfId="9" applyFont="1" applyFill="1" applyBorder="1" applyProtection="1">
      <protection locked="0"/>
    </xf>
    <xf numFmtId="166" fontId="24" fillId="0" borderId="64" xfId="9" applyNumberFormat="1" applyFont="1" applyFill="1" applyBorder="1" applyProtection="1">
      <protection locked="0"/>
    </xf>
    <xf numFmtId="165" fontId="24" fillId="0" borderId="80" xfId="9" applyFont="1" applyFill="1" applyBorder="1" applyProtection="1">
      <protection locked="0"/>
    </xf>
    <xf numFmtId="165" fontId="5" fillId="0" borderId="81" xfId="9" applyFont="1" applyFill="1" applyBorder="1" applyProtection="1"/>
    <xf numFmtId="165" fontId="4" fillId="0" borderId="81" xfId="9" applyFont="1" applyFill="1" applyBorder="1" applyProtection="1">
      <protection locked="0"/>
    </xf>
    <xf numFmtId="10" fontId="5" fillId="0" borderId="78" xfId="28" applyNumberFormat="1" applyFont="1" applyBorder="1" applyAlignment="1" applyProtection="1">
      <alignment horizontal="center"/>
    </xf>
    <xf numFmtId="10" fontId="4" fillId="0" borderId="9" xfId="28" applyNumberFormat="1" applyFont="1" applyFill="1" applyBorder="1" applyAlignment="1" applyProtection="1">
      <alignment horizontal="center"/>
    </xf>
    <xf numFmtId="10" fontId="5" fillId="0" borderId="10" xfId="28" applyNumberFormat="1" applyFont="1" applyBorder="1" applyProtection="1"/>
    <xf numFmtId="0" fontId="5" fillId="3" borderId="52" xfId="26" applyFont="1" applyFill="1" applyBorder="1" applyProtection="1"/>
    <xf numFmtId="10" fontId="4" fillId="3" borderId="53" xfId="28" applyNumberFormat="1" applyFont="1" applyFill="1" applyBorder="1" applyProtection="1"/>
    <xf numFmtId="10" fontId="5" fillId="3" borderId="53" xfId="28" applyNumberFormat="1" applyFont="1" applyFill="1" applyBorder="1" applyProtection="1"/>
    <xf numFmtId="2" fontId="5" fillId="7" borderId="25" xfId="28" applyNumberFormat="1" applyFont="1" applyFill="1" applyBorder="1" applyProtection="1"/>
    <xf numFmtId="0" fontId="5" fillId="3" borderId="22" xfId="26" applyFont="1" applyFill="1" applyBorder="1" applyProtection="1"/>
    <xf numFmtId="10" fontId="4" fillId="3" borderId="23" xfId="28" applyNumberFormat="1" applyFont="1" applyFill="1" applyBorder="1" applyProtection="1"/>
    <xf numFmtId="10" fontId="5" fillId="3" borderId="23" xfId="28" applyNumberFormat="1" applyFont="1" applyFill="1" applyBorder="1" applyProtection="1"/>
    <xf numFmtId="10" fontId="5" fillId="7" borderId="41" xfId="28" applyNumberFormat="1" applyFont="1" applyFill="1" applyBorder="1" applyProtection="1"/>
    <xf numFmtId="0" fontId="29" fillId="0" borderId="0" xfId="26" applyFont="1" applyBorder="1" applyProtection="1"/>
    <xf numFmtId="0" fontId="30" fillId="0" borderId="0" xfId="26" applyFont="1" applyBorder="1" applyProtection="1"/>
    <xf numFmtId="10" fontId="5" fillId="0" borderId="0" xfId="28" applyNumberFormat="1" applyFont="1" applyFill="1" applyBorder="1" applyProtection="1"/>
    <xf numFmtId="0" fontId="19" fillId="0" borderId="0" xfId="26" applyFont="1" applyFill="1" applyBorder="1" applyProtection="1">
      <protection locked="0"/>
    </xf>
    <xf numFmtId="0" fontId="5" fillId="0" borderId="22" xfId="26" applyFont="1" applyFill="1" applyBorder="1" applyProtection="1">
      <protection locked="0"/>
    </xf>
    <xf numFmtId="0" fontId="4" fillId="0" borderId="23" xfId="26" applyFont="1" applyFill="1" applyBorder="1" applyProtection="1">
      <protection locked="0"/>
    </xf>
    <xf numFmtId="0" fontId="4" fillId="0" borderId="24" xfId="26" applyFont="1" applyFill="1" applyBorder="1" applyProtection="1">
      <protection locked="0"/>
    </xf>
    <xf numFmtId="0" fontId="4" fillId="0" borderId="23" xfId="26" applyFont="1" applyFill="1" applyBorder="1" applyProtection="1"/>
    <xf numFmtId="0" fontId="4" fillId="0" borderId="0" xfId="26" applyFont="1" applyFill="1" applyBorder="1" applyProtection="1">
      <protection locked="0"/>
    </xf>
    <xf numFmtId="0" fontId="4" fillId="0" borderId="49" xfId="26" applyFont="1" applyFill="1" applyBorder="1" applyProtection="1">
      <protection locked="0"/>
    </xf>
    <xf numFmtId="0" fontId="5" fillId="0" borderId="18" xfId="26" applyFont="1" applyFill="1" applyBorder="1" applyProtection="1">
      <protection locked="0"/>
    </xf>
    <xf numFmtId="0" fontId="5" fillId="0" borderId="23" xfId="26" applyFont="1" applyFill="1" applyBorder="1" applyProtection="1">
      <protection locked="0"/>
    </xf>
    <xf numFmtId="0" fontId="4" fillId="0" borderId="0" xfId="26" quotePrefix="1" applyFont="1" applyFill="1" applyBorder="1" applyAlignment="1" applyProtection="1">
      <alignment horizontal="left"/>
    </xf>
    <xf numFmtId="165" fontId="5" fillId="0" borderId="0" xfId="9" applyFont="1" applyFill="1" applyBorder="1" applyProtection="1"/>
    <xf numFmtId="0" fontId="5" fillId="4" borderId="29" xfId="26" applyFont="1" applyFill="1" applyBorder="1" applyAlignment="1" applyProtection="1">
      <alignment horizontal="center" vertical="center"/>
      <protection locked="0"/>
    </xf>
    <xf numFmtId="0" fontId="5" fillId="0" borderId="36" xfId="26" applyFont="1" applyFill="1" applyBorder="1" applyProtection="1"/>
    <xf numFmtId="10" fontId="4" fillId="0" borderId="37" xfId="28" applyNumberFormat="1" applyFont="1" applyFill="1" applyBorder="1" applyAlignment="1" applyProtection="1">
      <alignment horizontal="center"/>
    </xf>
    <xf numFmtId="10" fontId="5" fillId="0" borderId="38" xfId="28" applyNumberFormat="1" applyFont="1" applyFill="1" applyBorder="1" applyAlignment="1" applyProtection="1">
      <alignment horizontal="center"/>
    </xf>
    <xf numFmtId="0" fontId="5" fillId="0" borderId="49" xfId="26" applyFont="1" applyFill="1" applyBorder="1" applyAlignment="1" applyProtection="1">
      <alignment horizontal="center"/>
    </xf>
    <xf numFmtId="0" fontId="5" fillId="0" borderId="41" xfId="26" applyFont="1" applyFill="1" applyBorder="1" applyAlignment="1" applyProtection="1">
      <alignment horizontal="center"/>
    </xf>
    <xf numFmtId="0" fontId="5" fillId="0" borderId="83" xfId="26" applyFont="1" applyFill="1" applyBorder="1" applyAlignment="1" applyProtection="1">
      <alignment horizontal="center"/>
    </xf>
    <xf numFmtId="0" fontId="5" fillId="0" borderId="84" xfId="26" applyFont="1" applyFill="1" applyBorder="1" applyAlignment="1" applyProtection="1">
      <alignment horizontal="center"/>
    </xf>
    <xf numFmtId="49" fontId="5" fillId="0" borderId="20" xfId="26" applyNumberFormat="1" applyFont="1" applyFill="1" applyBorder="1" applyAlignment="1" applyProtection="1">
      <alignment horizontal="center"/>
    </xf>
    <xf numFmtId="9" fontId="5" fillId="4" borderId="25" xfId="29" applyFont="1" applyFill="1" applyBorder="1" applyAlignment="1" applyProtection="1">
      <alignment horizontal="center" vertical="center"/>
      <protection locked="0"/>
    </xf>
    <xf numFmtId="0" fontId="5" fillId="0" borderId="42" xfId="26" applyFont="1" applyFill="1" applyBorder="1" applyProtection="1"/>
    <xf numFmtId="9" fontId="4" fillId="0" borderId="60" xfId="26" applyNumberFormat="1" applyFont="1" applyFill="1" applyBorder="1" applyAlignment="1" applyProtection="1">
      <alignment horizontal="center"/>
    </xf>
    <xf numFmtId="0" fontId="5" fillId="0" borderId="61" xfId="26" applyFont="1" applyFill="1" applyBorder="1" applyAlignment="1" applyProtection="1">
      <alignment horizontal="center"/>
    </xf>
    <xf numFmtId="0" fontId="4" fillId="0" borderId="6" xfId="26" applyFont="1" applyFill="1" applyBorder="1" applyAlignment="1" applyProtection="1">
      <alignment horizontal="center"/>
    </xf>
    <xf numFmtId="1" fontId="5" fillId="0" borderId="11" xfId="9" applyNumberFormat="1" applyFont="1" applyFill="1" applyBorder="1" applyAlignment="1" applyProtection="1">
      <alignment horizontal="center"/>
    </xf>
    <xf numFmtId="0" fontId="4" fillId="0" borderId="42" xfId="26" applyFont="1" applyFill="1" applyBorder="1" applyProtection="1"/>
    <xf numFmtId="165" fontId="4" fillId="0" borderId="60" xfId="9" applyFont="1" applyFill="1" applyBorder="1" applyProtection="1">
      <protection locked="0"/>
    </xf>
    <xf numFmtId="165" fontId="4" fillId="0" borderId="60" xfId="9" applyFont="1" applyFill="1" applyBorder="1" applyAlignment="1" applyProtection="1">
      <alignment horizontal="center"/>
      <protection locked="0"/>
    </xf>
    <xf numFmtId="165" fontId="4" fillId="0" borderId="60" xfId="9" applyFont="1" applyFill="1" applyBorder="1" applyAlignment="1" applyProtection="1">
      <alignment horizontal="right"/>
      <protection locked="0"/>
    </xf>
    <xf numFmtId="173" fontId="4" fillId="0" borderId="60" xfId="26" applyNumberFormat="1" applyFont="1" applyFill="1" applyBorder="1" applyProtection="1"/>
    <xf numFmtId="173" fontId="5" fillId="0" borderId="61" xfId="26" applyNumberFormat="1" applyFont="1" applyFill="1" applyBorder="1" applyAlignment="1" applyProtection="1">
      <alignment horizontal="center"/>
    </xf>
    <xf numFmtId="2" fontId="29" fillId="0" borderId="23" xfId="26" applyNumberFormat="1" applyFont="1" applyFill="1" applyBorder="1" applyProtection="1"/>
    <xf numFmtId="0" fontId="4" fillId="0" borderId="83" xfId="26" applyFont="1" applyFill="1" applyBorder="1" applyProtection="1"/>
    <xf numFmtId="166" fontId="5" fillId="0" borderId="24" xfId="26" applyNumberFormat="1" applyFont="1" applyFill="1" applyBorder="1" applyProtection="1"/>
    <xf numFmtId="0" fontId="4" fillId="0" borderId="15" xfId="26" applyFont="1" applyFill="1" applyBorder="1" applyAlignment="1" applyProtection="1">
      <alignment horizontal="center"/>
    </xf>
    <xf numFmtId="0" fontId="4" fillId="0" borderId="2" xfId="26" applyFont="1" applyFill="1" applyBorder="1" applyAlignment="1" applyProtection="1">
      <alignment horizontal="center"/>
    </xf>
    <xf numFmtId="1" fontId="5" fillId="0" borderId="13" xfId="9" applyNumberFormat="1" applyFont="1" applyFill="1" applyBorder="1" applyAlignment="1" applyProtection="1">
      <alignment horizontal="center"/>
    </xf>
    <xf numFmtId="171" fontId="5" fillId="0" borderId="13" xfId="9" applyNumberFormat="1" applyFont="1" applyFill="1" applyBorder="1" applyAlignment="1" applyProtection="1">
      <alignment horizontal="center" vertical="center"/>
    </xf>
    <xf numFmtId="10" fontId="29" fillId="0" borderId="0" xfId="26" applyNumberFormat="1" applyFont="1" applyFill="1" applyBorder="1" applyAlignment="1" applyProtection="1">
      <alignment horizontal="right"/>
    </xf>
    <xf numFmtId="166" fontId="33" fillId="0" borderId="0" xfId="26" applyNumberFormat="1" applyFont="1" applyBorder="1" applyProtection="1"/>
    <xf numFmtId="0" fontId="31" fillId="0" borderId="0" xfId="26" applyFont="1" applyFill="1" applyBorder="1" applyProtection="1"/>
    <xf numFmtId="165" fontId="4" fillId="0" borderId="0" xfId="26" applyNumberFormat="1" applyFont="1" applyFill="1" applyBorder="1" applyProtection="1"/>
    <xf numFmtId="165" fontId="4" fillId="0" borderId="0" xfId="9" applyFont="1" applyFill="1" applyBorder="1" applyAlignment="1" applyProtection="1">
      <alignment horizontal="right"/>
      <protection locked="0"/>
    </xf>
    <xf numFmtId="0" fontId="4" fillId="0" borderId="22" xfId="26" applyFont="1" applyBorder="1" applyProtection="1">
      <protection locked="0"/>
    </xf>
    <xf numFmtId="1" fontId="5" fillId="4" borderId="24" xfId="26" applyNumberFormat="1" applyFont="1" applyFill="1" applyBorder="1" applyAlignment="1" applyProtection="1">
      <alignment horizontal="center"/>
      <protection locked="0"/>
    </xf>
    <xf numFmtId="0" fontId="4" fillId="0" borderId="36" xfId="26" applyFont="1" applyBorder="1" applyProtection="1"/>
    <xf numFmtId="0" fontId="4" fillId="0" borderId="37" xfId="26" applyFont="1" applyBorder="1" applyProtection="1"/>
    <xf numFmtId="0" fontId="4" fillId="0" borderId="38" xfId="26" applyFont="1" applyBorder="1" applyProtection="1"/>
    <xf numFmtId="0" fontId="4" fillId="3" borderId="40" xfId="26" applyFont="1" applyFill="1" applyBorder="1" applyAlignment="1" applyProtection="1">
      <alignment horizontal="center"/>
    </xf>
    <xf numFmtId="0" fontId="4" fillId="0" borderId="59" xfId="26" applyFont="1" applyBorder="1" applyAlignment="1" applyProtection="1">
      <alignment horizontal="center"/>
    </xf>
    <xf numFmtId="0" fontId="4" fillId="3" borderId="87" xfId="26" applyFont="1" applyFill="1" applyBorder="1" applyAlignment="1" applyProtection="1">
      <alignment horizontal="center"/>
    </xf>
    <xf numFmtId="0" fontId="4" fillId="3" borderId="21" xfId="26" applyFont="1" applyFill="1" applyBorder="1" applyAlignment="1" applyProtection="1">
      <alignment horizontal="center"/>
    </xf>
    <xf numFmtId="0" fontId="4" fillId="3" borderId="21" xfId="26" quotePrefix="1" applyFont="1" applyFill="1" applyBorder="1" applyAlignment="1" applyProtection="1">
      <alignment horizontal="center"/>
    </xf>
    <xf numFmtId="0" fontId="4" fillId="3" borderId="85" xfId="26" applyFont="1" applyFill="1" applyBorder="1" applyAlignment="1" applyProtection="1">
      <alignment horizontal="center"/>
    </xf>
    <xf numFmtId="0" fontId="4" fillId="0" borderId="42" xfId="26" applyFont="1" applyBorder="1" applyProtection="1"/>
    <xf numFmtId="0" fontId="4" fillId="0" borderId="60" xfId="26" applyFont="1" applyBorder="1" applyProtection="1"/>
    <xf numFmtId="0" fontId="4" fillId="0" borderId="61" xfId="26" applyFont="1" applyBorder="1" applyAlignment="1" applyProtection="1">
      <alignment horizontal="center"/>
    </xf>
    <xf numFmtId="0" fontId="4" fillId="3" borderId="88" xfId="26" applyFont="1" applyFill="1" applyBorder="1" applyAlignment="1" applyProtection="1">
      <alignment horizontal="center"/>
    </xf>
    <xf numFmtId="0" fontId="4" fillId="3" borderId="60" xfId="26" applyFont="1" applyFill="1" applyBorder="1" applyAlignment="1" applyProtection="1">
      <alignment horizontal="center"/>
    </xf>
    <xf numFmtId="0" fontId="4" fillId="3" borderId="89" xfId="26" applyFont="1" applyFill="1" applyBorder="1" applyAlignment="1" applyProtection="1">
      <alignment horizontal="center"/>
    </xf>
    <xf numFmtId="173" fontId="4" fillId="0" borderId="0" xfId="26" applyNumberFormat="1" applyFont="1" applyProtection="1">
      <protection locked="0"/>
    </xf>
    <xf numFmtId="0" fontId="5" fillId="0" borderId="67" xfId="26" applyFont="1" applyFill="1" applyBorder="1" applyAlignment="1" applyProtection="1">
      <alignment horizontal="center"/>
      <protection locked="0"/>
    </xf>
    <xf numFmtId="49" fontId="21" fillId="0" borderId="90" xfId="9" applyNumberFormat="1" applyFont="1" applyFill="1" applyBorder="1" applyAlignment="1" applyProtection="1">
      <alignment horizontal="left"/>
      <protection locked="0"/>
    </xf>
    <xf numFmtId="174" fontId="4" fillId="0" borderId="68" xfId="9" applyNumberFormat="1" applyFont="1" applyFill="1" applyBorder="1" applyAlignment="1" applyProtection="1">
      <alignment vertical="center"/>
      <protection locked="0"/>
    </xf>
    <xf numFmtId="165" fontId="4" fillId="0" borderId="92" xfId="9" applyFont="1" applyFill="1" applyBorder="1" applyAlignment="1" applyProtection="1">
      <alignment horizontal="center"/>
      <protection locked="0"/>
    </xf>
    <xf numFmtId="166" fontId="4" fillId="0" borderId="68" xfId="9" applyNumberFormat="1" applyFont="1" applyFill="1" applyBorder="1" applyProtection="1">
      <protection locked="0"/>
    </xf>
    <xf numFmtId="175" fontId="4" fillId="0" borderId="68" xfId="9" applyNumberFormat="1" applyFont="1" applyFill="1" applyBorder="1" applyProtection="1"/>
    <xf numFmtId="165" fontId="4" fillId="0" borderId="68" xfId="9" applyFont="1" applyFill="1" applyBorder="1" applyProtection="1"/>
    <xf numFmtId="2" fontId="4" fillId="0" borderId="68" xfId="9" applyNumberFormat="1" applyFont="1" applyFill="1" applyBorder="1" applyAlignment="1" applyProtection="1">
      <alignment horizontal="center"/>
      <protection locked="0"/>
    </xf>
    <xf numFmtId="165" fontId="4" fillId="0" borderId="91" xfId="9" applyFont="1" applyFill="1" applyBorder="1" applyProtection="1"/>
    <xf numFmtId="0" fontId="5" fillId="0" borderId="93" xfId="26" applyFont="1" applyBorder="1" applyProtection="1"/>
    <xf numFmtId="0" fontId="5" fillId="0" borderId="19" xfId="26" applyFont="1" applyBorder="1" applyProtection="1"/>
    <xf numFmtId="165" fontId="5" fillId="0" borderId="83" xfId="9" applyFont="1" applyFill="1" applyBorder="1" applyProtection="1"/>
    <xf numFmtId="165" fontId="5" fillId="0" borderId="83" xfId="9" applyFont="1" applyBorder="1" applyProtection="1"/>
    <xf numFmtId="165" fontId="5" fillId="0" borderId="24" xfId="9" applyFont="1" applyFill="1" applyBorder="1" applyProtection="1"/>
    <xf numFmtId="174" fontId="4" fillId="0" borderId="0" xfId="26" applyNumberFormat="1" applyFont="1" applyProtection="1">
      <protection locked="0"/>
    </xf>
    <xf numFmtId="166" fontId="4" fillId="0" borderId="0" xfId="26" applyNumberFormat="1" applyFont="1" applyBorder="1" applyProtection="1">
      <protection locked="0"/>
    </xf>
    <xf numFmtId="43" fontId="4" fillId="0" borderId="0" xfId="26" applyNumberFormat="1" applyFont="1" applyBorder="1" applyProtection="1">
      <protection locked="0"/>
    </xf>
    <xf numFmtId="0" fontId="4" fillId="0" borderId="52" xfId="26" applyFont="1" applyBorder="1" applyProtection="1">
      <protection locked="0"/>
    </xf>
    <xf numFmtId="0" fontId="4" fillId="0" borderId="53" xfId="26" applyFont="1" applyBorder="1" applyProtection="1">
      <protection locked="0"/>
    </xf>
    <xf numFmtId="0" fontId="4" fillId="0" borderId="53" xfId="26" applyNumberFormat="1" applyFont="1" applyBorder="1" applyProtection="1">
      <protection locked="0"/>
    </xf>
    <xf numFmtId="166" fontId="4" fillId="0" borderId="53" xfId="26" applyNumberFormat="1" applyFont="1" applyBorder="1" applyProtection="1">
      <protection locked="0"/>
    </xf>
    <xf numFmtId="0" fontId="4" fillId="0" borderId="28" xfId="26" applyFont="1" applyBorder="1" applyProtection="1">
      <protection locked="0"/>
    </xf>
    <xf numFmtId="0" fontId="4" fillId="0" borderId="0" xfId="26" applyNumberFormat="1" applyFont="1" applyBorder="1" applyProtection="1">
      <protection locked="0"/>
    </xf>
    <xf numFmtId="166" fontId="4" fillId="0" borderId="18" xfId="26" applyNumberFormat="1" applyFont="1" applyBorder="1" applyProtection="1">
      <protection locked="0"/>
    </xf>
    <xf numFmtId="0" fontId="4" fillId="3" borderId="53" xfId="26" applyFont="1" applyFill="1" applyBorder="1" applyAlignment="1" applyProtection="1">
      <alignment horizontal="center"/>
      <protection locked="0"/>
    </xf>
    <xf numFmtId="166" fontId="4" fillId="3" borderId="53" xfId="26" applyNumberFormat="1" applyFont="1" applyFill="1" applyBorder="1" applyAlignment="1" applyProtection="1">
      <alignment horizontal="center"/>
      <protection locked="0"/>
    </xf>
    <xf numFmtId="0" fontId="4" fillId="0" borderId="94" xfId="26" applyFont="1" applyFill="1" applyBorder="1" applyProtection="1"/>
    <xf numFmtId="0" fontId="4" fillId="0" borderId="82" xfId="26" applyFont="1" applyFill="1" applyBorder="1" applyAlignment="1" applyProtection="1">
      <alignment horizontal="center"/>
    </xf>
    <xf numFmtId="0" fontId="4" fillId="0" borderId="74" xfId="26" applyFont="1" applyFill="1" applyBorder="1" applyAlignment="1" applyProtection="1">
      <alignment horizontal="center"/>
    </xf>
    <xf numFmtId="0" fontId="4" fillId="0" borderId="95" xfId="26" applyFont="1" applyFill="1" applyBorder="1" applyAlignment="1" applyProtection="1">
      <alignment horizontal="center"/>
    </xf>
    <xf numFmtId="0" fontId="4" fillId="0" borderId="74" xfId="26" applyFont="1" applyFill="1" applyBorder="1" applyProtection="1"/>
    <xf numFmtId="0" fontId="4" fillId="0" borderId="96" xfId="26" applyFont="1" applyBorder="1" applyProtection="1"/>
    <xf numFmtId="0" fontId="4" fillId="0" borderId="90" xfId="26" applyFont="1" applyFill="1" applyBorder="1" applyAlignment="1" applyProtection="1">
      <alignment horizontal="center"/>
    </xf>
    <xf numFmtId="0" fontId="15" fillId="0" borderId="94" xfId="26" applyFont="1" applyFill="1" applyBorder="1" applyProtection="1"/>
    <xf numFmtId="0" fontId="4" fillId="0" borderId="80" xfId="26" applyFont="1" applyFill="1" applyBorder="1" applyAlignment="1" applyProtection="1">
      <alignment horizontal="center"/>
    </xf>
    <xf numFmtId="0" fontId="4" fillId="0" borderId="80" xfId="26" applyFont="1" applyBorder="1" applyAlignment="1" applyProtection="1">
      <alignment horizontal="center"/>
    </xf>
    <xf numFmtId="0" fontId="4" fillId="0" borderId="64" xfId="26" applyFont="1" applyBorder="1" applyAlignment="1" applyProtection="1">
      <alignment horizontal="center"/>
    </xf>
    <xf numFmtId="0" fontId="4" fillId="0" borderId="70" xfId="26" applyFont="1" applyBorder="1" applyProtection="1"/>
    <xf numFmtId="0" fontId="4" fillId="0" borderId="97" xfId="26" applyFont="1" applyBorder="1" applyAlignment="1" applyProtection="1">
      <alignment horizontal="center"/>
    </xf>
    <xf numFmtId="0" fontId="4" fillId="0" borderId="69" xfId="26" applyFont="1" applyBorder="1" applyAlignment="1" applyProtection="1">
      <alignment horizontal="center"/>
    </xf>
    <xf numFmtId="0" fontId="4" fillId="8" borderId="19" xfId="26" applyFont="1" applyFill="1" applyBorder="1" applyAlignment="1" applyProtection="1">
      <alignment horizontal="center"/>
      <protection locked="0"/>
    </xf>
    <xf numFmtId="0" fontId="5" fillId="9" borderId="41" xfId="26" applyFont="1" applyFill="1" applyBorder="1" applyProtection="1">
      <protection locked="0"/>
    </xf>
    <xf numFmtId="10" fontId="4" fillId="0" borderId="0" xfId="26" applyNumberFormat="1" applyFont="1" applyBorder="1" applyProtection="1">
      <protection locked="0"/>
    </xf>
    <xf numFmtId="0" fontId="4" fillId="0" borderId="52" xfId="26" applyFont="1" applyFill="1" applyBorder="1" applyProtection="1">
      <protection locked="0"/>
    </xf>
    <xf numFmtId="173" fontId="4" fillId="0" borderId="53" xfId="26" applyNumberFormat="1" applyFont="1" applyBorder="1" applyProtection="1">
      <protection locked="0"/>
    </xf>
    <xf numFmtId="0" fontId="20" fillId="0" borderId="0" xfId="0" applyFont="1" applyFill="1"/>
    <xf numFmtId="0" fontId="4" fillId="0" borderId="0" xfId="0" applyFont="1" applyFill="1"/>
    <xf numFmtId="0" fontId="15" fillId="0" borderId="0" xfId="0" applyFont="1"/>
    <xf numFmtId="0" fontId="5" fillId="0" borderId="0" xfId="0" applyFont="1" applyFill="1"/>
    <xf numFmtId="0" fontId="4" fillId="0" borderId="0" xfId="0" applyFont="1" applyFill="1" applyProtection="1">
      <protection locked="0"/>
    </xf>
    <xf numFmtId="169" fontId="4" fillId="0" borderId="0" xfId="0" applyNumberFormat="1" applyFont="1" applyFill="1" applyAlignment="1" applyProtection="1">
      <alignment horizontal="center"/>
    </xf>
    <xf numFmtId="0" fontId="15" fillId="0" borderId="0" xfId="0" applyFont="1" applyFill="1"/>
    <xf numFmtId="169" fontId="15" fillId="0" borderId="0" xfId="0" applyNumberFormat="1" applyFont="1" applyFill="1"/>
    <xf numFmtId="0" fontId="5" fillId="0" borderId="0" xfId="0" applyFont="1" applyFill="1" applyAlignment="1" applyProtection="1">
      <alignment horizontal="left"/>
      <protection locked="0"/>
    </xf>
    <xf numFmtId="167" fontId="12" fillId="0" borderId="24" xfId="27" applyNumberFormat="1" applyFont="1" applyFill="1" applyBorder="1" applyAlignment="1">
      <alignment horizontal="center"/>
    </xf>
    <xf numFmtId="167" fontId="5" fillId="0" borderId="41" xfId="0" applyNumberFormat="1" applyFont="1" applyBorder="1"/>
    <xf numFmtId="1" fontId="27" fillId="0" borderId="0" xfId="26" applyNumberFormat="1" applyFont="1" applyBorder="1" applyProtection="1">
      <protection locked="0"/>
    </xf>
    <xf numFmtId="0" fontId="36" fillId="7" borderId="38" xfId="26" applyFont="1" applyFill="1" applyBorder="1" applyAlignment="1" applyProtection="1">
      <alignment horizontal="center"/>
    </xf>
    <xf numFmtId="0" fontId="36" fillId="7" borderId="58" xfId="26" applyFont="1" applyFill="1" applyBorder="1" applyAlignment="1" applyProtection="1">
      <alignment horizontal="center"/>
    </xf>
    <xf numFmtId="0" fontId="36" fillId="7" borderId="21" xfId="26" applyFont="1" applyFill="1" applyBorder="1" applyAlignment="1" applyProtection="1">
      <alignment horizontal="center"/>
    </xf>
    <xf numFmtId="0" fontId="36" fillId="7" borderId="21" xfId="26" quotePrefix="1" applyFont="1" applyFill="1" applyBorder="1" applyAlignment="1" applyProtection="1">
      <alignment horizontal="center"/>
    </xf>
    <xf numFmtId="0" fontId="36" fillId="7" borderId="59" xfId="26" applyFont="1" applyFill="1" applyBorder="1" applyAlignment="1" applyProtection="1">
      <alignment horizontal="center"/>
    </xf>
    <xf numFmtId="0" fontId="36" fillId="7" borderId="42" xfId="26" applyFont="1" applyFill="1" applyBorder="1" applyAlignment="1" applyProtection="1">
      <alignment horizontal="center"/>
    </xf>
    <xf numFmtId="0" fontId="36" fillId="7" borderId="60" xfId="26" applyFont="1" applyFill="1" applyBorder="1" applyAlignment="1" applyProtection="1">
      <alignment horizontal="center"/>
    </xf>
    <xf numFmtId="0" fontId="36" fillId="7" borderId="61" xfId="26" applyFont="1" applyFill="1" applyBorder="1" applyAlignment="1" applyProtection="1">
      <alignment horizontal="center"/>
    </xf>
    <xf numFmtId="0" fontId="5" fillId="0" borderId="67" xfId="16" applyFont="1" applyFill="1" applyBorder="1" applyAlignment="1" applyProtection="1">
      <alignment horizontal="center"/>
      <protection locked="0"/>
    </xf>
    <xf numFmtId="175" fontId="10" fillId="0" borderId="68" xfId="9" applyNumberFormat="1" applyFill="1" applyBorder="1" applyProtection="1"/>
    <xf numFmtId="165" fontId="10" fillId="0" borderId="68" xfId="9" applyFill="1" applyBorder="1" applyProtection="1"/>
    <xf numFmtId="165" fontId="10" fillId="0" borderId="68" xfId="9" applyFill="1" applyBorder="1" applyProtection="1">
      <protection locked="0"/>
    </xf>
    <xf numFmtId="166" fontId="10" fillId="0" borderId="68" xfId="9" applyNumberFormat="1" applyFill="1" applyBorder="1" applyProtection="1"/>
    <xf numFmtId="165" fontId="4" fillId="0" borderId="92" xfId="9" applyFont="1" applyFill="1" applyBorder="1" applyProtection="1">
      <protection locked="0"/>
    </xf>
    <xf numFmtId="0" fontId="4" fillId="0" borderId="64" xfId="26" applyFont="1" applyFill="1" applyBorder="1" applyAlignment="1" applyProtection="1">
      <alignment horizontal="center"/>
    </xf>
    <xf numFmtId="0" fontId="4" fillId="0" borderId="96" xfId="26" applyFont="1" applyFill="1" applyBorder="1" applyProtection="1"/>
    <xf numFmtId="0" fontId="4" fillId="0" borderId="0" xfId="16" applyFont="1" applyBorder="1" applyAlignment="1" applyProtection="1">
      <alignment horizontal="center"/>
      <protection locked="0"/>
    </xf>
    <xf numFmtId="0" fontId="16" fillId="10" borderId="29" xfId="30" applyNumberFormat="1" applyFont="1" applyFill="1" applyBorder="1" applyAlignment="1">
      <alignment horizontal="center" vertical="center"/>
    </xf>
    <xf numFmtId="14" fontId="4" fillId="10" borderId="25" xfId="30" applyNumberFormat="1" applyFont="1" applyFill="1" applyBorder="1" applyAlignment="1">
      <alignment horizontal="center" vertical="center"/>
    </xf>
    <xf numFmtId="167" fontId="12" fillId="4" borderId="2" xfId="27" applyNumberFormat="1" applyFont="1" applyFill="1" applyBorder="1" applyAlignment="1">
      <alignment horizontal="center"/>
    </xf>
    <xf numFmtId="167" fontId="12" fillId="4" borderId="47" xfId="27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167" fontId="12" fillId="11" borderId="11" xfId="27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7" fontId="12" fillId="4" borderId="4" xfId="27" applyNumberFormat="1" applyFont="1" applyFill="1" applyBorder="1" applyAlignment="1">
      <alignment horizontal="center" vertical="center"/>
    </xf>
    <xf numFmtId="167" fontId="12" fillId="4" borderId="46" xfId="27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7" fontId="12" fillId="4" borderId="2" xfId="27" applyNumberFormat="1" applyFont="1" applyFill="1" applyBorder="1" applyAlignment="1">
      <alignment horizontal="center" vertical="center"/>
    </xf>
    <xf numFmtId="167" fontId="12" fillId="4" borderId="47" xfId="27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7" fillId="0" borderId="0" xfId="0" applyFont="1"/>
    <xf numFmtId="0" fontId="4" fillId="11" borderId="3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167" fontId="12" fillId="11" borderId="4" xfId="27" applyNumberFormat="1" applyFont="1" applyFill="1" applyBorder="1" applyAlignment="1">
      <alignment horizontal="center" vertical="center"/>
    </xf>
    <xf numFmtId="167" fontId="12" fillId="11" borderId="46" xfId="27" applyNumberFormat="1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167" fontId="12" fillId="11" borderId="2" xfId="27" applyNumberFormat="1" applyFont="1" applyFill="1" applyBorder="1" applyAlignment="1">
      <alignment horizontal="center" vertical="center"/>
    </xf>
    <xf numFmtId="167" fontId="12" fillId="11" borderId="47" xfId="27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2" fontId="0" fillId="0" borderId="0" xfId="0" applyNumberFormat="1"/>
    <xf numFmtId="2" fontId="16" fillId="6" borderId="29" xfId="30" applyNumberFormat="1" applyFont="1" applyFill="1" applyBorder="1" applyAlignment="1">
      <alignment horizontal="center" vertical="center"/>
    </xf>
    <xf numFmtId="2" fontId="12" fillId="11" borderId="5" xfId="27" applyNumberFormat="1" applyFont="1" applyFill="1" applyBorder="1" applyAlignment="1">
      <alignment horizontal="center"/>
    </xf>
    <xf numFmtId="2" fontId="12" fillId="11" borderId="7" xfId="27" applyNumberFormat="1" applyFont="1" applyFill="1" applyBorder="1" applyAlignment="1">
      <alignment horizontal="center"/>
    </xf>
    <xf numFmtId="2" fontId="12" fillId="4" borderId="5" xfId="27" applyNumberFormat="1" applyFont="1" applyFill="1" applyBorder="1" applyAlignment="1">
      <alignment horizontal="center"/>
    </xf>
    <xf numFmtId="2" fontId="12" fillId="4" borderId="7" xfId="27" applyNumberFormat="1" applyFont="1" applyFill="1" applyBorder="1" applyAlignment="1">
      <alignment horizontal="center"/>
    </xf>
    <xf numFmtId="2" fontId="5" fillId="0" borderId="41" xfId="0" applyNumberFormat="1" applyFont="1" applyBorder="1"/>
    <xf numFmtId="1" fontId="4" fillId="11" borderId="4" xfId="26" applyNumberFormat="1" applyFont="1" applyFill="1" applyBorder="1" applyAlignment="1">
      <alignment horizontal="center" vertical="center"/>
    </xf>
    <xf numFmtId="4" fontId="4" fillId="11" borderId="4" xfId="26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right"/>
    </xf>
    <xf numFmtId="1" fontId="4" fillId="11" borderId="2" xfId="26" applyNumberFormat="1" applyFont="1" applyFill="1" applyBorder="1" applyAlignment="1">
      <alignment horizontal="center" vertical="center"/>
    </xf>
    <xf numFmtId="4" fontId="4" fillId="11" borderId="2" xfId="26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right"/>
    </xf>
    <xf numFmtId="1" fontId="4" fillId="11" borderId="9" xfId="26" applyNumberFormat="1" applyFont="1" applyFill="1" applyBorder="1" applyAlignment="1">
      <alignment horizontal="center" vertical="center"/>
    </xf>
    <xf numFmtId="4" fontId="4" fillId="11" borderId="9" xfId="26" applyNumberFormat="1" applyFont="1" applyFill="1" applyBorder="1" applyAlignment="1">
      <alignment horizontal="center" vertical="center"/>
    </xf>
    <xf numFmtId="0" fontId="4" fillId="11" borderId="7" xfId="26" applyFont="1" applyFill="1" applyBorder="1" applyAlignment="1">
      <alignment horizontal="center"/>
    </xf>
    <xf numFmtId="0" fontId="4" fillId="11" borderId="10" xfId="26" applyFont="1" applyFill="1" applyBorder="1" applyAlignment="1">
      <alignment horizontal="center"/>
    </xf>
    <xf numFmtId="0" fontId="4" fillId="11" borderId="29" xfId="26" applyFont="1" applyFill="1" applyBorder="1" applyAlignment="1">
      <alignment horizontal="center"/>
    </xf>
    <xf numFmtId="167" fontId="4" fillId="11" borderId="29" xfId="27" applyNumberFormat="1" applyFont="1" applyFill="1" applyBorder="1" applyAlignment="1">
      <alignment horizontal="center"/>
    </xf>
    <xf numFmtId="1" fontId="4" fillId="11" borderId="27" xfId="26" applyNumberFormat="1" applyFont="1" applyFill="1" applyBorder="1" applyAlignment="1">
      <alignment horizontal="center" vertical="center"/>
    </xf>
    <xf numFmtId="4" fontId="4" fillId="11" borderId="27" xfId="26" applyNumberFormat="1" applyFont="1" applyFill="1" applyBorder="1" applyAlignment="1">
      <alignment horizontal="center" vertical="center"/>
    </xf>
    <xf numFmtId="0" fontId="4" fillId="11" borderId="27" xfId="26" applyFont="1" applyFill="1" applyBorder="1" applyAlignment="1">
      <alignment horizontal="center" vertical="center"/>
    </xf>
    <xf numFmtId="0" fontId="4" fillId="11" borderId="33" xfId="26" applyFont="1" applyFill="1" applyBorder="1" applyAlignment="1">
      <alignment horizontal="center"/>
    </xf>
    <xf numFmtId="167" fontId="4" fillId="11" borderId="33" xfId="27" applyNumberFormat="1" applyFont="1" applyFill="1" applyBorder="1" applyAlignment="1">
      <alignment horizontal="center"/>
    </xf>
    <xf numFmtId="1" fontId="4" fillId="11" borderId="25" xfId="26" applyNumberFormat="1" applyFont="1" applyFill="1" applyBorder="1" applyAlignment="1">
      <alignment horizontal="center" vertical="center"/>
    </xf>
    <xf numFmtId="4" fontId="4" fillId="11" borderId="25" xfId="26" applyNumberFormat="1" applyFont="1" applyFill="1" applyBorder="1" applyAlignment="1">
      <alignment horizontal="center" vertical="center"/>
    </xf>
    <xf numFmtId="1" fontId="4" fillId="4" borderId="30" xfId="26" applyNumberFormat="1" applyFont="1" applyFill="1" applyBorder="1" applyAlignment="1">
      <alignment horizontal="center" vertical="center"/>
    </xf>
    <xf numFmtId="4" fontId="4" fillId="4" borderId="30" xfId="26" applyNumberFormat="1" applyFont="1" applyFill="1" applyBorder="1" applyAlignment="1">
      <alignment horizontal="center" vertical="center"/>
    </xf>
    <xf numFmtId="0" fontId="4" fillId="4" borderId="31" xfId="26" applyFont="1" applyFill="1" applyBorder="1" applyAlignment="1">
      <alignment horizontal="center" vertical="center"/>
    </xf>
    <xf numFmtId="0" fontId="4" fillId="4" borderId="33" xfId="26" applyFont="1" applyFill="1" applyBorder="1" applyAlignment="1">
      <alignment horizontal="center"/>
    </xf>
    <xf numFmtId="167" fontId="4" fillId="4" borderId="33" xfId="27" applyNumberFormat="1" applyFont="1" applyFill="1" applyBorder="1" applyAlignment="1">
      <alignment horizontal="center"/>
    </xf>
    <xf numFmtId="0" fontId="4" fillId="4" borderId="35" xfId="26" applyFont="1" applyFill="1" applyBorder="1" applyAlignment="1">
      <alignment horizontal="center"/>
    </xf>
    <xf numFmtId="1" fontId="4" fillId="4" borderId="25" xfId="26" applyNumberFormat="1" applyFont="1" applyFill="1" applyBorder="1" applyAlignment="1">
      <alignment horizontal="center" vertical="center"/>
    </xf>
    <xf numFmtId="4" fontId="4" fillId="4" borderId="25" xfId="26" applyNumberFormat="1" applyFont="1" applyFill="1" applyBorder="1" applyAlignment="1">
      <alignment horizontal="center" vertical="center"/>
    </xf>
    <xf numFmtId="0" fontId="4" fillId="4" borderId="28" xfId="26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/>
    </xf>
    <xf numFmtId="166" fontId="28" fillId="10" borderId="50" xfId="26" applyNumberFormat="1" applyFont="1" applyFill="1" applyBorder="1" applyProtection="1">
      <protection locked="0"/>
    </xf>
    <xf numFmtId="166" fontId="28" fillId="10" borderId="0" xfId="26" applyNumberFormat="1" applyFont="1" applyFill="1" applyBorder="1" applyProtection="1">
      <protection locked="0"/>
    </xf>
    <xf numFmtId="166" fontId="28" fillId="10" borderId="52" xfId="26" applyNumberFormat="1" applyFont="1" applyFill="1" applyBorder="1" applyProtection="1">
      <protection locked="0"/>
    </xf>
    <xf numFmtId="166" fontId="28" fillId="10" borderId="53" xfId="26" applyNumberFormat="1" applyFont="1" applyFill="1" applyBorder="1" applyProtection="1">
      <protection locked="0"/>
    </xf>
    <xf numFmtId="166" fontId="28" fillId="10" borderId="51" xfId="26" applyNumberFormat="1" applyFont="1" applyFill="1" applyBorder="1" applyProtection="1">
      <protection locked="0"/>
    </xf>
    <xf numFmtId="0" fontId="26" fillId="10" borderId="22" xfId="26" applyFont="1" applyFill="1" applyBorder="1" applyAlignment="1" applyProtection="1">
      <alignment horizontal="center"/>
      <protection locked="0"/>
    </xf>
    <xf numFmtId="0" fontId="26" fillId="10" borderId="23" xfId="26" applyFont="1" applyFill="1" applyBorder="1" applyProtection="1">
      <protection locked="0"/>
    </xf>
    <xf numFmtId="166" fontId="26" fillId="10" borderId="24" xfId="26" applyNumberFormat="1" applyFont="1" applyFill="1" applyBorder="1" applyProtection="1">
      <protection locked="0"/>
    </xf>
    <xf numFmtId="169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26" applyFont="1" applyFill="1" applyBorder="1" applyProtection="1"/>
    <xf numFmtId="165" fontId="5" fillId="0" borderId="0" xfId="9" applyFont="1" applyFill="1" applyBorder="1" applyProtection="1">
      <protection locked="0"/>
    </xf>
    <xf numFmtId="165" fontId="5" fillId="0" borderId="0" xfId="9" applyFont="1" applyFill="1" applyBorder="1" applyAlignment="1" applyProtection="1">
      <alignment horizontal="center" vertical="center"/>
    </xf>
    <xf numFmtId="0" fontId="5" fillId="11" borderId="49" xfId="0" applyFont="1" applyFill="1" applyBorder="1" applyAlignment="1" applyProtection="1">
      <alignment horizontal="left"/>
      <protection locked="0"/>
    </xf>
    <xf numFmtId="0" fontId="5" fillId="11" borderId="18" xfId="0" applyFont="1" applyFill="1" applyBorder="1"/>
    <xf numFmtId="0" fontId="5" fillId="11" borderId="50" xfId="0" applyFont="1" applyFill="1" applyBorder="1" applyAlignment="1" applyProtection="1">
      <alignment horizontal="left"/>
      <protection locked="0"/>
    </xf>
    <xf numFmtId="0" fontId="5" fillId="11" borderId="0" xfId="0" applyFont="1" applyFill="1" applyBorder="1"/>
    <xf numFmtId="0" fontId="5" fillId="11" borderId="45" xfId="0" applyFont="1" applyFill="1" applyBorder="1" applyAlignment="1" applyProtection="1">
      <alignment horizontal="left"/>
      <protection locked="0"/>
    </xf>
    <xf numFmtId="0" fontId="5" fillId="11" borderId="55" xfId="0" applyFont="1" applyFill="1" applyBorder="1"/>
    <xf numFmtId="0" fontId="23" fillId="11" borderId="0" xfId="0" applyFont="1" applyFill="1" applyBorder="1"/>
    <xf numFmtId="0" fontId="23" fillId="11" borderId="50" xfId="0" applyFont="1" applyFill="1" applyBorder="1" applyAlignment="1" applyProtection="1">
      <alignment horizontal="left"/>
      <protection locked="0"/>
    </xf>
    <xf numFmtId="0" fontId="23" fillId="11" borderId="52" xfId="0" applyFont="1" applyFill="1" applyBorder="1" applyAlignment="1" applyProtection="1">
      <alignment horizontal="left"/>
      <protection locked="0"/>
    </xf>
    <xf numFmtId="0" fontId="23" fillId="11" borderId="53" xfId="0" applyFont="1" applyFill="1" applyBorder="1"/>
    <xf numFmtId="2" fontId="5" fillId="4" borderId="49" xfId="0" applyNumberFormat="1" applyFont="1" applyFill="1" applyBorder="1" applyAlignment="1">
      <alignment horizontal="right"/>
    </xf>
    <xf numFmtId="0" fontId="5" fillId="4" borderId="14" xfId="0" applyFont="1" applyFill="1" applyBorder="1" applyAlignment="1">
      <alignment horizontal="center"/>
    </xf>
    <xf numFmtId="2" fontId="5" fillId="4" borderId="50" xfId="0" applyNumberFormat="1" applyFont="1" applyFill="1" applyBorder="1" applyAlignment="1">
      <alignment horizontal="right"/>
    </xf>
    <xf numFmtId="0" fontId="5" fillId="4" borderId="51" xfId="0" applyFont="1" applyFill="1" applyBorder="1" applyAlignment="1">
      <alignment horizontal="center"/>
    </xf>
    <xf numFmtId="2" fontId="5" fillId="4" borderId="45" xfId="0" applyNumberFormat="1" applyFont="1" applyFill="1" applyBorder="1" applyAlignment="1">
      <alignment horizontal="right"/>
    </xf>
    <xf numFmtId="0" fontId="5" fillId="4" borderId="31" xfId="0" applyFont="1" applyFill="1" applyBorder="1" applyAlignment="1">
      <alignment horizontal="center"/>
    </xf>
    <xf numFmtId="1" fontId="5" fillId="4" borderId="50" xfId="0" applyNumberFormat="1" applyFont="1" applyFill="1" applyBorder="1" applyAlignment="1">
      <alignment horizontal="right"/>
    </xf>
    <xf numFmtId="0" fontId="5" fillId="4" borderId="51" xfId="16" applyFont="1" applyFill="1" applyBorder="1" applyAlignment="1" applyProtection="1">
      <alignment horizontal="center"/>
      <protection locked="0"/>
    </xf>
    <xf numFmtId="2" fontId="5" fillId="4" borderId="52" xfId="0" applyNumberFormat="1" applyFont="1" applyFill="1" applyBorder="1" applyAlignment="1">
      <alignment horizontal="right"/>
    </xf>
    <xf numFmtId="0" fontId="5" fillId="4" borderId="28" xfId="0" applyFont="1" applyFill="1" applyBorder="1" applyAlignment="1">
      <alignment horizontal="center"/>
    </xf>
    <xf numFmtId="166" fontId="4" fillId="0" borderId="65" xfId="9" applyNumberFormat="1" applyFont="1" applyFill="1" applyBorder="1" applyProtection="1">
      <protection locked="0"/>
    </xf>
    <xf numFmtId="49" fontId="39" fillId="0" borderId="90" xfId="9" applyNumberFormat="1" applyFont="1" applyFill="1" applyBorder="1" applyAlignment="1" applyProtection="1">
      <alignment horizontal="left"/>
      <protection locked="0"/>
    </xf>
    <xf numFmtId="0" fontId="27" fillId="0" borderId="0" xfId="26" applyFont="1" applyBorder="1" applyProtection="1">
      <protection locked="0"/>
    </xf>
    <xf numFmtId="0" fontId="4" fillId="11" borderId="35" xfId="26" applyFont="1" applyFill="1" applyBorder="1" applyAlignment="1">
      <alignment horizontal="center"/>
    </xf>
    <xf numFmtId="1" fontId="4" fillId="11" borderId="30" xfId="26" applyNumberFormat="1" applyFont="1" applyFill="1" applyBorder="1" applyAlignment="1">
      <alignment horizontal="center" vertical="center"/>
    </xf>
    <xf numFmtId="4" fontId="4" fillId="11" borderId="30" xfId="26" applyNumberFormat="1" applyFont="1" applyFill="1" applyBorder="1" applyAlignment="1">
      <alignment horizontal="center" vertical="center"/>
    </xf>
    <xf numFmtId="0" fontId="4" fillId="11" borderId="31" xfId="26" applyFont="1" applyFill="1" applyBorder="1" applyAlignment="1">
      <alignment horizontal="center" vertical="center"/>
    </xf>
    <xf numFmtId="0" fontId="4" fillId="11" borderId="28" xfId="26" applyFont="1" applyFill="1" applyBorder="1" applyAlignment="1">
      <alignment horizontal="center" vertical="center"/>
    </xf>
    <xf numFmtId="0" fontId="4" fillId="11" borderId="51" xfId="26" applyFont="1" applyFill="1" applyBorder="1" applyAlignment="1">
      <alignment horizontal="center" vertical="center"/>
    </xf>
    <xf numFmtId="1" fontId="4" fillId="4" borderId="27" xfId="26" applyNumberFormat="1" applyFont="1" applyFill="1" applyBorder="1" applyAlignment="1">
      <alignment horizontal="center" vertical="center"/>
    </xf>
    <xf numFmtId="4" fontId="4" fillId="4" borderId="27" xfId="26" applyNumberFormat="1" applyFont="1" applyFill="1" applyBorder="1" applyAlignment="1">
      <alignment horizontal="center" vertical="center"/>
    </xf>
    <xf numFmtId="0" fontId="4" fillId="4" borderId="51" xfId="26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167" fontId="12" fillId="11" borderId="12" xfId="27" applyNumberFormat="1" applyFont="1" applyFill="1" applyBorder="1" applyAlignment="1">
      <alignment horizontal="center"/>
    </xf>
    <xf numFmtId="0" fontId="4" fillId="11" borderId="12" xfId="26" applyFont="1" applyFill="1" applyBorder="1" applyAlignment="1">
      <alignment horizontal="center"/>
    </xf>
    <xf numFmtId="1" fontId="4" fillId="11" borderId="13" xfId="26" applyNumberFormat="1" applyFont="1" applyFill="1" applyBorder="1" applyAlignment="1">
      <alignment horizontal="center" vertical="center"/>
    </xf>
    <xf numFmtId="1" fontId="4" fillId="4" borderId="4" xfId="26" applyNumberFormat="1" applyFont="1" applyFill="1" applyBorder="1" applyAlignment="1">
      <alignment horizontal="center" vertical="center"/>
    </xf>
    <xf numFmtId="1" fontId="4" fillId="4" borderId="2" xfId="26" applyNumberFormat="1" applyFont="1" applyFill="1" applyBorder="1" applyAlignment="1">
      <alignment horizontal="center" vertical="center"/>
    </xf>
    <xf numFmtId="4" fontId="4" fillId="4" borderId="2" xfId="26" applyNumberFormat="1" applyFont="1" applyFill="1" applyBorder="1" applyAlignment="1">
      <alignment horizontal="center" vertical="center"/>
    </xf>
    <xf numFmtId="0" fontId="4" fillId="4" borderId="7" xfId="26" applyFont="1" applyFill="1" applyBorder="1" applyAlignment="1">
      <alignment horizontal="center"/>
    </xf>
    <xf numFmtId="0" fontId="4" fillId="4" borderId="12" xfId="26" applyFont="1" applyFill="1" applyBorder="1" applyAlignment="1">
      <alignment horizontal="center"/>
    </xf>
    <xf numFmtId="1" fontId="4" fillId="4" borderId="9" xfId="26" applyNumberFormat="1" applyFont="1" applyFill="1" applyBorder="1" applyAlignment="1">
      <alignment horizontal="center" vertical="center"/>
    </xf>
    <xf numFmtId="4" fontId="4" fillId="4" borderId="9" xfId="26" applyNumberFormat="1" applyFont="1" applyFill="1" applyBorder="1" applyAlignment="1">
      <alignment horizontal="center" vertical="center"/>
    </xf>
    <xf numFmtId="0" fontId="4" fillId="4" borderId="10" xfId="26" applyFont="1" applyFill="1" applyBorder="1" applyAlignment="1">
      <alignment horizontal="center"/>
    </xf>
    <xf numFmtId="0" fontId="4" fillId="4" borderId="27" xfId="26" applyFont="1" applyFill="1" applyBorder="1" applyAlignment="1">
      <alignment horizontal="center"/>
    </xf>
    <xf numFmtId="0" fontId="4" fillId="4" borderId="51" xfId="26" applyFont="1" applyFill="1" applyBorder="1" applyAlignment="1">
      <alignment horizontal="center"/>
    </xf>
    <xf numFmtId="0" fontId="4" fillId="4" borderId="30" xfId="26" applyFont="1" applyFill="1" applyBorder="1" applyAlignment="1">
      <alignment horizontal="center" vertical="center"/>
    </xf>
    <xf numFmtId="0" fontId="4" fillId="4" borderId="29" xfId="26" applyFont="1" applyFill="1" applyBorder="1" applyAlignment="1">
      <alignment horizontal="center"/>
    </xf>
    <xf numFmtId="167" fontId="4" fillId="4" borderId="29" xfId="27" applyNumberFormat="1" applyFont="1" applyFill="1" applyBorder="1" applyAlignment="1">
      <alignment horizontal="center"/>
    </xf>
    <xf numFmtId="0" fontId="4" fillId="4" borderId="14" xfId="26" applyFont="1" applyFill="1" applyBorder="1" applyAlignment="1">
      <alignment horizontal="center"/>
    </xf>
    <xf numFmtId="0" fontId="4" fillId="11" borderId="27" xfId="26" applyFont="1" applyFill="1" applyBorder="1" applyAlignment="1">
      <alignment horizontal="center"/>
    </xf>
    <xf numFmtId="0" fontId="4" fillId="11" borderId="51" xfId="26" applyFont="1" applyFill="1" applyBorder="1" applyAlignment="1">
      <alignment horizontal="center"/>
    </xf>
    <xf numFmtId="0" fontId="4" fillId="11" borderId="30" xfId="26" applyFont="1" applyFill="1" applyBorder="1" applyAlignment="1">
      <alignment horizontal="center" vertical="center"/>
    </xf>
    <xf numFmtId="167" fontId="4" fillId="11" borderId="27" xfId="27" applyNumberFormat="1" applyFont="1" applyFill="1" applyBorder="1" applyAlignment="1">
      <alignment horizontal="center"/>
    </xf>
    <xf numFmtId="0" fontId="4" fillId="11" borderId="14" xfId="26" applyFont="1" applyFill="1" applyBorder="1" applyAlignment="1">
      <alignment horizontal="center"/>
    </xf>
    <xf numFmtId="0" fontId="4" fillId="11" borderId="10" xfId="0" applyFont="1" applyFill="1" applyBorder="1" applyAlignment="1">
      <alignment horizontal="right"/>
    </xf>
    <xf numFmtId="0" fontId="5" fillId="0" borderId="49" xfId="26" applyFont="1" applyFill="1" applyBorder="1" applyProtection="1">
      <protection locked="0"/>
    </xf>
    <xf numFmtId="0" fontId="4" fillId="0" borderId="18" xfId="26" applyFont="1" applyFill="1" applyBorder="1" applyProtection="1">
      <protection locked="0"/>
    </xf>
    <xf numFmtId="0" fontId="4" fillId="0" borderId="14" xfId="26" applyFont="1" applyFill="1" applyBorder="1" applyProtection="1">
      <protection locked="0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7" fontId="12" fillId="4" borderId="17" xfId="27" applyNumberFormat="1" applyFont="1" applyFill="1" applyBorder="1" applyAlignment="1">
      <alignment horizontal="center"/>
    </xf>
    <xf numFmtId="167" fontId="12" fillId="4" borderId="99" xfId="27" applyNumberFormat="1" applyFont="1" applyFill="1" applyBorder="1" applyAlignment="1">
      <alignment horizontal="center"/>
    </xf>
    <xf numFmtId="2" fontId="12" fillId="4" borderId="12" xfId="27" applyNumberFormat="1" applyFont="1" applyFill="1" applyBorder="1" applyAlignment="1">
      <alignment horizontal="center"/>
    </xf>
    <xf numFmtId="49" fontId="5" fillId="5" borderId="93" xfId="0" applyNumberFormat="1" applyFont="1" applyFill="1" applyBorder="1" applyAlignment="1">
      <alignment horizontal="center" vertical="center"/>
    </xf>
    <xf numFmtId="49" fontId="5" fillId="5" borderId="19" xfId="0" applyNumberFormat="1" applyFont="1" applyFill="1" applyBorder="1" applyAlignment="1">
      <alignment horizontal="center" vertical="center"/>
    </xf>
    <xf numFmtId="49" fontId="5" fillId="5" borderId="20" xfId="0" applyNumberFormat="1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center" vertical="center"/>
    </xf>
    <xf numFmtId="2" fontId="12" fillId="11" borderId="10" xfId="27" applyNumberFormat="1" applyFont="1" applyFill="1" applyBorder="1" applyAlignment="1">
      <alignment horizontal="center"/>
    </xf>
    <xf numFmtId="0" fontId="40" fillId="0" borderId="0" xfId="0" applyNumberFormat="1" applyFont="1" applyAlignment="1">
      <alignment vertical="top" wrapText="1"/>
    </xf>
    <xf numFmtId="0" fontId="40" fillId="0" borderId="0" xfId="0" applyNumberFormat="1" applyFont="1" applyAlignment="1">
      <alignment horizontal="right" vertical="top" wrapText="1"/>
    </xf>
    <xf numFmtId="0" fontId="4" fillId="12" borderId="50" xfId="26" applyFont="1" applyFill="1" applyBorder="1" applyProtection="1">
      <protection locked="0"/>
    </xf>
    <xf numFmtId="0" fontId="4" fillId="12" borderId="0" xfId="26" applyFont="1" applyFill="1" applyBorder="1" applyProtection="1">
      <protection locked="0"/>
    </xf>
    <xf numFmtId="0" fontId="4" fillId="12" borderId="51" xfId="26" applyFont="1" applyFill="1" applyBorder="1" applyProtection="1">
      <protection locked="0"/>
    </xf>
    <xf numFmtId="165" fontId="4" fillId="12" borderId="0" xfId="26" applyNumberFormat="1" applyFont="1" applyFill="1" applyBorder="1" applyProtection="1">
      <protection locked="0"/>
    </xf>
    <xf numFmtId="166" fontId="4" fillId="12" borderId="51" xfId="26" applyNumberFormat="1" applyFont="1" applyFill="1" applyBorder="1" applyProtection="1">
      <protection locked="0"/>
    </xf>
    <xf numFmtId="1" fontId="4" fillId="12" borderId="0" xfId="26" applyNumberFormat="1" applyFont="1" applyFill="1" applyBorder="1" applyProtection="1">
      <protection locked="0"/>
    </xf>
    <xf numFmtId="0" fontId="4" fillId="12" borderId="0" xfId="26" applyNumberFormat="1" applyFont="1" applyFill="1" applyBorder="1" applyProtection="1">
      <protection locked="0"/>
    </xf>
    <xf numFmtId="171" fontId="5" fillId="11" borderId="59" xfId="26" applyNumberFormat="1" applyFont="1" applyFill="1" applyBorder="1" applyAlignment="1" applyProtection="1">
      <alignment horizontal="center" vertical="center"/>
    </xf>
    <xf numFmtId="172" fontId="5" fillId="11" borderId="38" xfId="26" applyNumberFormat="1" applyFont="1" applyFill="1" applyBorder="1" applyProtection="1"/>
    <xf numFmtId="171" fontId="5" fillId="4" borderId="38" xfId="26" applyNumberFormat="1" applyFont="1" applyFill="1" applyBorder="1" applyProtection="1"/>
    <xf numFmtId="0" fontId="5" fillId="0" borderId="19" xfId="26" applyFont="1" applyFill="1" applyBorder="1" applyAlignment="1" applyProtection="1">
      <alignment horizontal="center"/>
    </xf>
    <xf numFmtId="1" fontId="5" fillId="0" borderId="23" xfId="26" applyNumberFormat="1" applyFont="1" applyBorder="1" applyProtection="1">
      <protection locked="0"/>
    </xf>
    <xf numFmtId="0" fontId="4" fillId="0" borderId="17" xfId="26" applyFont="1" applyFill="1" applyBorder="1" applyAlignment="1" applyProtection="1">
      <alignment horizontal="center"/>
    </xf>
    <xf numFmtId="1" fontId="4" fillId="0" borderId="21" xfId="9" applyNumberFormat="1" applyFont="1" applyFill="1" applyBorder="1" applyAlignment="1" applyProtection="1">
      <alignment horizontal="center"/>
      <protection locked="0"/>
    </xf>
    <xf numFmtId="1" fontId="4" fillId="0" borderId="85" xfId="9" applyNumberFormat="1" applyFont="1" applyFill="1" applyBorder="1" applyAlignment="1" applyProtection="1">
      <alignment horizontal="center"/>
      <protection locked="0"/>
    </xf>
    <xf numFmtId="1" fontId="4" fillId="0" borderId="11" xfId="9" applyNumberFormat="1" applyFont="1" applyFill="1" applyBorder="1" applyAlignment="1" applyProtection="1">
      <alignment horizontal="center"/>
    </xf>
    <xf numFmtId="1" fontId="4" fillId="0" borderId="2" xfId="9" applyNumberFormat="1" applyFont="1" applyFill="1" applyBorder="1" applyAlignment="1" applyProtection="1">
      <alignment horizontal="center"/>
    </xf>
    <xf numFmtId="1" fontId="4" fillId="0" borderId="13" xfId="9" applyNumberFormat="1" applyFont="1" applyFill="1" applyBorder="1" applyAlignment="1" applyProtection="1">
      <alignment horizontal="center"/>
    </xf>
    <xf numFmtId="171" fontId="4" fillId="0" borderId="13" xfId="9" applyNumberFormat="1" applyFont="1" applyFill="1" applyBorder="1" applyAlignment="1" applyProtection="1">
      <alignment horizontal="center" vertical="center"/>
    </xf>
    <xf numFmtId="0" fontId="4" fillId="4" borderId="27" xfId="26" applyFont="1" applyFill="1" applyBorder="1" applyAlignment="1" applyProtection="1">
      <alignment horizontal="center" vertical="center"/>
      <protection locked="0"/>
    </xf>
    <xf numFmtId="1" fontId="4" fillId="4" borderId="43" xfId="26" applyNumberFormat="1" applyFont="1" applyFill="1" applyBorder="1" applyAlignment="1" applyProtection="1">
      <alignment horizontal="center" vertical="center"/>
      <protection locked="0"/>
    </xf>
    <xf numFmtId="1" fontId="4" fillId="4" borderId="33" xfId="26" applyNumberFormat="1" applyFont="1" applyFill="1" applyBorder="1" applyAlignment="1" applyProtection="1">
      <alignment horizontal="center" vertical="center"/>
      <protection locked="0"/>
    </xf>
    <xf numFmtId="1" fontId="5" fillId="11" borderId="41" xfId="26" applyNumberFormat="1" applyFont="1" applyFill="1" applyBorder="1" applyAlignment="1" applyProtection="1">
      <alignment horizontal="center"/>
      <protection locked="0"/>
    </xf>
    <xf numFmtId="166" fontId="33" fillId="0" borderId="0" xfId="26" applyNumberFormat="1" applyFont="1" applyBorder="1" applyProtection="1">
      <protection locked="0"/>
    </xf>
    <xf numFmtId="0" fontId="4" fillId="0" borderId="21" xfId="26" applyFont="1" applyFill="1" applyBorder="1" applyAlignment="1" applyProtection="1">
      <alignment horizontal="center" wrapText="1"/>
    </xf>
    <xf numFmtId="10" fontId="4" fillId="0" borderId="51" xfId="28" applyNumberFormat="1" applyFont="1" applyFill="1" applyBorder="1" applyProtection="1"/>
    <xf numFmtId="0" fontId="32" fillId="0" borderId="0" xfId="26" applyNumberFormat="1" applyFont="1" applyBorder="1" applyAlignment="1" applyProtection="1">
      <alignment horizontal="center" vertical="center"/>
      <protection locked="0"/>
    </xf>
    <xf numFmtId="173" fontId="25" fillId="0" borderId="51" xfId="26" applyNumberFormat="1" applyFont="1" applyBorder="1" applyProtection="1">
      <protection locked="0"/>
    </xf>
    <xf numFmtId="0" fontId="4" fillId="0" borderId="0" xfId="0" applyFont="1" applyFill="1" applyBorder="1" applyAlignment="1">
      <alignment vertical="center" wrapText="1"/>
    </xf>
    <xf numFmtId="176" fontId="12" fillId="0" borderId="24" xfId="27" applyNumberFormat="1" applyFont="1" applyFill="1" applyBorder="1" applyAlignment="1">
      <alignment horizontal="center"/>
    </xf>
    <xf numFmtId="10" fontId="4" fillId="4" borderId="2" xfId="28" applyNumberFormat="1" applyFont="1" applyFill="1" applyBorder="1" applyProtection="1"/>
    <xf numFmtId="165" fontId="4" fillId="4" borderId="7" xfId="28" applyNumberFormat="1" applyFont="1" applyFill="1" applyBorder="1" applyProtection="1"/>
    <xf numFmtId="0" fontId="5" fillId="4" borderId="41" xfId="26" applyFont="1" applyFill="1" applyBorder="1" applyAlignment="1" applyProtection="1">
      <alignment horizontal="left"/>
    </xf>
    <xf numFmtId="173" fontId="4" fillId="11" borderId="17" xfId="26" applyNumberFormat="1" applyFont="1" applyFill="1" applyBorder="1" applyAlignment="1" applyProtection="1">
      <alignment horizontal="center"/>
    </xf>
    <xf numFmtId="165" fontId="4" fillId="11" borderId="17" xfId="9" applyFont="1" applyFill="1" applyBorder="1" applyAlignment="1" applyProtection="1">
      <alignment horizontal="right"/>
      <protection locked="0"/>
    </xf>
    <xf numFmtId="165" fontId="4" fillId="11" borderId="12" xfId="28" applyNumberFormat="1" applyFont="1" applyFill="1" applyBorder="1" applyProtection="1"/>
    <xf numFmtId="165" fontId="4" fillId="11" borderId="101" xfId="28" applyNumberFormat="1" applyFont="1" applyFill="1" applyBorder="1" applyProtection="1"/>
    <xf numFmtId="0" fontId="5" fillId="11" borderId="41" xfId="26" applyFont="1" applyFill="1" applyBorder="1" applyAlignment="1" applyProtection="1">
      <alignment horizontal="left"/>
    </xf>
    <xf numFmtId="0" fontId="5" fillId="4" borderId="29" xfId="26" applyFont="1" applyFill="1" applyBorder="1" applyProtection="1"/>
    <xf numFmtId="165" fontId="4" fillId="4" borderId="100" xfId="28" applyNumberFormat="1" applyFont="1" applyFill="1" applyBorder="1" applyProtection="1"/>
    <xf numFmtId="173" fontId="4" fillId="4" borderId="102" xfId="26" applyNumberFormat="1" applyFont="1" applyFill="1" applyBorder="1" applyAlignment="1" applyProtection="1">
      <alignment horizontal="center"/>
    </xf>
    <xf numFmtId="10" fontId="29" fillId="0" borderId="51" xfId="26" applyNumberFormat="1" applyFont="1" applyFill="1" applyBorder="1" applyAlignment="1" applyProtection="1">
      <alignment horizontal="center" vertical="center"/>
    </xf>
    <xf numFmtId="0" fontId="5" fillId="0" borderId="49" xfId="26" applyFont="1" applyFill="1" applyBorder="1" applyAlignment="1" applyProtection="1">
      <alignment horizontal="left"/>
      <protection locked="0"/>
    </xf>
    <xf numFmtId="0" fontId="5" fillId="0" borderId="18" xfId="26" applyFont="1" applyFill="1" applyBorder="1" applyAlignment="1" applyProtection="1">
      <alignment horizontal="left"/>
      <protection locked="0"/>
    </xf>
    <xf numFmtId="0" fontId="5" fillId="0" borderId="14" xfId="26" applyFont="1" applyFill="1" applyBorder="1" applyAlignment="1" applyProtection="1">
      <alignment horizontal="left"/>
      <protection locked="0"/>
    </xf>
    <xf numFmtId="166" fontId="28" fillId="10" borderId="49" xfId="26" applyNumberFormat="1" applyFont="1" applyFill="1" applyBorder="1" applyProtection="1">
      <protection locked="0"/>
    </xf>
    <xf numFmtId="166" fontId="28" fillId="10" borderId="18" xfId="26" applyNumberFormat="1" applyFont="1" applyFill="1" applyBorder="1" applyProtection="1">
      <protection locked="0"/>
    </xf>
    <xf numFmtId="43" fontId="28" fillId="10" borderId="14" xfId="26" applyNumberFormat="1" applyFont="1" applyFill="1" applyBorder="1" applyProtection="1">
      <protection locked="0"/>
    </xf>
    <xf numFmtId="165" fontId="21" fillId="10" borderId="51" xfId="26" applyNumberFormat="1" applyFont="1" applyFill="1" applyBorder="1" applyAlignment="1" applyProtection="1">
      <alignment horizontal="right"/>
      <protection locked="0"/>
    </xf>
    <xf numFmtId="10" fontId="4" fillId="11" borderId="100" xfId="28" applyNumberFormat="1" applyFont="1" applyFill="1" applyBorder="1" applyProtection="1"/>
    <xf numFmtId="2" fontId="5" fillId="4" borderId="41" xfId="26" applyNumberFormat="1" applyFont="1" applyFill="1" applyBorder="1" applyProtection="1">
      <protection locked="0"/>
    </xf>
    <xf numFmtId="43" fontId="4" fillId="11" borderId="11" xfId="26" applyNumberFormat="1" applyFont="1" applyFill="1" applyBorder="1" applyProtection="1">
      <protection locked="0"/>
    </xf>
    <xf numFmtId="43" fontId="5" fillId="4" borderId="41" xfId="26" applyNumberFormat="1" applyFont="1" applyFill="1" applyBorder="1" applyProtection="1">
      <protection locked="0"/>
    </xf>
    <xf numFmtId="0" fontId="4" fillId="10" borderId="0" xfId="26" applyFont="1" applyFill="1" applyProtection="1">
      <protection locked="0"/>
    </xf>
    <xf numFmtId="2" fontId="21" fillId="10" borderId="28" xfId="26" applyNumberFormat="1" applyFont="1" applyFill="1" applyBorder="1" applyProtection="1">
      <protection locked="0"/>
    </xf>
    <xf numFmtId="43" fontId="5" fillId="0" borderId="41" xfId="26" applyNumberFormat="1" applyFont="1" applyBorder="1" applyProtection="1">
      <protection locked="0"/>
    </xf>
    <xf numFmtId="0" fontId="4" fillId="0" borderId="23" xfId="26" applyFont="1" applyBorder="1" applyProtection="1">
      <protection locked="0"/>
    </xf>
    <xf numFmtId="0" fontId="4" fillId="0" borderId="24" xfId="26" applyFont="1" applyBorder="1" applyProtection="1">
      <protection locked="0"/>
    </xf>
    <xf numFmtId="0" fontId="5" fillId="0" borderId="0" xfId="0" applyFont="1" applyFill="1" applyBorder="1" applyAlignment="1">
      <alignment horizontal="left"/>
    </xf>
    <xf numFmtId="0" fontId="4" fillId="0" borderId="0" xfId="16" applyFont="1" applyFill="1" applyBorder="1" applyProtection="1">
      <protection locked="0"/>
    </xf>
    <xf numFmtId="1" fontId="4" fillId="0" borderId="0" xfId="16" applyNumberFormat="1" applyFont="1" applyFill="1" applyBorder="1" applyProtection="1">
      <protection locked="0"/>
    </xf>
    <xf numFmtId="0" fontId="4" fillId="0" borderId="0" xfId="16" applyFont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169" fontId="4" fillId="0" borderId="0" xfId="16" applyNumberFormat="1" applyFont="1" applyBorder="1" applyAlignment="1" applyProtection="1">
      <alignment horizontal="center" vertical="center"/>
      <protection locked="0"/>
    </xf>
    <xf numFmtId="2" fontId="4" fillId="0" borderId="0" xfId="16" applyNumberFormat="1" applyFont="1" applyBorder="1" applyAlignment="1" applyProtection="1">
      <alignment horizontal="center"/>
      <protection locked="0"/>
    </xf>
    <xf numFmtId="0" fontId="5" fillId="0" borderId="0" xfId="16" applyFont="1" applyBorder="1" applyProtection="1">
      <protection locked="0"/>
    </xf>
    <xf numFmtId="169" fontId="5" fillId="0" borderId="0" xfId="16" applyNumberFormat="1" applyFont="1" applyBorder="1" applyProtection="1">
      <protection locked="0"/>
    </xf>
    <xf numFmtId="166" fontId="21" fillId="10" borderId="41" xfId="26" applyNumberFormat="1" applyFont="1" applyFill="1" applyBorder="1" applyProtection="1">
      <protection locked="0"/>
    </xf>
    <xf numFmtId="167" fontId="4" fillId="4" borderId="27" xfId="27" applyNumberFormat="1" applyFont="1" applyFill="1" applyBorder="1" applyAlignment="1">
      <alignment horizontal="center"/>
    </xf>
    <xf numFmtId="0" fontId="42" fillId="0" borderId="0" xfId="26" applyFont="1" applyFill="1" applyProtection="1">
      <protection locked="0"/>
    </xf>
    <xf numFmtId="0" fontId="4" fillId="4" borderId="16" xfId="0" applyFont="1" applyFill="1" applyBorder="1" applyAlignment="1">
      <alignment horizontal="center"/>
    </xf>
    <xf numFmtId="1" fontId="4" fillId="4" borderId="17" xfId="26" applyNumberFormat="1" applyFont="1" applyFill="1" applyBorder="1" applyAlignment="1">
      <alignment horizontal="center" vertical="center"/>
    </xf>
    <xf numFmtId="4" fontId="4" fillId="4" borderId="17" xfId="26" applyNumberFormat="1" applyFont="1" applyFill="1" applyBorder="1" applyAlignment="1">
      <alignment horizontal="center" vertical="center"/>
    </xf>
    <xf numFmtId="0" fontId="4" fillId="4" borderId="11" xfId="26" applyFont="1" applyFill="1" applyBorder="1" applyAlignment="1">
      <alignment horizontal="center"/>
    </xf>
    <xf numFmtId="4" fontId="4" fillId="4" borderId="13" xfId="26" applyNumberFormat="1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/>
    </xf>
    <xf numFmtId="4" fontId="4" fillId="11" borderId="37" xfId="26" applyNumberFormat="1" applyFont="1" applyFill="1" applyBorder="1" applyAlignment="1">
      <alignment horizontal="center" vertical="center"/>
    </xf>
    <xf numFmtId="0" fontId="4" fillId="11" borderId="38" xfId="26" applyFont="1" applyFill="1" applyBorder="1" applyAlignment="1">
      <alignment horizontal="center"/>
    </xf>
    <xf numFmtId="4" fontId="4" fillId="4" borderId="4" xfId="26" applyNumberFormat="1" applyFont="1" applyFill="1" applyBorder="1" applyAlignment="1">
      <alignment horizontal="center" vertical="center"/>
    </xf>
    <xf numFmtId="0" fontId="4" fillId="4" borderId="5" xfId="26" applyFont="1" applyFill="1" applyBorder="1" applyAlignment="1">
      <alignment horizontal="center"/>
    </xf>
    <xf numFmtId="0" fontId="41" fillId="0" borderId="0" xfId="0" applyNumberFormat="1" applyFont="1" applyFill="1" applyAlignment="1">
      <alignment vertical="top"/>
    </xf>
    <xf numFmtId="0" fontId="40" fillId="0" borderId="0" xfId="0" applyNumberFormat="1" applyFont="1" applyFill="1" applyAlignment="1">
      <alignment vertical="top" wrapText="1"/>
    </xf>
    <xf numFmtId="0" fontId="43" fillId="0" borderId="53" xfId="31" applyBorder="1" applyAlignment="1" applyProtection="1">
      <protection locked="0"/>
    </xf>
    <xf numFmtId="0" fontId="43" fillId="0" borderId="0" xfId="31" applyBorder="1" applyAlignment="1" applyProtection="1">
      <protection locked="0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47" xfId="0" applyFont="1" applyFill="1" applyBorder="1" applyAlignment="1" applyProtection="1">
      <alignment horizontal="left"/>
      <protection locked="0"/>
    </xf>
    <xf numFmtId="0" fontId="4" fillId="0" borderId="54" xfId="16" applyFont="1" applyBorder="1" applyProtection="1">
      <protection locked="0"/>
    </xf>
    <xf numFmtId="0" fontId="43" fillId="0" borderId="54" xfId="31" applyBorder="1" applyAlignment="1" applyProtection="1">
      <protection locked="0"/>
    </xf>
    <xf numFmtId="0" fontId="4" fillId="0" borderId="54" xfId="26" applyFont="1" applyBorder="1" applyProtection="1">
      <protection locked="0"/>
    </xf>
    <xf numFmtId="0" fontId="4" fillId="0" borderId="103" xfId="16" applyFont="1" applyBorder="1" applyProtection="1">
      <protection locked="0"/>
    </xf>
    <xf numFmtId="1" fontId="0" fillId="0" borderId="0" xfId="0" applyNumberFormat="1"/>
    <xf numFmtId="0" fontId="5" fillId="0" borderId="0" xfId="26" applyFont="1" applyFill="1" applyBorder="1" applyProtection="1">
      <protection locked="0"/>
    </xf>
    <xf numFmtId="171" fontId="5" fillId="0" borderId="0" xfId="26" applyNumberFormat="1" applyFont="1" applyFill="1" applyBorder="1" applyProtection="1"/>
    <xf numFmtId="0" fontId="4" fillId="0" borderId="49" xfId="16" applyFont="1" applyFill="1" applyBorder="1" applyProtection="1">
      <protection locked="0"/>
    </xf>
    <xf numFmtId="171" fontId="5" fillId="11" borderId="38" xfId="26" applyNumberFormat="1" applyFont="1" applyFill="1" applyBorder="1" applyAlignment="1" applyProtection="1">
      <alignment horizontal="center" vertical="center"/>
    </xf>
    <xf numFmtId="171" fontId="5" fillId="11" borderId="61" xfId="26" applyNumberFormat="1" applyFont="1" applyFill="1" applyBorder="1" applyAlignment="1" applyProtection="1">
      <alignment horizontal="center" vertical="center"/>
    </xf>
    <xf numFmtId="171" fontId="5" fillId="4" borderId="20" xfId="26" applyNumberFormat="1" applyFont="1" applyFill="1" applyBorder="1" applyProtection="1"/>
    <xf numFmtId="167" fontId="12" fillId="4" borderId="4" xfId="27" applyNumberFormat="1" applyFont="1" applyFill="1" applyBorder="1" applyAlignment="1">
      <alignment horizontal="center"/>
    </xf>
    <xf numFmtId="167" fontId="12" fillId="4" borderId="9" xfId="27" applyNumberFormat="1" applyFont="1" applyFill="1" applyBorder="1" applyAlignment="1">
      <alignment horizontal="center"/>
    </xf>
    <xf numFmtId="176" fontId="12" fillId="4" borderId="47" xfId="27" applyNumberFormat="1" applyFont="1" applyFill="1" applyBorder="1" applyAlignment="1">
      <alignment horizontal="center"/>
    </xf>
    <xf numFmtId="176" fontId="12" fillId="4" borderId="46" xfId="27" applyNumberFormat="1" applyFont="1" applyFill="1" applyBorder="1" applyAlignment="1">
      <alignment horizontal="center"/>
    </xf>
    <xf numFmtId="176" fontId="5" fillId="0" borderId="41" xfId="0" applyNumberFormat="1" applyFont="1" applyBorder="1"/>
    <xf numFmtId="176" fontId="12" fillId="4" borderId="48" xfId="27" applyNumberFormat="1" applyFont="1" applyFill="1" applyBorder="1" applyAlignment="1">
      <alignment horizontal="center"/>
    </xf>
    <xf numFmtId="2" fontId="12" fillId="4" borderId="10" xfId="27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7" fontId="12" fillId="4" borderId="11" xfId="27" applyNumberFormat="1" applyFont="1" applyFill="1" applyBorder="1" applyAlignment="1">
      <alignment horizontal="center"/>
    </xf>
    <xf numFmtId="0" fontId="4" fillId="12" borderId="0" xfId="26" applyFont="1" applyFill="1" applyProtection="1">
      <protection locked="0"/>
    </xf>
    <xf numFmtId="1" fontId="10" fillId="0" borderId="68" xfId="9" applyNumberFormat="1" applyFill="1" applyBorder="1" applyProtection="1"/>
    <xf numFmtId="177" fontId="5" fillId="0" borderId="83" xfId="9" applyNumberFormat="1" applyFont="1" applyFill="1" applyBorder="1" applyProtection="1"/>
    <xf numFmtId="0" fontId="4" fillId="13" borderId="0" xfId="26" applyFont="1" applyFill="1" applyProtection="1">
      <protection locked="0"/>
    </xf>
    <xf numFmtId="0" fontId="4" fillId="13" borderId="0" xfId="26" applyFont="1" applyFill="1" applyBorder="1" applyProtection="1">
      <protection locked="0"/>
    </xf>
    <xf numFmtId="165" fontId="4" fillId="13" borderId="0" xfId="26" applyNumberFormat="1" applyFont="1" applyFill="1" applyBorder="1" applyProtection="1">
      <protection locked="0"/>
    </xf>
    <xf numFmtId="0" fontId="41" fillId="13" borderId="0" xfId="0" applyNumberFormat="1" applyFont="1" applyFill="1" applyAlignment="1">
      <alignment vertical="top"/>
    </xf>
    <xf numFmtId="0" fontId="40" fillId="13" borderId="0" xfId="0" applyNumberFormat="1" applyFont="1" applyFill="1" applyAlignment="1">
      <alignment vertical="top" wrapText="1"/>
    </xf>
    <xf numFmtId="0" fontId="4" fillId="13" borderId="51" xfId="26" applyFont="1" applyFill="1" applyBorder="1" applyProtection="1">
      <protection locked="0"/>
    </xf>
    <xf numFmtId="0" fontId="4" fillId="13" borderId="0" xfId="26" applyNumberFormat="1" applyFont="1" applyFill="1" applyBorder="1" applyProtection="1">
      <protection locked="0"/>
    </xf>
    <xf numFmtId="167" fontId="12" fillId="13" borderId="24" xfId="27" applyNumberFormat="1" applyFont="1" applyFill="1" applyBorder="1" applyAlignment="1">
      <alignment horizontal="center"/>
    </xf>
    <xf numFmtId="165" fontId="5" fillId="0" borderId="68" xfId="9" applyFont="1" applyFill="1" applyBorder="1" applyProtection="1"/>
    <xf numFmtId="0" fontId="5" fillId="0" borderId="21" xfId="26" applyFont="1" applyBorder="1" applyAlignment="1" applyProtection="1">
      <alignment horizontal="center"/>
    </xf>
    <xf numFmtId="0" fontId="5" fillId="0" borderId="94" xfId="26" applyFont="1" applyBorder="1" applyProtection="1"/>
    <xf numFmtId="165" fontId="5" fillId="0" borderId="68" xfId="9" applyFont="1" applyBorder="1" applyProtection="1"/>
    <xf numFmtId="165" fontId="5" fillId="0" borderId="90" xfId="9" applyFont="1" applyFill="1" applyBorder="1" applyProtection="1"/>
    <xf numFmtId="165" fontId="5" fillId="0" borderId="17" xfId="9" applyFont="1" applyFill="1" applyBorder="1" applyProtection="1"/>
    <xf numFmtId="165" fontId="5" fillId="0" borderId="12" xfId="9" applyFont="1" applyFill="1" applyBorder="1" applyProtection="1"/>
    <xf numFmtId="0" fontId="25" fillId="0" borderId="72" xfId="26" applyFont="1" applyFill="1" applyBorder="1" applyAlignment="1" applyProtection="1">
      <alignment horizontal="left"/>
    </xf>
    <xf numFmtId="165" fontId="4" fillId="0" borderId="74" xfId="9" applyFont="1" applyFill="1" applyBorder="1" applyProtection="1">
      <protection locked="0"/>
    </xf>
    <xf numFmtId="165" fontId="5" fillId="0" borderId="104" xfId="9" applyFont="1" applyFill="1" applyBorder="1" applyProtection="1"/>
    <xf numFmtId="165" fontId="4" fillId="0" borderId="104" xfId="9" applyFont="1" applyFill="1" applyBorder="1" applyProtection="1">
      <protection locked="0"/>
    </xf>
    <xf numFmtId="0" fontId="25" fillId="0" borderId="76" xfId="16" applyFont="1" applyFill="1" applyBorder="1" applyAlignment="1" applyProtection="1">
      <alignment horizontal="left"/>
    </xf>
    <xf numFmtId="165" fontId="4" fillId="0" borderId="71" xfId="9" applyFont="1" applyFill="1" applyBorder="1" applyProtection="1">
      <protection locked="0"/>
    </xf>
    <xf numFmtId="165" fontId="5" fillId="0" borderId="105" xfId="9" applyFont="1" applyFill="1" applyBorder="1" applyProtection="1"/>
    <xf numFmtId="165" fontId="4" fillId="0" borderId="105" xfId="9" applyFont="1" applyFill="1" applyBorder="1" applyProtection="1">
      <protection locked="0"/>
    </xf>
    <xf numFmtId="165" fontId="5" fillId="0" borderId="106" xfId="9" applyFont="1" applyFill="1" applyBorder="1" applyProtection="1"/>
    <xf numFmtId="2" fontId="4" fillId="13" borderId="0" xfId="26" applyNumberFormat="1" applyFont="1" applyFill="1" applyBorder="1" applyProtection="1">
      <protection locked="0"/>
    </xf>
    <xf numFmtId="167" fontId="12" fillId="13" borderId="23" xfId="27" applyNumberFormat="1" applyFont="1" applyFill="1" applyBorder="1" applyAlignment="1">
      <alignment horizontal="center"/>
    </xf>
    <xf numFmtId="167" fontId="12" fillId="14" borderId="23" xfId="27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67" fontId="12" fillId="11" borderId="5" xfId="27" applyNumberFormat="1" applyFont="1" applyFill="1" applyBorder="1" applyAlignment="1">
      <alignment horizontal="center"/>
    </xf>
    <xf numFmtId="167" fontId="12" fillId="11" borderId="7" xfId="27" applyNumberFormat="1" applyFont="1" applyFill="1" applyBorder="1" applyAlignment="1">
      <alignment horizontal="center"/>
    </xf>
    <xf numFmtId="167" fontId="12" fillId="11" borderId="10" xfId="27" applyNumberFormat="1" applyFont="1" applyFill="1" applyBorder="1" applyAlignment="1">
      <alignment horizontal="center"/>
    </xf>
    <xf numFmtId="167" fontId="12" fillId="4" borderId="10" xfId="27" applyNumberFormat="1" applyFont="1" applyFill="1" applyBorder="1" applyAlignment="1">
      <alignment horizontal="center"/>
    </xf>
    <xf numFmtId="2" fontId="12" fillId="11" borderId="47" xfId="0" applyNumberFormat="1" applyFont="1" applyFill="1" applyBorder="1" applyAlignment="1">
      <alignment horizontal="center" vertical="center"/>
    </xf>
    <xf numFmtId="0" fontId="0" fillId="0" borderId="2" xfId="0" applyBorder="1"/>
    <xf numFmtId="0" fontId="4" fillId="0" borderId="0" xfId="0" applyFont="1"/>
    <xf numFmtId="178" fontId="0" fillId="0" borderId="0" xfId="32" applyNumberFormat="1" applyFont="1"/>
    <xf numFmtId="43" fontId="0" fillId="0" borderId="0" xfId="0" applyNumberFormat="1"/>
    <xf numFmtId="165" fontId="4" fillId="0" borderId="2" xfId="9" applyFont="1" applyFill="1" applyBorder="1" applyProtection="1">
      <protection locked="0"/>
    </xf>
    <xf numFmtId="49" fontId="39" fillId="0" borderId="2" xfId="9" applyNumberFormat="1" applyFont="1" applyFill="1" applyBorder="1" applyAlignment="1" applyProtection="1">
      <alignment horizontal="center"/>
      <protection locked="0"/>
    </xf>
    <xf numFmtId="0" fontId="44" fillId="13" borderId="0" xfId="26" applyFont="1" applyFill="1" applyAlignment="1" applyProtection="1">
      <alignment horizontal="center" vertical="center" textRotation="180"/>
      <protection locked="0"/>
    </xf>
    <xf numFmtId="0" fontId="5" fillId="10" borderId="22" xfId="16" applyFont="1" applyFill="1" applyBorder="1" applyAlignment="1" applyProtection="1">
      <alignment horizontal="left" vertical="center"/>
    </xf>
    <xf numFmtId="0" fontId="5" fillId="10" borderId="23" xfId="16" applyFont="1" applyFill="1" applyBorder="1" applyAlignment="1" applyProtection="1">
      <alignment horizontal="left" vertical="center"/>
    </xf>
    <xf numFmtId="0" fontId="5" fillId="10" borderId="24" xfId="16" applyFont="1" applyFill="1" applyBorder="1" applyAlignment="1" applyProtection="1">
      <alignment horizontal="left" vertical="center"/>
    </xf>
    <xf numFmtId="0" fontId="19" fillId="0" borderId="29" xfId="26" applyFont="1" applyBorder="1" applyAlignment="1" applyProtection="1">
      <alignment horizontal="center" vertical="center"/>
    </xf>
    <xf numFmtId="0" fontId="19" fillId="0" borderId="27" xfId="26" applyFont="1" applyBorder="1" applyAlignment="1" applyProtection="1">
      <alignment horizontal="center" vertical="center"/>
    </xf>
    <xf numFmtId="0" fontId="19" fillId="0" borderId="32" xfId="26" quotePrefix="1" applyFont="1" applyBorder="1" applyAlignment="1" applyProtection="1">
      <alignment horizontal="center"/>
    </xf>
    <xf numFmtId="0" fontId="19" fillId="0" borderId="56" xfId="26" quotePrefix="1" applyFont="1" applyBorder="1" applyAlignment="1" applyProtection="1">
      <alignment horizontal="center"/>
    </xf>
    <xf numFmtId="0" fontId="19" fillId="0" borderId="57" xfId="26" quotePrefix="1" applyFont="1" applyBorder="1" applyAlignment="1" applyProtection="1">
      <alignment horizontal="center"/>
    </xf>
    <xf numFmtId="0" fontId="38" fillId="6" borderId="49" xfId="30" applyFont="1" applyFill="1" applyBorder="1" applyAlignment="1">
      <alignment horizontal="center" vertical="center" wrapText="1"/>
    </xf>
    <xf numFmtId="0" fontId="38" fillId="6" borderId="18" xfId="30" applyFont="1" applyFill="1" applyBorder="1" applyAlignment="1">
      <alignment horizontal="center" vertical="center" wrapText="1"/>
    </xf>
    <xf numFmtId="0" fontId="38" fillId="6" borderId="14" xfId="30" applyFont="1" applyFill="1" applyBorder="1" applyAlignment="1">
      <alignment horizontal="center" vertical="center" wrapText="1"/>
    </xf>
    <xf numFmtId="0" fontId="38" fillId="6" borderId="52" xfId="30" applyFont="1" applyFill="1" applyBorder="1" applyAlignment="1">
      <alignment horizontal="center" vertical="center" wrapText="1"/>
    </xf>
    <xf numFmtId="0" fontId="38" fillId="6" borderId="53" xfId="30" applyFont="1" applyFill="1" applyBorder="1" applyAlignment="1">
      <alignment horizontal="center" vertical="center" wrapText="1"/>
    </xf>
    <xf numFmtId="0" fontId="38" fillId="6" borderId="28" xfId="30" applyFont="1" applyFill="1" applyBorder="1" applyAlignment="1">
      <alignment horizontal="center" vertical="center" wrapText="1"/>
    </xf>
    <xf numFmtId="49" fontId="22" fillId="0" borderId="49" xfId="16" applyNumberFormat="1" applyFont="1" applyFill="1" applyBorder="1" applyAlignment="1" applyProtection="1">
      <alignment horizontal="left" vertical="center" wrapText="1"/>
    </xf>
    <xf numFmtId="49" fontId="22" fillId="0" borderId="18" xfId="16" applyNumberFormat="1" applyFont="1" applyFill="1" applyBorder="1" applyAlignment="1" applyProtection="1">
      <alignment horizontal="left" vertical="center" wrapText="1"/>
    </xf>
    <xf numFmtId="49" fontId="22" fillId="0" borderId="14" xfId="16" applyNumberFormat="1" applyFont="1" applyFill="1" applyBorder="1" applyAlignment="1" applyProtection="1">
      <alignment horizontal="left" vertical="center" wrapText="1"/>
    </xf>
    <xf numFmtId="49" fontId="22" fillId="0" borderId="52" xfId="16" applyNumberFormat="1" applyFont="1" applyFill="1" applyBorder="1" applyAlignment="1" applyProtection="1">
      <alignment horizontal="left" vertical="center" wrapText="1"/>
    </xf>
    <xf numFmtId="49" fontId="22" fillId="0" borderId="53" xfId="16" applyNumberFormat="1" applyFont="1" applyFill="1" applyBorder="1" applyAlignment="1" applyProtection="1">
      <alignment horizontal="left" vertical="center" wrapText="1"/>
    </xf>
    <xf numFmtId="49" fontId="22" fillId="0" borderId="28" xfId="16" applyNumberFormat="1" applyFont="1" applyFill="1" applyBorder="1" applyAlignment="1" applyProtection="1">
      <alignment horizontal="left" vertical="center" wrapText="1"/>
    </xf>
    <xf numFmtId="49" fontId="22" fillId="0" borderId="49" xfId="16" applyNumberFormat="1" applyFont="1" applyFill="1" applyBorder="1" applyAlignment="1" applyProtection="1">
      <alignment horizontal="center" vertical="center" wrapText="1"/>
    </xf>
    <xf numFmtId="49" fontId="22" fillId="0" borderId="18" xfId="16" applyNumberFormat="1" applyFont="1" applyFill="1" applyBorder="1" applyAlignment="1" applyProtection="1">
      <alignment horizontal="center" vertical="center" wrapText="1"/>
    </xf>
    <xf numFmtId="49" fontId="22" fillId="0" borderId="14" xfId="16" applyNumberFormat="1" applyFont="1" applyFill="1" applyBorder="1" applyAlignment="1" applyProtection="1">
      <alignment horizontal="center" vertical="center" wrapText="1"/>
    </xf>
    <xf numFmtId="49" fontId="22" fillId="0" borderId="52" xfId="16" applyNumberFormat="1" applyFont="1" applyFill="1" applyBorder="1" applyAlignment="1" applyProtection="1">
      <alignment horizontal="center" vertical="center" wrapText="1"/>
    </xf>
    <xf numFmtId="49" fontId="22" fillId="0" borderId="53" xfId="16" applyNumberFormat="1" applyFont="1" applyFill="1" applyBorder="1" applyAlignment="1" applyProtection="1">
      <alignment horizontal="center" vertical="center" wrapText="1"/>
    </xf>
    <xf numFmtId="49" fontId="22" fillId="0" borderId="28" xfId="16" applyNumberFormat="1" applyFont="1" applyFill="1" applyBorder="1" applyAlignment="1" applyProtection="1">
      <alignment horizontal="center" vertical="center" wrapText="1"/>
    </xf>
    <xf numFmtId="0" fontId="21" fillId="0" borderId="49" xfId="16" applyFont="1" applyFill="1" applyBorder="1" applyAlignment="1" applyProtection="1">
      <alignment horizontal="center" vertical="center" wrapText="1"/>
    </xf>
    <xf numFmtId="0" fontId="21" fillId="0" borderId="18" xfId="16" applyFont="1" applyFill="1" applyBorder="1" applyAlignment="1" applyProtection="1">
      <alignment horizontal="center" vertical="center" wrapText="1"/>
    </xf>
    <xf numFmtId="0" fontId="21" fillId="0" borderId="14" xfId="16" applyFont="1" applyFill="1" applyBorder="1" applyAlignment="1" applyProtection="1">
      <alignment horizontal="center" vertical="center" wrapText="1"/>
    </xf>
    <xf numFmtId="0" fontId="21" fillId="0" borderId="52" xfId="16" applyFont="1" applyFill="1" applyBorder="1" applyAlignment="1" applyProtection="1">
      <alignment horizontal="center" vertical="center" wrapText="1"/>
    </xf>
    <xf numFmtId="0" fontId="21" fillId="0" borderId="53" xfId="16" applyFont="1" applyFill="1" applyBorder="1" applyAlignment="1" applyProtection="1">
      <alignment horizontal="center" vertical="center" wrapText="1"/>
    </xf>
    <xf numFmtId="0" fontId="21" fillId="0" borderId="28" xfId="16" applyFont="1" applyFill="1" applyBorder="1" applyAlignment="1" applyProtection="1">
      <alignment horizontal="center" vertical="center" wrapText="1"/>
    </xf>
    <xf numFmtId="0" fontId="19" fillId="0" borderId="25" xfId="26" applyFont="1" applyBorder="1" applyAlignment="1" applyProtection="1">
      <alignment horizontal="center" vertical="center"/>
    </xf>
    <xf numFmtId="0" fontId="4" fillId="10" borderId="22" xfId="26" applyFont="1" applyFill="1" applyBorder="1" applyAlignment="1" applyProtection="1">
      <alignment horizontal="right"/>
      <protection locked="0"/>
    </xf>
    <xf numFmtId="0" fontId="4" fillId="10" borderId="23" xfId="26" applyFont="1" applyFill="1" applyBorder="1" applyAlignment="1" applyProtection="1">
      <alignment horizontal="right"/>
      <protection locked="0"/>
    </xf>
    <xf numFmtId="0" fontId="4" fillId="10" borderId="24" xfId="26" applyFont="1" applyFill="1" applyBorder="1" applyAlignment="1" applyProtection="1">
      <alignment horizontal="right"/>
      <protection locked="0"/>
    </xf>
    <xf numFmtId="0" fontId="5" fillId="3" borderId="32" xfId="26" applyFont="1" applyFill="1" applyBorder="1" applyAlignment="1" applyProtection="1">
      <alignment horizontal="left"/>
      <protection locked="0"/>
    </xf>
    <xf numFmtId="0" fontId="5" fillId="3" borderId="56" xfId="26" applyFont="1" applyFill="1" applyBorder="1" applyAlignment="1" applyProtection="1">
      <alignment horizontal="left"/>
      <protection locked="0"/>
    </xf>
    <xf numFmtId="0" fontId="5" fillId="3" borderId="57" xfId="26" applyFont="1" applyFill="1" applyBorder="1" applyAlignment="1" applyProtection="1">
      <alignment horizontal="left"/>
      <protection locked="0"/>
    </xf>
    <xf numFmtId="0" fontId="5" fillId="0" borderId="29" xfId="26" applyFont="1" applyBorder="1" applyAlignment="1" applyProtection="1">
      <alignment horizontal="center" vertical="center"/>
      <protection locked="0"/>
    </xf>
    <xf numFmtId="0" fontId="5" fillId="0" borderId="25" xfId="26" applyFont="1" applyBorder="1" applyAlignment="1" applyProtection="1">
      <alignment horizontal="center" vertical="center"/>
      <protection locked="0"/>
    </xf>
    <xf numFmtId="0" fontId="36" fillId="7" borderId="29" xfId="26" applyFont="1" applyFill="1" applyBorder="1" applyAlignment="1" applyProtection="1">
      <alignment horizontal="center" vertical="center"/>
      <protection locked="0"/>
    </xf>
    <xf numFmtId="0" fontId="36" fillId="7" borderId="25" xfId="26" applyFont="1" applyFill="1" applyBorder="1" applyAlignment="1" applyProtection="1">
      <alignment horizontal="center" vertical="center"/>
      <protection locked="0"/>
    </xf>
    <xf numFmtId="0" fontId="5" fillId="3" borderId="32" xfId="26" applyFont="1" applyFill="1" applyBorder="1" applyAlignment="1" applyProtection="1">
      <alignment horizontal="center"/>
    </xf>
    <xf numFmtId="0" fontId="15" fillId="0" borderId="56" xfId="0" applyFont="1" applyBorder="1"/>
    <xf numFmtId="0" fontId="15" fillId="0" borderId="86" xfId="0" applyFont="1" applyBorder="1"/>
    <xf numFmtId="0" fontId="37" fillId="7" borderId="32" xfId="26" applyFont="1" applyFill="1" applyBorder="1" applyAlignment="1" applyProtection="1">
      <alignment horizontal="center"/>
    </xf>
    <xf numFmtId="0" fontId="37" fillId="7" borderId="56" xfId="26" applyFont="1" applyFill="1" applyBorder="1" applyAlignment="1" applyProtection="1">
      <alignment horizontal="center"/>
    </xf>
    <xf numFmtId="0" fontId="30" fillId="0" borderId="0" xfId="26" applyFont="1" applyBorder="1" applyAlignment="1" applyProtection="1">
      <alignment horizontal="center"/>
    </xf>
    <xf numFmtId="0" fontId="31" fillId="0" borderId="29" xfId="26" applyFont="1" applyFill="1" applyBorder="1" applyAlignment="1" applyProtection="1">
      <alignment horizontal="center" wrapText="1"/>
    </xf>
    <xf numFmtId="0" fontId="31" fillId="0" borderId="25" xfId="26" applyFont="1" applyFill="1" applyBorder="1" applyAlignment="1" applyProtection="1">
      <alignment horizontal="center" wrapText="1"/>
    </xf>
    <xf numFmtId="0" fontId="19" fillId="0" borderId="22" xfId="26" quotePrefix="1" applyFont="1" applyBorder="1" applyAlignment="1" applyProtection="1">
      <alignment horizontal="center"/>
    </xf>
    <xf numFmtId="0" fontId="19" fillId="0" borderId="23" xfId="26" quotePrefix="1" applyFont="1" applyBorder="1" applyAlignment="1" applyProtection="1">
      <alignment horizontal="center"/>
    </xf>
    <xf numFmtId="0" fontId="19" fillId="0" borderId="24" xfId="26" quotePrefix="1" applyFont="1" applyBorder="1" applyAlignment="1" applyProtection="1">
      <alignment horizontal="center"/>
    </xf>
    <xf numFmtId="10" fontId="5" fillId="4" borderId="93" xfId="28" applyNumberFormat="1" applyFont="1" applyFill="1" applyBorder="1" applyAlignment="1" applyProtection="1">
      <alignment horizontal="center"/>
    </xf>
    <xf numFmtId="10" fontId="5" fillId="4" borderId="20" xfId="28" applyNumberFormat="1" applyFont="1" applyFill="1" applyBorder="1" applyAlignment="1" applyProtection="1">
      <alignment horizontal="center"/>
    </xf>
    <xf numFmtId="0" fontId="5" fillId="11" borderId="93" xfId="26" applyFont="1" applyFill="1" applyBorder="1" applyAlignment="1" applyProtection="1">
      <alignment horizontal="center"/>
      <protection locked="0"/>
    </xf>
    <xf numFmtId="0" fontId="5" fillId="11" borderId="19" xfId="26" applyFont="1" applyFill="1" applyBorder="1" applyAlignment="1" applyProtection="1">
      <alignment horizontal="center"/>
      <protection locked="0"/>
    </xf>
    <xf numFmtId="0" fontId="5" fillId="11" borderId="20" xfId="26" applyFont="1" applyFill="1" applyBorder="1" applyAlignment="1" applyProtection="1">
      <alignment horizontal="center"/>
      <protection locked="0"/>
    </xf>
    <xf numFmtId="0" fontId="5" fillId="4" borderId="93" xfId="26" applyFont="1" applyFill="1" applyBorder="1" applyAlignment="1" applyProtection="1">
      <alignment horizontal="center"/>
      <protection locked="0"/>
    </xf>
    <xf numFmtId="0" fontId="5" fillId="4" borderId="19" xfId="26" applyFont="1" applyFill="1" applyBorder="1" applyAlignment="1" applyProtection="1">
      <alignment horizontal="center"/>
      <protection locked="0"/>
    </xf>
    <xf numFmtId="0" fontId="5" fillId="4" borderId="20" xfId="26" applyFont="1" applyFill="1" applyBorder="1" applyAlignment="1" applyProtection="1">
      <alignment horizontal="center"/>
      <protection locked="0"/>
    </xf>
    <xf numFmtId="166" fontId="28" fillId="10" borderId="22" xfId="26" applyNumberFormat="1" applyFont="1" applyFill="1" applyBorder="1" applyAlignment="1" applyProtection="1">
      <alignment horizontal="left"/>
      <protection locked="0"/>
    </xf>
    <xf numFmtId="166" fontId="28" fillId="10" borderId="24" xfId="26" applyNumberFormat="1" applyFont="1" applyFill="1" applyBorder="1" applyAlignment="1" applyProtection="1">
      <alignment horizontal="left"/>
      <protection locked="0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11" borderId="4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43" xfId="0" applyFont="1" applyFill="1" applyBorder="1" applyAlignment="1">
      <alignment horizontal="center" vertical="center" wrapText="1"/>
    </xf>
    <xf numFmtId="0" fontId="4" fillId="11" borderId="98" xfId="0" applyFont="1" applyFill="1" applyBorder="1" applyAlignment="1">
      <alignment horizontal="center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4" fillId="11" borderId="33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14" borderId="22" xfId="0" applyFon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20" fillId="0" borderId="29" xfId="0" applyFont="1" applyBorder="1" applyAlignment="1">
      <alignment horizontal="center" textRotation="180"/>
    </xf>
    <xf numFmtId="0" fontId="20" fillId="0" borderId="27" xfId="0" applyFont="1" applyBorder="1" applyAlignment="1">
      <alignment horizontal="center" textRotation="180"/>
    </xf>
    <xf numFmtId="0" fontId="20" fillId="0" borderId="25" xfId="0" applyFont="1" applyBorder="1" applyAlignment="1">
      <alignment horizontal="center" textRotation="180"/>
    </xf>
    <xf numFmtId="0" fontId="17" fillId="0" borderId="29" xfId="0" applyFont="1" applyBorder="1" applyAlignment="1">
      <alignment horizontal="center" vertical="center" textRotation="180" wrapText="1"/>
    </xf>
    <xf numFmtId="0" fontId="17" fillId="0" borderId="27" xfId="0" applyFont="1" applyBorder="1" applyAlignment="1">
      <alignment horizontal="center" vertical="center" textRotation="180" wrapText="1"/>
    </xf>
    <xf numFmtId="0" fontId="17" fillId="0" borderId="25" xfId="0" applyFont="1" applyBorder="1" applyAlignment="1">
      <alignment horizontal="center" vertical="center" textRotation="180" wrapText="1"/>
    </xf>
    <xf numFmtId="0" fontId="5" fillId="0" borderId="2" xfId="0" applyFont="1" applyBorder="1" applyAlignment="1">
      <alignment horizontal="center"/>
    </xf>
  </cellXfs>
  <cellStyles count="33">
    <cellStyle name="Comma 2" xfId="1"/>
    <cellStyle name="Comma 2 2" xfId="17"/>
    <cellStyle name="Comma 3" xfId="2"/>
    <cellStyle name="Comma 3 2" xfId="3"/>
    <cellStyle name="Comma 3 2 2" xfId="19"/>
    <cellStyle name="Comma 3 3" xfId="18"/>
    <cellStyle name="Euro" xfId="4"/>
    <cellStyle name="Euro 2" xfId="5"/>
    <cellStyle name="Euro 2 2" xfId="20"/>
    <cellStyle name="Euro 3" xfId="6"/>
    <cellStyle name="Euro 3 2" xfId="7"/>
    <cellStyle name="Euro 3 2 2" xfId="22"/>
    <cellStyle name="Euro 3 3" xfId="21"/>
    <cellStyle name="Euro 4" xfId="8"/>
    <cellStyle name="Euro 4 2" xfId="23"/>
    <cellStyle name="Hipervínculo" xfId="31" builtinId="8"/>
    <cellStyle name="Millares [0]" xfId="32" builtinId="6"/>
    <cellStyle name="Millares 2" xfId="9"/>
    <cellStyle name="Millares 2 2" xfId="14"/>
    <cellStyle name="Millares 2 3" xfId="25"/>
    <cellStyle name="Millares 3" xfId="13"/>
    <cellStyle name="Millares 4" xfId="24"/>
    <cellStyle name="Moneda 2" xfId="15"/>
    <cellStyle name="Neutral" xfId="10" builtinId="28" customBuiltin="1"/>
    <cellStyle name="Normal" xfId="0" builtinId="0"/>
    <cellStyle name="Normal 2" xfId="11"/>
    <cellStyle name="Normal 2 2" xfId="16"/>
    <cellStyle name="Normal 2 3" xfId="26"/>
    <cellStyle name="Normal 3" xfId="27"/>
    <cellStyle name="Normal 5" xfId="30"/>
    <cellStyle name="Porcentaje" xfId="29" builtinId="5"/>
    <cellStyle name="Porcentual 2" xfId="28"/>
    <cellStyle name="Total" xfId="12" builtinId="25" customBuiltin="1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9</xdr:col>
      <xdr:colOff>504825</xdr:colOff>
      <xdr:row>17</xdr:row>
      <xdr:rowOff>77270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409575"/>
          <a:ext cx="9839325" cy="2906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495299</xdr:colOff>
      <xdr:row>18</xdr:row>
      <xdr:rowOff>0</xdr:rowOff>
    </xdr:from>
    <xdr:to>
      <xdr:col>6</xdr:col>
      <xdr:colOff>57150</xdr:colOff>
      <xdr:row>58</xdr:row>
      <xdr:rowOff>13532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5299" y="2914650"/>
          <a:ext cx="4133851" cy="64905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13</xdr:col>
      <xdr:colOff>561975</xdr:colOff>
      <xdr:row>25</xdr:row>
      <xdr:rowOff>828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67600" y="3810000"/>
          <a:ext cx="6962775" cy="943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0</xdr:colOff>
      <xdr:row>50</xdr:row>
      <xdr:rowOff>38100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35200" y="381000"/>
          <a:ext cx="6762750" cy="918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895350</xdr:colOff>
      <xdr:row>5</xdr:row>
      <xdr:rowOff>123825</xdr:rowOff>
    </xdr:from>
    <xdr:to>
      <xdr:col>14</xdr:col>
      <xdr:colOff>704850</xdr:colOff>
      <xdr:row>11</xdr:row>
      <xdr:rowOff>28575</xdr:rowOff>
    </xdr:to>
    <xdr:cxnSp macro="">
      <xdr:nvCxnSpPr>
        <xdr:cNvPr id="6" name="5 Conector recto"/>
        <xdr:cNvCxnSpPr/>
      </xdr:nvCxnSpPr>
      <xdr:spPr>
        <a:xfrm>
          <a:off x="7296150" y="1076325"/>
          <a:ext cx="8343900" cy="1047750"/>
        </a:xfrm>
        <a:prstGeom prst="line">
          <a:avLst/>
        </a:prstGeom>
        <a:noFill/>
        <a:ln w="571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180975</xdr:colOff>
      <xdr:row>22</xdr:row>
      <xdr:rowOff>123825</xdr:rowOff>
    </xdr:from>
    <xdr:to>
      <xdr:col>11</xdr:col>
      <xdr:colOff>809625</xdr:colOff>
      <xdr:row>22</xdr:row>
      <xdr:rowOff>123825</xdr:rowOff>
    </xdr:to>
    <xdr:cxnSp macro="">
      <xdr:nvCxnSpPr>
        <xdr:cNvPr id="7" name="6 Conector recto"/>
        <xdr:cNvCxnSpPr/>
      </xdr:nvCxnSpPr>
      <xdr:spPr>
        <a:xfrm>
          <a:off x="10848975" y="4314825"/>
          <a:ext cx="169545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371475</xdr:colOff>
      <xdr:row>42</xdr:row>
      <xdr:rowOff>152400</xdr:rowOff>
    </xdr:from>
    <xdr:to>
      <xdr:col>4</xdr:col>
      <xdr:colOff>276225</xdr:colOff>
      <xdr:row>53</xdr:row>
      <xdr:rowOff>152400</xdr:rowOff>
    </xdr:to>
    <xdr:sp macro="" textlink="">
      <xdr:nvSpPr>
        <xdr:cNvPr id="8" name="7 Rectángulo"/>
        <xdr:cNvSpPr/>
      </xdr:nvSpPr>
      <xdr:spPr>
        <a:xfrm>
          <a:off x="371475" y="8153400"/>
          <a:ext cx="4171950" cy="20955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</xdr:col>
      <xdr:colOff>104775</xdr:colOff>
      <xdr:row>19</xdr:row>
      <xdr:rowOff>123825</xdr:rowOff>
    </xdr:from>
    <xdr:to>
      <xdr:col>3</xdr:col>
      <xdr:colOff>628650</xdr:colOff>
      <xdr:row>19</xdr:row>
      <xdr:rowOff>142875</xdr:rowOff>
    </xdr:to>
    <xdr:cxnSp macro="">
      <xdr:nvCxnSpPr>
        <xdr:cNvPr id="9" name="8 Conector recto"/>
        <xdr:cNvCxnSpPr/>
      </xdr:nvCxnSpPr>
      <xdr:spPr>
        <a:xfrm flipV="1">
          <a:off x="1171575" y="3743325"/>
          <a:ext cx="2657475" cy="1905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428625</xdr:colOff>
      <xdr:row>8</xdr:row>
      <xdr:rowOff>85725</xdr:rowOff>
    </xdr:from>
    <xdr:to>
      <xdr:col>7</xdr:col>
      <xdr:colOff>238125</xdr:colOff>
      <xdr:row>8</xdr:row>
      <xdr:rowOff>85725</xdr:rowOff>
    </xdr:to>
    <xdr:cxnSp macro="">
      <xdr:nvCxnSpPr>
        <xdr:cNvPr id="10" name="9 Conector recto"/>
        <xdr:cNvCxnSpPr/>
      </xdr:nvCxnSpPr>
      <xdr:spPr>
        <a:xfrm>
          <a:off x="4695825" y="1609725"/>
          <a:ext cx="300990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8</xdr:col>
      <xdr:colOff>228600</xdr:colOff>
      <xdr:row>8</xdr:row>
      <xdr:rowOff>95250</xdr:rowOff>
    </xdr:from>
    <xdr:to>
      <xdr:col>9</xdr:col>
      <xdr:colOff>438150</xdr:colOff>
      <xdr:row>8</xdr:row>
      <xdr:rowOff>104775</xdr:rowOff>
    </xdr:to>
    <xdr:cxnSp macro="">
      <xdr:nvCxnSpPr>
        <xdr:cNvPr id="11" name="10 Conector recto"/>
        <xdr:cNvCxnSpPr/>
      </xdr:nvCxnSpPr>
      <xdr:spPr>
        <a:xfrm>
          <a:off x="8763000" y="1619250"/>
          <a:ext cx="1276350" cy="9525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390525</xdr:colOff>
      <xdr:row>9</xdr:row>
      <xdr:rowOff>57150</xdr:rowOff>
    </xdr:from>
    <xdr:to>
      <xdr:col>2</xdr:col>
      <xdr:colOff>152400</xdr:colOff>
      <xdr:row>9</xdr:row>
      <xdr:rowOff>57150</xdr:rowOff>
    </xdr:to>
    <xdr:cxnSp macro="">
      <xdr:nvCxnSpPr>
        <xdr:cNvPr id="12" name="11 Conector recto"/>
        <xdr:cNvCxnSpPr/>
      </xdr:nvCxnSpPr>
      <xdr:spPr>
        <a:xfrm>
          <a:off x="390525" y="1771650"/>
          <a:ext cx="1895475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304800</xdr:colOff>
      <xdr:row>14</xdr:row>
      <xdr:rowOff>95250</xdr:rowOff>
    </xdr:from>
    <xdr:to>
      <xdr:col>9</xdr:col>
      <xdr:colOff>504825</xdr:colOff>
      <xdr:row>16</xdr:row>
      <xdr:rowOff>123825</xdr:rowOff>
    </xdr:to>
    <xdr:sp macro="" textlink="">
      <xdr:nvSpPr>
        <xdr:cNvPr id="13" name="12 Forma libre"/>
        <xdr:cNvSpPr/>
      </xdr:nvSpPr>
      <xdr:spPr>
        <a:xfrm>
          <a:off x="304800" y="2762250"/>
          <a:ext cx="9801225" cy="409575"/>
        </a:xfrm>
        <a:custGeom>
          <a:avLst/>
          <a:gdLst>
            <a:gd name="connsiteX0" fmla="*/ 9525 w 9801225"/>
            <a:gd name="connsiteY0" fmla="*/ 0 h 409575"/>
            <a:gd name="connsiteX1" fmla="*/ 9801225 w 9801225"/>
            <a:gd name="connsiteY1" fmla="*/ 0 h 409575"/>
            <a:gd name="connsiteX2" fmla="*/ 9791700 w 9801225"/>
            <a:gd name="connsiteY2" fmla="*/ 409575 h 409575"/>
            <a:gd name="connsiteX3" fmla="*/ 7305675 w 9801225"/>
            <a:gd name="connsiteY3" fmla="*/ 409575 h 409575"/>
            <a:gd name="connsiteX4" fmla="*/ 7305675 w 9801225"/>
            <a:gd name="connsiteY4" fmla="*/ 219075 h 409575"/>
            <a:gd name="connsiteX5" fmla="*/ 0 w 9801225"/>
            <a:gd name="connsiteY5" fmla="*/ 219075 h 409575"/>
            <a:gd name="connsiteX6" fmla="*/ 9525 w 9801225"/>
            <a:gd name="connsiteY6" fmla="*/ 0 h 409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9801225" h="409575">
              <a:moveTo>
                <a:pt x="9525" y="0"/>
              </a:moveTo>
              <a:lnTo>
                <a:pt x="9801225" y="0"/>
              </a:lnTo>
              <a:lnTo>
                <a:pt x="9791700" y="409575"/>
              </a:lnTo>
              <a:lnTo>
                <a:pt x="7305675" y="409575"/>
              </a:lnTo>
              <a:lnTo>
                <a:pt x="7305675" y="219075"/>
              </a:lnTo>
              <a:lnTo>
                <a:pt x="0" y="219075"/>
              </a:lnTo>
              <a:lnTo>
                <a:pt x="9525" y="0"/>
              </a:lnTo>
              <a:close/>
            </a:path>
          </a:pathLst>
        </a:custGeom>
        <a:noFill/>
        <a:ln w="19050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578827</xdr:colOff>
      <xdr:row>30</xdr:row>
      <xdr:rowOff>17316</xdr:rowOff>
    </xdr:from>
    <xdr:to>
      <xdr:col>12</xdr:col>
      <xdr:colOff>249848</xdr:colOff>
      <xdr:row>39</xdr:row>
      <xdr:rowOff>57884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979627" y="5732316"/>
          <a:ext cx="6071821" cy="17550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1018442</xdr:colOff>
      <xdr:row>26</xdr:row>
      <xdr:rowOff>5323</xdr:rowOff>
    </xdr:from>
    <xdr:to>
      <xdr:col>13</xdr:col>
      <xdr:colOff>2929</xdr:colOff>
      <xdr:row>29</xdr:row>
      <xdr:rowOff>40298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419242" y="4958323"/>
          <a:ext cx="6290162" cy="6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1038226</xdr:colOff>
      <xdr:row>29</xdr:row>
      <xdr:rowOff>6594</xdr:rowOff>
    </xdr:from>
    <xdr:to>
      <xdr:col>9</xdr:col>
      <xdr:colOff>597144</xdr:colOff>
      <xdr:row>29</xdr:row>
      <xdr:rowOff>6594</xdr:rowOff>
    </xdr:to>
    <xdr:cxnSp macro="">
      <xdr:nvCxnSpPr>
        <xdr:cNvPr id="16" name="15 Conector recto"/>
        <xdr:cNvCxnSpPr/>
      </xdr:nvCxnSpPr>
      <xdr:spPr>
        <a:xfrm>
          <a:off x="8505826" y="5531094"/>
          <a:ext cx="1692518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7</xdr:col>
      <xdr:colOff>29308</xdr:colOff>
      <xdr:row>28</xdr:row>
      <xdr:rowOff>21248</xdr:rowOff>
    </xdr:from>
    <xdr:to>
      <xdr:col>8</xdr:col>
      <xdr:colOff>186836</xdr:colOff>
      <xdr:row>28</xdr:row>
      <xdr:rowOff>29308</xdr:rowOff>
    </xdr:to>
    <xdr:cxnSp macro="">
      <xdr:nvCxnSpPr>
        <xdr:cNvPr id="17" name="16 Conector recto"/>
        <xdr:cNvCxnSpPr/>
      </xdr:nvCxnSpPr>
      <xdr:spPr>
        <a:xfrm flipV="1">
          <a:off x="7496908" y="5355248"/>
          <a:ext cx="1224328" cy="806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6</xdr:col>
      <xdr:colOff>629210</xdr:colOff>
      <xdr:row>35</xdr:row>
      <xdr:rowOff>78441</xdr:rowOff>
    </xdr:from>
    <xdr:to>
      <xdr:col>12</xdr:col>
      <xdr:colOff>114299</xdr:colOff>
      <xdr:row>36</xdr:row>
      <xdr:rowOff>47625</xdr:rowOff>
    </xdr:to>
    <xdr:sp macro="" textlink="">
      <xdr:nvSpPr>
        <xdr:cNvPr id="18" name="17 Rectángulo"/>
        <xdr:cNvSpPr/>
      </xdr:nvSpPr>
      <xdr:spPr>
        <a:xfrm>
          <a:off x="7030010" y="6745941"/>
          <a:ext cx="5885889" cy="159684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13</xdr:col>
      <xdr:colOff>533400</xdr:colOff>
      <xdr:row>86</xdr:row>
      <xdr:rowOff>0</xdr:rowOff>
    </xdr:to>
    <xdr:pic>
      <xdr:nvPicPr>
        <xdr:cNvPr id="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200400" y="12001500"/>
          <a:ext cx="11201400" cy="588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97</xdr:row>
      <xdr:rowOff>1</xdr:rowOff>
    </xdr:from>
    <xdr:to>
      <xdr:col>12</xdr:col>
      <xdr:colOff>638175</xdr:colOff>
      <xdr:row>113</xdr:row>
      <xdr:rowOff>73267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200400" y="19050001"/>
          <a:ext cx="10239375" cy="31212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171450</xdr:colOff>
      <xdr:row>40</xdr:row>
      <xdr:rowOff>158538</xdr:rowOff>
    </xdr:from>
    <xdr:to>
      <xdr:col>14</xdr:col>
      <xdr:colOff>28575</xdr:colOff>
      <xdr:row>52</xdr:row>
      <xdr:rowOff>161924</xdr:rowOff>
    </xdr:to>
    <xdr:pic>
      <xdr:nvPicPr>
        <xdr:cNvPr id="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572250" y="7778538"/>
          <a:ext cx="8391525" cy="23179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590550</xdr:colOff>
      <xdr:row>47</xdr:row>
      <xdr:rowOff>171450</xdr:rowOff>
    </xdr:from>
    <xdr:to>
      <xdr:col>13</xdr:col>
      <xdr:colOff>704850</xdr:colOff>
      <xdr:row>50</xdr:row>
      <xdr:rowOff>66675</xdr:rowOff>
    </xdr:to>
    <xdr:sp macro="" textlink="">
      <xdr:nvSpPr>
        <xdr:cNvPr id="22" name="21 Rectángulo"/>
        <xdr:cNvSpPr/>
      </xdr:nvSpPr>
      <xdr:spPr>
        <a:xfrm>
          <a:off x="6991350" y="9124950"/>
          <a:ext cx="7581900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742949</xdr:colOff>
      <xdr:row>52</xdr:row>
      <xdr:rowOff>92684</xdr:rowOff>
    </xdr:from>
    <xdr:to>
      <xdr:col>11</xdr:col>
      <xdr:colOff>333374</xdr:colOff>
      <xdr:row>62</xdr:row>
      <xdr:rowOff>161924</xdr:rowOff>
    </xdr:to>
    <xdr:pic>
      <xdr:nvPicPr>
        <xdr:cNvPr id="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143749" y="9998684"/>
          <a:ext cx="4924425" cy="1974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809623</xdr:colOff>
      <xdr:row>59</xdr:row>
      <xdr:rowOff>95250</xdr:rowOff>
    </xdr:from>
    <xdr:to>
      <xdr:col>10</xdr:col>
      <xdr:colOff>1057275</xdr:colOff>
      <xdr:row>61</xdr:row>
      <xdr:rowOff>0</xdr:rowOff>
    </xdr:to>
    <xdr:sp macro="" textlink="">
      <xdr:nvSpPr>
        <xdr:cNvPr id="24" name="23 Rectángulo"/>
        <xdr:cNvSpPr/>
      </xdr:nvSpPr>
      <xdr:spPr>
        <a:xfrm>
          <a:off x="7210423" y="11334750"/>
          <a:ext cx="4514852" cy="28575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39674</xdr:rowOff>
    </xdr:from>
    <xdr:to>
      <xdr:col>6</xdr:col>
      <xdr:colOff>542925</xdr:colOff>
      <xdr:row>62</xdr:row>
      <xdr:rowOff>161924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10898174"/>
          <a:ext cx="6943725" cy="1074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66676</xdr:colOff>
      <xdr:row>63</xdr:row>
      <xdr:rowOff>103029</xdr:rowOff>
    </xdr:from>
    <xdr:to>
      <xdr:col>6</xdr:col>
      <xdr:colOff>371476</xdr:colOff>
      <xdr:row>68</xdr:row>
      <xdr:rowOff>114300</xdr:rowOff>
    </xdr:to>
    <xdr:pic>
      <xdr:nvPicPr>
        <xdr:cNvPr id="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6676" y="12104529"/>
          <a:ext cx="6705600" cy="9637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895348</xdr:colOff>
      <xdr:row>65</xdr:row>
      <xdr:rowOff>171450</xdr:rowOff>
    </xdr:from>
    <xdr:to>
      <xdr:col>6</xdr:col>
      <xdr:colOff>314325</xdr:colOff>
      <xdr:row>67</xdr:row>
      <xdr:rowOff>85725</xdr:rowOff>
    </xdr:to>
    <xdr:sp macro="" textlink="">
      <xdr:nvSpPr>
        <xdr:cNvPr id="27" name="26 Rectángulo"/>
        <xdr:cNvSpPr/>
      </xdr:nvSpPr>
      <xdr:spPr>
        <a:xfrm>
          <a:off x="4095748" y="12553950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3</xdr:col>
      <xdr:colOff>1028698</xdr:colOff>
      <xdr:row>59</xdr:row>
      <xdr:rowOff>180975</xdr:rowOff>
    </xdr:from>
    <xdr:to>
      <xdr:col>6</xdr:col>
      <xdr:colOff>447675</xdr:colOff>
      <xdr:row>61</xdr:row>
      <xdr:rowOff>95250</xdr:rowOff>
    </xdr:to>
    <xdr:sp macro="" textlink="">
      <xdr:nvSpPr>
        <xdr:cNvPr id="28" name="27 Rectángulo"/>
        <xdr:cNvSpPr/>
      </xdr:nvSpPr>
      <xdr:spPr>
        <a:xfrm>
          <a:off x="4229098" y="11420475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17</xdr:col>
      <xdr:colOff>204107</xdr:colOff>
      <xdr:row>61</xdr:row>
      <xdr:rowOff>159719</xdr:rowOff>
    </xdr:to>
    <xdr:pic>
      <xdr:nvPicPr>
        <xdr:cNvPr id="2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734800" y="10096500"/>
          <a:ext cx="6985907" cy="1702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5443</xdr:colOff>
      <xdr:row>53</xdr:row>
      <xdr:rowOff>89807</xdr:rowOff>
    </xdr:from>
    <xdr:to>
      <xdr:col>17</xdr:col>
      <xdr:colOff>217714</xdr:colOff>
      <xdr:row>55</xdr:row>
      <xdr:rowOff>175532</xdr:rowOff>
    </xdr:to>
    <xdr:sp macro="" textlink="">
      <xdr:nvSpPr>
        <xdr:cNvPr id="30" name="29 Rectángulo"/>
        <xdr:cNvSpPr/>
      </xdr:nvSpPr>
      <xdr:spPr>
        <a:xfrm>
          <a:off x="11740243" y="10186307"/>
          <a:ext cx="6994071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361950</xdr:colOff>
      <xdr:row>20</xdr:row>
      <xdr:rowOff>9525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50" cy="3248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19050</xdr:colOff>
      <xdr:row>15</xdr:row>
      <xdr:rowOff>76199</xdr:rowOff>
    </xdr:from>
    <xdr:to>
      <xdr:col>8</xdr:col>
      <xdr:colOff>304800</xdr:colOff>
      <xdr:row>17</xdr:row>
      <xdr:rowOff>19050</xdr:rowOff>
    </xdr:to>
    <xdr:sp macro="" textlink="">
      <xdr:nvSpPr>
        <xdr:cNvPr id="3" name="2 Rectángulo"/>
        <xdr:cNvSpPr/>
      </xdr:nvSpPr>
      <xdr:spPr>
        <a:xfrm>
          <a:off x="19050" y="2505074"/>
          <a:ext cx="6381750" cy="266701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95250</xdr:colOff>
      <xdr:row>21</xdr:row>
      <xdr:rowOff>0</xdr:rowOff>
    </xdr:from>
    <xdr:to>
      <xdr:col>16</xdr:col>
      <xdr:colOff>66675</xdr:colOff>
      <xdr:row>51</xdr:row>
      <xdr:rowOff>76200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" y="3400425"/>
          <a:ext cx="12163425" cy="493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133350</xdr:colOff>
      <xdr:row>37</xdr:row>
      <xdr:rowOff>85724</xdr:rowOff>
    </xdr:from>
    <xdr:to>
      <xdr:col>15</xdr:col>
      <xdr:colOff>685800</xdr:colOff>
      <xdr:row>40</xdr:row>
      <xdr:rowOff>47625</xdr:rowOff>
    </xdr:to>
    <xdr:sp macro="" textlink="">
      <xdr:nvSpPr>
        <xdr:cNvPr id="5" name="4 Rectángulo"/>
        <xdr:cNvSpPr/>
      </xdr:nvSpPr>
      <xdr:spPr>
        <a:xfrm>
          <a:off x="133350" y="6076949"/>
          <a:ext cx="11982450" cy="447676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9</xdr:col>
      <xdr:colOff>200026</xdr:colOff>
      <xdr:row>0</xdr:row>
      <xdr:rowOff>38100</xdr:rowOff>
    </xdr:from>
    <xdr:to>
      <xdr:col>16</xdr:col>
      <xdr:colOff>179882</xdr:colOff>
      <xdr:row>21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058026" y="38100"/>
          <a:ext cx="5313856" cy="3362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114300</xdr:colOff>
      <xdr:row>0</xdr:row>
      <xdr:rowOff>57151</xdr:rowOff>
    </xdr:from>
    <xdr:to>
      <xdr:col>16</xdr:col>
      <xdr:colOff>266700</xdr:colOff>
      <xdr:row>21</xdr:row>
      <xdr:rowOff>9526</xdr:rowOff>
    </xdr:to>
    <xdr:sp macro="" textlink="">
      <xdr:nvSpPr>
        <xdr:cNvPr id="7" name="6 Rectángulo"/>
        <xdr:cNvSpPr/>
      </xdr:nvSpPr>
      <xdr:spPr>
        <a:xfrm>
          <a:off x="6972300" y="57151"/>
          <a:ext cx="5486400" cy="33528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16</xdr:col>
      <xdr:colOff>247650</xdr:colOff>
      <xdr:row>3</xdr:row>
      <xdr:rowOff>38100</xdr:rowOff>
    </xdr:from>
    <xdr:to>
      <xdr:col>17</xdr:col>
      <xdr:colOff>200025</xdr:colOff>
      <xdr:row>6</xdr:row>
      <xdr:rowOff>114300</xdr:rowOff>
    </xdr:to>
    <xdr:sp macro="" textlink="">
      <xdr:nvSpPr>
        <xdr:cNvPr id="8" name="7 CuadroTexto"/>
        <xdr:cNvSpPr txBox="1"/>
      </xdr:nvSpPr>
      <xdr:spPr>
        <a:xfrm>
          <a:off x="12439650" y="523875"/>
          <a:ext cx="7143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3200">
              <a:solidFill>
                <a:srgbClr val="FF0000"/>
              </a:solidFill>
            </a:rPr>
            <a:t>CIP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Downloads/07.%20DESARROLLO/01.%20ARQUITECTURA/01.%20A0/100-V25-DUNAMAR%20PLANTAS-14-10-19.dw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18"/>
  <sheetViews>
    <sheetView topLeftCell="B193" zoomScale="80" zoomScaleNormal="80" workbookViewId="0">
      <selection activeCell="F157" sqref="F157:F163"/>
    </sheetView>
  </sheetViews>
  <sheetFormatPr baseColWidth="10" defaultColWidth="9.140625" defaultRowHeight="12.75" x14ac:dyDescent="0.2"/>
  <cols>
    <col min="1" max="1" width="6.42578125" style="35" customWidth="1"/>
    <col min="2" max="2" width="7" style="35" customWidth="1"/>
    <col min="3" max="3" width="37.5703125" style="35" customWidth="1"/>
    <col min="4" max="4" width="22.140625" style="35" customWidth="1"/>
    <col min="5" max="5" width="15.140625" style="35" customWidth="1"/>
    <col min="6" max="6" width="14.5703125" style="35" customWidth="1"/>
    <col min="7" max="7" width="14.28515625" style="35" customWidth="1"/>
    <col min="8" max="8" width="15.5703125" style="35" customWidth="1"/>
    <col min="9" max="9" width="13.42578125" style="35" customWidth="1"/>
    <col min="10" max="10" width="13" style="35" customWidth="1"/>
    <col min="11" max="11" width="14.7109375" style="35" customWidth="1"/>
    <col min="12" max="12" width="14.140625" style="35" customWidth="1"/>
    <col min="13" max="13" width="10.85546875" style="35" customWidth="1"/>
    <col min="14" max="14" width="13.140625" style="35" customWidth="1"/>
    <col min="15" max="15" width="14" style="35" customWidth="1"/>
    <col min="16" max="16" width="12.85546875" style="35" customWidth="1"/>
    <col min="17" max="17" width="8.85546875" style="35" customWidth="1"/>
    <col min="18" max="18" width="8" style="35" customWidth="1"/>
    <col min="19" max="21" width="9.140625" style="35"/>
    <col min="22" max="22" width="14.140625" style="35" customWidth="1"/>
    <col min="23" max="26" width="9.140625" style="35"/>
    <col min="27" max="27" width="11.42578125" style="35" customWidth="1"/>
    <col min="28" max="16384" width="9.140625" style="35"/>
  </cols>
  <sheetData>
    <row r="1" spans="2:17" s="34" customFormat="1" ht="12.75" customHeight="1" x14ac:dyDescent="0.2"/>
    <row r="2" spans="2:17" ht="13.5" thickBot="1" x14ac:dyDescent="0.25"/>
    <row r="3" spans="2:17" x14ac:dyDescent="0.2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74"/>
    </row>
    <row r="4" spans="2:17" ht="13.5" thickBo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09" t="s">
        <v>641</v>
      </c>
      <c r="P4" s="39"/>
      <c r="Q4" s="78"/>
    </row>
    <row r="5" spans="2:17" ht="26.25" customHeight="1" x14ac:dyDescent="0.2">
      <c r="B5" s="38"/>
      <c r="C5" s="631" t="s">
        <v>664</v>
      </c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3"/>
      <c r="O5" s="310" t="s">
        <v>572</v>
      </c>
      <c r="P5" s="39"/>
      <c r="Q5" s="78"/>
    </row>
    <row r="6" spans="2:17" ht="12.75" customHeight="1" thickBot="1" x14ac:dyDescent="0.25">
      <c r="B6" s="38"/>
      <c r="C6" s="634"/>
      <c r="D6" s="635"/>
      <c r="E6" s="635"/>
      <c r="F6" s="635"/>
      <c r="G6" s="635"/>
      <c r="H6" s="635"/>
      <c r="I6" s="635"/>
      <c r="J6" s="635"/>
      <c r="K6" s="635"/>
      <c r="L6" s="635"/>
      <c r="M6" s="635"/>
      <c r="N6" s="636"/>
      <c r="O6" s="311">
        <v>43752</v>
      </c>
      <c r="P6" s="39"/>
      <c r="Q6" s="78"/>
    </row>
    <row r="7" spans="2:17" ht="12.75" customHeight="1" x14ac:dyDescent="0.3">
      <c r="B7" s="38"/>
      <c r="C7" s="42"/>
      <c r="D7" s="43"/>
      <c r="E7" s="43"/>
      <c r="F7" s="43"/>
      <c r="G7" s="43"/>
      <c r="H7" s="43"/>
      <c r="I7" s="43"/>
      <c r="J7" s="39"/>
      <c r="K7" s="39"/>
      <c r="L7" s="39"/>
      <c r="M7" s="39"/>
      <c r="N7" s="39"/>
      <c r="O7" s="39"/>
      <c r="P7" s="39"/>
      <c r="Q7" s="78"/>
    </row>
    <row r="8" spans="2:17" ht="20.25" customHeight="1" x14ac:dyDescent="0.2">
      <c r="B8" s="38"/>
      <c r="C8" s="44" t="s">
        <v>17</v>
      </c>
      <c r="D8" s="6"/>
      <c r="E8" s="6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78"/>
    </row>
    <row r="9" spans="2:17" ht="17.25" customHeight="1" x14ac:dyDescent="0.25">
      <c r="B9" s="38"/>
      <c r="C9" s="45"/>
      <c r="D9" s="6"/>
      <c r="E9" s="6"/>
      <c r="F9" s="46"/>
      <c r="G9" s="39"/>
      <c r="H9" s="39"/>
      <c r="I9" s="39"/>
      <c r="J9" s="39"/>
      <c r="K9" s="39"/>
      <c r="L9" s="39"/>
      <c r="M9" s="51"/>
      <c r="N9" s="77"/>
      <c r="O9" s="77"/>
      <c r="P9" s="39"/>
      <c r="Q9" s="78"/>
    </row>
    <row r="10" spans="2:17" ht="16.5" customHeight="1" x14ac:dyDescent="0.25">
      <c r="B10" s="38"/>
      <c r="C10" s="47" t="s">
        <v>18</v>
      </c>
      <c r="D10" s="47" t="s">
        <v>160</v>
      </c>
      <c r="E10" s="6"/>
      <c r="F10" s="39"/>
      <c r="G10" s="39"/>
      <c r="H10" s="39"/>
      <c r="I10" s="39"/>
      <c r="J10" s="39"/>
      <c r="K10" s="39"/>
      <c r="L10" s="39"/>
      <c r="M10" s="51"/>
      <c r="N10" s="77"/>
      <c r="O10" s="77"/>
      <c r="P10" s="39"/>
      <c r="Q10" s="78"/>
    </row>
    <row r="11" spans="2:17" ht="14.25" customHeight="1" x14ac:dyDescent="0.2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556"/>
      <c r="N11" s="77"/>
      <c r="O11" s="77"/>
      <c r="P11" s="39"/>
      <c r="Q11" s="78"/>
    </row>
    <row r="12" spans="2:17" ht="14.25" customHeight="1" x14ac:dyDescent="0.2">
      <c r="B12" s="38"/>
      <c r="C12" s="48" t="s">
        <v>19</v>
      </c>
      <c r="D12" s="49"/>
      <c r="E12" s="49"/>
      <c r="F12" s="50" t="s">
        <v>161</v>
      </c>
      <c r="G12" s="39"/>
      <c r="H12" s="559" t="s">
        <v>573</v>
      </c>
      <c r="I12" s="560"/>
      <c r="J12" s="561" t="s">
        <v>665</v>
      </c>
      <c r="K12" s="560"/>
      <c r="L12" s="560"/>
      <c r="M12" s="562"/>
      <c r="N12" s="562"/>
      <c r="O12" s="562"/>
      <c r="P12" s="563"/>
      <c r="Q12" s="78"/>
    </row>
    <row r="13" spans="2:17" ht="16.5" customHeight="1" x14ac:dyDescent="0.2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77"/>
      <c r="N13" s="77"/>
      <c r="O13" s="77"/>
      <c r="P13" s="39"/>
      <c r="Q13" s="78"/>
    </row>
    <row r="14" spans="2:17" ht="12.75" customHeight="1" x14ac:dyDescent="0.2">
      <c r="B14" s="38"/>
      <c r="C14" s="51" t="s">
        <v>20</v>
      </c>
      <c r="D14" s="6"/>
      <c r="E14" s="24"/>
      <c r="F14" s="6"/>
      <c r="G14" s="39"/>
      <c r="H14" s="39"/>
      <c r="I14" s="39"/>
      <c r="J14" s="52"/>
      <c r="K14" s="52"/>
      <c r="L14" s="39"/>
      <c r="M14" s="77"/>
      <c r="N14" s="77"/>
      <c r="O14" s="77"/>
      <c r="P14" s="39"/>
      <c r="Q14" s="78"/>
    </row>
    <row r="15" spans="2:17" ht="12.75" customHeight="1" thickBot="1" x14ac:dyDescent="0.25">
      <c r="B15" s="38"/>
      <c r="C15" s="6"/>
      <c r="D15" s="52"/>
      <c r="E15" s="52"/>
      <c r="F15" s="52"/>
      <c r="G15" s="39"/>
      <c r="H15" s="39"/>
      <c r="I15" s="39"/>
      <c r="J15" s="52"/>
      <c r="K15" s="52"/>
      <c r="L15" s="39"/>
      <c r="M15" s="77"/>
      <c r="N15" s="77"/>
      <c r="O15" s="77"/>
      <c r="P15" s="39"/>
      <c r="Q15" s="78"/>
    </row>
    <row r="16" spans="2:17" ht="12.75" customHeight="1" thickBot="1" x14ac:dyDescent="0.25">
      <c r="B16" s="38"/>
      <c r="C16" s="55" t="s">
        <v>23</v>
      </c>
      <c r="D16" s="52"/>
      <c r="E16" s="57" t="s">
        <v>162</v>
      </c>
      <c r="F16" s="52"/>
      <c r="G16" s="39"/>
      <c r="H16" s="39"/>
      <c r="I16" s="51" t="s">
        <v>21</v>
      </c>
      <c r="J16" s="53"/>
      <c r="K16" s="54"/>
      <c r="L16" s="39"/>
      <c r="M16" s="623" t="s">
        <v>22</v>
      </c>
      <c r="N16" s="624"/>
      <c r="O16" s="625"/>
      <c r="P16" s="39"/>
      <c r="Q16" s="78"/>
    </row>
    <row r="17" spans="2:19" ht="12.75" customHeight="1" x14ac:dyDescent="0.2">
      <c r="B17" s="38"/>
      <c r="C17" s="6" t="s">
        <v>151</v>
      </c>
      <c r="D17" s="52"/>
      <c r="E17" s="6" t="s">
        <v>163</v>
      </c>
      <c r="F17" s="57"/>
      <c r="G17" s="39"/>
      <c r="H17" s="39"/>
      <c r="I17" s="55" t="s">
        <v>24</v>
      </c>
      <c r="J17" s="53"/>
      <c r="K17" s="56">
        <v>5</v>
      </c>
      <c r="L17" s="39"/>
      <c r="M17" s="637" t="s">
        <v>666</v>
      </c>
      <c r="N17" s="638"/>
      <c r="O17" s="639"/>
      <c r="P17" s="39"/>
      <c r="Q17" s="78"/>
    </row>
    <row r="18" spans="2:19" ht="12.75" customHeight="1" thickBot="1" x14ac:dyDescent="0.25">
      <c r="B18" s="38"/>
      <c r="C18" s="77"/>
      <c r="D18" s="77"/>
      <c r="E18" s="77"/>
      <c r="F18" s="531"/>
      <c r="G18" s="39"/>
      <c r="H18" s="39"/>
      <c r="I18" s="55" t="s">
        <v>26</v>
      </c>
      <c r="J18" s="6"/>
      <c r="K18" s="56">
        <v>4</v>
      </c>
      <c r="L18" s="39"/>
      <c r="M18" s="640"/>
      <c r="N18" s="641"/>
      <c r="O18" s="642"/>
      <c r="P18" s="39"/>
      <c r="Q18" s="78"/>
    </row>
    <row r="19" spans="2:19" ht="12.75" customHeight="1" x14ac:dyDescent="0.2">
      <c r="B19" s="38"/>
      <c r="C19" s="55" t="s">
        <v>25</v>
      </c>
      <c r="D19" s="6"/>
      <c r="E19" s="33">
        <v>980</v>
      </c>
      <c r="F19" s="6" t="s">
        <v>156</v>
      </c>
      <c r="G19" s="532"/>
      <c r="H19" s="533"/>
      <c r="I19" s="55" t="s">
        <v>28</v>
      </c>
      <c r="J19" s="6"/>
      <c r="K19" s="56">
        <v>5</v>
      </c>
      <c r="L19" s="39"/>
      <c r="M19" s="637" t="s">
        <v>667</v>
      </c>
      <c r="N19" s="638"/>
      <c r="O19" s="639"/>
      <c r="P19" s="39"/>
      <c r="Q19" s="78"/>
    </row>
    <row r="20" spans="2:19" ht="12.75" customHeight="1" thickBot="1" x14ac:dyDescent="0.25">
      <c r="B20" s="38"/>
      <c r="C20" s="55"/>
      <c r="D20" s="6"/>
      <c r="E20" s="33"/>
      <c r="F20" s="6"/>
      <c r="G20" s="532"/>
      <c r="H20" s="533"/>
      <c r="I20" s="55" t="s">
        <v>30</v>
      </c>
      <c r="J20" s="6"/>
      <c r="K20" s="56">
        <v>1</v>
      </c>
      <c r="L20" s="39"/>
      <c r="M20" s="640"/>
      <c r="N20" s="641"/>
      <c r="O20" s="642"/>
      <c r="P20" s="39"/>
      <c r="Q20" s="78"/>
    </row>
    <row r="21" spans="2:19" ht="12.75" customHeight="1" x14ac:dyDescent="0.2">
      <c r="B21" s="38"/>
      <c r="C21" s="55" t="s">
        <v>27</v>
      </c>
      <c r="D21" s="52"/>
      <c r="E21" s="58">
        <v>0.3</v>
      </c>
      <c r="F21" s="57"/>
      <c r="G21" s="39"/>
      <c r="H21" s="39"/>
      <c r="I21" s="77"/>
      <c r="J21" s="77"/>
      <c r="K21" s="77"/>
      <c r="L21" s="39"/>
      <c r="M21" s="643"/>
      <c r="N21" s="644"/>
      <c r="O21" s="645"/>
      <c r="P21" s="39"/>
      <c r="Q21" s="78"/>
    </row>
    <row r="22" spans="2:19" ht="12.75" customHeight="1" thickBot="1" x14ac:dyDescent="0.25">
      <c r="B22" s="38"/>
      <c r="C22" s="55" t="s">
        <v>29</v>
      </c>
      <c r="D22" s="52"/>
      <c r="E22" s="58">
        <v>0</v>
      </c>
      <c r="F22" s="39"/>
      <c r="G22" s="39"/>
      <c r="H22" s="39"/>
      <c r="I22" s="51" t="s">
        <v>33</v>
      </c>
      <c r="J22" s="39"/>
      <c r="K22" s="534"/>
      <c r="L22" s="39"/>
      <c r="M22" s="646"/>
      <c r="N22" s="647"/>
      <c r="O22" s="648"/>
      <c r="P22" s="39"/>
      <c r="Q22" s="78"/>
    </row>
    <row r="23" spans="2:19" ht="15" customHeight="1" x14ac:dyDescent="0.2">
      <c r="B23" s="38"/>
      <c r="C23" s="55" t="s">
        <v>31</v>
      </c>
      <c r="D23" s="52"/>
      <c r="E23" s="535">
        <v>1000</v>
      </c>
      <c r="F23" s="6"/>
      <c r="G23" s="39"/>
      <c r="H23" s="39"/>
      <c r="I23" s="55" t="s">
        <v>34</v>
      </c>
      <c r="J23" s="61"/>
      <c r="K23" s="62">
        <v>22</v>
      </c>
      <c r="L23" s="39"/>
      <c r="M23" s="643"/>
      <c r="N23" s="644"/>
      <c r="O23" s="645"/>
      <c r="P23" s="39"/>
      <c r="Q23" s="78"/>
    </row>
    <row r="24" spans="2:19" ht="15" customHeight="1" thickBot="1" x14ac:dyDescent="0.25">
      <c r="B24" s="38"/>
      <c r="C24" s="55" t="s">
        <v>32</v>
      </c>
      <c r="D24" s="52"/>
      <c r="E24" s="33">
        <v>2</v>
      </c>
      <c r="F24" s="6"/>
      <c r="G24" s="39"/>
      <c r="H24" s="39"/>
      <c r="I24" s="55" t="s">
        <v>36</v>
      </c>
      <c r="J24" s="53"/>
      <c r="K24" s="56">
        <v>2.52</v>
      </c>
      <c r="L24" s="39"/>
      <c r="M24" s="646"/>
      <c r="N24" s="647"/>
      <c r="O24" s="648"/>
      <c r="P24" s="39"/>
      <c r="Q24" s="78"/>
    </row>
    <row r="25" spans="2:19" ht="12.75" customHeight="1" x14ac:dyDescent="0.2">
      <c r="B25" s="38"/>
      <c r="C25" s="55" t="s">
        <v>150</v>
      </c>
      <c r="D25" s="52">
        <v>0.3</v>
      </c>
      <c r="E25" s="60">
        <f>E24*D25</f>
        <v>0.6</v>
      </c>
      <c r="F25" s="39"/>
      <c r="G25" s="39"/>
      <c r="H25" s="39"/>
      <c r="I25" s="55" t="s">
        <v>37</v>
      </c>
      <c r="J25" s="53"/>
      <c r="K25" s="56">
        <v>2.52</v>
      </c>
      <c r="L25" s="39"/>
      <c r="M25" s="643"/>
      <c r="N25" s="644"/>
      <c r="O25" s="645"/>
      <c r="P25" s="39"/>
      <c r="Q25" s="78"/>
    </row>
    <row r="26" spans="2:19" ht="12.75" customHeight="1" thickBot="1" x14ac:dyDescent="0.25">
      <c r="B26" s="38"/>
      <c r="C26" s="51" t="s">
        <v>62</v>
      </c>
      <c r="D26" s="395"/>
      <c r="E26" s="396">
        <f>SUM(E24:E25)</f>
        <v>2.6</v>
      </c>
      <c r="F26" s="39"/>
      <c r="G26" s="39"/>
      <c r="H26" s="39"/>
      <c r="I26" s="55" t="s">
        <v>40</v>
      </c>
      <c r="J26" s="53"/>
      <c r="K26" s="56">
        <v>2.88</v>
      </c>
      <c r="L26" s="39"/>
      <c r="M26" s="646"/>
      <c r="N26" s="647"/>
      <c r="O26" s="648"/>
      <c r="P26" s="39"/>
      <c r="Q26" s="78"/>
    </row>
    <row r="27" spans="2:19" ht="12.75" customHeight="1" x14ac:dyDescent="0.2">
      <c r="B27" s="38"/>
      <c r="C27" s="39"/>
      <c r="D27" s="39"/>
      <c r="E27" s="534"/>
      <c r="F27" s="39"/>
      <c r="G27" s="39"/>
      <c r="H27" s="39"/>
      <c r="I27" s="55" t="s">
        <v>41</v>
      </c>
      <c r="J27" s="53"/>
      <c r="K27" s="56"/>
      <c r="L27" s="39"/>
      <c r="M27" s="643"/>
      <c r="N27" s="644"/>
      <c r="O27" s="645"/>
      <c r="P27" s="39"/>
      <c r="Q27" s="78"/>
    </row>
    <row r="28" spans="2:19" ht="12.75" customHeight="1" thickBot="1" x14ac:dyDescent="0.25">
      <c r="B28" s="38"/>
      <c r="C28" s="52" t="s">
        <v>35</v>
      </c>
      <c r="D28" s="52"/>
      <c r="E28" s="394">
        <v>20</v>
      </c>
      <c r="F28" s="24"/>
      <c r="G28" s="39"/>
      <c r="H28" s="39"/>
      <c r="I28" s="55" t="s">
        <v>44</v>
      </c>
      <c r="J28" s="53"/>
      <c r="K28" s="56" t="s">
        <v>39</v>
      </c>
      <c r="L28" s="39"/>
      <c r="M28" s="646"/>
      <c r="N28" s="647"/>
      <c r="O28" s="648"/>
      <c r="P28" s="39"/>
      <c r="Q28" s="78"/>
    </row>
    <row r="29" spans="2:19" ht="12.75" customHeight="1" x14ac:dyDescent="0.2">
      <c r="B29" s="38"/>
      <c r="C29" s="55" t="s">
        <v>149</v>
      </c>
      <c r="D29" s="39">
        <v>0</v>
      </c>
      <c r="E29" s="536">
        <f>E28*D29</f>
        <v>0</v>
      </c>
      <c r="F29" s="537"/>
      <c r="G29" s="39"/>
      <c r="H29" s="39"/>
      <c r="I29" s="55" t="s">
        <v>46</v>
      </c>
      <c r="J29" s="53"/>
      <c r="K29" s="56">
        <v>0.15</v>
      </c>
      <c r="L29" s="39"/>
      <c r="M29" s="643"/>
      <c r="N29" s="644"/>
      <c r="O29" s="645"/>
      <c r="P29" s="39"/>
      <c r="Q29" s="78"/>
    </row>
    <row r="30" spans="2:19" ht="12.75" customHeight="1" thickBot="1" x14ac:dyDescent="0.25">
      <c r="B30" s="38"/>
      <c r="C30" s="52" t="s">
        <v>38</v>
      </c>
      <c r="D30" s="52"/>
      <c r="E30" s="394">
        <v>0</v>
      </c>
      <c r="F30" s="537"/>
      <c r="G30" s="39"/>
      <c r="H30" s="39"/>
      <c r="I30" s="55" t="s">
        <v>47</v>
      </c>
      <c r="J30" s="53"/>
      <c r="K30" s="56">
        <f>K25*K23</f>
        <v>55.44</v>
      </c>
      <c r="L30" s="39"/>
      <c r="M30" s="646"/>
      <c r="N30" s="647"/>
      <c r="O30" s="648"/>
      <c r="P30" s="39"/>
      <c r="Q30" s="78"/>
      <c r="S30" s="63"/>
    </row>
    <row r="31" spans="2:19" ht="12.75" customHeight="1" x14ac:dyDescent="0.2">
      <c r="B31" s="38"/>
      <c r="C31" s="538" t="s">
        <v>62</v>
      </c>
      <c r="D31" s="538"/>
      <c r="E31" s="539">
        <f>SUM(E28:E30)</f>
        <v>20</v>
      </c>
      <c r="F31" s="537"/>
      <c r="G31" s="39"/>
      <c r="H31" s="39"/>
      <c r="I31" s="55" t="s">
        <v>49</v>
      </c>
      <c r="J31" s="53"/>
      <c r="K31" s="56">
        <v>1.44</v>
      </c>
      <c r="L31" s="39"/>
      <c r="M31" s="649"/>
      <c r="N31" s="650"/>
      <c r="O31" s="651"/>
      <c r="P31" s="39"/>
      <c r="Q31" s="78"/>
    </row>
    <row r="32" spans="2:19" ht="12.75" customHeight="1" thickBot="1" x14ac:dyDescent="0.25">
      <c r="B32" s="38"/>
      <c r="C32" s="77"/>
      <c r="D32" s="77"/>
      <c r="E32" s="77"/>
      <c r="F32" s="77"/>
      <c r="G32" s="39"/>
      <c r="H32" s="39"/>
      <c r="I32" s="51" t="s">
        <v>51</v>
      </c>
      <c r="J32" s="67"/>
      <c r="K32" s="68">
        <f>K30-K31+1</f>
        <v>55</v>
      </c>
      <c r="L32" s="39"/>
      <c r="M32" s="652"/>
      <c r="N32" s="653"/>
      <c r="O32" s="654"/>
      <c r="P32" s="39"/>
      <c r="Q32" s="78"/>
    </row>
    <row r="33" spans="2:32" ht="12.75" customHeight="1" x14ac:dyDescent="0.2">
      <c r="B33" s="38"/>
      <c r="C33" s="400" t="s">
        <v>42</v>
      </c>
      <c r="D33" s="401"/>
      <c r="E33" s="410">
        <v>5312</v>
      </c>
      <c r="F33" s="411" t="s">
        <v>43</v>
      </c>
      <c r="G33" s="39"/>
      <c r="H33" s="39"/>
      <c r="I33" s="77"/>
      <c r="J33" s="77"/>
      <c r="K33" s="77"/>
      <c r="L33" s="39"/>
      <c r="M33" s="649"/>
      <c r="N33" s="650"/>
      <c r="O33" s="651"/>
      <c r="P33" s="39"/>
      <c r="Q33" s="78"/>
    </row>
    <row r="34" spans="2:32" ht="12.75" customHeight="1" thickBot="1" x14ac:dyDescent="0.25">
      <c r="B34" s="38"/>
      <c r="C34" s="402" t="s">
        <v>148</v>
      </c>
      <c r="D34" s="403"/>
      <c r="E34" s="412">
        <v>0</v>
      </c>
      <c r="F34" s="413" t="s">
        <v>43</v>
      </c>
      <c r="G34" s="39"/>
      <c r="H34" s="39"/>
      <c r="I34" s="77"/>
      <c r="J34" s="77"/>
      <c r="K34" s="77"/>
      <c r="L34" s="39"/>
      <c r="M34" s="652"/>
      <c r="N34" s="653"/>
      <c r="O34" s="654"/>
      <c r="P34" s="39"/>
      <c r="Q34" s="78"/>
    </row>
    <row r="35" spans="2:32" ht="12.75" customHeight="1" x14ac:dyDescent="0.2">
      <c r="B35" s="38"/>
      <c r="C35" s="402" t="s">
        <v>152</v>
      </c>
      <c r="D35" s="403"/>
      <c r="E35" s="412">
        <f>E33-E34</f>
        <v>5312</v>
      </c>
      <c r="F35" s="413" t="s">
        <v>43</v>
      </c>
      <c r="G35" s="39"/>
      <c r="H35" s="39"/>
      <c r="I35" s="77"/>
      <c r="J35" s="77"/>
      <c r="K35" s="77"/>
      <c r="L35" s="39"/>
      <c r="M35" s="649"/>
      <c r="N35" s="650"/>
      <c r="O35" s="651"/>
      <c r="P35" s="39"/>
      <c r="Q35" s="78"/>
    </row>
    <row r="36" spans="2:32" ht="12.75" customHeight="1" thickBot="1" x14ac:dyDescent="0.25">
      <c r="B36" s="38"/>
      <c r="C36" s="404" t="s">
        <v>45</v>
      </c>
      <c r="D36" s="405"/>
      <c r="E36" s="414">
        <f>E35*E26</f>
        <v>13811.2</v>
      </c>
      <c r="F36" s="415" t="s">
        <v>43</v>
      </c>
      <c r="G36" s="39"/>
      <c r="H36" s="39"/>
      <c r="I36" s="77"/>
      <c r="J36" s="77"/>
      <c r="K36" s="77"/>
      <c r="L36" s="39"/>
      <c r="M36" s="652"/>
      <c r="N36" s="653"/>
      <c r="O36" s="654"/>
      <c r="P36" s="39"/>
      <c r="Q36" s="78"/>
      <c r="R36" s="77"/>
      <c r="S36" s="77"/>
      <c r="T36" s="77"/>
      <c r="U36" s="77"/>
      <c r="V36" s="77"/>
      <c r="W36" s="77"/>
    </row>
    <row r="37" spans="2:32" ht="12.75" customHeight="1" x14ac:dyDescent="0.2">
      <c r="B37" s="38"/>
      <c r="C37" s="402" t="s">
        <v>153</v>
      </c>
      <c r="D37" s="406"/>
      <c r="E37" s="416">
        <f>664.24+1992.78</f>
        <v>2657.02</v>
      </c>
      <c r="F37" s="413" t="s">
        <v>43</v>
      </c>
      <c r="G37" s="39"/>
      <c r="H37" s="66"/>
      <c r="I37" s="77"/>
      <c r="J37" s="77"/>
      <c r="K37" s="77"/>
      <c r="L37" s="39"/>
      <c r="M37" s="649"/>
      <c r="N37" s="650"/>
      <c r="O37" s="651"/>
      <c r="P37" s="39"/>
      <c r="Q37" s="78"/>
      <c r="R37" s="397"/>
      <c r="S37" s="64"/>
      <c r="T37" s="64"/>
      <c r="U37" s="64"/>
      <c r="V37" s="64"/>
      <c r="W37" s="64"/>
      <c r="X37" s="64"/>
      <c r="AB37" s="64"/>
      <c r="AC37" s="64"/>
      <c r="AD37" s="64"/>
      <c r="AE37" s="64"/>
      <c r="AF37" s="65"/>
    </row>
    <row r="38" spans="2:32" ht="12.75" customHeight="1" thickBot="1" x14ac:dyDescent="0.25">
      <c r="B38" s="38"/>
      <c r="C38" s="402" t="s">
        <v>154</v>
      </c>
      <c r="D38" s="406"/>
      <c r="E38" s="416">
        <f>E35+E37</f>
        <v>7969.02</v>
      </c>
      <c r="F38" s="413" t="s">
        <v>43</v>
      </c>
      <c r="G38" s="39"/>
      <c r="H38" s="66"/>
      <c r="I38" s="77"/>
      <c r="J38" s="77"/>
      <c r="K38" s="77"/>
      <c r="L38" s="39"/>
      <c r="M38" s="652"/>
      <c r="N38" s="653"/>
      <c r="O38" s="654"/>
      <c r="P38" s="39"/>
      <c r="Q38" s="78"/>
      <c r="R38" s="397"/>
      <c r="S38" s="64"/>
      <c r="T38" s="64"/>
      <c r="U38" s="64"/>
      <c r="V38" s="64"/>
      <c r="W38" s="64"/>
      <c r="X38" s="64"/>
      <c r="AB38" s="64"/>
      <c r="AC38" s="64"/>
      <c r="AD38" s="64"/>
      <c r="AE38" s="64"/>
      <c r="AF38" s="65"/>
    </row>
    <row r="39" spans="2:32" ht="12.75" customHeight="1" x14ac:dyDescent="0.2">
      <c r="B39" s="38"/>
      <c r="C39" s="407" t="s">
        <v>48</v>
      </c>
      <c r="D39" s="406"/>
      <c r="E39" s="412">
        <f>((E19*E38)/10000)/4</f>
        <v>195.24099000000001</v>
      </c>
      <c r="F39" s="417" t="s">
        <v>155</v>
      </c>
      <c r="G39" s="39"/>
      <c r="H39" s="66"/>
      <c r="I39" s="77"/>
      <c r="J39" s="77"/>
      <c r="K39" s="77"/>
      <c r="L39" s="39"/>
      <c r="M39" s="77"/>
      <c r="N39" s="77"/>
      <c r="O39" s="77"/>
      <c r="P39" s="39"/>
      <c r="Q39" s="78"/>
      <c r="R39" s="64"/>
      <c r="S39" s="110"/>
      <c r="T39" s="110"/>
      <c r="U39" s="110"/>
      <c r="V39" s="110"/>
      <c r="W39" s="398"/>
    </row>
    <row r="40" spans="2:32" ht="12.75" customHeight="1" thickBot="1" x14ac:dyDescent="0.25">
      <c r="B40" s="38"/>
      <c r="C40" s="408" t="s">
        <v>50</v>
      </c>
      <c r="D40" s="409"/>
      <c r="E40" s="418">
        <f>E36/E39</f>
        <v>70.739243844235787</v>
      </c>
      <c r="F40" s="419" t="s">
        <v>43</v>
      </c>
      <c r="G40" s="39"/>
      <c r="H40" s="39"/>
      <c r="I40" s="55"/>
      <c r="J40" s="53"/>
      <c r="K40" s="54"/>
      <c r="L40" s="39"/>
      <c r="M40" s="69"/>
      <c r="N40" s="69"/>
      <c r="O40" s="69"/>
      <c r="P40" s="39"/>
      <c r="Q40" s="78"/>
      <c r="R40" s="64"/>
      <c r="S40" s="110"/>
      <c r="T40" s="110"/>
      <c r="U40" s="110"/>
      <c r="V40" s="110"/>
      <c r="W40" s="399"/>
    </row>
    <row r="41" spans="2:32" ht="12.75" customHeight="1" thickBot="1" x14ac:dyDescent="0.25"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555"/>
      <c r="M41" s="71"/>
      <c r="N41" s="71"/>
      <c r="O41" s="71"/>
      <c r="P41" s="71"/>
      <c r="Q41" s="257"/>
      <c r="R41" s="183"/>
      <c r="S41" s="110"/>
      <c r="T41" s="110"/>
      <c r="U41" s="110"/>
      <c r="V41" s="110"/>
      <c r="W41" s="184"/>
    </row>
    <row r="42" spans="2:32" ht="12.75" customHeight="1" x14ac:dyDescent="0.2"/>
    <row r="43" spans="2:32" ht="12.75" customHeight="1" thickBot="1" x14ac:dyDescent="0.25"/>
    <row r="44" spans="2:32" ht="16.5" customHeight="1" x14ac:dyDescent="0.2">
      <c r="B44" s="72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</row>
    <row r="45" spans="2:32" ht="20.25" x14ac:dyDescent="0.3">
      <c r="B45" s="75"/>
      <c r="C45" s="76" t="s">
        <v>52</v>
      </c>
      <c r="D45" s="65"/>
      <c r="E45" s="77"/>
      <c r="F45" s="65"/>
      <c r="G45" s="65"/>
      <c r="H45" s="65"/>
      <c r="I45" s="65"/>
      <c r="J45" s="65"/>
      <c r="K45" s="65"/>
      <c r="L45" s="65"/>
      <c r="M45" s="77"/>
      <c r="N45" s="77"/>
      <c r="O45" s="77"/>
      <c r="P45" s="77"/>
      <c r="Q45" s="78"/>
    </row>
    <row r="46" spans="2:32" ht="13.5" customHeight="1" x14ac:dyDescent="0.3">
      <c r="B46" s="75"/>
      <c r="C46" s="65"/>
      <c r="D46" s="65"/>
      <c r="E46" s="79"/>
      <c r="F46" s="65"/>
      <c r="G46" s="65"/>
      <c r="H46" s="65"/>
      <c r="I46" s="76"/>
      <c r="J46" s="65"/>
      <c r="K46" s="65"/>
      <c r="L46" s="65"/>
      <c r="M46" s="77"/>
      <c r="N46" s="77"/>
      <c r="O46" s="77"/>
      <c r="P46" s="77"/>
      <c r="Q46" s="78"/>
    </row>
    <row r="47" spans="2:32" ht="13.5" thickBot="1" x14ac:dyDescent="0.25">
      <c r="B47" s="75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8"/>
    </row>
    <row r="48" spans="2:32" ht="16.5" thickBot="1" x14ac:dyDescent="0.3">
      <c r="B48" s="75"/>
      <c r="C48" s="626" t="s">
        <v>53</v>
      </c>
      <c r="D48" s="674" t="s">
        <v>54</v>
      </c>
      <c r="E48" s="675"/>
      <c r="F48" s="675"/>
      <c r="G48" s="675"/>
      <c r="H48" s="675"/>
      <c r="I48" s="675"/>
      <c r="J48" s="675"/>
      <c r="K48" s="675"/>
      <c r="L48" s="676"/>
      <c r="M48" s="77"/>
      <c r="N48" s="77"/>
      <c r="O48" s="77"/>
      <c r="P48" s="77"/>
      <c r="Q48" s="78"/>
    </row>
    <row r="49" spans="2:21" ht="25.5" customHeight="1" x14ac:dyDescent="0.2">
      <c r="B49" s="75"/>
      <c r="C49" s="627"/>
      <c r="D49" s="83" t="s">
        <v>55</v>
      </c>
      <c r="E49" s="84" t="s">
        <v>56</v>
      </c>
      <c r="F49" s="497" t="s">
        <v>521</v>
      </c>
      <c r="G49" s="86" t="s">
        <v>59</v>
      </c>
      <c r="H49" s="497" t="s">
        <v>60</v>
      </c>
      <c r="I49" s="84" t="s">
        <v>57</v>
      </c>
      <c r="J49" s="84" t="s">
        <v>522</v>
      </c>
      <c r="K49" s="84" t="s">
        <v>523</v>
      </c>
      <c r="L49" s="88" t="s">
        <v>62</v>
      </c>
      <c r="M49" s="77"/>
      <c r="N49" s="77"/>
      <c r="O49" s="77"/>
      <c r="P49" s="77"/>
      <c r="Q49" s="78"/>
    </row>
    <row r="50" spans="2:21" x14ac:dyDescent="0.2">
      <c r="B50" s="75"/>
      <c r="C50" s="627"/>
      <c r="D50" s="83" t="s">
        <v>63</v>
      </c>
      <c r="E50" s="84" t="s">
        <v>63</v>
      </c>
      <c r="F50" s="497"/>
      <c r="G50" s="86"/>
      <c r="H50" s="87"/>
      <c r="I50" s="84" t="s">
        <v>63</v>
      </c>
      <c r="J50" s="84" t="s">
        <v>61</v>
      </c>
      <c r="K50" s="84" t="s">
        <v>63</v>
      </c>
      <c r="L50" s="88"/>
      <c r="M50" s="77"/>
      <c r="N50" s="77"/>
      <c r="O50" s="77"/>
      <c r="P50" s="77"/>
      <c r="Q50" s="78"/>
    </row>
    <row r="51" spans="2:21" ht="13.5" thickBot="1" x14ac:dyDescent="0.25">
      <c r="B51" s="75"/>
      <c r="C51" s="655"/>
      <c r="D51" s="89" t="s">
        <v>43</v>
      </c>
      <c r="E51" s="90" t="s">
        <v>43</v>
      </c>
      <c r="F51" s="91" t="s">
        <v>43</v>
      </c>
      <c r="G51" s="92" t="s">
        <v>43</v>
      </c>
      <c r="H51" s="93" t="s">
        <v>43</v>
      </c>
      <c r="I51" s="90" t="s">
        <v>43</v>
      </c>
      <c r="J51" s="90" t="s">
        <v>43</v>
      </c>
      <c r="K51" s="90" t="s">
        <v>43</v>
      </c>
      <c r="L51" s="94" t="s">
        <v>43</v>
      </c>
      <c r="M51" s="77"/>
      <c r="N51" s="77"/>
      <c r="O51" s="77"/>
      <c r="P51" s="77"/>
      <c r="Q51" s="78"/>
    </row>
    <row r="52" spans="2:21" x14ac:dyDescent="0.2">
      <c r="B52" s="75"/>
      <c r="C52" s="95" t="s">
        <v>578</v>
      </c>
      <c r="D52" s="116">
        <f>D93</f>
        <v>500.12999999999988</v>
      </c>
      <c r="E52" s="97"/>
      <c r="F52" s="97"/>
      <c r="G52" s="118">
        <f t="shared" ref="G52:G54" si="0">SUM(D52:F52)</f>
        <v>500.12999999999988</v>
      </c>
      <c r="H52" s="150">
        <f>I93+G93+H93</f>
        <v>1000.2599999999998</v>
      </c>
      <c r="I52" s="97"/>
      <c r="J52" s="97"/>
      <c r="K52" s="97"/>
      <c r="L52" s="119">
        <f>G52+H52</f>
        <v>1500.3899999999996</v>
      </c>
      <c r="M52" s="179"/>
      <c r="N52" s="77"/>
      <c r="O52" s="77"/>
      <c r="P52" s="77"/>
      <c r="Q52" s="78"/>
    </row>
    <row r="53" spans="2:21" x14ac:dyDescent="0.2">
      <c r="B53" s="75"/>
      <c r="C53" s="95" t="s">
        <v>123</v>
      </c>
      <c r="D53" s="96"/>
      <c r="E53" s="97"/>
      <c r="F53" s="97"/>
      <c r="G53" s="118">
        <f t="shared" si="0"/>
        <v>0</v>
      </c>
      <c r="H53" s="150">
        <f>I94+G94</f>
        <v>2255.63</v>
      </c>
      <c r="I53" s="97"/>
      <c r="J53" s="97"/>
      <c r="K53" s="97"/>
      <c r="L53" s="119">
        <f t="shared" ref="L53:L76" si="1">+G53+H53+K53</f>
        <v>2255.63</v>
      </c>
      <c r="M53" s="77"/>
      <c r="N53" s="77"/>
      <c r="O53" s="77"/>
      <c r="P53" s="77"/>
      <c r="Q53" s="78"/>
    </row>
    <row r="54" spans="2:21" ht="12.75" customHeight="1" x14ac:dyDescent="0.2">
      <c r="B54" s="75"/>
      <c r="C54" s="95" t="s">
        <v>64</v>
      </c>
      <c r="D54" s="96"/>
      <c r="E54" s="97"/>
      <c r="F54" s="97"/>
      <c r="G54" s="118">
        <f t="shared" si="0"/>
        <v>0</v>
      </c>
      <c r="H54" s="150">
        <f>I95+G95</f>
        <v>2211.41</v>
      </c>
      <c r="I54" s="97"/>
      <c r="J54" s="101"/>
      <c r="K54" s="101"/>
      <c r="L54" s="119">
        <f t="shared" si="1"/>
        <v>2211.41</v>
      </c>
      <c r="M54" s="77"/>
      <c r="N54" s="77"/>
      <c r="O54" s="77"/>
      <c r="P54" s="77"/>
      <c r="Q54" s="78"/>
    </row>
    <row r="55" spans="2:21" ht="12.75" customHeight="1" x14ac:dyDescent="0.2">
      <c r="B55" s="75"/>
      <c r="C55" s="308" t="str">
        <f t="shared" ref="C55:C64" si="2">C96</f>
        <v xml:space="preserve">Piso N° 1 </v>
      </c>
      <c r="D55" s="420">
        <f>($F$157*D182)+($F$158*E182)+($M$159*F182)+($F$160*G182)+($F$161*H182)+($F$164*I182)+($F$165*J182)+($F$166*K182)+($F$167*L182)+($F$168*M182)+($F$169*N182)</f>
        <v>0</v>
      </c>
      <c r="E55" s="420"/>
      <c r="F55" s="117">
        <f>V144+W142</f>
        <v>258.65000000000003</v>
      </c>
      <c r="G55" s="118">
        <f t="shared" ref="G55:G76" si="3">SUM(D55:F55)</f>
        <v>258.65000000000003</v>
      </c>
      <c r="H55" s="117"/>
      <c r="I55" s="420">
        <f>($H$157*D182)+($H$158*E182)+($M$159*F182)+($H$160*G182)+($H$161*H182)+($H$162*I182)+($H$163*J182)+($H$164*K182)</f>
        <v>0</v>
      </c>
      <c r="J55" s="117">
        <f>W141</f>
        <v>250.47</v>
      </c>
      <c r="K55" s="117">
        <f>J55+I55</f>
        <v>250.47</v>
      </c>
      <c r="L55" s="119">
        <f t="shared" si="1"/>
        <v>509.12</v>
      </c>
      <c r="M55" s="77"/>
      <c r="N55" s="77"/>
      <c r="O55" s="77"/>
      <c r="P55" s="77"/>
      <c r="Q55" s="78"/>
    </row>
    <row r="56" spans="2:21" x14ac:dyDescent="0.2">
      <c r="B56" s="75"/>
      <c r="C56" s="308" t="str">
        <f t="shared" si="2"/>
        <v xml:space="preserve">Piso N° 2 </v>
      </c>
      <c r="D56" s="420">
        <f>($F$157*D183)+($F$158*E183)+($M$159*F183)+($F$160*G183)+($F$161*H183)+($F$162*I183)+($F$163*J183)+($F$164*K183)</f>
        <v>268.99</v>
      </c>
      <c r="E56" s="420"/>
      <c r="F56" s="117">
        <f>V149</f>
        <v>82.759999999999977</v>
      </c>
      <c r="G56" s="118">
        <f t="shared" si="3"/>
        <v>351.75</v>
      </c>
      <c r="H56" s="117"/>
      <c r="I56" s="420">
        <f>($H$157*D183)+($H$158*E183)+($M$159*F183)+($H$160*G183)+($H$161*H183)+($H$162*I183)+($H$163*J183)+($H$164*K183)</f>
        <v>0</v>
      </c>
      <c r="J56" s="117">
        <f>W146</f>
        <v>196.94</v>
      </c>
      <c r="K56" s="117">
        <f t="shared" ref="K56:K76" si="4">J56+I56</f>
        <v>196.94</v>
      </c>
      <c r="L56" s="119">
        <f t="shared" si="1"/>
        <v>548.69000000000005</v>
      </c>
      <c r="M56" s="77"/>
      <c r="N56" s="77"/>
      <c r="O56" s="77"/>
      <c r="P56" s="77"/>
      <c r="Q56" s="78"/>
    </row>
    <row r="57" spans="2:21" x14ac:dyDescent="0.2">
      <c r="B57" s="75"/>
      <c r="C57" s="308" t="str">
        <f t="shared" si="2"/>
        <v xml:space="preserve">Piso N° 3 </v>
      </c>
      <c r="D57" s="420">
        <f>($F$157*D184)+($F$158*E184)+($M$159*F184)+($F$160*G184)+($F$161*H184)+($F$162*I184)+($F$163*J184)+($F$164*K184)</f>
        <v>473.31000000000006</v>
      </c>
      <c r="E57" s="420"/>
      <c r="F57" s="117">
        <f t="shared" ref="F57:F69" si="5">G98</f>
        <v>0</v>
      </c>
      <c r="G57" s="118">
        <f t="shared" si="3"/>
        <v>473.31000000000006</v>
      </c>
      <c r="H57" s="117"/>
      <c r="I57" s="420">
        <f>($H$157*D184)+($H$158*E184)+($H$159*F184)+($H$160*G184)+($H$161*H184)+($H$162*I184)+($H$163*J184)+($H$164*K184)</f>
        <v>0</v>
      </c>
      <c r="J57" s="117">
        <f>V151</f>
        <v>88.18</v>
      </c>
      <c r="K57" s="117">
        <f t="shared" si="4"/>
        <v>88.18</v>
      </c>
      <c r="L57" s="119">
        <f t="shared" si="1"/>
        <v>561.49</v>
      </c>
      <c r="M57" s="77"/>
      <c r="N57" s="77"/>
      <c r="O57" s="77"/>
      <c r="P57" s="77"/>
      <c r="Q57" s="78"/>
    </row>
    <row r="58" spans="2:21" ht="13.5" thickBot="1" x14ac:dyDescent="0.25">
      <c r="B58" s="75"/>
      <c r="C58" s="308" t="str">
        <f t="shared" si="2"/>
        <v>Piso N° 4</v>
      </c>
      <c r="D58" s="420">
        <f>D57</f>
        <v>473.31000000000006</v>
      </c>
      <c r="E58" s="420"/>
      <c r="F58" s="117">
        <f t="shared" si="5"/>
        <v>0</v>
      </c>
      <c r="G58" s="118">
        <f t="shared" si="3"/>
        <v>473.31000000000006</v>
      </c>
      <c r="H58" s="117"/>
      <c r="I58" s="420">
        <f>I57</f>
        <v>0</v>
      </c>
      <c r="J58" s="117">
        <f>J57</f>
        <v>88.18</v>
      </c>
      <c r="K58" s="117">
        <f t="shared" si="4"/>
        <v>88.18</v>
      </c>
      <c r="L58" s="119">
        <f t="shared" si="1"/>
        <v>561.49</v>
      </c>
      <c r="M58" s="77"/>
      <c r="N58" s="77"/>
      <c r="O58" s="77"/>
      <c r="P58" s="77"/>
      <c r="Q58" s="78"/>
    </row>
    <row r="59" spans="2:21" ht="13.5" thickBot="1" x14ac:dyDescent="0.25">
      <c r="B59" s="75"/>
      <c r="C59" s="308" t="str">
        <f t="shared" si="2"/>
        <v>Piso N° 5</v>
      </c>
      <c r="D59" s="420">
        <f t="shared" ref="D59:D75" si="6">D58</f>
        <v>473.31000000000006</v>
      </c>
      <c r="E59" s="420"/>
      <c r="F59" s="117">
        <f t="shared" si="5"/>
        <v>0</v>
      </c>
      <c r="G59" s="118">
        <f t="shared" si="3"/>
        <v>473.31000000000006</v>
      </c>
      <c r="H59" s="117"/>
      <c r="I59" s="420">
        <f t="shared" ref="I59:I75" si="7">I58</f>
        <v>0</v>
      </c>
      <c r="J59" s="117">
        <f t="shared" ref="J59:J75" si="8">J58</f>
        <v>88.18</v>
      </c>
      <c r="K59" s="117">
        <f t="shared" si="4"/>
        <v>88.18</v>
      </c>
      <c r="L59" s="119">
        <f t="shared" si="1"/>
        <v>561.49</v>
      </c>
      <c r="M59" s="77"/>
      <c r="N59" s="102" t="s">
        <v>65</v>
      </c>
      <c r="O59" s="103"/>
      <c r="P59" s="104"/>
      <c r="Q59" s="78"/>
      <c r="T59" s="35" t="s">
        <v>546</v>
      </c>
    </row>
    <row r="60" spans="2:21" x14ac:dyDescent="0.2">
      <c r="B60" s="75"/>
      <c r="C60" s="308" t="str">
        <f t="shared" si="2"/>
        <v>Piso N° 6</v>
      </c>
      <c r="D60" s="420">
        <f t="shared" si="6"/>
        <v>473.31000000000006</v>
      </c>
      <c r="E60" s="420"/>
      <c r="F60" s="117">
        <f t="shared" si="5"/>
        <v>0</v>
      </c>
      <c r="G60" s="118">
        <f t="shared" si="3"/>
        <v>473.31000000000006</v>
      </c>
      <c r="H60" s="117"/>
      <c r="I60" s="420">
        <f t="shared" si="7"/>
        <v>0</v>
      </c>
      <c r="J60" s="117">
        <f t="shared" si="8"/>
        <v>88.18</v>
      </c>
      <c r="K60" s="117">
        <f t="shared" si="4"/>
        <v>88.18</v>
      </c>
      <c r="L60" s="119">
        <f t="shared" si="1"/>
        <v>561.49</v>
      </c>
      <c r="M60" s="77"/>
      <c r="N60" s="106" t="str">
        <f>C157</f>
        <v>DEPTO-A</v>
      </c>
      <c r="O60" s="101">
        <f>J157</f>
        <v>1263.1200000000001</v>
      </c>
      <c r="P60" s="107">
        <f>O60/15</f>
        <v>84.208000000000013</v>
      </c>
      <c r="Q60" s="78"/>
      <c r="T60" s="35" t="s">
        <v>547</v>
      </c>
      <c r="U60" s="35" t="s">
        <v>548</v>
      </c>
    </row>
    <row r="61" spans="2:21" x14ac:dyDescent="0.2">
      <c r="B61" s="75"/>
      <c r="C61" s="308" t="str">
        <f t="shared" si="2"/>
        <v>Piso N° 7</v>
      </c>
      <c r="D61" s="420">
        <f t="shared" si="6"/>
        <v>473.31000000000006</v>
      </c>
      <c r="E61" s="420"/>
      <c r="F61" s="117">
        <f t="shared" si="5"/>
        <v>0</v>
      </c>
      <c r="G61" s="118">
        <f t="shared" si="3"/>
        <v>473.31000000000006</v>
      </c>
      <c r="H61" s="117"/>
      <c r="I61" s="420">
        <f t="shared" si="7"/>
        <v>0</v>
      </c>
      <c r="J61" s="117">
        <f t="shared" si="8"/>
        <v>88.18</v>
      </c>
      <c r="K61" s="117">
        <f t="shared" si="4"/>
        <v>88.18</v>
      </c>
      <c r="L61" s="119">
        <f t="shared" si="1"/>
        <v>561.49</v>
      </c>
      <c r="M61" s="77"/>
      <c r="N61" s="106" t="str">
        <f>C158</f>
        <v>DEPTO-B</v>
      </c>
      <c r="O61" s="101">
        <f>J158</f>
        <v>2007.2</v>
      </c>
      <c r="P61" s="107">
        <f>O61/15</f>
        <v>133.81333333333333</v>
      </c>
      <c r="Q61" s="78"/>
      <c r="T61" s="35" t="s">
        <v>549</v>
      </c>
      <c r="U61" s="35" t="s">
        <v>550</v>
      </c>
    </row>
    <row r="62" spans="2:21" x14ac:dyDescent="0.2">
      <c r="B62" s="75"/>
      <c r="C62" s="308" t="str">
        <f t="shared" si="2"/>
        <v>Piso N° 8</v>
      </c>
      <c r="D62" s="420">
        <f t="shared" si="6"/>
        <v>473.31000000000006</v>
      </c>
      <c r="E62" s="420"/>
      <c r="F62" s="117">
        <f t="shared" si="5"/>
        <v>0</v>
      </c>
      <c r="G62" s="118">
        <f t="shared" si="3"/>
        <v>473.31000000000006</v>
      </c>
      <c r="H62" s="117"/>
      <c r="I62" s="420">
        <f t="shared" si="7"/>
        <v>0</v>
      </c>
      <c r="J62" s="117">
        <f t="shared" si="8"/>
        <v>88.18</v>
      </c>
      <c r="K62" s="117">
        <f t="shared" si="4"/>
        <v>88.18</v>
      </c>
      <c r="L62" s="119">
        <f t="shared" si="1"/>
        <v>561.49</v>
      </c>
      <c r="M62" s="77"/>
      <c r="N62" s="106" t="e">
        <f>#REF!</f>
        <v>#REF!</v>
      </c>
      <c r="O62" s="101" t="e">
        <f>#REF!</f>
        <v>#REF!</v>
      </c>
      <c r="P62" s="107" t="e">
        <f>O62/15</f>
        <v>#REF!</v>
      </c>
      <c r="Q62" s="78"/>
      <c r="T62" s="35" t="s">
        <v>551</v>
      </c>
      <c r="U62" s="35" t="s">
        <v>552</v>
      </c>
    </row>
    <row r="63" spans="2:21" x14ac:dyDescent="0.2">
      <c r="B63" s="75"/>
      <c r="C63" s="308" t="str">
        <f t="shared" si="2"/>
        <v>Piso N° 9</v>
      </c>
      <c r="D63" s="420">
        <f t="shared" si="6"/>
        <v>473.31000000000006</v>
      </c>
      <c r="E63" s="420"/>
      <c r="F63" s="117">
        <f t="shared" si="5"/>
        <v>0</v>
      </c>
      <c r="G63" s="118">
        <f t="shared" si="3"/>
        <v>473.31000000000006</v>
      </c>
      <c r="H63" s="117"/>
      <c r="I63" s="420">
        <f t="shared" si="7"/>
        <v>0</v>
      </c>
      <c r="J63" s="117">
        <f t="shared" si="8"/>
        <v>88.18</v>
      </c>
      <c r="K63" s="117">
        <f t="shared" si="4"/>
        <v>88.18</v>
      </c>
      <c r="L63" s="119">
        <f t="shared" si="1"/>
        <v>561.49</v>
      </c>
      <c r="M63" s="77"/>
      <c r="N63" s="106" t="str">
        <f>C160</f>
        <v>DEPTO-C2</v>
      </c>
      <c r="O63" s="101">
        <f>J160</f>
        <v>1005.6</v>
      </c>
      <c r="P63" s="107">
        <f>O63/15</f>
        <v>67.040000000000006</v>
      </c>
      <c r="Q63" s="78"/>
      <c r="T63" s="35" t="s">
        <v>553</v>
      </c>
      <c r="U63" s="35" t="s">
        <v>554</v>
      </c>
    </row>
    <row r="64" spans="2:21" x14ac:dyDescent="0.2">
      <c r="B64" s="75"/>
      <c r="C64" s="308" t="str">
        <f t="shared" si="2"/>
        <v>Piso N° 10</v>
      </c>
      <c r="D64" s="420">
        <f t="shared" si="6"/>
        <v>473.31000000000006</v>
      </c>
      <c r="E64" s="420"/>
      <c r="F64" s="117">
        <f t="shared" si="5"/>
        <v>0</v>
      </c>
      <c r="G64" s="118">
        <f t="shared" si="3"/>
        <v>473.31000000000006</v>
      </c>
      <c r="H64" s="117"/>
      <c r="I64" s="420">
        <f t="shared" si="7"/>
        <v>0</v>
      </c>
      <c r="J64" s="117">
        <f t="shared" si="8"/>
        <v>88.18</v>
      </c>
      <c r="K64" s="117">
        <f t="shared" si="4"/>
        <v>88.18</v>
      </c>
      <c r="L64" s="119">
        <f t="shared" si="1"/>
        <v>561.49</v>
      </c>
      <c r="M64" s="77"/>
      <c r="N64" s="106" t="str">
        <f>C161</f>
        <v>DEPTO-D</v>
      </c>
      <c r="O64" s="101">
        <f>J161</f>
        <v>2249.13</v>
      </c>
      <c r="P64" s="107">
        <f>O64/15</f>
        <v>149.94200000000001</v>
      </c>
      <c r="Q64" s="78"/>
      <c r="T64" s="35" t="s">
        <v>555</v>
      </c>
      <c r="U64" s="35" t="s">
        <v>556</v>
      </c>
    </row>
    <row r="65" spans="2:22" x14ac:dyDescent="0.2">
      <c r="B65" s="75"/>
      <c r="C65" s="308" t="str">
        <f t="shared" ref="C65:C76" si="9">C106</f>
        <v>Piso N° 11</v>
      </c>
      <c r="D65" s="420">
        <f t="shared" si="6"/>
        <v>473.31000000000006</v>
      </c>
      <c r="E65" s="420"/>
      <c r="F65" s="117">
        <f t="shared" si="5"/>
        <v>0</v>
      </c>
      <c r="G65" s="118">
        <f t="shared" si="3"/>
        <v>473.31000000000006</v>
      </c>
      <c r="H65" s="117"/>
      <c r="I65" s="420">
        <f t="shared" si="7"/>
        <v>0</v>
      </c>
      <c r="J65" s="117">
        <f t="shared" si="8"/>
        <v>88.18</v>
      </c>
      <c r="K65" s="117">
        <f t="shared" si="4"/>
        <v>88.18</v>
      </c>
      <c r="L65" s="119">
        <f t="shared" si="1"/>
        <v>561.49</v>
      </c>
      <c r="M65" s="77"/>
      <c r="N65" s="106"/>
      <c r="O65" s="101"/>
      <c r="P65" s="107"/>
      <c r="Q65" s="78"/>
      <c r="T65" s="34" t="s">
        <v>557</v>
      </c>
      <c r="U65" s="35" t="s">
        <v>558</v>
      </c>
      <c r="V65" s="34"/>
    </row>
    <row r="66" spans="2:22" ht="13.5" thickBot="1" x14ac:dyDescent="0.25">
      <c r="B66" s="75"/>
      <c r="C66" s="308" t="str">
        <f t="shared" si="9"/>
        <v>Piso N° 12</v>
      </c>
      <c r="D66" s="420">
        <f t="shared" si="6"/>
        <v>473.31000000000006</v>
      </c>
      <c r="E66" s="420"/>
      <c r="F66" s="117">
        <f t="shared" si="5"/>
        <v>0</v>
      </c>
      <c r="G66" s="118">
        <f t="shared" si="3"/>
        <v>473.31000000000006</v>
      </c>
      <c r="H66" s="117"/>
      <c r="I66" s="420">
        <f t="shared" si="7"/>
        <v>0</v>
      </c>
      <c r="J66" s="117">
        <f t="shared" si="8"/>
        <v>88.18</v>
      </c>
      <c r="K66" s="117">
        <f t="shared" si="4"/>
        <v>88.18</v>
      </c>
      <c r="L66" s="119">
        <f t="shared" si="1"/>
        <v>561.49</v>
      </c>
      <c r="M66" s="77"/>
      <c r="N66" s="106"/>
      <c r="O66" s="101"/>
      <c r="P66" s="107"/>
      <c r="Q66" s="78"/>
      <c r="T66" s="34" t="s">
        <v>559</v>
      </c>
      <c r="U66" s="35" t="s">
        <v>560</v>
      </c>
      <c r="V66" s="34"/>
    </row>
    <row r="67" spans="2:22" ht="13.5" thickBot="1" x14ac:dyDescent="0.25">
      <c r="B67" s="75"/>
      <c r="C67" s="308" t="str">
        <f t="shared" si="9"/>
        <v>Piso N° 13</v>
      </c>
      <c r="D67" s="420">
        <f t="shared" si="6"/>
        <v>473.31000000000006</v>
      </c>
      <c r="E67" s="420"/>
      <c r="F67" s="117">
        <f t="shared" si="5"/>
        <v>0</v>
      </c>
      <c r="G67" s="118">
        <f t="shared" si="3"/>
        <v>473.31000000000006</v>
      </c>
      <c r="H67" s="117"/>
      <c r="I67" s="420">
        <f t="shared" si="7"/>
        <v>0</v>
      </c>
      <c r="J67" s="117">
        <f t="shared" si="8"/>
        <v>88.18</v>
      </c>
      <c r="K67" s="117">
        <f t="shared" si="4"/>
        <v>88.18</v>
      </c>
      <c r="L67" s="119">
        <f t="shared" si="1"/>
        <v>561.49</v>
      </c>
      <c r="M67" s="77"/>
      <c r="N67" s="391" t="s">
        <v>62</v>
      </c>
      <c r="O67" s="392"/>
      <c r="P67" s="393" t="e">
        <f>SUM(P60:P66)</f>
        <v>#REF!</v>
      </c>
      <c r="Q67" s="78"/>
      <c r="T67" s="34" t="s">
        <v>561</v>
      </c>
      <c r="U67" s="35" t="s">
        <v>66</v>
      </c>
      <c r="V67" s="34"/>
    </row>
    <row r="68" spans="2:22" ht="13.5" thickBot="1" x14ac:dyDescent="0.25">
      <c r="B68" s="75"/>
      <c r="C68" s="308" t="str">
        <f t="shared" si="9"/>
        <v>Piso N° 14</v>
      </c>
      <c r="D68" s="420">
        <f t="shared" si="6"/>
        <v>473.31000000000006</v>
      </c>
      <c r="E68" s="420"/>
      <c r="F68" s="117">
        <f t="shared" si="5"/>
        <v>0</v>
      </c>
      <c r="G68" s="118">
        <f t="shared" si="3"/>
        <v>473.31000000000006</v>
      </c>
      <c r="H68" s="117"/>
      <c r="I68" s="420">
        <f t="shared" si="7"/>
        <v>0</v>
      </c>
      <c r="J68" s="117">
        <f t="shared" si="8"/>
        <v>88.18</v>
      </c>
      <c r="K68" s="117">
        <f t="shared" si="4"/>
        <v>88.18</v>
      </c>
      <c r="L68" s="119">
        <f t="shared" si="1"/>
        <v>561.49</v>
      </c>
      <c r="M68" s="77"/>
      <c r="N68" s="656" t="s">
        <v>565</v>
      </c>
      <c r="O68" s="657"/>
      <c r="P68" s="658"/>
      <c r="Q68" s="78"/>
      <c r="T68" s="34" t="s">
        <v>562</v>
      </c>
      <c r="U68" s="34" t="s">
        <v>563</v>
      </c>
      <c r="V68" s="34"/>
    </row>
    <row r="69" spans="2:22" x14ac:dyDescent="0.2">
      <c r="B69" s="75"/>
      <c r="C69" s="308" t="str">
        <f t="shared" si="9"/>
        <v>Piso N° 15</v>
      </c>
      <c r="D69" s="420">
        <f t="shared" si="6"/>
        <v>473.31000000000006</v>
      </c>
      <c r="E69" s="420"/>
      <c r="F69" s="117">
        <f t="shared" si="5"/>
        <v>0</v>
      </c>
      <c r="G69" s="118">
        <f t="shared" si="3"/>
        <v>473.31000000000006</v>
      </c>
      <c r="H69" s="117"/>
      <c r="I69" s="420">
        <f t="shared" si="7"/>
        <v>0</v>
      </c>
      <c r="J69" s="117">
        <f t="shared" si="8"/>
        <v>88.18</v>
      </c>
      <c r="K69" s="117">
        <f t="shared" si="4"/>
        <v>88.18</v>
      </c>
      <c r="L69" s="119">
        <f t="shared" si="1"/>
        <v>561.49</v>
      </c>
      <c r="M69" s="108"/>
      <c r="N69" s="77"/>
      <c r="O69" s="108"/>
      <c r="P69" s="77"/>
      <c r="Q69" s="78"/>
      <c r="T69" s="526" t="s">
        <v>564</v>
      </c>
      <c r="U69" s="526" t="s">
        <v>565</v>
      </c>
      <c r="V69" s="526"/>
    </row>
    <row r="70" spans="2:22" x14ac:dyDescent="0.2">
      <c r="B70" s="75"/>
      <c r="C70" s="308" t="str">
        <f t="shared" si="9"/>
        <v>Piso N° 16</v>
      </c>
      <c r="D70" s="420">
        <f t="shared" si="6"/>
        <v>473.31000000000006</v>
      </c>
      <c r="E70" s="420"/>
      <c r="F70" s="117">
        <f>G113</f>
        <v>0</v>
      </c>
      <c r="G70" s="118">
        <f t="shared" si="3"/>
        <v>473.31000000000006</v>
      </c>
      <c r="H70" s="117"/>
      <c r="I70" s="420">
        <f t="shared" si="7"/>
        <v>0</v>
      </c>
      <c r="J70" s="117">
        <f t="shared" si="8"/>
        <v>88.18</v>
      </c>
      <c r="K70" s="117">
        <f t="shared" si="4"/>
        <v>88.18</v>
      </c>
      <c r="L70" s="119">
        <f t="shared" si="1"/>
        <v>561.49</v>
      </c>
      <c r="M70" s="108"/>
      <c r="N70" s="77"/>
      <c r="O70" s="108"/>
      <c r="P70" s="77"/>
      <c r="Q70" s="78"/>
    </row>
    <row r="71" spans="2:22" ht="13.5" thickBot="1" x14ac:dyDescent="0.25">
      <c r="B71" s="75"/>
      <c r="C71" s="308" t="str">
        <f t="shared" si="9"/>
        <v>Piso N° 17</v>
      </c>
      <c r="D71" s="420">
        <f t="shared" si="6"/>
        <v>473.31000000000006</v>
      </c>
      <c r="E71" s="420"/>
      <c r="F71" s="117">
        <f>G111</f>
        <v>0</v>
      </c>
      <c r="G71" s="118">
        <f t="shared" si="3"/>
        <v>473.31000000000006</v>
      </c>
      <c r="H71" s="117"/>
      <c r="I71" s="420">
        <f t="shared" si="7"/>
        <v>0</v>
      </c>
      <c r="J71" s="117">
        <f t="shared" si="8"/>
        <v>88.18</v>
      </c>
      <c r="K71" s="117">
        <f t="shared" si="4"/>
        <v>88.18</v>
      </c>
      <c r="L71" s="119">
        <f t="shared" si="1"/>
        <v>561.49</v>
      </c>
      <c r="M71" s="108"/>
      <c r="N71" s="77"/>
      <c r="O71" s="108"/>
      <c r="P71" s="77"/>
      <c r="Q71" s="78"/>
    </row>
    <row r="72" spans="2:22" ht="13.5" thickBot="1" x14ac:dyDescent="0.25">
      <c r="B72" s="75"/>
      <c r="C72" s="308" t="str">
        <f t="shared" si="9"/>
        <v>Piso N° 18</v>
      </c>
      <c r="D72" s="420">
        <f t="shared" si="6"/>
        <v>473.31000000000006</v>
      </c>
      <c r="E72" s="420"/>
      <c r="F72" s="117">
        <f>G111</f>
        <v>0</v>
      </c>
      <c r="G72" s="118">
        <f t="shared" si="3"/>
        <v>473.31000000000006</v>
      </c>
      <c r="H72" s="117"/>
      <c r="I72" s="420">
        <f t="shared" si="7"/>
        <v>0</v>
      </c>
      <c r="J72" s="117">
        <f t="shared" si="8"/>
        <v>88.18</v>
      </c>
      <c r="K72" s="117">
        <f t="shared" si="4"/>
        <v>88.18</v>
      </c>
      <c r="L72" s="119">
        <f t="shared" si="1"/>
        <v>561.49</v>
      </c>
      <c r="M72" s="108"/>
      <c r="N72" s="515" t="s">
        <v>67</v>
      </c>
      <c r="O72" s="516"/>
      <c r="P72" s="517"/>
      <c r="Q72" s="78"/>
    </row>
    <row r="73" spans="2:22" x14ac:dyDescent="0.2">
      <c r="B73" s="75"/>
      <c r="C73" s="308" t="str">
        <f t="shared" si="9"/>
        <v>Piso N° 19</v>
      </c>
      <c r="D73" s="420">
        <f t="shared" si="6"/>
        <v>473.31000000000006</v>
      </c>
      <c r="E73" s="420"/>
      <c r="F73" s="117">
        <f>G112</f>
        <v>0</v>
      </c>
      <c r="G73" s="118">
        <f t="shared" si="3"/>
        <v>473.31000000000006</v>
      </c>
      <c r="H73" s="117"/>
      <c r="I73" s="420">
        <f t="shared" si="7"/>
        <v>0</v>
      </c>
      <c r="J73" s="117">
        <f t="shared" si="8"/>
        <v>88.18</v>
      </c>
      <c r="K73" s="117">
        <f t="shared" si="4"/>
        <v>88.18</v>
      </c>
      <c r="L73" s="119">
        <f t="shared" si="1"/>
        <v>561.49</v>
      </c>
      <c r="M73" s="108"/>
      <c r="N73" s="518" t="s">
        <v>68</v>
      </c>
      <c r="O73" s="519"/>
      <c r="P73" s="520">
        <f>D84*0.2</f>
        <v>1952.402</v>
      </c>
      <c r="Q73" s="78"/>
    </row>
    <row r="74" spans="2:22" x14ac:dyDescent="0.2">
      <c r="B74" s="75"/>
      <c r="C74" s="308" t="str">
        <f t="shared" si="9"/>
        <v>Piso N° 20</v>
      </c>
      <c r="D74" s="420">
        <f t="shared" si="6"/>
        <v>473.31000000000006</v>
      </c>
      <c r="E74" s="420"/>
      <c r="F74" s="117">
        <f>G113</f>
        <v>0</v>
      </c>
      <c r="G74" s="118">
        <f t="shared" si="3"/>
        <v>473.31000000000006</v>
      </c>
      <c r="H74" s="117"/>
      <c r="I74" s="420">
        <f t="shared" si="7"/>
        <v>0</v>
      </c>
      <c r="J74" s="117">
        <f t="shared" si="8"/>
        <v>88.18</v>
      </c>
      <c r="K74" s="117">
        <f t="shared" si="4"/>
        <v>88.18</v>
      </c>
      <c r="L74" s="119">
        <f t="shared" si="1"/>
        <v>561.49</v>
      </c>
      <c r="M74" s="108"/>
      <c r="N74" s="386" t="s">
        <v>69</v>
      </c>
      <c r="O74" s="387">
        <f>K84</f>
        <v>2307.7200000000007</v>
      </c>
      <c r="P74" s="521">
        <f>K84</f>
        <v>2307.7200000000007</v>
      </c>
      <c r="Q74" s="514">
        <f>P74/D84</f>
        <v>0.23639803687970004</v>
      </c>
    </row>
    <row r="75" spans="2:22" ht="13.5" thickBot="1" x14ac:dyDescent="0.25">
      <c r="B75" s="75"/>
      <c r="C75" s="308" t="str">
        <f t="shared" si="9"/>
        <v>Piso N° 21</v>
      </c>
      <c r="D75" s="420">
        <f t="shared" si="6"/>
        <v>473.31000000000006</v>
      </c>
      <c r="E75" s="420"/>
      <c r="F75" s="117">
        <f>G116</f>
        <v>0</v>
      </c>
      <c r="G75" s="118">
        <f t="shared" si="3"/>
        <v>473.31000000000006</v>
      </c>
      <c r="H75" s="117"/>
      <c r="I75" s="420">
        <f t="shared" si="7"/>
        <v>0</v>
      </c>
      <c r="J75" s="117">
        <f t="shared" si="8"/>
        <v>88.18</v>
      </c>
      <c r="K75" s="117">
        <f t="shared" si="4"/>
        <v>88.18</v>
      </c>
      <c r="L75" s="119">
        <f t="shared" si="1"/>
        <v>561.49</v>
      </c>
      <c r="M75" s="108"/>
      <c r="N75" s="386" t="s">
        <v>537</v>
      </c>
      <c r="O75" s="387"/>
      <c r="P75" s="390">
        <f>P74-P73</f>
        <v>355.31800000000067</v>
      </c>
      <c r="Q75" s="514">
        <f>P75/D84</f>
        <v>3.6398036879700051E-2</v>
      </c>
    </row>
    <row r="76" spans="2:22" ht="13.5" thickBot="1" x14ac:dyDescent="0.25">
      <c r="B76" s="75"/>
      <c r="C76" s="308" t="str">
        <f t="shared" si="9"/>
        <v>Piso N° 22</v>
      </c>
      <c r="D76" s="420">
        <f>($F$157*D203)+($F$158*E203)+($M$159*F203)+($F$160*G203)+($F$161*H203)+($F$164*I203)+($F$165*J203)+($F$166*K203)+($F$167*L203)+($F$168*M203)+($F$169*N203)</f>
        <v>0</v>
      </c>
      <c r="E76" s="420"/>
      <c r="F76" s="117">
        <f>G117</f>
        <v>0</v>
      </c>
      <c r="G76" s="118">
        <f t="shared" si="3"/>
        <v>0</v>
      </c>
      <c r="H76" s="117"/>
      <c r="I76" s="420">
        <f>($H$157*D203)+($H$158*E203)+($H$159*F203)+($H$160*G203)+($H$161*H203)+($H$164*I203)+($H$165*J203)+($H$166*K203)+($H$167*L203)+($H$168*M203)+($H$169*N203)</f>
        <v>0</v>
      </c>
      <c r="J76" s="117">
        <f>W156</f>
        <v>184.89</v>
      </c>
      <c r="K76" s="117">
        <f t="shared" si="4"/>
        <v>184.89</v>
      </c>
      <c r="L76" s="119">
        <f t="shared" si="1"/>
        <v>184.89</v>
      </c>
      <c r="M76" s="108"/>
      <c r="N76" s="685" t="s">
        <v>545</v>
      </c>
      <c r="O76" s="686"/>
      <c r="P76" s="540">
        <f>P74-P75</f>
        <v>1952.402</v>
      </c>
      <c r="Q76" s="78"/>
    </row>
    <row r="77" spans="2:22" s="34" customFormat="1" x14ac:dyDescent="0.2">
      <c r="B77" s="109"/>
      <c r="C77" s="308"/>
      <c r="D77" s="420"/>
      <c r="E77" s="117"/>
      <c r="F77" s="117"/>
      <c r="G77" s="118"/>
      <c r="H77" s="117"/>
      <c r="I77" s="117"/>
      <c r="J77" s="117"/>
      <c r="K77" s="117"/>
      <c r="L77" s="119"/>
      <c r="M77" s="179"/>
      <c r="N77" s="179"/>
      <c r="O77" s="179"/>
      <c r="P77" s="179"/>
      <c r="Q77" s="111"/>
    </row>
    <row r="78" spans="2:22" s="34" customFormat="1" x14ac:dyDescent="0.2">
      <c r="B78" s="109"/>
      <c r="C78" s="308" t="s">
        <v>157</v>
      </c>
      <c r="D78" s="420"/>
      <c r="E78" s="117"/>
      <c r="F78" s="117"/>
      <c r="G78" s="118"/>
      <c r="H78" s="117"/>
      <c r="I78" s="117"/>
      <c r="J78" s="117"/>
      <c r="K78" s="117"/>
      <c r="L78" s="119"/>
      <c r="M78" s="179"/>
      <c r="N78" s="179"/>
      <c r="O78" s="179"/>
      <c r="P78" s="179"/>
      <c r="Q78" s="111"/>
    </row>
    <row r="79" spans="2:22" s="34" customFormat="1" ht="13.5" thickBot="1" x14ac:dyDescent="0.25">
      <c r="B79" s="109"/>
      <c r="C79" s="115"/>
      <c r="D79" s="116"/>
      <c r="E79" s="117"/>
      <c r="F79" s="117"/>
      <c r="G79" s="118"/>
      <c r="H79" s="117"/>
      <c r="I79" s="117"/>
      <c r="J79" s="117"/>
      <c r="K79" s="117"/>
      <c r="L79" s="119"/>
      <c r="M79" s="179"/>
      <c r="N79" s="179"/>
      <c r="O79" s="179"/>
      <c r="P79" s="179"/>
      <c r="Q79" s="111"/>
    </row>
    <row r="80" spans="2:22" s="34" customFormat="1" ht="13.5" thickBot="1" x14ac:dyDescent="0.25">
      <c r="B80" s="109"/>
      <c r="C80" s="115"/>
      <c r="D80" s="96"/>
      <c r="E80" s="117"/>
      <c r="F80" s="117"/>
      <c r="G80" s="120"/>
      <c r="H80" s="97"/>
      <c r="I80" s="117"/>
      <c r="J80" s="97"/>
      <c r="K80" s="97"/>
      <c r="L80" s="100"/>
      <c r="M80" s="179"/>
      <c r="N80" s="112" t="s">
        <v>70</v>
      </c>
      <c r="O80" s="113"/>
      <c r="P80" s="114"/>
      <c r="Q80" s="111"/>
    </row>
    <row r="81" spans="2:17" s="34" customFormat="1" x14ac:dyDescent="0.2">
      <c r="B81" s="109"/>
      <c r="C81" s="115"/>
      <c r="D81" s="116"/>
      <c r="E81" s="117"/>
      <c r="F81" s="117"/>
      <c r="G81" s="118"/>
      <c r="H81" s="117"/>
      <c r="I81" s="117"/>
      <c r="J81" s="117"/>
      <c r="K81" s="117"/>
      <c r="L81" s="119"/>
      <c r="M81" s="179"/>
      <c r="N81" s="386" t="s">
        <v>158</v>
      </c>
      <c r="O81" s="387">
        <f>E21</f>
        <v>0.3</v>
      </c>
      <c r="P81" s="390">
        <f>O81*E35</f>
        <v>1593.6</v>
      </c>
      <c r="Q81" s="111"/>
    </row>
    <row r="82" spans="2:17" s="34" customFormat="1" ht="13.5" thickBot="1" x14ac:dyDescent="0.25">
      <c r="B82" s="109"/>
      <c r="C82" s="115"/>
      <c r="D82" s="121"/>
      <c r="E82" s="122"/>
      <c r="F82" s="122"/>
      <c r="G82" s="123"/>
      <c r="H82" s="117"/>
      <c r="I82" s="122"/>
      <c r="J82" s="124"/>
      <c r="K82" s="124"/>
      <c r="L82" s="119"/>
      <c r="M82" s="179"/>
      <c r="N82" s="388" t="s">
        <v>69</v>
      </c>
      <c r="O82" s="389">
        <f>L55</f>
        <v>509.12</v>
      </c>
      <c r="P82" s="527">
        <f>O82/E35</f>
        <v>9.5843373493975911E-2</v>
      </c>
      <c r="Q82" s="111"/>
    </row>
    <row r="83" spans="2:17" ht="13.5" thickBot="1" x14ac:dyDescent="0.25">
      <c r="B83" s="75"/>
      <c r="C83" s="125"/>
      <c r="D83" s="126"/>
      <c r="E83" s="127"/>
      <c r="F83" s="127"/>
      <c r="G83" s="128"/>
      <c r="H83" s="129"/>
      <c r="I83" s="127"/>
      <c r="J83" s="129"/>
      <c r="K83" s="129"/>
      <c r="L83" s="130"/>
      <c r="M83" s="77"/>
      <c r="Q83" s="78"/>
    </row>
    <row r="84" spans="2:17" x14ac:dyDescent="0.2">
      <c r="B84" s="75"/>
      <c r="C84" s="131" t="s">
        <v>62</v>
      </c>
      <c r="D84" s="132">
        <f>SUM(D52:D83)</f>
        <v>9762.01</v>
      </c>
      <c r="E84" s="133">
        <f>SUM(E52:E83)</f>
        <v>0</v>
      </c>
      <c r="F84" s="133">
        <f>SUM(F55:F83)</f>
        <v>341.41</v>
      </c>
      <c r="G84" s="134">
        <f>SUM(G55:G83)</f>
        <v>9603.2900000000027</v>
      </c>
      <c r="H84" s="134">
        <f>SUM(H52:H83)</f>
        <v>5467.2999999999993</v>
      </c>
      <c r="I84" s="133">
        <f>SUM(I52:I83)</f>
        <v>0</v>
      </c>
      <c r="J84" s="135">
        <f>SUM(J55:J83)</f>
        <v>2307.7200000000007</v>
      </c>
      <c r="K84" s="135">
        <f>SUM(K55:K83)</f>
        <v>2307.7200000000007</v>
      </c>
      <c r="L84" s="136">
        <f>SUM(L52:L83)</f>
        <v>17878.439999999999</v>
      </c>
      <c r="M84" s="77"/>
      <c r="Q84" s="78"/>
    </row>
    <row r="85" spans="2:17" ht="13.5" thickBot="1" x14ac:dyDescent="0.25">
      <c r="B85" s="75"/>
      <c r="C85" s="137" t="s">
        <v>71</v>
      </c>
      <c r="D85" s="138">
        <f>+IF($G84=0,0,D84/$L84)</f>
        <v>0.54602135309344668</v>
      </c>
      <c r="E85" s="139">
        <f>+IF($G84=0,0,E84/$L84)</f>
        <v>0</v>
      </c>
      <c r="F85" s="139">
        <f>+IF($G84=0,0,F84/$L84)</f>
        <v>1.9096185125771603E-2</v>
      </c>
      <c r="G85" s="140">
        <f>+IF($G84=0,0,G84/$L84)</f>
        <v>0.53714362103181279</v>
      </c>
      <c r="H85" s="139"/>
      <c r="I85" s="139">
        <f>+IF($G84=0,0,I84/$L84)</f>
        <v>0</v>
      </c>
      <c r="J85" s="141">
        <f>+J84/F84</f>
        <v>6.759380217333999</v>
      </c>
      <c r="K85" s="141">
        <f>+K84/G84</f>
        <v>0.24030514542412029</v>
      </c>
      <c r="L85" s="142">
        <f>+IF($G84=0,0,L84/$L84)</f>
        <v>1</v>
      </c>
      <c r="M85" s="77"/>
      <c r="Q85" s="78"/>
    </row>
    <row r="86" spans="2:17" x14ac:dyDescent="0.2">
      <c r="B86" s="75"/>
      <c r="C86" s="143"/>
      <c r="D86" s="105"/>
      <c r="E86" s="105"/>
      <c r="F86" s="105"/>
      <c r="G86" s="105"/>
      <c r="H86" s="144"/>
      <c r="I86" s="105"/>
      <c r="J86" s="145"/>
      <c r="K86" s="105"/>
      <c r="L86" s="65"/>
      <c r="M86" s="64"/>
      <c r="N86" s="64"/>
      <c r="O86" s="64"/>
      <c r="P86" s="77"/>
      <c r="Q86" s="78"/>
    </row>
    <row r="87" spans="2:17" ht="13.5" customHeight="1" thickBot="1" x14ac:dyDescent="0.25">
      <c r="B87" s="75"/>
      <c r="C87" s="146"/>
      <c r="D87" s="105"/>
      <c r="E87" s="105"/>
      <c r="F87" s="105"/>
      <c r="G87" s="105"/>
      <c r="H87" s="144"/>
      <c r="I87" s="105"/>
      <c r="J87" s="144"/>
      <c r="K87" s="105"/>
      <c r="L87" s="65"/>
      <c r="M87" s="64"/>
      <c r="N87" s="64"/>
      <c r="O87" s="64"/>
      <c r="P87" s="77"/>
      <c r="Q87" s="78"/>
    </row>
    <row r="88" spans="2:17" ht="15.75" x14ac:dyDescent="0.25">
      <c r="B88" s="75"/>
      <c r="C88" s="626" t="s">
        <v>53</v>
      </c>
      <c r="D88" s="628" t="s">
        <v>72</v>
      </c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77"/>
      <c r="Q88" s="78"/>
    </row>
    <row r="89" spans="2:17" x14ac:dyDescent="0.2">
      <c r="B89" s="75"/>
      <c r="C89" s="627"/>
      <c r="D89" s="147" t="s">
        <v>55</v>
      </c>
      <c r="E89" s="80" t="s">
        <v>56</v>
      </c>
      <c r="F89" s="80" t="s">
        <v>57</v>
      </c>
      <c r="G89" s="148" t="s">
        <v>58</v>
      </c>
      <c r="H89" s="81" t="s">
        <v>73</v>
      </c>
      <c r="I89" s="80" t="s">
        <v>60</v>
      </c>
      <c r="J89" s="80" t="s">
        <v>61</v>
      </c>
      <c r="K89" s="80" t="s">
        <v>74</v>
      </c>
      <c r="L89" s="80" t="s">
        <v>75</v>
      </c>
      <c r="M89" s="80" t="s">
        <v>76</v>
      </c>
      <c r="N89" s="80" t="s">
        <v>77</v>
      </c>
      <c r="O89" s="82" t="s">
        <v>78</v>
      </c>
      <c r="P89" s="77"/>
      <c r="Q89" s="78"/>
    </row>
    <row r="90" spans="2:17" x14ac:dyDescent="0.2">
      <c r="B90" s="75"/>
      <c r="C90" s="627"/>
      <c r="D90" s="84" t="s">
        <v>79</v>
      </c>
      <c r="E90" s="84" t="s">
        <v>79</v>
      </c>
      <c r="F90" s="84" t="s">
        <v>79</v>
      </c>
      <c r="G90" s="85" t="s">
        <v>524</v>
      </c>
      <c r="H90" s="86"/>
      <c r="I90" s="84"/>
      <c r="J90" s="84" t="s">
        <v>79</v>
      </c>
      <c r="K90" s="84" t="s">
        <v>79</v>
      </c>
      <c r="L90" s="84"/>
      <c r="M90" s="84" t="s">
        <v>80</v>
      </c>
      <c r="N90" s="84"/>
      <c r="O90" s="88"/>
      <c r="P90" s="77"/>
      <c r="Q90" s="78"/>
    </row>
    <row r="91" spans="2:17" ht="13.5" thickBot="1" x14ac:dyDescent="0.25">
      <c r="B91" s="75"/>
      <c r="C91" s="627"/>
      <c r="D91" s="84" t="s">
        <v>43</v>
      </c>
      <c r="E91" s="84" t="s">
        <v>43</v>
      </c>
      <c r="F91" s="84" t="s">
        <v>43</v>
      </c>
      <c r="G91" s="85" t="s">
        <v>43</v>
      </c>
      <c r="H91" s="592" t="s">
        <v>43</v>
      </c>
      <c r="I91" s="84" t="s">
        <v>43</v>
      </c>
      <c r="J91" s="84" t="s">
        <v>43</v>
      </c>
      <c r="K91" s="84" t="s">
        <v>43</v>
      </c>
      <c r="L91" s="85" t="s">
        <v>43</v>
      </c>
      <c r="M91" s="84" t="s">
        <v>43</v>
      </c>
      <c r="N91" s="84" t="s">
        <v>43</v>
      </c>
      <c r="O91" s="88" t="s">
        <v>43</v>
      </c>
      <c r="P91" s="77"/>
      <c r="Q91" s="78"/>
    </row>
    <row r="92" spans="2:17" x14ac:dyDescent="0.2">
      <c r="B92" s="75"/>
      <c r="C92" s="598"/>
      <c r="D92" s="599"/>
      <c r="E92" s="599"/>
      <c r="F92" s="599"/>
      <c r="G92" s="599"/>
      <c r="H92" s="600"/>
      <c r="I92" s="599"/>
      <c r="J92" s="599"/>
      <c r="K92" s="599"/>
      <c r="L92" s="601"/>
      <c r="M92" s="599"/>
      <c r="N92" s="599"/>
      <c r="O92" s="136"/>
      <c r="P92" s="77"/>
      <c r="Q92" s="78"/>
    </row>
    <row r="93" spans="2:17" s="34" customFormat="1" x14ac:dyDescent="0.2">
      <c r="B93" s="109"/>
      <c r="C93" s="151" t="s">
        <v>668</v>
      </c>
      <c r="D93" s="117">
        <f>F165</f>
        <v>500.12999999999988</v>
      </c>
      <c r="E93" s="97"/>
      <c r="F93" s="97"/>
      <c r="G93" s="117">
        <f>V128+V126</f>
        <v>260.53999999999996</v>
      </c>
      <c r="H93" s="149">
        <f>D93</f>
        <v>500.12999999999988</v>
      </c>
      <c r="I93" s="117">
        <f>V124-G93</f>
        <v>239.58999999999992</v>
      </c>
      <c r="J93" s="117"/>
      <c r="K93" s="117"/>
      <c r="L93" s="150"/>
      <c r="M93" s="117"/>
      <c r="N93" s="117"/>
      <c r="O93" s="119">
        <f>SUM(G93:N93)-L93</f>
        <v>1000.2599999999998</v>
      </c>
      <c r="P93" s="179"/>
      <c r="Q93" s="111"/>
    </row>
    <row r="94" spans="2:17" x14ac:dyDescent="0.2">
      <c r="B94" s="75"/>
      <c r="C94" s="115" t="s">
        <v>123</v>
      </c>
      <c r="D94" s="156"/>
      <c r="E94" s="156"/>
      <c r="F94" s="156"/>
      <c r="G94" s="155">
        <f>V133+V131</f>
        <v>1135.01</v>
      </c>
      <c r="H94" s="98"/>
      <c r="I94" s="117">
        <f>V130-G94</f>
        <v>1120.6200000000001</v>
      </c>
      <c r="J94" s="117"/>
      <c r="K94" s="117">
        <v>22.37</v>
      </c>
      <c r="L94" s="150">
        <v>11.55</v>
      </c>
      <c r="M94" s="117"/>
      <c r="N94" s="117"/>
      <c r="O94" s="119">
        <f>SUM(G94:N94)-L94</f>
        <v>2278</v>
      </c>
      <c r="P94" s="179"/>
      <c r="Q94" s="78"/>
    </row>
    <row r="95" spans="2:17" x14ac:dyDescent="0.2">
      <c r="B95" s="75"/>
      <c r="C95" s="115" t="s">
        <v>81</v>
      </c>
      <c r="D95" s="156"/>
      <c r="E95" s="156"/>
      <c r="F95" s="156"/>
      <c r="G95" s="155">
        <f>V138+V136</f>
        <v>1047.3800000000001</v>
      </c>
      <c r="H95" s="98"/>
      <c r="I95" s="117">
        <f>V135-G95-K95-L95</f>
        <v>1164.03</v>
      </c>
      <c r="J95" s="117"/>
      <c r="K95" s="117">
        <f>32.67</f>
        <v>32.67</v>
      </c>
      <c r="L95" s="150">
        <f>L94</f>
        <v>11.55</v>
      </c>
      <c r="M95" s="117"/>
      <c r="N95" s="117"/>
      <c r="O95" s="119">
        <f>SUM(G95:N95)-L95</f>
        <v>2244.08</v>
      </c>
      <c r="P95" s="179"/>
      <c r="Q95" s="78"/>
    </row>
    <row r="96" spans="2:17" x14ac:dyDescent="0.2">
      <c r="B96" s="75"/>
      <c r="C96" s="115" t="s">
        <v>82</v>
      </c>
      <c r="D96" s="154">
        <f>($K$157*D182)+($K$158*E182)+($K$159*F182)+($K$160*G182)+($K$161*H182)+($K$162*I182)+($K$163*J182)+($K$164*K182)+($K$165*L182)+($K$166*M182)+($K$167*N182)</f>
        <v>0</v>
      </c>
      <c r="E96" s="420">
        <f>($L$157*E219)+($L$158*F219)+($K$159*G219)+($L$160*H219)+($L$161*I219)+($L$164*J219)+($L$165*K219)+($L$166*L219)+($L$167*M219)+($L$168*N219)+($L$169*O219)</f>
        <v>0</v>
      </c>
      <c r="F96" s="420">
        <f>($M$157*D182)+($M$158*E182)+($M$159*F182)+($M$160*G182)+($M$161*H182)+($M$164*I182)+($M$165*J182)+($M$166*K182)+($M$167*L182)+($M$168*M182)+($M$169*N182)</f>
        <v>0</v>
      </c>
      <c r="G96" s="155">
        <f>V144+V142</f>
        <v>422.09000000000003</v>
      </c>
      <c r="H96" s="154">
        <f t="shared" ref="H96:H107" si="10">SUM(D96:G96)</f>
        <v>422.09000000000003</v>
      </c>
      <c r="I96" s="99"/>
      <c r="J96" s="154">
        <f>V141</f>
        <v>293.09000000000003</v>
      </c>
      <c r="K96" s="117">
        <f t="shared" ref="K96:K117" si="11">K95</f>
        <v>32.67</v>
      </c>
      <c r="L96" s="150">
        <f t="shared" ref="L96:L117" si="12">L95</f>
        <v>11.55</v>
      </c>
      <c r="M96" s="117"/>
      <c r="N96" s="117"/>
      <c r="O96" s="119">
        <f t="shared" ref="O96:O107" si="13">SUM(H96:N96)-L96</f>
        <v>747.85</v>
      </c>
      <c r="P96" s="77"/>
      <c r="Q96" s="78"/>
    </row>
    <row r="97" spans="2:19" x14ac:dyDescent="0.2">
      <c r="B97" s="75"/>
      <c r="C97" s="115" t="s">
        <v>83</v>
      </c>
      <c r="D97" s="154">
        <f>($K$157*D183)+($K$158*E183)+($K$159*F183)+($K$160*G183)+($K$161*H183)+($K$162*I183)+($K$163*J183)+($K$164*K183)</f>
        <v>268.99</v>
      </c>
      <c r="E97" s="420">
        <f>($L$157*E220)+($L$158*F220)+($K$159*G220)+($L$160*H220)+($L$161*I220)+($L$164*J220)+($L$165*K220)+($L$166*L220)+($L$167*M220)+($L$168*N220)+($L$169*O220)</f>
        <v>0</v>
      </c>
      <c r="F97" s="420">
        <f>($M$157*D183)+($M$158*E183)+($M$159*F183)+($M$160*G183)+($M$161*H183)+($M$162*I183)+($M$163*J183)+($M$164*K183)</f>
        <v>44.5</v>
      </c>
      <c r="G97" s="154">
        <f>V149</f>
        <v>82.759999999999977</v>
      </c>
      <c r="H97" s="154">
        <f>SUM(D97:G97)</f>
        <v>396.25</v>
      </c>
      <c r="I97" s="154"/>
      <c r="J97" s="154">
        <f>V146</f>
        <v>208.24</v>
      </c>
      <c r="K97" s="117">
        <f t="shared" si="11"/>
        <v>32.67</v>
      </c>
      <c r="L97" s="150">
        <f t="shared" si="12"/>
        <v>11.55</v>
      </c>
      <c r="M97" s="117"/>
      <c r="N97" s="154"/>
      <c r="O97" s="119">
        <f t="shared" si="13"/>
        <v>637.16</v>
      </c>
      <c r="P97" s="77"/>
      <c r="Q97" s="78"/>
      <c r="R97" s="152"/>
      <c r="S97" s="153"/>
    </row>
    <row r="98" spans="2:19" x14ac:dyDescent="0.2">
      <c r="B98" s="75"/>
      <c r="C98" s="115" t="s">
        <v>84</v>
      </c>
      <c r="D98" s="154">
        <f>($K$157*D184)+($K$158*E184)+($K$159*F184)+($K$160*G184)+($K$161*H184)+($K$162*I184)+($K$163*J184)+($K$164*K184)</f>
        <v>514.5</v>
      </c>
      <c r="E98" s="420">
        <f>($L$157*E221)+($L$158*F221)+($K$159*G221)+($L$160*H221)+($L$161*I221)+($L$164*J221)+($L$165*K221)+($L$166*L221)+($L$167*M221)+($L$168*N221)+($L$169*O221)</f>
        <v>0</v>
      </c>
      <c r="F98" s="420">
        <f>($M$157*D184)+($M$158*E184)+($M$159*F184)+($M$160*G184)+($M$161*H184)+($M$162*I184)+($M$163*J184)+($M$164*K184)</f>
        <v>88.960000000000008</v>
      </c>
      <c r="G98" s="154"/>
      <c r="H98" s="154">
        <f t="shared" si="10"/>
        <v>603.46</v>
      </c>
      <c r="I98" s="154"/>
      <c r="J98" s="154">
        <f>V151</f>
        <v>88.18</v>
      </c>
      <c r="K98" s="117">
        <f t="shared" si="11"/>
        <v>32.67</v>
      </c>
      <c r="L98" s="150">
        <f t="shared" si="12"/>
        <v>11.55</v>
      </c>
      <c r="M98" s="117"/>
      <c r="N98" s="154"/>
      <c r="O98" s="119">
        <f t="shared" si="13"/>
        <v>724.31000000000006</v>
      </c>
      <c r="P98" s="77"/>
      <c r="Q98" s="78"/>
      <c r="S98" s="153"/>
    </row>
    <row r="99" spans="2:19" x14ac:dyDescent="0.2">
      <c r="B99" s="75"/>
      <c r="C99" s="115" t="s">
        <v>85</v>
      </c>
      <c r="D99" s="154">
        <f>D98</f>
        <v>514.5</v>
      </c>
      <c r="E99" s="420">
        <f t="shared" ref="E99:E117" si="14">($L$157*E222)+($L$158*F222)+($K$159*G222)+($L$160*H222)+($L$161*I222)+($L$164*J222)+($L$165*K222)+($L$166*L222)+($L$167*M222)+($L$168*N222)+($L$169*O222)</f>
        <v>0</v>
      </c>
      <c r="F99" s="420">
        <f>F98</f>
        <v>88.960000000000008</v>
      </c>
      <c r="G99" s="154"/>
      <c r="H99" s="154">
        <f t="shared" si="10"/>
        <v>603.46</v>
      </c>
      <c r="I99" s="154"/>
      <c r="J99" s="154">
        <f>J98</f>
        <v>88.18</v>
      </c>
      <c r="K99" s="117">
        <f t="shared" si="11"/>
        <v>32.67</v>
      </c>
      <c r="L99" s="150">
        <f t="shared" si="12"/>
        <v>11.55</v>
      </c>
      <c r="M99" s="117"/>
      <c r="N99" s="154"/>
      <c r="O99" s="119">
        <f t="shared" si="13"/>
        <v>724.31000000000006</v>
      </c>
      <c r="P99" s="251"/>
      <c r="Q99" s="78"/>
    </row>
    <row r="100" spans="2:19" x14ac:dyDescent="0.2">
      <c r="B100" s="75"/>
      <c r="C100" s="115" t="s">
        <v>86</v>
      </c>
      <c r="D100" s="154">
        <f t="shared" ref="D100:D116" si="15">D99</f>
        <v>514.5</v>
      </c>
      <c r="E100" s="420">
        <f t="shared" si="14"/>
        <v>0</v>
      </c>
      <c r="F100" s="420">
        <f t="shared" ref="F100:F116" si="16">F99</f>
        <v>88.960000000000008</v>
      </c>
      <c r="G100" s="154"/>
      <c r="H100" s="154">
        <f t="shared" si="10"/>
        <v>603.46</v>
      </c>
      <c r="I100" s="154"/>
      <c r="J100" s="154">
        <f t="shared" ref="J100:J116" si="17">J99</f>
        <v>88.18</v>
      </c>
      <c r="K100" s="117">
        <f t="shared" si="11"/>
        <v>32.67</v>
      </c>
      <c r="L100" s="150">
        <f t="shared" si="12"/>
        <v>11.55</v>
      </c>
      <c r="M100" s="117"/>
      <c r="N100" s="154"/>
      <c r="O100" s="119">
        <f t="shared" si="13"/>
        <v>724.31000000000006</v>
      </c>
      <c r="P100" s="77"/>
      <c r="Q100" s="78"/>
    </row>
    <row r="101" spans="2:19" x14ac:dyDescent="0.2">
      <c r="B101" s="75"/>
      <c r="C101" s="115" t="s">
        <v>87</v>
      </c>
      <c r="D101" s="154">
        <f t="shared" si="15"/>
        <v>514.5</v>
      </c>
      <c r="E101" s="420">
        <f t="shared" si="14"/>
        <v>0</v>
      </c>
      <c r="F101" s="420">
        <f t="shared" si="16"/>
        <v>88.960000000000008</v>
      </c>
      <c r="G101" s="154"/>
      <c r="H101" s="154">
        <f t="shared" si="10"/>
        <v>603.46</v>
      </c>
      <c r="I101" s="154"/>
      <c r="J101" s="154">
        <f t="shared" si="17"/>
        <v>88.18</v>
      </c>
      <c r="K101" s="117">
        <f t="shared" si="11"/>
        <v>32.67</v>
      </c>
      <c r="L101" s="150">
        <f t="shared" si="12"/>
        <v>11.55</v>
      </c>
      <c r="M101" s="117"/>
      <c r="N101" s="154"/>
      <c r="O101" s="119">
        <f t="shared" si="13"/>
        <v>724.31000000000006</v>
      </c>
      <c r="P101" s="77"/>
      <c r="Q101" s="78"/>
    </row>
    <row r="102" spans="2:19" x14ac:dyDescent="0.2">
      <c r="B102" s="75"/>
      <c r="C102" s="115" t="s">
        <v>88</v>
      </c>
      <c r="D102" s="154">
        <f t="shared" si="15"/>
        <v>514.5</v>
      </c>
      <c r="E102" s="420">
        <f t="shared" si="14"/>
        <v>0</v>
      </c>
      <c r="F102" s="420">
        <f t="shared" si="16"/>
        <v>88.960000000000008</v>
      </c>
      <c r="G102" s="154"/>
      <c r="H102" s="154">
        <f t="shared" si="10"/>
        <v>603.46</v>
      </c>
      <c r="I102" s="154"/>
      <c r="J102" s="154">
        <f t="shared" si="17"/>
        <v>88.18</v>
      </c>
      <c r="K102" s="117">
        <f t="shared" si="11"/>
        <v>32.67</v>
      </c>
      <c r="L102" s="150">
        <f t="shared" si="12"/>
        <v>11.55</v>
      </c>
      <c r="M102" s="117"/>
      <c r="N102" s="154"/>
      <c r="O102" s="119">
        <f t="shared" si="13"/>
        <v>724.31000000000006</v>
      </c>
      <c r="P102" s="77"/>
      <c r="Q102" s="78"/>
      <c r="R102" s="153"/>
    </row>
    <row r="103" spans="2:19" x14ac:dyDescent="0.2">
      <c r="B103" s="75"/>
      <c r="C103" s="115" t="s">
        <v>89</v>
      </c>
      <c r="D103" s="154">
        <f t="shared" si="15"/>
        <v>514.5</v>
      </c>
      <c r="E103" s="420">
        <f t="shared" si="14"/>
        <v>0</v>
      </c>
      <c r="F103" s="420">
        <f t="shared" si="16"/>
        <v>88.960000000000008</v>
      </c>
      <c r="G103" s="154"/>
      <c r="H103" s="154">
        <f t="shared" si="10"/>
        <v>603.46</v>
      </c>
      <c r="I103" s="154"/>
      <c r="J103" s="154">
        <f t="shared" si="17"/>
        <v>88.18</v>
      </c>
      <c r="K103" s="117">
        <f t="shared" si="11"/>
        <v>32.67</v>
      </c>
      <c r="L103" s="150">
        <f t="shared" si="12"/>
        <v>11.55</v>
      </c>
      <c r="M103" s="117"/>
      <c r="N103" s="154"/>
      <c r="O103" s="119">
        <f t="shared" si="13"/>
        <v>724.31000000000006</v>
      </c>
      <c r="P103" s="77"/>
      <c r="Q103" s="78"/>
    </row>
    <row r="104" spans="2:19" x14ac:dyDescent="0.2">
      <c r="B104" s="75"/>
      <c r="C104" s="115" t="s">
        <v>90</v>
      </c>
      <c r="D104" s="154">
        <f t="shared" si="15"/>
        <v>514.5</v>
      </c>
      <c r="E104" s="420">
        <f t="shared" si="14"/>
        <v>0</v>
      </c>
      <c r="F104" s="420">
        <f t="shared" si="16"/>
        <v>88.960000000000008</v>
      </c>
      <c r="G104" s="154"/>
      <c r="H104" s="154">
        <f t="shared" si="10"/>
        <v>603.46</v>
      </c>
      <c r="I104" s="154"/>
      <c r="J104" s="154">
        <f t="shared" si="17"/>
        <v>88.18</v>
      </c>
      <c r="K104" s="117">
        <f t="shared" si="11"/>
        <v>32.67</v>
      </c>
      <c r="L104" s="150">
        <f t="shared" si="12"/>
        <v>11.55</v>
      </c>
      <c r="M104" s="117"/>
      <c r="N104" s="154"/>
      <c r="O104" s="119">
        <f t="shared" si="13"/>
        <v>724.31000000000006</v>
      </c>
      <c r="P104" s="77"/>
      <c r="Q104" s="78"/>
      <c r="R104" s="153"/>
    </row>
    <row r="105" spans="2:19" x14ac:dyDescent="0.2">
      <c r="B105" s="75"/>
      <c r="C105" s="115" t="s">
        <v>91</v>
      </c>
      <c r="D105" s="154">
        <f t="shared" si="15"/>
        <v>514.5</v>
      </c>
      <c r="E105" s="420">
        <f t="shared" si="14"/>
        <v>0</v>
      </c>
      <c r="F105" s="420">
        <f t="shared" si="16"/>
        <v>88.960000000000008</v>
      </c>
      <c r="G105" s="154"/>
      <c r="H105" s="154">
        <f t="shared" si="10"/>
        <v>603.46</v>
      </c>
      <c r="I105" s="154"/>
      <c r="J105" s="154">
        <f t="shared" si="17"/>
        <v>88.18</v>
      </c>
      <c r="K105" s="117">
        <f t="shared" si="11"/>
        <v>32.67</v>
      </c>
      <c r="L105" s="150">
        <f t="shared" si="12"/>
        <v>11.55</v>
      </c>
      <c r="M105" s="117"/>
      <c r="N105" s="154"/>
      <c r="O105" s="119">
        <f t="shared" si="13"/>
        <v>724.31000000000006</v>
      </c>
      <c r="P105" s="77"/>
      <c r="Q105" s="78"/>
    </row>
    <row r="106" spans="2:19" x14ac:dyDescent="0.2">
      <c r="B106" s="75"/>
      <c r="C106" s="115" t="s">
        <v>92</v>
      </c>
      <c r="D106" s="154">
        <f t="shared" si="15"/>
        <v>514.5</v>
      </c>
      <c r="E106" s="420">
        <f t="shared" si="14"/>
        <v>0</v>
      </c>
      <c r="F106" s="420">
        <f t="shared" si="16"/>
        <v>88.960000000000008</v>
      </c>
      <c r="G106" s="154"/>
      <c r="H106" s="154">
        <f t="shared" si="10"/>
        <v>603.46</v>
      </c>
      <c r="I106" s="154"/>
      <c r="J106" s="154">
        <f t="shared" si="17"/>
        <v>88.18</v>
      </c>
      <c r="K106" s="117">
        <f t="shared" si="11"/>
        <v>32.67</v>
      </c>
      <c r="L106" s="150">
        <f t="shared" si="12"/>
        <v>11.55</v>
      </c>
      <c r="M106" s="117"/>
      <c r="N106" s="154"/>
      <c r="O106" s="119">
        <f t="shared" si="13"/>
        <v>724.31000000000006</v>
      </c>
      <c r="P106" s="77"/>
      <c r="Q106" s="78"/>
    </row>
    <row r="107" spans="2:19" x14ac:dyDescent="0.2">
      <c r="B107" s="75"/>
      <c r="C107" s="115" t="s">
        <v>93</v>
      </c>
      <c r="D107" s="154">
        <f t="shared" si="15"/>
        <v>514.5</v>
      </c>
      <c r="E107" s="420">
        <f t="shared" si="14"/>
        <v>0</v>
      </c>
      <c r="F107" s="420">
        <f t="shared" si="16"/>
        <v>88.960000000000008</v>
      </c>
      <c r="G107" s="154"/>
      <c r="H107" s="154">
        <f t="shared" si="10"/>
        <v>603.46</v>
      </c>
      <c r="I107" s="154"/>
      <c r="J107" s="154">
        <f t="shared" si="17"/>
        <v>88.18</v>
      </c>
      <c r="K107" s="117">
        <f t="shared" si="11"/>
        <v>32.67</v>
      </c>
      <c r="L107" s="150">
        <f t="shared" si="12"/>
        <v>11.55</v>
      </c>
      <c r="M107" s="117"/>
      <c r="N107" s="154"/>
      <c r="O107" s="119">
        <f t="shared" si="13"/>
        <v>724.31000000000006</v>
      </c>
      <c r="P107" s="77"/>
      <c r="Q107" s="78"/>
    </row>
    <row r="108" spans="2:19" x14ac:dyDescent="0.2">
      <c r="B108" s="75"/>
      <c r="C108" s="115" t="s">
        <v>94</v>
      </c>
      <c r="D108" s="154">
        <f t="shared" si="15"/>
        <v>514.5</v>
      </c>
      <c r="E108" s="420">
        <f t="shared" si="14"/>
        <v>0</v>
      </c>
      <c r="F108" s="420">
        <f t="shared" si="16"/>
        <v>88.960000000000008</v>
      </c>
      <c r="G108" s="154"/>
      <c r="H108" s="154">
        <f t="shared" ref="H108:H117" si="18">SUM(D108:G108)</f>
        <v>603.46</v>
      </c>
      <c r="I108" s="154"/>
      <c r="J108" s="154">
        <f t="shared" si="17"/>
        <v>88.18</v>
      </c>
      <c r="K108" s="117">
        <f t="shared" si="11"/>
        <v>32.67</v>
      </c>
      <c r="L108" s="150">
        <f t="shared" si="12"/>
        <v>11.55</v>
      </c>
      <c r="M108" s="117"/>
      <c r="N108" s="154"/>
      <c r="O108" s="119">
        <f t="shared" ref="O108:O117" si="19">SUM(H108:N108)-L108</f>
        <v>724.31000000000006</v>
      </c>
      <c r="P108" s="77"/>
      <c r="Q108" s="78"/>
    </row>
    <row r="109" spans="2:19" x14ac:dyDescent="0.2">
      <c r="B109" s="75"/>
      <c r="C109" s="115" t="s">
        <v>95</v>
      </c>
      <c r="D109" s="154">
        <f t="shared" si="15"/>
        <v>514.5</v>
      </c>
      <c r="E109" s="420">
        <f t="shared" si="14"/>
        <v>0</v>
      </c>
      <c r="F109" s="420">
        <f t="shared" si="16"/>
        <v>88.960000000000008</v>
      </c>
      <c r="G109" s="154"/>
      <c r="H109" s="154">
        <f t="shared" si="18"/>
        <v>603.46</v>
      </c>
      <c r="I109" s="154"/>
      <c r="J109" s="154">
        <f t="shared" si="17"/>
        <v>88.18</v>
      </c>
      <c r="K109" s="117">
        <f t="shared" si="11"/>
        <v>32.67</v>
      </c>
      <c r="L109" s="150">
        <f t="shared" si="12"/>
        <v>11.55</v>
      </c>
      <c r="M109" s="117"/>
      <c r="N109" s="154"/>
      <c r="O109" s="119">
        <f t="shared" si="19"/>
        <v>724.31000000000006</v>
      </c>
      <c r="P109" s="77"/>
      <c r="Q109" s="78"/>
    </row>
    <row r="110" spans="2:19" x14ac:dyDescent="0.2">
      <c r="B110" s="75"/>
      <c r="C110" s="115" t="s">
        <v>96</v>
      </c>
      <c r="D110" s="154">
        <f t="shared" si="15"/>
        <v>514.5</v>
      </c>
      <c r="E110" s="420">
        <f t="shared" si="14"/>
        <v>0</v>
      </c>
      <c r="F110" s="420">
        <f t="shared" si="16"/>
        <v>88.960000000000008</v>
      </c>
      <c r="G110" s="154"/>
      <c r="H110" s="154">
        <f t="shared" si="18"/>
        <v>603.46</v>
      </c>
      <c r="I110" s="154"/>
      <c r="J110" s="154">
        <f t="shared" si="17"/>
        <v>88.18</v>
      </c>
      <c r="K110" s="117">
        <f t="shared" si="11"/>
        <v>32.67</v>
      </c>
      <c r="L110" s="150">
        <f t="shared" si="12"/>
        <v>11.55</v>
      </c>
      <c r="M110" s="117"/>
      <c r="N110" s="154"/>
      <c r="O110" s="119">
        <f t="shared" si="19"/>
        <v>724.31000000000006</v>
      </c>
      <c r="P110" s="77"/>
      <c r="Q110" s="78"/>
    </row>
    <row r="111" spans="2:19" x14ac:dyDescent="0.2">
      <c r="B111" s="75"/>
      <c r="C111" s="115" t="s">
        <v>97</v>
      </c>
      <c r="D111" s="154">
        <f t="shared" si="15"/>
        <v>514.5</v>
      </c>
      <c r="E111" s="420">
        <f t="shared" si="14"/>
        <v>0</v>
      </c>
      <c r="F111" s="420">
        <f t="shared" si="16"/>
        <v>88.960000000000008</v>
      </c>
      <c r="G111" s="154"/>
      <c r="H111" s="154">
        <f t="shared" si="18"/>
        <v>603.46</v>
      </c>
      <c r="I111" s="154"/>
      <c r="J111" s="154">
        <f t="shared" si="17"/>
        <v>88.18</v>
      </c>
      <c r="K111" s="117">
        <f t="shared" si="11"/>
        <v>32.67</v>
      </c>
      <c r="L111" s="150">
        <f t="shared" si="12"/>
        <v>11.55</v>
      </c>
      <c r="M111" s="117"/>
      <c r="N111" s="154"/>
      <c r="O111" s="119">
        <f t="shared" si="19"/>
        <v>724.31000000000006</v>
      </c>
      <c r="P111" s="77"/>
      <c r="Q111" s="78"/>
    </row>
    <row r="112" spans="2:19" x14ac:dyDescent="0.2">
      <c r="B112" s="75"/>
      <c r="C112" s="115" t="s">
        <v>98</v>
      </c>
      <c r="D112" s="154">
        <f t="shared" si="15"/>
        <v>514.5</v>
      </c>
      <c r="E112" s="420">
        <f t="shared" si="14"/>
        <v>0</v>
      </c>
      <c r="F112" s="420">
        <f t="shared" si="16"/>
        <v>88.960000000000008</v>
      </c>
      <c r="G112" s="154"/>
      <c r="H112" s="154">
        <f t="shared" ref="H112" si="20">SUM(D112:G112)</f>
        <v>603.46</v>
      </c>
      <c r="I112" s="154"/>
      <c r="J112" s="154">
        <f t="shared" si="17"/>
        <v>88.18</v>
      </c>
      <c r="K112" s="117">
        <f t="shared" si="11"/>
        <v>32.67</v>
      </c>
      <c r="L112" s="150">
        <f t="shared" si="12"/>
        <v>11.55</v>
      </c>
      <c r="M112" s="117"/>
      <c r="N112" s="154"/>
      <c r="O112" s="119">
        <f t="shared" ref="O112" si="21">SUM(H112:N112)-L112</f>
        <v>724.31000000000006</v>
      </c>
      <c r="P112" s="77"/>
      <c r="Q112" s="78"/>
    </row>
    <row r="113" spans="2:26" x14ac:dyDescent="0.2">
      <c r="B113" s="75"/>
      <c r="C113" s="115" t="s">
        <v>99</v>
      </c>
      <c r="D113" s="154">
        <f t="shared" si="15"/>
        <v>514.5</v>
      </c>
      <c r="E113" s="420">
        <f t="shared" si="14"/>
        <v>0</v>
      </c>
      <c r="F113" s="420">
        <f t="shared" si="16"/>
        <v>88.960000000000008</v>
      </c>
      <c r="G113" s="154"/>
      <c r="H113" s="154">
        <f t="shared" si="18"/>
        <v>603.46</v>
      </c>
      <c r="I113" s="154"/>
      <c r="J113" s="154">
        <f t="shared" si="17"/>
        <v>88.18</v>
      </c>
      <c r="K113" s="117">
        <f t="shared" si="11"/>
        <v>32.67</v>
      </c>
      <c r="L113" s="150">
        <f t="shared" si="12"/>
        <v>11.55</v>
      </c>
      <c r="M113" s="117"/>
      <c r="N113" s="154"/>
      <c r="O113" s="119">
        <f t="shared" si="19"/>
        <v>724.31000000000006</v>
      </c>
      <c r="P113" s="77"/>
      <c r="Q113" s="78"/>
    </row>
    <row r="114" spans="2:26" x14ac:dyDescent="0.2">
      <c r="B114" s="75"/>
      <c r="C114" s="115" t="s">
        <v>500</v>
      </c>
      <c r="D114" s="154">
        <f t="shared" si="15"/>
        <v>514.5</v>
      </c>
      <c r="E114" s="420">
        <f t="shared" si="14"/>
        <v>0</v>
      </c>
      <c r="F114" s="420">
        <f t="shared" si="16"/>
        <v>88.960000000000008</v>
      </c>
      <c r="G114" s="154"/>
      <c r="H114" s="154">
        <f t="shared" si="18"/>
        <v>603.46</v>
      </c>
      <c r="I114" s="154"/>
      <c r="J114" s="154">
        <f t="shared" si="17"/>
        <v>88.18</v>
      </c>
      <c r="K114" s="117">
        <f t="shared" si="11"/>
        <v>32.67</v>
      </c>
      <c r="L114" s="150">
        <f t="shared" si="12"/>
        <v>11.55</v>
      </c>
      <c r="M114" s="117"/>
      <c r="N114" s="154"/>
      <c r="O114" s="119">
        <f t="shared" si="19"/>
        <v>724.31000000000006</v>
      </c>
      <c r="P114" s="77"/>
      <c r="Q114" s="78"/>
    </row>
    <row r="115" spans="2:26" x14ac:dyDescent="0.2">
      <c r="B115" s="75"/>
      <c r="C115" s="115" t="s">
        <v>501</v>
      </c>
      <c r="D115" s="154">
        <f t="shared" si="15"/>
        <v>514.5</v>
      </c>
      <c r="E115" s="420">
        <f t="shared" si="14"/>
        <v>0</v>
      </c>
      <c r="F115" s="420">
        <f t="shared" si="16"/>
        <v>88.960000000000008</v>
      </c>
      <c r="G115" s="154"/>
      <c r="H115" s="154">
        <f t="shared" ref="H115" si="22">SUM(D115:G115)</f>
        <v>603.46</v>
      </c>
      <c r="I115" s="154"/>
      <c r="J115" s="154">
        <f t="shared" si="17"/>
        <v>88.18</v>
      </c>
      <c r="K115" s="117">
        <f t="shared" si="11"/>
        <v>32.67</v>
      </c>
      <c r="L115" s="150">
        <f t="shared" si="12"/>
        <v>11.55</v>
      </c>
      <c r="M115" s="117"/>
      <c r="N115" s="154"/>
      <c r="O115" s="119">
        <f t="shared" ref="O115" si="23">SUM(H115:N115)-L115</f>
        <v>724.31000000000006</v>
      </c>
      <c r="P115" s="77"/>
      <c r="Q115" s="78"/>
    </row>
    <row r="116" spans="2:26" x14ac:dyDescent="0.2">
      <c r="B116" s="75"/>
      <c r="C116" s="115" t="s">
        <v>502</v>
      </c>
      <c r="D116" s="154">
        <f t="shared" si="15"/>
        <v>514.5</v>
      </c>
      <c r="E116" s="420">
        <f t="shared" si="14"/>
        <v>0</v>
      </c>
      <c r="F116" s="420">
        <f t="shared" si="16"/>
        <v>88.960000000000008</v>
      </c>
      <c r="G116" s="154"/>
      <c r="H116" s="154">
        <f t="shared" si="18"/>
        <v>603.46</v>
      </c>
      <c r="I116" s="154"/>
      <c r="J116" s="154">
        <f t="shared" si="17"/>
        <v>88.18</v>
      </c>
      <c r="K116" s="117">
        <f t="shared" si="11"/>
        <v>32.67</v>
      </c>
      <c r="L116" s="150">
        <f t="shared" si="12"/>
        <v>11.55</v>
      </c>
      <c r="M116" s="117"/>
      <c r="N116" s="154"/>
      <c r="O116" s="119">
        <f t="shared" si="19"/>
        <v>724.31000000000006</v>
      </c>
      <c r="P116" s="77"/>
      <c r="Q116" s="78"/>
    </row>
    <row r="117" spans="2:26" x14ac:dyDescent="0.2">
      <c r="B117" s="75"/>
      <c r="C117" s="115" t="s">
        <v>503</v>
      </c>
      <c r="D117" s="154">
        <f>($K$157*D203)+($K$158*E203)+($K$159*F203)+($K$160*G203)+($K$161*H203)+($K$162*I203)+($K$163*J203)+($K$164*K203)+($K$165*L203)+($K$166*M203)+($K$167*N203)</f>
        <v>0</v>
      </c>
      <c r="E117" s="420">
        <f t="shared" si="14"/>
        <v>0</v>
      </c>
      <c r="F117" s="420">
        <f>($M$157*D203)+($M$158*E203)+($M$159*F203)+($M$160*G203)+($M$161*H203)+($M$164*I203)+($M$165*J203)+($M$166*K203)+($M$167*L203)+($M$168*M203)+($M$169*N203)</f>
        <v>0</v>
      </c>
      <c r="G117" s="154"/>
      <c r="H117" s="154">
        <f t="shared" si="18"/>
        <v>0</v>
      </c>
      <c r="I117" s="154"/>
      <c r="J117" s="154">
        <f>V156</f>
        <v>691.57</v>
      </c>
      <c r="K117" s="117">
        <f t="shared" si="11"/>
        <v>32.67</v>
      </c>
      <c r="L117" s="150">
        <f t="shared" si="12"/>
        <v>11.55</v>
      </c>
      <c r="M117" s="117"/>
      <c r="N117" s="154"/>
      <c r="O117" s="119">
        <f t="shared" si="19"/>
        <v>724.24</v>
      </c>
      <c r="P117" s="77"/>
      <c r="Q117" s="78"/>
    </row>
    <row r="118" spans="2:26" s="34" customFormat="1" x14ac:dyDescent="0.2">
      <c r="B118" s="109"/>
      <c r="C118" s="115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19">
        <f>SUM(H118:N118)-L118</f>
        <v>0</v>
      </c>
      <c r="P118" s="179"/>
      <c r="Q118" s="111"/>
    </row>
    <row r="119" spans="2:26" s="34" customFormat="1" x14ac:dyDescent="0.2">
      <c r="B119" s="109"/>
      <c r="C119" s="115" t="s">
        <v>100</v>
      </c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19">
        <f>SUM(H119:N119)-L119</f>
        <v>0</v>
      </c>
      <c r="P119" s="179"/>
      <c r="Q119" s="111"/>
    </row>
    <row r="120" spans="2:26" s="34" customFormat="1" x14ac:dyDescent="0.2">
      <c r="B120" s="109"/>
      <c r="C120" s="115"/>
      <c r="D120" s="154"/>
      <c r="E120" s="154"/>
      <c r="F120" s="154"/>
      <c r="G120" s="155"/>
      <c r="H120" s="123"/>
      <c r="I120" s="99"/>
      <c r="J120" s="117"/>
      <c r="K120" s="117"/>
      <c r="L120" s="150"/>
      <c r="M120" s="117"/>
      <c r="N120" s="117"/>
      <c r="O120" s="119">
        <f>SUM(H120:N120)-L120</f>
        <v>0</v>
      </c>
      <c r="P120" s="179"/>
      <c r="Q120" s="111"/>
    </row>
    <row r="121" spans="2:26" s="34" customFormat="1" x14ac:dyDescent="0.2">
      <c r="B121" s="109"/>
      <c r="C121" s="115"/>
      <c r="D121" s="156"/>
      <c r="E121" s="156"/>
      <c r="F121" s="156"/>
      <c r="G121" s="157"/>
      <c r="H121" s="98"/>
      <c r="I121" s="99"/>
      <c r="J121" s="97"/>
      <c r="K121" s="97"/>
      <c r="L121" s="99"/>
      <c r="M121" s="117"/>
      <c r="N121" s="117"/>
      <c r="O121" s="119">
        <f>SUM(H121:N121)-L121</f>
        <v>0</v>
      </c>
      <c r="P121" s="179"/>
      <c r="Q121" s="111"/>
    </row>
    <row r="122" spans="2:26" s="34" customFormat="1" ht="15" x14ac:dyDescent="0.2">
      <c r="B122" s="109"/>
      <c r="C122" s="115"/>
      <c r="D122" s="156"/>
      <c r="E122" s="156"/>
      <c r="F122" s="156"/>
      <c r="G122" s="157"/>
      <c r="H122" s="98"/>
      <c r="I122" s="99"/>
      <c r="J122" s="97">
        <v>0</v>
      </c>
      <c r="K122" s="97"/>
      <c r="L122" s="99"/>
      <c r="M122" s="117"/>
      <c r="N122" s="117"/>
      <c r="O122" s="119">
        <v>0</v>
      </c>
      <c r="P122" s="179"/>
      <c r="Q122" s="111"/>
      <c r="U122" s="471"/>
      <c r="V122" s="472" t="s">
        <v>504</v>
      </c>
      <c r="W122" s="472" t="s">
        <v>505</v>
      </c>
    </row>
    <row r="123" spans="2:26" s="34" customFormat="1" x14ac:dyDescent="0.2">
      <c r="B123" s="109"/>
      <c r="C123" s="115"/>
      <c r="D123" s="124"/>
      <c r="E123" s="124"/>
      <c r="F123" s="124"/>
      <c r="G123" s="124"/>
      <c r="H123" s="158"/>
      <c r="I123" s="159"/>
      <c r="J123" s="124"/>
      <c r="K123" s="124"/>
      <c r="L123" s="159"/>
      <c r="M123" s="124"/>
      <c r="N123" s="124"/>
      <c r="O123" s="119">
        <f>J123</f>
        <v>0</v>
      </c>
      <c r="P123" s="179"/>
      <c r="Q123" s="111"/>
    </row>
    <row r="124" spans="2:26" s="34" customFormat="1" ht="13.5" thickBot="1" x14ac:dyDescent="0.25">
      <c r="B124" s="109"/>
      <c r="C124" s="602"/>
      <c r="D124" s="603"/>
      <c r="E124" s="603"/>
      <c r="F124" s="603"/>
      <c r="G124" s="603"/>
      <c r="H124" s="604"/>
      <c r="I124" s="605"/>
      <c r="J124" s="603"/>
      <c r="K124" s="603"/>
      <c r="L124" s="605"/>
      <c r="M124" s="603"/>
      <c r="N124" s="603"/>
      <c r="O124" s="606">
        <f>J124</f>
        <v>0</v>
      </c>
      <c r="P124" s="179"/>
      <c r="Q124" s="111"/>
      <c r="U124" s="580" t="s">
        <v>586</v>
      </c>
      <c r="V124" s="583">
        <f>'SUP. DEPARTAMENTOS'!D223</f>
        <v>500.12999999999988</v>
      </c>
      <c r="W124" s="580"/>
      <c r="X124" s="583"/>
      <c r="Z124" s="622" t="s">
        <v>640</v>
      </c>
    </row>
    <row r="125" spans="2:26" ht="15" x14ac:dyDescent="0.2">
      <c r="B125" s="75"/>
      <c r="C125" s="593" t="s">
        <v>62</v>
      </c>
      <c r="D125" s="591">
        <f>SUM(D94:D124)</f>
        <v>10044.49</v>
      </c>
      <c r="E125" s="594">
        <f>SUM(E93:E124)</f>
        <v>0</v>
      </c>
      <c r="F125" s="594">
        <f>SUM(F94:F123)</f>
        <v>1734.7400000000005</v>
      </c>
      <c r="G125" s="594">
        <f>SUM(G93:G123)</f>
        <v>2947.78</v>
      </c>
      <c r="H125" s="595">
        <f>SUM(H94:H124)</f>
        <v>12284.079999999994</v>
      </c>
      <c r="I125" s="596">
        <f>SUM(I94:I124)</f>
        <v>2284.65</v>
      </c>
      <c r="J125" s="596">
        <f>SUM(J94:J124)</f>
        <v>2868.3200000000011</v>
      </c>
      <c r="K125" s="596">
        <f>SUM(K92:K124)</f>
        <v>773.77999999999986</v>
      </c>
      <c r="L125" s="596">
        <f>SUM(L94:L124)</f>
        <v>277.2000000000001</v>
      </c>
      <c r="M125" s="596">
        <f>SUM(M92:M124)</f>
        <v>0</v>
      </c>
      <c r="N125" s="596">
        <f>SUM(N92:N124)</f>
        <v>0</v>
      </c>
      <c r="O125" s="597">
        <f>SUM(O92:O124)</f>
        <v>21393.480000000003</v>
      </c>
      <c r="P125" s="77"/>
      <c r="Q125" s="78"/>
      <c r="U125" s="473" t="s">
        <v>585</v>
      </c>
      <c r="V125" s="584">
        <v>575.80999999999995</v>
      </c>
      <c r="W125" s="475"/>
      <c r="X125" s="586"/>
      <c r="Y125" s="34"/>
      <c r="Z125" s="622"/>
    </row>
    <row r="126" spans="2:26" ht="15.75" thickBot="1" x14ac:dyDescent="0.25">
      <c r="B126" s="75"/>
      <c r="C126" s="137" t="s">
        <v>71</v>
      </c>
      <c r="D126" s="139">
        <f>+IF($H125=0,0,D125/$H125)</f>
        <v>0.81768353836836005</v>
      </c>
      <c r="E126" s="139">
        <f>+IF($H125=0,0,E125/$H125)</f>
        <v>0</v>
      </c>
      <c r="F126" s="141">
        <f>+IF($H125=0,0,F125/$H125)</f>
        <v>0.14121855279353449</v>
      </c>
      <c r="G126" s="141">
        <f>+IF($H125=0,0,G125/$H125)</f>
        <v>0.23996750265384151</v>
      </c>
      <c r="H126" s="160">
        <f t="shared" ref="H126:O126" si="24">+IF($O125=0,0,H125/$O125)</f>
        <v>0.57419737228351786</v>
      </c>
      <c r="I126" s="161">
        <f t="shared" si="24"/>
        <v>0.10679188238659627</v>
      </c>
      <c r="J126" s="161">
        <f t="shared" si="24"/>
        <v>0.1340744937242562</v>
      </c>
      <c r="K126" s="161">
        <f t="shared" si="24"/>
        <v>3.6168963628170812E-2</v>
      </c>
      <c r="L126" s="161">
        <f t="shared" si="24"/>
        <v>1.2957218741410937E-2</v>
      </c>
      <c r="M126" s="161">
        <f t="shared" si="24"/>
        <v>0</v>
      </c>
      <c r="N126" s="161">
        <f t="shared" si="24"/>
        <v>0</v>
      </c>
      <c r="O126" s="162">
        <f t="shared" si="24"/>
        <v>1</v>
      </c>
      <c r="P126" s="77"/>
      <c r="Q126" s="78"/>
      <c r="U126" s="473" t="s">
        <v>508</v>
      </c>
      <c r="V126" s="584">
        <f>'PRODUCTOS SECUNDARIOS'!H193</f>
        <v>175.42999999999998</v>
      </c>
      <c r="W126" s="475"/>
      <c r="X126" s="586"/>
      <c r="Y126" s="34"/>
      <c r="Z126" s="622"/>
    </row>
    <row r="127" spans="2:26" ht="15.75" thickBot="1" x14ac:dyDescent="0.25">
      <c r="B127" s="75"/>
      <c r="C127" s="163" t="s">
        <v>101</v>
      </c>
      <c r="D127" s="164"/>
      <c r="E127" s="164"/>
      <c r="F127" s="164"/>
      <c r="G127" s="164"/>
      <c r="H127" s="164"/>
      <c r="I127" s="165"/>
      <c r="J127" s="164"/>
      <c r="K127" s="164"/>
      <c r="L127" s="164"/>
      <c r="M127" s="164"/>
      <c r="N127" s="164"/>
      <c r="O127" s="166">
        <f>D125+E125+G125+F125/2+G95</f>
        <v>14907.02</v>
      </c>
      <c r="P127" s="77"/>
      <c r="Q127" s="78"/>
      <c r="U127" s="473" t="s">
        <v>509</v>
      </c>
      <c r="V127" s="474">
        <v>0</v>
      </c>
      <c r="W127" s="475" t="s">
        <v>584</v>
      </c>
      <c r="X127" s="587"/>
      <c r="Y127" s="34"/>
      <c r="Z127" s="622"/>
    </row>
    <row r="128" spans="2:26" ht="15.75" thickBot="1" x14ac:dyDescent="0.25">
      <c r="B128" s="75"/>
      <c r="C128" s="167" t="s">
        <v>102</v>
      </c>
      <c r="D128" s="168"/>
      <c r="E128" s="168"/>
      <c r="F128" s="168"/>
      <c r="G128" s="168"/>
      <c r="H128" s="168"/>
      <c r="I128" s="169"/>
      <c r="J128" s="168"/>
      <c r="K128" s="168"/>
      <c r="L128" s="168"/>
      <c r="M128" s="168"/>
      <c r="N128" s="168"/>
      <c r="O128" s="170">
        <f>O127/O125</f>
        <v>0.69680201631525107</v>
      </c>
      <c r="P128" s="77"/>
      <c r="Q128" s="78"/>
      <c r="U128" s="473" t="s">
        <v>511</v>
      </c>
      <c r="V128" s="585">
        <f>'PRODUCTOS SECUNDARIOS'!D53</f>
        <v>85.110000000000014</v>
      </c>
      <c r="W128" s="477"/>
      <c r="X128" s="586"/>
      <c r="Y128" s="34"/>
      <c r="Z128" s="622"/>
    </row>
    <row r="129" spans="2:26" ht="18" x14ac:dyDescent="0.25">
      <c r="B129" s="75"/>
      <c r="C129" s="171" t="s">
        <v>103</v>
      </c>
      <c r="D129" s="105"/>
      <c r="E129" s="105"/>
      <c r="F129" s="105"/>
      <c r="G129" s="105"/>
      <c r="H129" s="105"/>
      <c r="I129" s="144"/>
      <c r="J129" s="172"/>
      <c r="K129" s="64"/>
      <c r="L129" s="64"/>
      <c r="M129" s="64"/>
      <c r="N129" s="173"/>
      <c r="O129" s="174"/>
      <c r="P129" s="77"/>
      <c r="Q129" s="78"/>
      <c r="U129" s="473"/>
      <c r="V129" s="474"/>
      <c r="W129" s="477"/>
      <c r="X129" s="471"/>
      <c r="Z129" s="622"/>
    </row>
    <row r="130" spans="2:26" ht="19.5" customHeight="1" thickBot="1" x14ac:dyDescent="0.3">
      <c r="B130" s="75"/>
      <c r="C130" s="77"/>
      <c r="D130" s="77"/>
      <c r="E130" s="77"/>
      <c r="F130" s="77"/>
      <c r="G130" s="77"/>
      <c r="H130" s="77"/>
      <c r="I130" s="77"/>
      <c r="J130" s="172" t="s">
        <v>104</v>
      </c>
      <c r="K130" s="77"/>
      <c r="L130" s="77"/>
      <c r="M130" s="77"/>
      <c r="N130" s="77"/>
      <c r="O130" s="77"/>
      <c r="P130" s="77"/>
      <c r="Q130" s="498"/>
      <c r="R130" s="110"/>
      <c r="S130" s="110"/>
      <c r="T130" s="110"/>
      <c r="U130" s="473" t="s">
        <v>506</v>
      </c>
      <c r="V130" s="584">
        <f>V135</f>
        <v>2255.63</v>
      </c>
      <c r="W130" s="475"/>
      <c r="X130" s="586" t="s">
        <v>507</v>
      </c>
      <c r="Y130" s="34"/>
      <c r="Z130" s="622"/>
    </row>
    <row r="131" spans="2:26" ht="15.75" thickBot="1" x14ac:dyDescent="0.3">
      <c r="B131" s="75"/>
      <c r="C131" s="186" t="s">
        <v>109</v>
      </c>
      <c r="D131" s="187" t="s">
        <v>110</v>
      </c>
      <c r="E131" s="187" t="s">
        <v>147</v>
      </c>
      <c r="F131" s="187" t="s">
        <v>111</v>
      </c>
      <c r="G131" s="187" t="s">
        <v>112</v>
      </c>
      <c r="H131" s="188" t="s">
        <v>113</v>
      </c>
      <c r="I131" s="77"/>
      <c r="J131" s="175" t="s">
        <v>105</v>
      </c>
      <c r="K131" s="176"/>
      <c r="L131" s="176"/>
      <c r="M131" s="176"/>
      <c r="N131" s="176"/>
      <c r="O131" s="177"/>
      <c r="P131" s="77"/>
      <c r="Q131" s="78"/>
      <c r="S131" s="542"/>
      <c r="T131" s="34"/>
      <c r="U131" s="473" t="s">
        <v>508</v>
      </c>
      <c r="V131" s="584">
        <f>'PRODUCTOS SECUNDARIOS'!R40</f>
        <v>988.66</v>
      </c>
      <c r="W131" s="475"/>
      <c r="X131" s="586" t="s">
        <v>507</v>
      </c>
      <c r="Y131" s="34"/>
      <c r="Z131" s="622"/>
    </row>
    <row r="132" spans="2:26" ht="15.75" thickBot="1" x14ac:dyDescent="0.25">
      <c r="B132" s="75"/>
      <c r="C132" s="195" t="s">
        <v>117</v>
      </c>
      <c r="D132" s="91"/>
      <c r="E132" s="196"/>
      <c r="F132" s="91"/>
      <c r="G132" s="91" t="s">
        <v>118</v>
      </c>
      <c r="H132" s="197" t="s">
        <v>119</v>
      </c>
      <c r="I132" s="77"/>
      <c r="J132" s="567" t="s">
        <v>587</v>
      </c>
      <c r="K132" s="459"/>
      <c r="L132" s="459"/>
      <c r="M132" s="459"/>
      <c r="N132" s="459"/>
      <c r="O132" s="568">
        <f>(E157/1+E158/1+E159/1+E160/1+E161/1+E162/1+E163/1)</f>
        <v>195</v>
      </c>
      <c r="P132" s="77"/>
      <c r="Q132" s="78"/>
      <c r="S132" s="34"/>
      <c r="T132" s="34"/>
      <c r="U132" s="473" t="s">
        <v>509</v>
      </c>
      <c r="V132" s="474">
        <v>0</v>
      </c>
      <c r="W132" s="475" t="s">
        <v>510</v>
      </c>
      <c r="X132" s="587"/>
      <c r="Y132" s="34"/>
      <c r="Z132" s="622"/>
    </row>
    <row r="133" spans="2:26" ht="15.75" thickBot="1" x14ac:dyDescent="0.3">
      <c r="B133" s="75"/>
      <c r="C133" s="200" t="s">
        <v>121</v>
      </c>
      <c r="D133" s="201">
        <f>E24</f>
        <v>2</v>
      </c>
      <c r="E133" s="202">
        <f>E25</f>
        <v>0.6</v>
      </c>
      <c r="F133" s="203">
        <f>E26</f>
        <v>2.6</v>
      </c>
      <c r="G133" s="204">
        <f>E35</f>
        <v>5312</v>
      </c>
      <c r="H133" s="205">
        <f>E36</f>
        <v>13811.2</v>
      </c>
      <c r="I133" s="77"/>
      <c r="J133" s="109" t="s">
        <v>588</v>
      </c>
      <c r="K133" s="179"/>
      <c r="L133" s="179"/>
      <c r="M133" s="179"/>
      <c r="N133" s="179"/>
      <c r="O133" s="480">
        <f>O132*0.2</f>
        <v>39</v>
      </c>
      <c r="P133" s="77"/>
      <c r="Q133" s="78"/>
      <c r="S133" s="542"/>
      <c r="T133" s="34"/>
      <c r="U133" s="473" t="s">
        <v>511</v>
      </c>
      <c r="V133" s="585">
        <f>'PRODUCTOS SECUNDARIOS'!R35</f>
        <v>146.35000000000002</v>
      </c>
      <c r="W133" s="477"/>
      <c r="X133" s="586" t="s">
        <v>507</v>
      </c>
      <c r="Y133" s="34"/>
      <c r="Z133" s="622"/>
    </row>
    <row r="134" spans="2:26" ht="16.5" customHeight="1" thickBot="1" x14ac:dyDescent="0.25">
      <c r="B134" s="75"/>
      <c r="C134" s="672" t="s">
        <v>122</v>
      </c>
      <c r="D134" s="206">
        <f>H134/G133</f>
        <v>1.8078482680722896</v>
      </c>
      <c r="E134" s="178"/>
      <c r="F134" s="206"/>
      <c r="G134" s="207"/>
      <c r="H134" s="208">
        <f>G84</f>
        <v>9603.2900000000027</v>
      </c>
      <c r="I134" s="213">
        <f>H134/H133</f>
        <v>0.69532625695088057</v>
      </c>
      <c r="J134" s="253" t="s">
        <v>589</v>
      </c>
      <c r="K134" s="254"/>
      <c r="L134" s="254"/>
      <c r="M134" s="254"/>
      <c r="N134" s="254"/>
      <c r="O134" s="569">
        <f>F165/50</f>
        <v>10.002599999999997</v>
      </c>
      <c r="P134" s="77"/>
      <c r="Q134" s="78"/>
      <c r="S134" s="34"/>
      <c r="T134" s="34"/>
      <c r="U134" s="473"/>
      <c r="V134" s="474"/>
      <c r="W134" s="477"/>
      <c r="X134" s="554"/>
      <c r="Y134" s="34"/>
      <c r="Z134" s="622"/>
    </row>
    <row r="135" spans="2:26" ht="15.75" thickBot="1" x14ac:dyDescent="0.25">
      <c r="B135" s="75"/>
      <c r="C135" s="673"/>
      <c r="D135" s="218"/>
      <c r="E135" s="529"/>
      <c r="F135" s="206">
        <f>H135/G133</f>
        <v>1.8747379518072296</v>
      </c>
      <c r="G135" s="530"/>
      <c r="H135" s="528">
        <f>H134+G149</f>
        <v>9958.6080000000038</v>
      </c>
      <c r="I135" s="213">
        <f>H135/H133</f>
        <v>0.72105305838739597</v>
      </c>
      <c r="J135" s="175" t="s">
        <v>107</v>
      </c>
      <c r="K135" s="182"/>
      <c r="L135" s="182"/>
      <c r="M135" s="182"/>
      <c r="N135" s="182"/>
      <c r="O135" s="482">
        <f>SUM(O132:O134)</f>
        <v>244.0026</v>
      </c>
      <c r="P135" s="77"/>
      <c r="Q135" s="78"/>
      <c r="S135" s="34"/>
      <c r="T135" s="34"/>
      <c r="U135" s="473" t="s">
        <v>506</v>
      </c>
      <c r="V135" s="584">
        <v>2255.63</v>
      </c>
      <c r="W135" s="475"/>
      <c r="X135" s="586" t="s">
        <v>507</v>
      </c>
      <c r="Y135" s="34"/>
      <c r="Z135" s="622"/>
    </row>
    <row r="136" spans="2:26" ht="15.75" thickBot="1" x14ac:dyDescent="0.3">
      <c r="B136" s="75"/>
      <c r="C136" s="183"/>
      <c r="D136" s="110"/>
      <c r="E136" s="110"/>
      <c r="F136" s="110"/>
      <c r="G136" s="110"/>
      <c r="H136" s="184"/>
      <c r="I136" s="77"/>
      <c r="J136" s="458" t="s">
        <v>498</v>
      </c>
      <c r="K136" s="459"/>
      <c r="L136" s="459"/>
      <c r="M136" s="459"/>
      <c r="N136" s="459"/>
      <c r="O136" s="460"/>
      <c r="P136" s="77"/>
      <c r="Q136" s="78"/>
      <c r="S136" s="542"/>
      <c r="T136" s="34"/>
      <c r="U136" s="473" t="s">
        <v>508</v>
      </c>
      <c r="V136" s="584">
        <f>'PRODUCTOS SECUNDARIOS'!R29</f>
        <v>922.90000000000009</v>
      </c>
      <c r="W136" s="475"/>
      <c r="X136" s="586" t="s">
        <v>507</v>
      </c>
      <c r="Y136" s="34"/>
      <c r="Z136" s="622"/>
    </row>
    <row r="137" spans="2:26" ht="15" x14ac:dyDescent="0.2">
      <c r="B137" s="75"/>
      <c r="C137" s="183"/>
      <c r="D137" s="110"/>
      <c r="E137" s="110"/>
      <c r="F137" s="110"/>
      <c r="G137" s="110"/>
      <c r="H137" s="184"/>
      <c r="I137" s="77"/>
      <c r="J137" s="180" t="s">
        <v>106</v>
      </c>
      <c r="K137" s="181"/>
      <c r="L137" s="181"/>
      <c r="M137" s="181"/>
      <c r="N137" s="181"/>
      <c r="O137" s="481">
        <f>(E157/1+E158/1+E159/1+E160/1+E161/1+E162/1+E163/1)</f>
        <v>195</v>
      </c>
      <c r="P137" s="77"/>
      <c r="Q137" s="78"/>
      <c r="S137" s="34"/>
      <c r="T137" s="34"/>
      <c r="U137" s="473" t="s">
        <v>509</v>
      </c>
      <c r="V137" s="474">
        <v>0</v>
      </c>
      <c r="W137" s="475" t="s">
        <v>512</v>
      </c>
      <c r="X137" s="587"/>
      <c r="Y137" s="34"/>
      <c r="Z137" s="622"/>
    </row>
    <row r="138" spans="2:26" ht="15" x14ac:dyDescent="0.25">
      <c r="B138" s="75"/>
      <c r="H138" s="184"/>
      <c r="I138" s="77"/>
      <c r="J138" s="109" t="s">
        <v>499</v>
      </c>
      <c r="K138" s="179"/>
      <c r="L138" s="179"/>
      <c r="M138" s="179"/>
      <c r="N138" s="179"/>
      <c r="O138" s="480">
        <f>O132*0.5</f>
        <v>97.5</v>
      </c>
      <c r="P138" s="77"/>
      <c r="Q138" s="78"/>
      <c r="S138" s="542"/>
      <c r="T138" s="34"/>
      <c r="U138" s="473" t="s">
        <v>511</v>
      </c>
      <c r="V138" s="585">
        <f>'PRODUCTOS SECUNDARIOS'!R24</f>
        <v>124.48000000000003</v>
      </c>
      <c r="W138" s="477"/>
      <c r="X138" s="586" t="s">
        <v>507</v>
      </c>
      <c r="Y138" s="34"/>
      <c r="Z138" s="622"/>
    </row>
    <row r="139" spans="2:26" ht="15.75" thickBot="1" x14ac:dyDescent="0.3">
      <c r="B139" s="75"/>
      <c r="H139" s="184"/>
      <c r="I139" s="77"/>
      <c r="J139" s="253" t="s">
        <v>590</v>
      </c>
      <c r="K139" s="254"/>
      <c r="L139" s="254"/>
      <c r="M139" s="254"/>
      <c r="N139" s="254"/>
      <c r="O139" s="569">
        <f>F165/100</f>
        <v>5.0012999999999987</v>
      </c>
      <c r="P139" s="77"/>
      <c r="Q139" s="78"/>
      <c r="S139" s="542"/>
      <c r="T139" s="34"/>
      <c r="U139" s="473"/>
      <c r="V139" s="476"/>
      <c r="W139" s="477"/>
      <c r="X139" s="553"/>
      <c r="Y139" s="34"/>
      <c r="Z139" s="622"/>
    </row>
    <row r="140" spans="2:26" ht="15.75" thickBot="1" x14ac:dyDescent="0.3">
      <c r="B140" s="75"/>
      <c r="H140" s="184"/>
      <c r="I140" s="77"/>
      <c r="J140" s="175" t="s">
        <v>107</v>
      </c>
      <c r="K140" s="182"/>
      <c r="L140" s="182"/>
      <c r="M140" s="182"/>
      <c r="N140" s="182"/>
      <c r="O140" s="570">
        <f>O137+O138+O139</f>
        <v>297.50130000000001</v>
      </c>
      <c r="P140" s="77"/>
      <c r="Q140" s="78"/>
      <c r="S140" s="542"/>
      <c r="T140" s="34"/>
      <c r="U140" s="473"/>
      <c r="V140" s="476"/>
      <c r="W140" s="477"/>
      <c r="X140" s="553"/>
      <c r="Y140" s="34"/>
      <c r="Z140" s="622"/>
    </row>
    <row r="141" spans="2:26" ht="15" x14ac:dyDescent="0.25">
      <c r="B141" s="75"/>
      <c r="H141" s="184"/>
      <c r="I141" s="77"/>
      <c r="J141" s="565"/>
      <c r="K141" s="565"/>
      <c r="L141" s="565"/>
      <c r="M141" s="565"/>
      <c r="N141" s="565"/>
      <c r="O141" s="566"/>
      <c r="P141" s="77"/>
      <c r="Q141" s="78"/>
      <c r="S141" s="542"/>
      <c r="T141" s="34"/>
      <c r="U141" s="473" t="s">
        <v>513</v>
      </c>
      <c r="V141" s="584">
        <f>212.84+80.25</f>
        <v>293.09000000000003</v>
      </c>
      <c r="W141" s="588">
        <f>212.84+12.46+23.6+1.57</f>
        <v>250.47</v>
      </c>
      <c r="X141" s="586" t="s">
        <v>507</v>
      </c>
      <c r="Y141" s="34"/>
      <c r="Z141" s="622"/>
    </row>
    <row r="142" spans="2:26" ht="15.75" thickBot="1" x14ac:dyDescent="0.25">
      <c r="B142" s="75"/>
      <c r="H142" s="184"/>
      <c r="I142" s="77"/>
      <c r="J142" s="77"/>
      <c r="K142" s="77"/>
      <c r="L142" s="77"/>
      <c r="M142" s="77"/>
      <c r="N142" s="77"/>
      <c r="O142" s="77"/>
      <c r="P142" s="77"/>
      <c r="Q142" s="78"/>
      <c r="S142" s="34"/>
      <c r="T142" s="34"/>
      <c r="U142" s="473" t="s">
        <v>508</v>
      </c>
      <c r="V142" s="607">
        <v>334.29</v>
      </c>
      <c r="W142" s="588">
        <f>20.7+21.11+12.5+12.5+21.11+40.79+23.62+18.52</f>
        <v>170.85000000000002</v>
      </c>
      <c r="X142" s="587"/>
      <c r="Y142" s="34"/>
      <c r="Z142" s="622"/>
    </row>
    <row r="143" spans="2:26" ht="15.75" thickBot="1" x14ac:dyDescent="0.25">
      <c r="B143" s="75"/>
      <c r="H143" s="173"/>
      <c r="I143" s="77"/>
      <c r="J143" s="175" t="s">
        <v>108</v>
      </c>
      <c r="K143" s="176"/>
      <c r="L143" s="176"/>
      <c r="M143" s="176"/>
      <c r="N143" s="177"/>
      <c r="O143" s="185" t="s">
        <v>58</v>
      </c>
      <c r="P143" s="77"/>
      <c r="Q143" s="78"/>
      <c r="U143" s="473" t="s">
        <v>509</v>
      </c>
      <c r="V143" s="474">
        <v>0</v>
      </c>
      <c r="W143" s="475" t="s">
        <v>514</v>
      </c>
      <c r="X143" s="587"/>
      <c r="Y143" s="34"/>
      <c r="Z143" s="622"/>
    </row>
    <row r="144" spans="2:26" ht="15.75" thickBot="1" x14ac:dyDescent="0.25">
      <c r="B144" s="75"/>
      <c r="H144" s="77"/>
      <c r="I144" s="77"/>
      <c r="J144" s="189" t="s">
        <v>114</v>
      </c>
      <c r="K144" s="190" t="s">
        <v>497</v>
      </c>
      <c r="L144" s="191" t="s">
        <v>115</v>
      </c>
      <c r="M144" s="192" t="s">
        <v>116</v>
      </c>
      <c r="N144" s="193" t="s">
        <v>78</v>
      </c>
      <c r="O144" s="194">
        <f>O151/(E171+11)</f>
        <v>0.53398058252427183</v>
      </c>
      <c r="P144" s="77"/>
      <c r="Q144" s="78"/>
      <c r="U144" s="473" t="s">
        <v>511</v>
      </c>
      <c r="V144" s="585">
        <v>87.8</v>
      </c>
      <c r="W144" s="477"/>
      <c r="X144" s="586" t="s">
        <v>507</v>
      </c>
      <c r="Y144" s="34"/>
      <c r="Z144" s="622"/>
    </row>
    <row r="145" spans="2:26" ht="15.75" thickBot="1" x14ac:dyDescent="0.25">
      <c r="B145" s="75"/>
      <c r="H145" s="77"/>
      <c r="I145" s="77"/>
      <c r="J145" s="198" t="s">
        <v>496</v>
      </c>
      <c r="K145" s="485"/>
      <c r="L145" s="486"/>
      <c r="M145" s="487"/>
      <c r="N145" s="488">
        <f>SUM(L145:M145)</f>
        <v>0</v>
      </c>
      <c r="O145" s="492">
        <v>25</v>
      </c>
      <c r="P145" s="77"/>
      <c r="Q145" s="78"/>
      <c r="U145" s="473"/>
      <c r="V145" s="474"/>
      <c r="W145" s="475"/>
      <c r="X145" s="554"/>
      <c r="Y145" s="34"/>
      <c r="Z145" s="622"/>
    </row>
    <row r="146" spans="2:26" ht="15.75" thickBot="1" x14ac:dyDescent="0.25">
      <c r="B146" s="75"/>
      <c r="C146" s="505" t="s">
        <v>538</v>
      </c>
      <c r="D146" s="677" t="s">
        <v>539</v>
      </c>
      <c r="E146" s="678"/>
      <c r="F146" s="677" t="s">
        <v>540</v>
      </c>
      <c r="G146" s="678"/>
      <c r="H146" s="77"/>
      <c r="I146" s="77"/>
      <c r="J146" s="198" t="s">
        <v>120</v>
      </c>
      <c r="K146" s="210">
        <v>178</v>
      </c>
      <c r="L146" s="489">
        <v>51</v>
      </c>
      <c r="M146" s="489">
        <v>39</v>
      </c>
      <c r="N146" s="488">
        <f>SUM(L146:M146)</f>
        <v>90</v>
      </c>
      <c r="O146" s="493">
        <v>20</v>
      </c>
      <c r="P146" s="77"/>
      <c r="Q146" s="78"/>
      <c r="U146" s="473" t="s">
        <v>513</v>
      </c>
      <c r="V146" s="607">
        <f>W146+M162</f>
        <v>208.24</v>
      </c>
      <c r="W146" s="588">
        <v>196.94</v>
      </c>
      <c r="X146" s="586" t="s">
        <v>507</v>
      </c>
      <c r="Y146" s="34"/>
      <c r="Z146" s="622"/>
    </row>
    <row r="147" spans="2:26" ht="15.75" thickBot="1" x14ac:dyDescent="0.25">
      <c r="B147" s="75"/>
      <c r="C147" s="510" t="s">
        <v>541</v>
      </c>
      <c r="D147" s="509">
        <f>F133</f>
        <v>2.6</v>
      </c>
      <c r="E147" s="506">
        <f>E36</f>
        <v>13811.2</v>
      </c>
      <c r="F147" s="507">
        <f>G84/G133</f>
        <v>1.8078482680722896</v>
      </c>
      <c r="G147" s="508">
        <f>G84</f>
        <v>9603.2900000000027</v>
      </c>
      <c r="H147" s="77"/>
      <c r="I147" s="499"/>
      <c r="J147" s="209" t="s">
        <v>64</v>
      </c>
      <c r="K147" s="210">
        <v>63</v>
      </c>
      <c r="L147" s="490">
        <v>71</v>
      </c>
      <c r="M147" s="491">
        <v>0</v>
      </c>
      <c r="N147" s="488">
        <f>SUM(L147:M147)</f>
        <v>71</v>
      </c>
      <c r="O147" s="493">
        <v>25</v>
      </c>
      <c r="P147" s="77"/>
      <c r="Q147" s="78"/>
      <c r="U147" s="473" t="s">
        <v>508</v>
      </c>
      <c r="V147" s="478">
        <v>0</v>
      </c>
      <c r="W147" s="475"/>
      <c r="X147" s="587"/>
      <c r="Y147" s="34"/>
      <c r="Z147" s="622"/>
    </row>
    <row r="148" spans="2:26" ht="15.75" thickBot="1" x14ac:dyDescent="0.25">
      <c r="B148" s="75"/>
      <c r="C148" s="511" t="s">
        <v>542</v>
      </c>
      <c r="D148" s="512">
        <f>D84</f>
        <v>9762.01</v>
      </c>
      <c r="E148" s="513">
        <f>D148*0.2</f>
        <v>1952.402</v>
      </c>
      <c r="F148" s="503">
        <f>G148/D148</f>
        <v>0.23639803687970004</v>
      </c>
      <c r="G148" s="504">
        <f>K84</f>
        <v>2307.7200000000007</v>
      </c>
      <c r="H148" s="77"/>
      <c r="I148" s="77"/>
      <c r="J148" s="209" t="s">
        <v>123</v>
      </c>
      <c r="K148" s="210">
        <v>52</v>
      </c>
      <c r="L148" s="490">
        <v>76</v>
      </c>
      <c r="M148" s="491">
        <v>0</v>
      </c>
      <c r="N148" s="488">
        <f>SUM(L148:M148)</f>
        <v>76</v>
      </c>
      <c r="O148" s="493">
        <v>29</v>
      </c>
      <c r="P148" s="77"/>
      <c r="Q148" s="500"/>
      <c r="U148" s="473" t="s">
        <v>509</v>
      </c>
      <c r="V148" s="474">
        <v>0</v>
      </c>
      <c r="W148" s="475" t="s">
        <v>515</v>
      </c>
      <c r="X148" s="587"/>
      <c r="Y148" s="34"/>
      <c r="Z148" s="622"/>
    </row>
    <row r="149" spans="2:26" ht="15.75" thickBot="1" x14ac:dyDescent="0.25">
      <c r="B149" s="75"/>
      <c r="C149" s="679" t="s">
        <v>543</v>
      </c>
      <c r="D149" s="680"/>
      <c r="E149" s="681"/>
      <c r="F149" s="522">
        <f>G149/D148</f>
        <v>3.6398036879700051E-2</v>
      </c>
      <c r="G149" s="524">
        <f>G148-E148</f>
        <v>355.31800000000067</v>
      </c>
      <c r="H149" s="77"/>
      <c r="I149" s="214"/>
      <c r="J149" s="209" t="s">
        <v>578</v>
      </c>
      <c r="K149" s="210">
        <v>5</v>
      </c>
      <c r="L149" s="490">
        <v>12</v>
      </c>
      <c r="M149" s="491">
        <v>0</v>
      </c>
      <c r="N149" s="488">
        <f>SUM(L149:M149)</f>
        <v>12</v>
      </c>
      <c r="O149" s="494">
        <v>11</v>
      </c>
      <c r="P149" s="77"/>
      <c r="Q149" s="78"/>
      <c r="U149" s="473" t="s">
        <v>511</v>
      </c>
      <c r="V149" s="589">
        <f>'PRODUCTOS SECUNDARIOS'!R7</f>
        <v>82.759999999999977</v>
      </c>
      <c r="W149" s="477"/>
      <c r="X149" s="586" t="s">
        <v>507</v>
      </c>
      <c r="Y149" s="34"/>
      <c r="Z149" s="622"/>
    </row>
    <row r="150" spans="2:26" ht="15.75" thickBot="1" x14ac:dyDescent="0.25">
      <c r="B150" s="75"/>
      <c r="C150" s="682" t="s">
        <v>544</v>
      </c>
      <c r="D150" s="683"/>
      <c r="E150" s="684"/>
      <c r="F150" s="523">
        <f>G150/G133</f>
        <v>1.8747379518072296</v>
      </c>
      <c r="G150" s="525">
        <f>G147+G149</f>
        <v>9958.6080000000038</v>
      </c>
      <c r="H150" s="77"/>
      <c r="I150" s="214"/>
      <c r="J150" s="209"/>
      <c r="K150" s="148"/>
      <c r="L150" s="211"/>
      <c r="M150" s="212"/>
      <c r="N150" s="199"/>
      <c r="O150" s="494"/>
      <c r="P150" s="77"/>
      <c r="Q150" s="78"/>
      <c r="U150" s="473"/>
      <c r="V150" s="474"/>
      <c r="W150" s="475"/>
      <c r="X150" s="554"/>
      <c r="Y150" s="34"/>
      <c r="Z150" s="622"/>
    </row>
    <row r="151" spans="2:26" ht="15.75" thickBot="1" x14ac:dyDescent="0.25">
      <c r="B151" s="75"/>
      <c r="C151" s="215"/>
      <c r="D151" s="216"/>
      <c r="E151" s="64"/>
      <c r="F151" s="217"/>
      <c r="G151" s="64"/>
      <c r="H151" s="77"/>
      <c r="I151" s="214"/>
      <c r="J151" s="218" t="s">
        <v>78</v>
      </c>
      <c r="K151" s="483">
        <f>SUM(K145:K150)</f>
        <v>298</v>
      </c>
      <c r="L151" s="484">
        <f>SUM(L145:L149)</f>
        <v>210</v>
      </c>
      <c r="M151" s="484">
        <f>SUM(M145:M150)</f>
        <v>39</v>
      </c>
      <c r="N151" s="495">
        <f>SUM(N145:N149)</f>
        <v>249</v>
      </c>
      <c r="O151" s="219">
        <f>SUM(O145:O149)</f>
        <v>110</v>
      </c>
      <c r="P151" s="77"/>
      <c r="Q151" s="78"/>
      <c r="U151" s="473" t="s">
        <v>513</v>
      </c>
      <c r="V151" s="584">
        <v>88.18</v>
      </c>
      <c r="W151" s="475"/>
      <c r="X151" s="586" t="s">
        <v>507</v>
      </c>
      <c r="Y151" s="34"/>
      <c r="Z151" s="622"/>
    </row>
    <row r="152" spans="2:26" ht="18" x14ac:dyDescent="0.25">
      <c r="B152" s="75"/>
      <c r="C152" s="65"/>
      <c r="D152" s="65"/>
      <c r="E152" s="65"/>
      <c r="F152" s="65"/>
      <c r="G152" s="172" t="s">
        <v>124</v>
      </c>
      <c r="H152" s="65"/>
      <c r="I152" s="65"/>
      <c r="J152" s="65"/>
      <c r="K152" s="65"/>
      <c r="L152" s="65"/>
      <c r="M152" s="65"/>
      <c r="N152" s="65"/>
      <c r="O152" s="65"/>
      <c r="P152" s="77"/>
      <c r="Q152" s="78"/>
      <c r="U152" s="473" t="s">
        <v>508</v>
      </c>
      <c r="V152" s="478">
        <f>S180</f>
        <v>0</v>
      </c>
      <c r="W152" s="475"/>
      <c r="X152" s="587"/>
      <c r="Y152" s="34"/>
      <c r="Z152" s="622"/>
    </row>
    <row r="153" spans="2:26" ht="15.75" thickBot="1" x14ac:dyDescent="0.25">
      <c r="B153" s="7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77"/>
      <c r="Q153" s="78"/>
      <c r="U153" s="473" t="s">
        <v>509</v>
      </c>
      <c r="V153" s="474">
        <v>0</v>
      </c>
      <c r="W153" s="475" t="s">
        <v>516</v>
      </c>
      <c r="X153" s="587"/>
      <c r="Y153" s="34"/>
      <c r="Z153" s="622"/>
    </row>
    <row r="154" spans="2:26" ht="15" x14ac:dyDescent="0.2">
      <c r="B154" s="75"/>
      <c r="C154" s="220"/>
      <c r="D154" s="221"/>
      <c r="E154" s="222"/>
      <c r="F154" s="666" t="s">
        <v>125</v>
      </c>
      <c r="G154" s="667"/>
      <c r="H154" s="667"/>
      <c r="I154" s="668"/>
      <c r="J154" s="223"/>
      <c r="K154" s="669" t="s">
        <v>126</v>
      </c>
      <c r="L154" s="670"/>
      <c r="M154" s="670"/>
      <c r="N154" s="670"/>
      <c r="O154" s="293"/>
      <c r="P154" s="77"/>
      <c r="Q154" s="111"/>
      <c r="U154" s="473" t="s">
        <v>511</v>
      </c>
      <c r="V154" s="479">
        <v>0</v>
      </c>
      <c r="W154" s="477"/>
      <c r="X154" s="587"/>
      <c r="Y154" s="34"/>
      <c r="Z154" s="622"/>
    </row>
    <row r="155" spans="2:26" ht="15" x14ac:dyDescent="0.2">
      <c r="B155" s="75"/>
      <c r="C155" s="83" t="s">
        <v>580</v>
      </c>
      <c r="D155" s="84" t="s">
        <v>127</v>
      </c>
      <c r="E155" s="224" t="s">
        <v>128</v>
      </c>
      <c r="F155" s="225" t="s">
        <v>129</v>
      </c>
      <c r="G155" s="226" t="s">
        <v>56</v>
      </c>
      <c r="H155" s="227" t="s">
        <v>57</v>
      </c>
      <c r="I155" s="226" t="s">
        <v>78</v>
      </c>
      <c r="J155" s="228" t="s">
        <v>62</v>
      </c>
      <c r="K155" s="294" t="s">
        <v>129</v>
      </c>
      <c r="L155" s="295" t="s">
        <v>56</v>
      </c>
      <c r="M155" s="296" t="s">
        <v>57</v>
      </c>
      <c r="N155" s="296" t="s">
        <v>130</v>
      </c>
      <c r="O155" s="297" t="s">
        <v>62</v>
      </c>
      <c r="P155" s="77"/>
      <c r="Q155" s="111"/>
      <c r="U155" s="473"/>
      <c r="V155" s="474"/>
      <c r="W155" s="475"/>
      <c r="X155" s="554"/>
      <c r="Y155" s="34"/>
      <c r="Z155" s="622"/>
    </row>
    <row r="156" spans="2:26" ht="15.75" thickBot="1" x14ac:dyDescent="0.25">
      <c r="B156" s="75"/>
      <c r="C156" s="229"/>
      <c r="D156" s="230"/>
      <c r="E156" s="231" t="s">
        <v>131</v>
      </c>
      <c r="F156" s="232" t="s">
        <v>43</v>
      </c>
      <c r="G156" s="233" t="s">
        <v>43</v>
      </c>
      <c r="H156" s="233" t="s">
        <v>43</v>
      </c>
      <c r="I156" s="233" t="s">
        <v>43</v>
      </c>
      <c r="J156" s="234" t="s">
        <v>43</v>
      </c>
      <c r="K156" s="298" t="s">
        <v>43</v>
      </c>
      <c r="L156" s="299" t="s">
        <v>43</v>
      </c>
      <c r="M156" s="299" t="s">
        <v>43</v>
      </c>
      <c r="N156" s="299" t="s">
        <v>43</v>
      </c>
      <c r="O156" s="300" t="s">
        <v>43</v>
      </c>
      <c r="P156" s="77"/>
      <c r="Q156" s="111"/>
      <c r="U156" s="473" t="s">
        <v>513</v>
      </c>
      <c r="V156" s="584">
        <f>W156+(2*92.74)+166.83+154.37</f>
        <v>691.57</v>
      </c>
      <c r="W156" s="588">
        <v>184.89</v>
      </c>
      <c r="X156" s="586" t="s">
        <v>507</v>
      </c>
      <c r="Y156" s="34"/>
      <c r="Z156" s="622"/>
    </row>
    <row r="157" spans="2:26" ht="15" x14ac:dyDescent="0.2">
      <c r="B157" s="75"/>
      <c r="C157" s="301" t="s">
        <v>579</v>
      </c>
      <c r="D157" s="421" t="s">
        <v>492</v>
      </c>
      <c r="E157" s="238">
        <f>D204</f>
        <v>38</v>
      </c>
      <c r="F157" s="122">
        <f>K157</f>
        <v>33.24</v>
      </c>
      <c r="G157" s="240"/>
      <c r="H157" s="581">
        <v>0</v>
      </c>
      <c r="I157" s="302">
        <f t="shared" ref="I157:I166" si="25">SUM(F157:H157)</f>
        <v>33.24</v>
      </c>
      <c r="J157" s="303">
        <f t="shared" ref="J157:J166" si="26">E157*I157</f>
        <v>1263.1200000000001</v>
      </c>
      <c r="K157" s="304">
        <v>33.24</v>
      </c>
      <c r="L157" s="122"/>
      <c r="M157" s="243">
        <v>7.98</v>
      </c>
      <c r="N157" s="244">
        <f t="shared" ref="N157:N166" si="27">SUM(K157:M157)</f>
        <v>41.22</v>
      </c>
      <c r="O157" s="244">
        <f t="shared" ref="O157:O166" si="28">E157*N157</f>
        <v>1566.36</v>
      </c>
      <c r="P157" s="251"/>
      <c r="Q157" s="78"/>
      <c r="R157" s="235"/>
      <c r="U157" s="473" t="s">
        <v>508</v>
      </c>
      <c r="V157" s="478">
        <f>S184</f>
        <v>0</v>
      </c>
      <c r="W157" s="475"/>
      <c r="X157" s="587"/>
      <c r="Z157" s="622"/>
    </row>
    <row r="158" spans="2:26" ht="15" x14ac:dyDescent="0.2">
      <c r="B158" s="75"/>
      <c r="C158" s="301" t="s">
        <v>633</v>
      </c>
      <c r="D158" s="421" t="s">
        <v>493</v>
      </c>
      <c r="E158" s="238">
        <f>E204</f>
        <v>40</v>
      </c>
      <c r="F158" s="122">
        <f>K158</f>
        <v>50.18</v>
      </c>
      <c r="G158" s="240"/>
      <c r="H158" s="581">
        <v>0</v>
      </c>
      <c r="I158" s="302">
        <f t="shared" si="25"/>
        <v>50.18</v>
      </c>
      <c r="J158" s="303">
        <f t="shared" si="26"/>
        <v>2007.2</v>
      </c>
      <c r="K158" s="304">
        <v>50.18</v>
      </c>
      <c r="L158" s="122"/>
      <c r="M158" s="243">
        <v>8.99</v>
      </c>
      <c r="N158" s="244">
        <f t="shared" si="27"/>
        <v>59.17</v>
      </c>
      <c r="O158" s="244">
        <f t="shared" si="28"/>
        <v>2366.8000000000002</v>
      </c>
      <c r="P158" s="251"/>
      <c r="Q158" s="78"/>
      <c r="R158" s="235"/>
      <c r="U158" s="473" t="s">
        <v>509</v>
      </c>
      <c r="V158" s="474">
        <v>0</v>
      </c>
      <c r="W158" s="475" t="s">
        <v>517</v>
      </c>
      <c r="X158" s="587"/>
      <c r="Z158" s="622"/>
    </row>
    <row r="159" spans="2:26" ht="14.25" customHeight="1" x14ac:dyDescent="0.2">
      <c r="B159" s="75"/>
      <c r="C159" s="301" t="s">
        <v>631</v>
      </c>
      <c r="D159" s="421" t="s">
        <v>494</v>
      </c>
      <c r="E159" s="238">
        <f>F204</f>
        <v>19</v>
      </c>
      <c r="F159" s="122">
        <f t="shared" ref="F159" si="29">K159</f>
        <v>50.18</v>
      </c>
      <c r="G159" s="240"/>
      <c r="H159" s="581">
        <v>0</v>
      </c>
      <c r="I159" s="302">
        <f t="shared" ref="I159" si="30">SUM(F159:H159)</f>
        <v>50.18</v>
      </c>
      <c r="J159" s="303">
        <f t="shared" ref="J159" si="31">E159*I159</f>
        <v>953.42</v>
      </c>
      <c r="K159" s="304">
        <v>50.18</v>
      </c>
      <c r="L159" s="122"/>
      <c r="M159" s="243">
        <v>8.99</v>
      </c>
      <c r="N159" s="244">
        <f t="shared" ref="N159" si="32">SUM(K159:M159)</f>
        <v>59.17</v>
      </c>
      <c r="O159" s="244">
        <f t="shared" ref="O159" si="33">E159*N159</f>
        <v>1124.23</v>
      </c>
      <c r="P159" s="251"/>
      <c r="Q159" s="78"/>
      <c r="R159" s="235"/>
      <c r="U159" s="473" t="s">
        <v>511</v>
      </c>
      <c r="V159" s="479">
        <v>0</v>
      </c>
      <c r="W159" s="477"/>
      <c r="X159" s="583"/>
    </row>
    <row r="160" spans="2:26" ht="14.25" customHeight="1" x14ac:dyDescent="0.2">
      <c r="B160" s="75"/>
      <c r="C160" s="301" t="s">
        <v>632</v>
      </c>
      <c r="D160" s="421" t="s">
        <v>494</v>
      </c>
      <c r="E160" s="238">
        <f>G204</f>
        <v>20</v>
      </c>
      <c r="F160" s="122">
        <f t="shared" ref="F160:F163" si="34">K160</f>
        <v>50.28</v>
      </c>
      <c r="G160" s="240"/>
      <c r="H160" s="581">
        <v>0</v>
      </c>
      <c r="I160" s="302">
        <f t="shared" si="25"/>
        <v>50.28</v>
      </c>
      <c r="J160" s="303">
        <f t="shared" si="26"/>
        <v>1005.6</v>
      </c>
      <c r="K160" s="304">
        <v>50.28</v>
      </c>
      <c r="L160" s="122"/>
      <c r="M160" s="243">
        <v>8.99</v>
      </c>
      <c r="N160" s="244">
        <f t="shared" si="27"/>
        <v>59.27</v>
      </c>
      <c r="O160" s="244">
        <f t="shared" si="28"/>
        <v>1185.4000000000001</v>
      </c>
      <c r="P160" s="251"/>
      <c r="Q160" s="78"/>
      <c r="R160" s="235"/>
    </row>
    <row r="161" spans="1:18" ht="14.25" customHeight="1" x14ac:dyDescent="0.2">
      <c r="B161" s="75"/>
      <c r="C161" s="301" t="s">
        <v>581</v>
      </c>
      <c r="D161" s="421" t="s">
        <v>493</v>
      </c>
      <c r="E161" s="238">
        <f>H204</f>
        <v>39</v>
      </c>
      <c r="F161" s="122">
        <f t="shared" si="34"/>
        <v>57.67</v>
      </c>
      <c r="G161" s="240"/>
      <c r="H161" s="581">
        <v>0</v>
      </c>
      <c r="I161" s="302">
        <f t="shared" si="25"/>
        <v>57.67</v>
      </c>
      <c r="J161" s="303">
        <f t="shared" si="26"/>
        <v>2249.13</v>
      </c>
      <c r="K161" s="304">
        <v>57.67</v>
      </c>
      <c r="L161" s="122"/>
      <c r="M161" s="243">
        <v>8.2100000000000009</v>
      </c>
      <c r="N161" s="244">
        <f t="shared" si="27"/>
        <v>65.88</v>
      </c>
      <c r="O161" s="244">
        <f t="shared" si="28"/>
        <v>2569.3199999999997</v>
      </c>
      <c r="P161" s="251"/>
      <c r="Q161" s="78"/>
      <c r="R161" s="235"/>
    </row>
    <row r="162" spans="1:18" ht="14.25" customHeight="1" x14ac:dyDescent="0.2">
      <c r="B162" s="75"/>
      <c r="C162" s="301" t="s">
        <v>582</v>
      </c>
      <c r="D162" s="421" t="s">
        <v>495</v>
      </c>
      <c r="E162" s="238">
        <f>I204</f>
        <v>19</v>
      </c>
      <c r="F162" s="306">
        <f t="shared" ref="F162" si="35">K162</f>
        <v>71.180000000000007</v>
      </c>
      <c r="G162" s="240"/>
      <c r="H162" s="581">
        <v>0</v>
      </c>
      <c r="I162" s="302">
        <f t="shared" ref="I162" si="36">SUM(F162:H162)</f>
        <v>71.180000000000007</v>
      </c>
      <c r="J162" s="303">
        <f t="shared" si="26"/>
        <v>1352.42</v>
      </c>
      <c r="K162" s="304">
        <v>71.180000000000007</v>
      </c>
      <c r="L162" s="122"/>
      <c r="M162" s="243">
        <v>11.3</v>
      </c>
      <c r="N162" s="244">
        <f t="shared" si="27"/>
        <v>82.48</v>
      </c>
      <c r="O162" s="244">
        <f t="shared" si="28"/>
        <v>1567.1200000000001</v>
      </c>
      <c r="P162" s="251"/>
      <c r="Q162" s="78"/>
      <c r="R162" s="235"/>
    </row>
    <row r="163" spans="1:18" ht="14.25" customHeight="1" x14ac:dyDescent="0.2">
      <c r="B163" s="75"/>
      <c r="C163" s="301" t="s">
        <v>630</v>
      </c>
      <c r="D163" s="421" t="s">
        <v>493</v>
      </c>
      <c r="E163" s="238">
        <f>J204</f>
        <v>20</v>
      </c>
      <c r="F163" s="306">
        <f t="shared" si="34"/>
        <v>60.68</v>
      </c>
      <c r="G163" s="240"/>
      <c r="H163" s="581">
        <v>0</v>
      </c>
      <c r="I163" s="302">
        <f t="shared" ref="I163" si="37">SUM(F163:H163)</f>
        <v>60.68</v>
      </c>
      <c r="J163" s="303">
        <f t="shared" ref="J163" si="38">E163*I163</f>
        <v>1213.5999999999999</v>
      </c>
      <c r="K163" s="304">
        <v>60.68</v>
      </c>
      <c r="L163" s="122"/>
      <c r="M163" s="243">
        <v>9.32</v>
      </c>
      <c r="N163" s="244">
        <f t="shared" ref="N163" si="39">SUM(K163:M163)</f>
        <v>70</v>
      </c>
      <c r="O163" s="244">
        <f t="shared" ref="O163" si="40">E163*N163</f>
        <v>1400</v>
      </c>
      <c r="P163" s="251"/>
      <c r="Q163" s="78"/>
      <c r="R163" s="235"/>
    </row>
    <row r="164" spans="1:18" ht="14.25" customHeight="1" x14ac:dyDescent="0.2">
      <c r="B164" s="75"/>
      <c r="C164" s="301"/>
      <c r="D164" s="421"/>
      <c r="E164" s="238">
        <v>0</v>
      </c>
      <c r="F164" s="306"/>
      <c r="G164" s="240"/>
      <c r="H164" s="305"/>
      <c r="I164" s="302">
        <f t="shared" si="25"/>
        <v>0</v>
      </c>
      <c r="J164" s="303">
        <f t="shared" si="26"/>
        <v>0</v>
      </c>
      <c r="K164" s="304"/>
      <c r="L164" s="122"/>
      <c r="M164" s="243"/>
      <c r="N164" s="244">
        <f t="shared" si="27"/>
        <v>0</v>
      </c>
      <c r="O164" s="244">
        <f t="shared" si="28"/>
        <v>0</v>
      </c>
      <c r="P164" s="251"/>
      <c r="Q164" s="78"/>
      <c r="R164" s="235"/>
    </row>
    <row r="165" spans="1:18" ht="14.25" customHeight="1" x14ac:dyDescent="0.2">
      <c r="B165" s="75"/>
      <c r="C165" s="301" t="s">
        <v>583</v>
      </c>
      <c r="D165" s="421"/>
      <c r="E165" s="238">
        <v>1</v>
      </c>
      <c r="F165" s="306">
        <f>V124</f>
        <v>500.12999999999988</v>
      </c>
      <c r="G165" s="240"/>
      <c r="H165" s="305"/>
      <c r="I165" s="302">
        <f t="shared" si="25"/>
        <v>500.12999999999988</v>
      </c>
      <c r="J165" s="303">
        <f t="shared" si="26"/>
        <v>500.12999999999988</v>
      </c>
      <c r="K165" s="304">
        <f>F165</f>
        <v>500.12999999999988</v>
      </c>
      <c r="L165" s="122"/>
      <c r="M165" s="243"/>
      <c r="N165" s="244">
        <f t="shared" si="27"/>
        <v>500.12999999999988</v>
      </c>
      <c r="O165" s="244">
        <f t="shared" si="28"/>
        <v>500.12999999999988</v>
      </c>
      <c r="P165" s="251"/>
      <c r="Q165" s="78"/>
      <c r="R165" s="235"/>
    </row>
    <row r="166" spans="1:18" ht="14.25" customHeight="1" x14ac:dyDescent="0.2">
      <c r="B166" s="75"/>
      <c r="C166" s="301"/>
      <c r="D166" s="421"/>
      <c r="E166" s="238"/>
      <c r="F166" s="306"/>
      <c r="G166" s="240"/>
      <c r="H166" s="305"/>
      <c r="I166" s="302">
        <f t="shared" si="25"/>
        <v>0</v>
      </c>
      <c r="J166" s="303">
        <f t="shared" si="26"/>
        <v>0</v>
      </c>
      <c r="K166" s="304"/>
      <c r="L166" s="122"/>
      <c r="M166" s="243"/>
      <c r="N166" s="244">
        <f t="shared" si="27"/>
        <v>0</v>
      </c>
      <c r="O166" s="244">
        <f t="shared" si="28"/>
        <v>0</v>
      </c>
      <c r="P166" s="251"/>
      <c r="Q166" s="78"/>
      <c r="R166" s="235"/>
    </row>
    <row r="167" spans="1:18" ht="14.25" customHeight="1" x14ac:dyDescent="0.2">
      <c r="B167" s="75"/>
      <c r="C167" s="301"/>
      <c r="D167" s="421"/>
      <c r="E167" s="238">
        <f>L204</f>
        <v>0</v>
      </c>
      <c r="F167" s="306"/>
      <c r="G167" s="240"/>
      <c r="H167" s="305"/>
      <c r="I167" s="302">
        <f t="shared" ref="I167:I169" si="41">SUM(F167:H167)</f>
        <v>0</v>
      </c>
      <c r="J167" s="303">
        <f t="shared" ref="J167:J169" si="42">E167*I167</f>
        <v>0</v>
      </c>
      <c r="K167" s="304"/>
      <c r="L167" s="122"/>
      <c r="M167" s="243"/>
      <c r="N167" s="244">
        <f t="shared" ref="N167:N169" si="43">SUM(K167:M167)</f>
        <v>0</v>
      </c>
      <c r="O167" s="244">
        <f t="shared" ref="O167:O169" si="44">E167*N167</f>
        <v>0</v>
      </c>
      <c r="P167" s="251"/>
      <c r="Q167" s="78"/>
      <c r="R167" s="235"/>
    </row>
    <row r="168" spans="1:18" ht="14.25" customHeight="1" x14ac:dyDescent="0.2">
      <c r="B168" s="75"/>
      <c r="C168" s="301"/>
      <c r="D168" s="421"/>
      <c r="E168" s="238">
        <f>M204</f>
        <v>0</v>
      </c>
      <c r="F168" s="306"/>
      <c r="G168" s="240"/>
      <c r="H168" s="305"/>
      <c r="I168" s="302">
        <f t="shared" si="41"/>
        <v>0</v>
      </c>
      <c r="J168" s="303">
        <f t="shared" si="42"/>
        <v>0</v>
      </c>
      <c r="K168" s="304"/>
      <c r="L168" s="122"/>
      <c r="M168" s="243"/>
      <c r="N168" s="244">
        <f t="shared" si="43"/>
        <v>0</v>
      </c>
      <c r="O168" s="244">
        <f t="shared" si="44"/>
        <v>0</v>
      </c>
      <c r="P168" s="251"/>
      <c r="Q168" s="78"/>
      <c r="R168" s="235"/>
    </row>
    <row r="169" spans="1:18" ht="14.25" customHeight="1" x14ac:dyDescent="0.2">
      <c r="B169" s="75"/>
      <c r="C169" s="301"/>
      <c r="D169" s="421"/>
      <c r="E169" s="238">
        <f>N204</f>
        <v>0</v>
      </c>
      <c r="F169" s="306"/>
      <c r="G169" s="240"/>
      <c r="H169" s="305"/>
      <c r="I169" s="302">
        <f t="shared" si="41"/>
        <v>0</v>
      </c>
      <c r="J169" s="303">
        <f t="shared" si="42"/>
        <v>0</v>
      </c>
      <c r="K169" s="304"/>
      <c r="L169" s="122"/>
      <c r="M169" s="243"/>
      <c r="N169" s="244">
        <f t="shared" si="43"/>
        <v>0</v>
      </c>
      <c r="O169" s="244">
        <f t="shared" si="44"/>
        <v>0</v>
      </c>
      <c r="P169" s="251"/>
      <c r="Q169" s="78"/>
      <c r="R169" s="235"/>
    </row>
    <row r="170" spans="1:18" ht="14.25" customHeight="1" thickBot="1" x14ac:dyDescent="0.25">
      <c r="B170" s="75"/>
      <c r="C170" s="236"/>
      <c r="D170" s="237"/>
      <c r="E170" s="238"/>
      <c r="F170" s="239"/>
      <c r="G170" s="240"/>
      <c r="H170" s="240"/>
      <c r="I170" s="241"/>
      <c r="J170" s="242"/>
      <c r="K170" s="122"/>
      <c r="L170" s="122"/>
      <c r="M170" s="243"/>
      <c r="N170" s="244"/>
      <c r="O170" s="244"/>
      <c r="P170" s="251"/>
      <c r="Q170" s="78"/>
      <c r="R170" s="235"/>
    </row>
    <row r="171" spans="1:18" ht="13.5" thickBot="1" x14ac:dyDescent="0.25">
      <c r="B171" s="75"/>
      <c r="C171" s="245"/>
      <c r="D171" s="246"/>
      <c r="E171" s="582">
        <f>SUM(E157:E164)</f>
        <v>195</v>
      </c>
      <c r="F171" s="248"/>
      <c r="G171" s="248"/>
      <c r="H171" s="248"/>
      <c r="I171" s="248">
        <f t="shared" ref="I171:O171" si="45">SUM(I157:I170)</f>
        <v>873.54</v>
      </c>
      <c r="J171" s="247">
        <f t="shared" si="45"/>
        <v>10544.619999999999</v>
      </c>
      <c r="K171" s="248">
        <f t="shared" si="45"/>
        <v>873.54</v>
      </c>
      <c r="L171" s="248">
        <f t="shared" si="45"/>
        <v>0</v>
      </c>
      <c r="M171" s="248">
        <f t="shared" si="45"/>
        <v>63.780000000000008</v>
      </c>
      <c r="N171" s="248">
        <f t="shared" si="45"/>
        <v>937.31999999999994</v>
      </c>
      <c r="O171" s="249">
        <f t="shared" si="45"/>
        <v>12279.359999999999</v>
      </c>
      <c r="P171" s="496"/>
      <c r="Q171" s="78"/>
      <c r="R171" s="250"/>
    </row>
    <row r="172" spans="1:18" x14ac:dyDescent="0.2">
      <c r="B172" s="75"/>
      <c r="C172" s="73"/>
      <c r="D172" s="77"/>
      <c r="E172" s="251"/>
      <c r="F172" s="77"/>
      <c r="G172" s="77"/>
      <c r="H172" s="77"/>
      <c r="I172" s="73"/>
      <c r="J172" s="252"/>
      <c r="K172" s="77"/>
      <c r="L172" s="77"/>
      <c r="M172" s="77"/>
      <c r="N172" s="77"/>
      <c r="O172" s="77"/>
      <c r="P172" s="77"/>
      <c r="Q172" s="78"/>
    </row>
    <row r="173" spans="1:18" ht="13.5" thickBot="1" x14ac:dyDescent="0.25">
      <c r="B173" s="253"/>
      <c r="C173" s="254"/>
      <c r="D173" s="254"/>
      <c r="E173" s="255"/>
      <c r="F173" s="254"/>
      <c r="G173" s="254"/>
      <c r="H173" s="256"/>
      <c r="I173" s="254"/>
      <c r="J173" s="254"/>
      <c r="K173" s="254"/>
      <c r="L173" s="254"/>
      <c r="M173" s="254"/>
      <c r="N173" s="254"/>
      <c r="O173" s="254"/>
      <c r="P173" s="254"/>
      <c r="Q173" s="257"/>
    </row>
    <row r="174" spans="1:18" ht="17.25" customHeight="1" x14ac:dyDescent="0.2">
      <c r="B174" s="77"/>
      <c r="C174" s="77"/>
      <c r="D174" s="77"/>
      <c r="E174" s="258"/>
      <c r="F174" s="77"/>
      <c r="G174" s="77"/>
      <c r="H174" s="251"/>
      <c r="I174" s="77"/>
      <c r="J174" s="77"/>
      <c r="K174" s="77"/>
      <c r="L174" s="77"/>
      <c r="M174" s="77"/>
      <c r="N174" s="77"/>
      <c r="O174" s="77"/>
      <c r="P174" s="77"/>
    </row>
    <row r="175" spans="1:18" ht="13.5" thickBot="1" x14ac:dyDescent="0.25">
      <c r="A175" s="77"/>
      <c r="B175" s="77"/>
      <c r="C175" s="77"/>
      <c r="D175" s="77"/>
      <c r="E175" s="258"/>
      <c r="F175" s="77"/>
      <c r="G175" s="77"/>
      <c r="H175" s="251"/>
      <c r="I175" s="77"/>
      <c r="J175" s="77"/>
      <c r="K175" s="77"/>
      <c r="L175" s="77"/>
      <c r="M175" s="77"/>
      <c r="N175" s="77"/>
      <c r="O175" s="77"/>
      <c r="P175" s="77"/>
      <c r="Q175" s="77"/>
    </row>
    <row r="176" spans="1:18" x14ac:dyDescent="0.2">
      <c r="A176" s="77"/>
      <c r="B176" s="180"/>
      <c r="C176" s="73"/>
      <c r="D176" s="73"/>
      <c r="E176" s="73"/>
      <c r="F176" s="73"/>
      <c r="G176" s="73"/>
      <c r="H176" s="259"/>
      <c r="I176" s="73"/>
      <c r="J176" s="73"/>
      <c r="K176" s="73"/>
      <c r="L176" s="73"/>
      <c r="M176" s="73"/>
      <c r="N176" s="73"/>
      <c r="O176" s="73"/>
      <c r="P176" s="73"/>
      <c r="Q176" s="74"/>
    </row>
    <row r="177" spans="2:23" ht="18" x14ac:dyDescent="0.25">
      <c r="B177" s="109"/>
      <c r="C177" s="671" t="s">
        <v>132</v>
      </c>
      <c r="D177" s="671"/>
      <c r="E177" s="671"/>
      <c r="F177" s="671"/>
      <c r="G177" s="671"/>
      <c r="H177" s="671"/>
      <c r="I177" s="671"/>
      <c r="J177" s="671"/>
      <c r="K177" s="671"/>
      <c r="L177" s="671"/>
      <c r="M177" s="671"/>
      <c r="N177" s="671"/>
      <c r="O177" s="671"/>
      <c r="P177" s="671"/>
      <c r="Q177" s="78"/>
      <c r="R177" s="77"/>
    </row>
    <row r="178" spans="2:23" ht="13.5" thickBot="1" x14ac:dyDescent="0.25">
      <c r="B178" s="109"/>
      <c r="C178" s="254"/>
      <c r="D178" s="77"/>
      <c r="E178" s="77"/>
      <c r="F178" s="77"/>
      <c r="G178" s="77"/>
      <c r="H178" s="251"/>
      <c r="I178" s="77"/>
      <c r="J178" s="77"/>
      <c r="K178" s="77"/>
      <c r="L178" s="77"/>
      <c r="M178" s="77"/>
      <c r="N178" s="77"/>
      <c r="O178" s="77"/>
      <c r="P178" s="77"/>
      <c r="Q178" s="78"/>
      <c r="U178" s="77"/>
      <c r="V178" s="77"/>
      <c r="W178" s="77"/>
    </row>
    <row r="179" spans="2:23" x14ac:dyDescent="0.2">
      <c r="B179" s="109"/>
      <c r="C179" s="662" t="s">
        <v>53</v>
      </c>
      <c r="D179" s="659" t="s">
        <v>145</v>
      </c>
      <c r="E179" s="660"/>
      <c r="F179" s="660"/>
      <c r="G179" s="660"/>
      <c r="H179" s="660"/>
      <c r="I179" s="660"/>
      <c r="J179" s="660"/>
      <c r="K179" s="660"/>
      <c r="L179" s="660"/>
      <c r="M179" s="660"/>
      <c r="N179" s="661"/>
      <c r="O179" s="664" t="s">
        <v>62</v>
      </c>
      <c r="P179" s="77"/>
      <c r="Q179" s="78"/>
      <c r="R179" s="77"/>
      <c r="U179" s="77"/>
      <c r="V179" s="77"/>
      <c r="W179" s="77"/>
    </row>
    <row r="180" spans="2:23" ht="13.5" thickBot="1" x14ac:dyDescent="0.25">
      <c r="B180" s="109"/>
      <c r="C180" s="663"/>
      <c r="D180" s="260" t="str">
        <f>C157</f>
        <v>DEPTO-A</v>
      </c>
      <c r="E180" s="260" t="str">
        <f>C158</f>
        <v>DEPTO-B</v>
      </c>
      <c r="F180" s="260" t="str">
        <f>C159</f>
        <v>DEPTO-C1</v>
      </c>
      <c r="G180" s="260" t="str">
        <f>C160</f>
        <v>DEPTO-C2</v>
      </c>
      <c r="H180" s="260" t="str">
        <f>C161</f>
        <v>DEPTO-D</v>
      </c>
      <c r="I180" s="260" t="str">
        <f>C162</f>
        <v>DEPTO-E</v>
      </c>
      <c r="J180" s="261" t="str">
        <f>C163</f>
        <v>DEPTO-F</v>
      </c>
      <c r="K180" s="261"/>
      <c r="L180" s="261"/>
      <c r="M180" s="261"/>
      <c r="N180" s="261"/>
      <c r="O180" s="665"/>
      <c r="P180" s="77"/>
      <c r="Q180" s="78"/>
      <c r="U180" s="77"/>
      <c r="V180" s="77"/>
      <c r="W180" s="77"/>
    </row>
    <row r="181" spans="2:23" x14ac:dyDescent="0.2">
      <c r="B181" s="109"/>
      <c r="C181" s="262"/>
      <c r="D181" s="263"/>
      <c r="E181" s="263"/>
      <c r="F181" s="264"/>
      <c r="G181" s="264"/>
      <c r="H181" s="264"/>
      <c r="I181" s="265"/>
      <c r="J181" s="264"/>
      <c r="K181" s="266"/>
      <c r="L181" s="264"/>
      <c r="M181" s="264"/>
      <c r="N181" s="266"/>
      <c r="O181" s="267"/>
      <c r="P181" s="77"/>
      <c r="Q181" s="78"/>
      <c r="U181" s="77"/>
      <c r="V181" s="77"/>
      <c r="W181" s="77"/>
    </row>
    <row r="182" spans="2:23" x14ac:dyDescent="0.2">
      <c r="B182" s="109"/>
      <c r="C182" s="262" t="str">
        <f t="shared" ref="C182:C194" si="46">C96</f>
        <v xml:space="preserve">Piso N° 1 </v>
      </c>
      <c r="D182" s="270">
        <v>0</v>
      </c>
      <c r="E182" s="270">
        <v>0</v>
      </c>
      <c r="F182" s="270">
        <v>0</v>
      </c>
      <c r="G182" s="270">
        <v>0</v>
      </c>
      <c r="H182" s="270">
        <v>0</v>
      </c>
      <c r="I182" s="270">
        <v>0</v>
      </c>
      <c r="J182" s="268">
        <v>0</v>
      </c>
      <c r="K182" s="268"/>
      <c r="L182" s="307"/>
      <c r="M182" s="307"/>
      <c r="N182" s="307"/>
      <c r="O182" s="308">
        <f t="shared" ref="O182:O203" si="47">SUM(D182:N182)</f>
        <v>0</v>
      </c>
      <c r="P182" s="77"/>
      <c r="Q182" s="78"/>
      <c r="U182" s="77"/>
      <c r="V182" s="77"/>
      <c r="W182" s="77"/>
    </row>
    <row r="183" spans="2:23" x14ac:dyDescent="0.2">
      <c r="B183" s="109"/>
      <c r="C183" s="262" t="str">
        <f t="shared" si="46"/>
        <v xml:space="preserve">Piso N° 2 </v>
      </c>
      <c r="D183" s="270">
        <v>0</v>
      </c>
      <c r="E183" s="270">
        <v>2</v>
      </c>
      <c r="F183" s="270">
        <v>0</v>
      </c>
      <c r="G183" s="270">
        <v>1</v>
      </c>
      <c r="H183" s="270">
        <v>1</v>
      </c>
      <c r="I183" s="270">
        <v>0</v>
      </c>
      <c r="J183" s="270">
        <v>1</v>
      </c>
      <c r="K183" s="270"/>
      <c r="L183" s="307"/>
      <c r="M183" s="307"/>
      <c r="N183" s="307"/>
      <c r="O183" s="308">
        <f t="shared" si="47"/>
        <v>5</v>
      </c>
      <c r="P183" s="77"/>
      <c r="Q183" s="78"/>
    </row>
    <row r="184" spans="2:23" x14ac:dyDescent="0.2">
      <c r="B184" s="109"/>
      <c r="C184" s="262" t="str">
        <f t="shared" si="46"/>
        <v xml:space="preserve">Piso N° 3 </v>
      </c>
      <c r="D184" s="270">
        <v>2</v>
      </c>
      <c r="E184" s="270">
        <f>E183</f>
        <v>2</v>
      </c>
      <c r="F184" s="270">
        <v>1</v>
      </c>
      <c r="G184" s="270">
        <v>1</v>
      </c>
      <c r="H184" s="270">
        <v>2</v>
      </c>
      <c r="I184" s="270">
        <v>1</v>
      </c>
      <c r="J184" s="270">
        <v>1</v>
      </c>
      <c r="K184" s="270"/>
      <c r="L184" s="307"/>
      <c r="M184" s="307"/>
      <c r="N184" s="307"/>
      <c r="O184" s="308">
        <f t="shared" si="47"/>
        <v>10</v>
      </c>
      <c r="P184" s="77"/>
      <c r="Q184" s="78"/>
    </row>
    <row r="185" spans="2:23" x14ac:dyDescent="0.2">
      <c r="B185" s="109"/>
      <c r="C185" s="262" t="str">
        <f t="shared" si="46"/>
        <v>Piso N° 4</v>
      </c>
      <c r="D185" s="270">
        <f t="shared" ref="D185:D202" si="48">D184</f>
        <v>2</v>
      </c>
      <c r="E185" s="270">
        <f t="shared" ref="E185:E202" si="49">E184</f>
        <v>2</v>
      </c>
      <c r="F185" s="270">
        <f t="shared" ref="F185:G202" si="50">F184</f>
        <v>1</v>
      </c>
      <c r="G185" s="270">
        <f t="shared" si="50"/>
        <v>1</v>
      </c>
      <c r="H185" s="270">
        <f t="shared" ref="H185:H202" si="51">H184</f>
        <v>2</v>
      </c>
      <c r="I185" s="270">
        <f t="shared" ref="I185" si="52">I184</f>
        <v>1</v>
      </c>
      <c r="J185" s="270">
        <f t="shared" ref="J185" si="53">J184</f>
        <v>1</v>
      </c>
      <c r="K185" s="270"/>
      <c r="L185" s="307"/>
      <c r="M185" s="307"/>
      <c r="N185" s="307"/>
      <c r="O185" s="308">
        <f t="shared" si="47"/>
        <v>10</v>
      </c>
      <c r="P185" s="77"/>
      <c r="Q185" s="78"/>
    </row>
    <row r="186" spans="2:23" x14ac:dyDescent="0.2">
      <c r="B186" s="109"/>
      <c r="C186" s="262" t="str">
        <f t="shared" si="46"/>
        <v>Piso N° 5</v>
      </c>
      <c r="D186" s="270">
        <f t="shared" si="48"/>
        <v>2</v>
      </c>
      <c r="E186" s="270">
        <f t="shared" si="49"/>
        <v>2</v>
      </c>
      <c r="F186" s="270">
        <f t="shared" si="50"/>
        <v>1</v>
      </c>
      <c r="G186" s="270">
        <f t="shared" si="50"/>
        <v>1</v>
      </c>
      <c r="H186" s="270">
        <f t="shared" si="51"/>
        <v>2</v>
      </c>
      <c r="I186" s="270">
        <f t="shared" ref="I186" si="54">I185</f>
        <v>1</v>
      </c>
      <c r="J186" s="270">
        <f t="shared" ref="J186" si="55">J185</f>
        <v>1</v>
      </c>
      <c r="K186" s="270"/>
      <c r="L186" s="307"/>
      <c r="M186" s="307"/>
      <c r="N186" s="307"/>
      <c r="O186" s="308">
        <f t="shared" si="47"/>
        <v>10</v>
      </c>
      <c r="P186" s="77"/>
      <c r="Q186" s="78"/>
      <c r="R186" s="77"/>
    </row>
    <row r="187" spans="2:23" x14ac:dyDescent="0.2">
      <c r="B187" s="109"/>
      <c r="C187" s="262" t="str">
        <f t="shared" si="46"/>
        <v>Piso N° 6</v>
      </c>
      <c r="D187" s="270">
        <f t="shared" si="48"/>
        <v>2</v>
      </c>
      <c r="E187" s="270">
        <f t="shared" si="49"/>
        <v>2</v>
      </c>
      <c r="F187" s="270">
        <f t="shared" si="50"/>
        <v>1</v>
      </c>
      <c r="G187" s="270">
        <f t="shared" si="50"/>
        <v>1</v>
      </c>
      <c r="H187" s="270">
        <f t="shared" si="51"/>
        <v>2</v>
      </c>
      <c r="I187" s="270">
        <f t="shared" ref="I187" si="56">I186</f>
        <v>1</v>
      </c>
      <c r="J187" s="270">
        <f t="shared" ref="J187" si="57">J186</f>
        <v>1</v>
      </c>
      <c r="K187" s="270"/>
      <c r="L187" s="307"/>
      <c r="M187" s="307"/>
      <c r="N187" s="307"/>
      <c r="O187" s="308">
        <f t="shared" si="47"/>
        <v>10</v>
      </c>
      <c r="P187" s="77"/>
      <c r="Q187" s="78"/>
    </row>
    <row r="188" spans="2:23" x14ac:dyDescent="0.2">
      <c r="B188" s="109"/>
      <c r="C188" s="262" t="str">
        <f t="shared" si="46"/>
        <v>Piso N° 7</v>
      </c>
      <c r="D188" s="270">
        <f t="shared" si="48"/>
        <v>2</v>
      </c>
      <c r="E188" s="270">
        <f t="shared" si="49"/>
        <v>2</v>
      </c>
      <c r="F188" s="270">
        <f t="shared" si="50"/>
        <v>1</v>
      </c>
      <c r="G188" s="270">
        <f t="shared" si="50"/>
        <v>1</v>
      </c>
      <c r="H188" s="270">
        <f t="shared" si="51"/>
        <v>2</v>
      </c>
      <c r="I188" s="270">
        <f t="shared" ref="I188" si="58">I187</f>
        <v>1</v>
      </c>
      <c r="J188" s="270">
        <f t="shared" ref="J188" si="59">J187</f>
        <v>1</v>
      </c>
      <c r="K188" s="270"/>
      <c r="L188" s="307"/>
      <c r="M188" s="307"/>
      <c r="N188" s="307"/>
      <c r="O188" s="308">
        <f t="shared" si="47"/>
        <v>10</v>
      </c>
      <c r="P188" s="77"/>
      <c r="Q188" s="78"/>
    </row>
    <row r="189" spans="2:23" x14ac:dyDescent="0.2">
      <c r="B189" s="109"/>
      <c r="C189" s="262" t="str">
        <f t="shared" si="46"/>
        <v>Piso N° 8</v>
      </c>
      <c r="D189" s="270">
        <f t="shared" si="48"/>
        <v>2</v>
      </c>
      <c r="E189" s="270">
        <f t="shared" si="49"/>
        <v>2</v>
      </c>
      <c r="F189" s="270">
        <f t="shared" si="50"/>
        <v>1</v>
      </c>
      <c r="G189" s="270">
        <f t="shared" si="50"/>
        <v>1</v>
      </c>
      <c r="H189" s="270">
        <f t="shared" si="51"/>
        <v>2</v>
      </c>
      <c r="I189" s="270">
        <f t="shared" ref="I189" si="60">I188</f>
        <v>1</v>
      </c>
      <c r="J189" s="270">
        <f t="shared" ref="J189" si="61">J188</f>
        <v>1</v>
      </c>
      <c r="K189" s="270"/>
      <c r="L189" s="307"/>
      <c r="M189" s="307"/>
      <c r="N189" s="307"/>
      <c r="O189" s="308">
        <f t="shared" si="47"/>
        <v>10</v>
      </c>
      <c r="P189" s="77"/>
      <c r="Q189" s="78"/>
    </row>
    <row r="190" spans="2:23" x14ac:dyDescent="0.2">
      <c r="B190" s="109"/>
      <c r="C190" s="262" t="str">
        <f t="shared" si="46"/>
        <v>Piso N° 9</v>
      </c>
      <c r="D190" s="270">
        <f t="shared" si="48"/>
        <v>2</v>
      </c>
      <c r="E190" s="270">
        <f t="shared" si="49"/>
        <v>2</v>
      </c>
      <c r="F190" s="270">
        <f t="shared" si="50"/>
        <v>1</v>
      </c>
      <c r="G190" s="270">
        <f t="shared" si="50"/>
        <v>1</v>
      </c>
      <c r="H190" s="270">
        <f t="shared" si="51"/>
        <v>2</v>
      </c>
      <c r="I190" s="270">
        <f t="shared" ref="I190" si="62">I189</f>
        <v>1</v>
      </c>
      <c r="J190" s="270">
        <f t="shared" ref="J190" si="63">J189</f>
        <v>1</v>
      </c>
      <c r="K190" s="270"/>
      <c r="L190" s="307"/>
      <c r="M190" s="307"/>
      <c r="N190" s="307"/>
      <c r="O190" s="308">
        <f t="shared" si="47"/>
        <v>10</v>
      </c>
      <c r="P190" s="77"/>
      <c r="Q190" s="78"/>
    </row>
    <row r="191" spans="2:23" x14ac:dyDescent="0.2">
      <c r="B191" s="109"/>
      <c r="C191" s="262" t="str">
        <f t="shared" si="46"/>
        <v>Piso N° 10</v>
      </c>
      <c r="D191" s="270">
        <f t="shared" si="48"/>
        <v>2</v>
      </c>
      <c r="E191" s="270">
        <f t="shared" si="49"/>
        <v>2</v>
      </c>
      <c r="F191" s="270">
        <f t="shared" si="50"/>
        <v>1</v>
      </c>
      <c r="G191" s="270">
        <f t="shared" si="50"/>
        <v>1</v>
      </c>
      <c r="H191" s="270">
        <f t="shared" si="51"/>
        <v>2</v>
      </c>
      <c r="I191" s="270">
        <f t="shared" ref="I191" si="64">I190</f>
        <v>1</v>
      </c>
      <c r="J191" s="270">
        <f t="shared" ref="J191" si="65">J190</f>
        <v>1</v>
      </c>
      <c r="K191" s="270"/>
      <c r="L191" s="307"/>
      <c r="M191" s="307"/>
      <c r="N191" s="307"/>
      <c r="O191" s="308">
        <f t="shared" si="47"/>
        <v>10</v>
      </c>
      <c r="P191" s="77"/>
      <c r="Q191" s="78"/>
    </row>
    <row r="192" spans="2:23" x14ac:dyDescent="0.2">
      <c r="B192" s="109"/>
      <c r="C192" s="262" t="str">
        <f t="shared" si="46"/>
        <v>Piso N° 11</v>
      </c>
      <c r="D192" s="270">
        <f t="shared" si="48"/>
        <v>2</v>
      </c>
      <c r="E192" s="270">
        <f t="shared" si="49"/>
        <v>2</v>
      </c>
      <c r="F192" s="270">
        <f t="shared" si="50"/>
        <v>1</v>
      </c>
      <c r="G192" s="270">
        <f t="shared" si="50"/>
        <v>1</v>
      </c>
      <c r="H192" s="270">
        <f t="shared" si="51"/>
        <v>2</v>
      </c>
      <c r="I192" s="270">
        <f t="shared" ref="I192" si="66">I191</f>
        <v>1</v>
      </c>
      <c r="J192" s="270">
        <f t="shared" ref="J192" si="67">J191</f>
        <v>1</v>
      </c>
      <c r="K192" s="270"/>
      <c r="L192" s="307"/>
      <c r="M192" s="307"/>
      <c r="N192" s="307"/>
      <c r="O192" s="308">
        <f t="shared" si="47"/>
        <v>10</v>
      </c>
      <c r="P192" s="77"/>
      <c r="Q192" s="78"/>
    </row>
    <row r="193" spans="1:18" x14ac:dyDescent="0.2">
      <c r="B193" s="109"/>
      <c r="C193" s="262" t="str">
        <f t="shared" si="46"/>
        <v>Piso N° 12</v>
      </c>
      <c r="D193" s="270">
        <f t="shared" si="48"/>
        <v>2</v>
      </c>
      <c r="E193" s="270">
        <f t="shared" si="49"/>
        <v>2</v>
      </c>
      <c r="F193" s="270">
        <f t="shared" si="50"/>
        <v>1</v>
      </c>
      <c r="G193" s="270">
        <f t="shared" si="50"/>
        <v>1</v>
      </c>
      <c r="H193" s="270">
        <f t="shared" si="51"/>
        <v>2</v>
      </c>
      <c r="I193" s="270">
        <f t="shared" ref="I193" si="68">I192</f>
        <v>1</v>
      </c>
      <c r="J193" s="270">
        <f t="shared" ref="J193" si="69">J192</f>
        <v>1</v>
      </c>
      <c r="K193" s="270"/>
      <c r="L193" s="307"/>
      <c r="M193" s="307"/>
      <c r="N193" s="307"/>
      <c r="O193" s="308">
        <f t="shared" si="47"/>
        <v>10</v>
      </c>
      <c r="P193" s="77"/>
      <c r="Q193" s="78"/>
    </row>
    <row r="194" spans="1:18" x14ac:dyDescent="0.2">
      <c r="B194" s="109"/>
      <c r="C194" s="262" t="str">
        <f t="shared" si="46"/>
        <v>Piso N° 13</v>
      </c>
      <c r="D194" s="270">
        <f t="shared" si="48"/>
        <v>2</v>
      </c>
      <c r="E194" s="270">
        <f t="shared" si="49"/>
        <v>2</v>
      </c>
      <c r="F194" s="270">
        <f t="shared" si="50"/>
        <v>1</v>
      </c>
      <c r="G194" s="270">
        <f t="shared" si="50"/>
        <v>1</v>
      </c>
      <c r="H194" s="270">
        <f t="shared" si="51"/>
        <v>2</v>
      </c>
      <c r="I194" s="270">
        <f t="shared" ref="I194" si="70">I193</f>
        <v>1</v>
      </c>
      <c r="J194" s="270">
        <f t="shared" ref="J194" si="71">J193</f>
        <v>1</v>
      </c>
      <c r="K194" s="270"/>
      <c r="L194" s="307"/>
      <c r="M194" s="307"/>
      <c r="N194" s="307"/>
      <c r="O194" s="308">
        <f t="shared" si="47"/>
        <v>10</v>
      </c>
      <c r="P194" s="77"/>
      <c r="Q194" s="78"/>
    </row>
    <row r="195" spans="1:18" x14ac:dyDescent="0.2">
      <c r="B195" s="109"/>
      <c r="C195" s="269" t="s">
        <v>133</v>
      </c>
      <c r="D195" s="270">
        <f t="shared" si="48"/>
        <v>2</v>
      </c>
      <c r="E195" s="270">
        <f t="shared" si="49"/>
        <v>2</v>
      </c>
      <c r="F195" s="270">
        <f t="shared" si="50"/>
        <v>1</v>
      </c>
      <c r="G195" s="270">
        <f t="shared" si="50"/>
        <v>1</v>
      </c>
      <c r="H195" s="270">
        <f t="shared" si="51"/>
        <v>2</v>
      </c>
      <c r="I195" s="270">
        <f t="shared" ref="I195" si="72">I194</f>
        <v>1</v>
      </c>
      <c r="J195" s="270">
        <f t="shared" ref="J195" si="73">J194</f>
        <v>1</v>
      </c>
      <c r="K195" s="270"/>
      <c r="L195" s="307"/>
      <c r="M195" s="307"/>
      <c r="N195" s="307"/>
      <c r="O195" s="308">
        <f t="shared" si="47"/>
        <v>10</v>
      </c>
      <c r="P195" s="77"/>
      <c r="Q195" s="78"/>
    </row>
    <row r="196" spans="1:18" x14ac:dyDescent="0.2">
      <c r="B196" s="109"/>
      <c r="C196" s="269" t="s">
        <v>134</v>
      </c>
      <c r="D196" s="270">
        <f t="shared" si="48"/>
        <v>2</v>
      </c>
      <c r="E196" s="270">
        <f t="shared" si="49"/>
        <v>2</v>
      </c>
      <c r="F196" s="270">
        <f t="shared" si="50"/>
        <v>1</v>
      </c>
      <c r="G196" s="270">
        <f t="shared" si="50"/>
        <v>1</v>
      </c>
      <c r="H196" s="270">
        <f t="shared" si="51"/>
        <v>2</v>
      </c>
      <c r="I196" s="270">
        <f t="shared" ref="I196" si="74">I195</f>
        <v>1</v>
      </c>
      <c r="J196" s="270">
        <f t="shared" ref="J196" si="75">J195</f>
        <v>1</v>
      </c>
      <c r="K196" s="270"/>
      <c r="L196" s="307"/>
      <c r="M196" s="307"/>
      <c r="N196" s="307"/>
      <c r="O196" s="308">
        <f t="shared" si="47"/>
        <v>10</v>
      </c>
      <c r="P196" s="77"/>
      <c r="Q196" s="78"/>
    </row>
    <row r="197" spans="1:18" x14ac:dyDescent="0.2">
      <c r="B197" s="109"/>
      <c r="C197" s="269" t="s">
        <v>135</v>
      </c>
      <c r="D197" s="270">
        <f t="shared" si="48"/>
        <v>2</v>
      </c>
      <c r="E197" s="270">
        <f t="shared" si="49"/>
        <v>2</v>
      </c>
      <c r="F197" s="270">
        <f t="shared" si="50"/>
        <v>1</v>
      </c>
      <c r="G197" s="270">
        <f t="shared" si="50"/>
        <v>1</v>
      </c>
      <c r="H197" s="270">
        <f t="shared" si="51"/>
        <v>2</v>
      </c>
      <c r="I197" s="270">
        <f t="shared" ref="I197" si="76">I196</f>
        <v>1</v>
      </c>
      <c r="J197" s="270">
        <f t="shared" ref="J197" si="77">J196</f>
        <v>1</v>
      </c>
      <c r="K197" s="270"/>
      <c r="L197" s="307"/>
      <c r="M197" s="307"/>
      <c r="N197" s="307"/>
      <c r="O197" s="308">
        <f t="shared" si="47"/>
        <v>10</v>
      </c>
      <c r="P197" s="77"/>
      <c r="Q197" s="78"/>
    </row>
    <row r="198" spans="1:18" x14ac:dyDescent="0.2">
      <c r="B198" s="109"/>
      <c r="C198" s="269" t="s">
        <v>136</v>
      </c>
      <c r="D198" s="270">
        <f t="shared" si="48"/>
        <v>2</v>
      </c>
      <c r="E198" s="270">
        <f t="shared" si="49"/>
        <v>2</v>
      </c>
      <c r="F198" s="270">
        <f t="shared" si="50"/>
        <v>1</v>
      </c>
      <c r="G198" s="270">
        <f t="shared" si="50"/>
        <v>1</v>
      </c>
      <c r="H198" s="270">
        <f t="shared" si="51"/>
        <v>2</v>
      </c>
      <c r="I198" s="270">
        <f t="shared" ref="I198" si="78">I197</f>
        <v>1</v>
      </c>
      <c r="J198" s="270">
        <f t="shared" ref="J198" si="79">J197</f>
        <v>1</v>
      </c>
      <c r="K198" s="270"/>
      <c r="L198" s="307"/>
      <c r="M198" s="307"/>
      <c r="N198" s="307"/>
      <c r="O198" s="308">
        <f t="shared" si="47"/>
        <v>10</v>
      </c>
      <c r="P198" s="77"/>
      <c r="Q198" s="78"/>
    </row>
    <row r="199" spans="1:18" x14ac:dyDescent="0.2">
      <c r="B199" s="109"/>
      <c r="C199" s="269" t="s">
        <v>137</v>
      </c>
      <c r="D199" s="270">
        <f t="shared" si="48"/>
        <v>2</v>
      </c>
      <c r="E199" s="270">
        <f t="shared" si="49"/>
        <v>2</v>
      </c>
      <c r="F199" s="270">
        <f t="shared" si="50"/>
        <v>1</v>
      </c>
      <c r="G199" s="270">
        <f t="shared" si="50"/>
        <v>1</v>
      </c>
      <c r="H199" s="270">
        <f t="shared" si="51"/>
        <v>2</v>
      </c>
      <c r="I199" s="270">
        <f t="shared" ref="I199" si="80">I198</f>
        <v>1</v>
      </c>
      <c r="J199" s="270">
        <f t="shared" ref="J199" si="81">J198</f>
        <v>1</v>
      </c>
      <c r="K199" s="270"/>
      <c r="L199" s="307"/>
      <c r="M199" s="307"/>
      <c r="N199" s="307"/>
      <c r="O199" s="308">
        <f t="shared" si="47"/>
        <v>10</v>
      </c>
      <c r="P199" s="77"/>
      <c r="Q199" s="78"/>
    </row>
    <row r="200" spans="1:18" x14ac:dyDescent="0.2">
      <c r="B200" s="109"/>
      <c r="C200" s="269" t="s">
        <v>138</v>
      </c>
      <c r="D200" s="270">
        <f t="shared" si="48"/>
        <v>2</v>
      </c>
      <c r="E200" s="270">
        <f t="shared" si="49"/>
        <v>2</v>
      </c>
      <c r="F200" s="270">
        <f t="shared" si="50"/>
        <v>1</v>
      </c>
      <c r="G200" s="270">
        <f t="shared" si="50"/>
        <v>1</v>
      </c>
      <c r="H200" s="270">
        <f t="shared" si="51"/>
        <v>2</v>
      </c>
      <c r="I200" s="270">
        <f t="shared" ref="I200" si="82">I199</f>
        <v>1</v>
      </c>
      <c r="J200" s="270">
        <f t="shared" ref="J200" si="83">J199</f>
        <v>1</v>
      </c>
      <c r="K200" s="270"/>
      <c r="L200" s="272"/>
      <c r="M200" s="272"/>
      <c r="N200" s="272"/>
      <c r="O200" s="267">
        <f t="shared" si="47"/>
        <v>10</v>
      </c>
      <c r="P200" s="77"/>
      <c r="Q200" s="78"/>
    </row>
    <row r="201" spans="1:18" x14ac:dyDescent="0.2">
      <c r="B201" s="109"/>
      <c r="C201" s="269" t="s">
        <v>139</v>
      </c>
      <c r="D201" s="270">
        <f t="shared" si="48"/>
        <v>2</v>
      </c>
      <c r="E201" s="270">
        <f t="shared" si="49"/>
        <v>2</v>
      </c>
      <c r="F201" s="270">
        <f t="shared" si="50"/>
        <v>1</v>
      </c>
      <c r="G201" s="270">
        <f t="shared" si="50"/>
        <v>1</v>
      </c>
      <c r="H201" s="270">
        <f t="shared" si="51"/>
        <v>2</v>
      </c>
      <c r="I201" s="270">
        <f t="shared" ref="I201" si="84">I200</f>
        <v>1</v>
      </c>
      <c r="J201" s="270">
        <f t="shared" ref="J201" si="85">J200</f>
        <v>1</v>
      </c>
      <c r="K201" s="270"/>
      <c r="L201" s="272"/>
      <c r="M201" s="272"/>
      <c r="N201" s="272"/>
      <c r="O201" s="267">
        <f t="shared" si="47"/>
        <v>10</v>
      </c>
      <c r="P201" s="77"/>
      <c r="Q201" s="78"/>
    </row>
    <row r="202" spans="1:18" x14ac:dyDescent="0.2">
      <c r="B202" s="109"/>
      <c r="C202" s="269" t="s">
        <v>140</v>
      </c>
      <c r="D202" s="270">
        <f t="shared" si="48"/>
        <v>2</v>
      </c>
      <c r="E202" s="270">
        <f t="shared" si="49"/>
        <v>2</v>
      </c>
      <c r="F202" s="270">
        <f t="shared" si="50"/>
        <v>1</v>
      </c>
      <c r="G202" s="270">
        <f t="shared" si="50"/>
        <v>1</v>
      </c>
      <c r="H202" s="270">
        <f t="shared" si="51"/>
        <v>2</v>
      </c>
      <c r="I202" s="270">
        <f t="shared" ref="I202" si="86">I201</f>
        <v>1</v>
      </c>
      <c r="J202" s="270">
        <f t="shared" ref="J202" si="87">J201</f>
        <v>1</v>
      </c>
      <c r="K202" s="270"/>
      <c r="L202" s="272"/>
      <c r="M202" s="272"/>
      <c r="N202" s="272"/>
      <c r="O202" s="267">
        <f t="shared" si="47"/>
        <v>10</v>
      </c>
      <c r="P202" s="77"/>
      <c r="Q202" s="78"/>
    </row>
    <row r="203" spans="1:18" ht="13.5" thickBot="1" x14ac:dyDescent="0.25">
      <c r="B203" s="109"/>
      <c r="C203" s="273" t="s">
        <v>141</v>
      </c>
      <c r="D203" s="271">
        <v>0</v>
      </c>
      <c r="E203" s="271">
        <v>0</v>
      </c>
      <c r="F203" s="271">
        <v>0</v>
      </c>
      <c r="G203" s="271">
        <v>0</v>
      </c>
      <c r="H203" s="271">
        <v>0</v>
      </c>
      <c r="I203" s="274">
        <v>0</v>
      </c>
      <c r="J203" s="274">
        <v>0</v>
      </c>
      <c r="K203" s="270"/>
      <c r="L203" s="275"/>
      <c r="M203" s="275"/>
      <c r="N203" s="275"/>
      <c r="O203" s="267">
        <f t="shared" si="47"/>
        <v>0</v>
      </c>
      <c r="P203" s="77"/>
      <c r="Q203" s="78"/>
    </row>
    <row r="204" spans="1:18" ht="13.5" thickBot="1" x14ac:dyDescent="0.25">
      <c r="B204" s="109"/>
      <c r="C204" s="218" t="s">
        <v>62</v>
      </c>
      <c r="D204" s="276">
        <f t="shared" ref="D204:N204" si="88">SUM(D181:D203)</f>
        <v>38</v>
      </c>
      <c r="E204" s="276">
        <f t="shared" si="88"/>
        <v>40</v>
      </c>
      <c r="F204" s="276">
        <f t="shared" si="88"/>
        <v>19</v>
      </c>
      <c r="G204" s="276">
        <f t="shared" si="88"/>
        <v>20</v>
      </c>
      <c r="H204" s="276">
        <f t="shared" si="88"/>
        <v>39</v>
      </c>
      <c r="I204" s="276">
        <f t="shared" si="88"/>
        <v>19</v>
      </c>
      <c r="J204" s="276">
        <f t="shared" si="88"/>
        <v>20</v>
      </c>
      <c r="K204" s="276">
        <f t="shared" si="88"/>
        <v>0</v>
      </c>
      <c r="L204" s="276">
        <f t="shared" si="88"/>
        <v>0</v>
      </c>
      <c r="M204" s="276">
        <f t="shared" si="88"/>
        <v>0</v>
      </c>
      <c r="N204" s="276">
        <f t="shared" si="88"/>
        <v>0</v>
      </c>
      <c r="O204" s="277">
        <f>SUM(O182:O203)</f>
        <v>195</v>
      </c>
      <c r="P204" s="77"/>
      <c r="Q204" s="78"/>
      <c r="R204" s="77"/>
    </row>
    <row r="205" spans="1:18" x14ac:dyDescent="0.2">
      <c r="B205" s="109"/>
      <c r="C205" s="77"/>
      <c r="D205" s="278">
        <f t="shared" ref="D205:N205" si="89">D204/$O$204</f>
        <v>0.19487179487179487</v>
      </c>
      <c r="E205" s="278">
        <f t="shared" si="89"/>
        <v>0.20512820512820512</v>
      </c>
      <c r="F205" s="278">
        <f t="shared" si="89"/>
        <v>9.7435897435897437E-2</v>
      </c>
      <c r="G205" s="278">
        <f t="shared" si="89"/>
        <v>0.10256410256410256</v>
      </c>
      <c r="H205" s="278">
        <f t="shared" si="89"/>
        <v>0.2</v>
      </c>
      <c r="I205" s="278">
        <f t="shared" si="89"/>
        <v>9.7435897435897437E-2</v>
      </c>
      <c r="J205" s="278">
        <f t="shared" si="89"/>
        <v>0.10256410256410256</v>
      </c>
      <c r="K205" s="278">
        <f t="shared" si="89"/>
        <v>0</v>
      </c>
      <c r="L205" s="278">
        <f t="shared" si="89"/>
        <v>0</v>
      </c>
      <c r="M205" s="278">
        <f t="shared" si="89"/>
        <v>0</v>
      </c>
      <c r="N205" s="278">
        <f t="shared" si="89"/>
        <v>0</v>
      </c>
      <c r="O205" s="292">
        <f>E39</f>
        <v>195.24099000000001</v>
      </c>
      <c r="P205" s="77"/>
      <c r="Q205" s="78"/>
      <c r="R205" s="77"/>
    </row>
    <row r="206" spans="1:18" ht="10.5" customHeight="1" thickBot="1" x14ac:dyDescent="0.25">
      <c r="A206" s="77"/>
      <c r="B206" s="279"/>
      <c r="C206" s="254"/>
      <c r="D206" s="254"/>
      <c r="E206" s="254"/>
      <c r="F206" s="280"/>
      <c r="G206" s="254"/>
      <c r="H206" s="256"/>
      <c r="I206" s="254"/>
      <c r="J206" s="254"/>
      <c r="K206" s="254"/>
      <c r="L206" s="254"/>
      <c r="M206" s="254"/>
      <c r="N206" s="254"/>
      <c r="O206" s="254"/>
      <c r="P206" s="254"/>
      <c r="Q206" s="257"/>
      <c r="R206" s="77"/>
    </row>
    <row r="207" spans="1:18" x14ac:dyDescent="0.2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</row>
    <row r="208" spans="1:18" ht="15" x14ac:dyDescent="0.25">
      <c r="A208" s="77"/>
      <c r="B208" s="77"/>
      <c r="C208" s="422"/>
      <c r="D208" s="77"/>
      <c r="E208" s="77"/>
      <c r="F208" s="77"/>
      <c r="G208" s="77"/>
      <c r="H208" s="77"/>
      <c r="I208" s="77"/>
      <c r="J208" s="77"/>
      <c r="K208" s="77"/>
      <c r="L208" s="281"/>
      <c r="M208" s="282"/>
      <c r="N208" s="282"/>
      <c r="O208" s="283"/>
      <c r="P208" s="77"/>
    </row>
    <row r="209" spans="1:16" ht="15" x14ac:dyDescent="0.25">
      <c r="A209" s="77"/>
      <c r="B209" s="77"/>
      <c r="F209" s="77"/>
      <c r="J209" s="77"/>
      <c r="K209" s="77"/>
      <c r="L209" s="281"/>
      <c r="M209" s="282"/>
      <c r="N209" s="282"/>
      <c r="O209" s="283"/>
      <c r="P209" s="77"/>
    </row>
    <row r="210" spans="1:16" x14ac:dyDescent="0.2">
      <c r="A210" s="77"/>
      <c r="B210" s="77"/>
      <c r="F210" s="77"/>
      <c r="J210" s="77"/>
      <c r="K210" s="77"/>
      <c r="L210" s="284"/>
      <c r="M210" s="284"/>
      <c r="N210" s="282"/>
      <c r="O210" s="283"/>
      <c r="P210" s="77"/>
    </row>
    <row r="211" spans="1:16" x14ac:dyDescent="0.2">
      <c r="L211" s="59"/>
      <c r="M211" s="285"/>
      <c r="N211" s="286"/>
      <c r="O211" s="287"/>
    </row>
    <row r="212" spans="1:16" x14ac:dyDescent="0.2">
      <c r="L212" s="59"/>
      <c r="M212" s="285"/>
      <c r="N212" s="286"/>
      <c r="O212" s="288"/>
    </row>
    <row r="213" spans="1:16" x14ac:dyDescent="0.2">
      <c r="L213" s="59"/>
      <c r="M213" s="285"/>
      <c r="N213" s="286"/>
      <c r="O213" s="287"/>
    </row>
    <row r="214" spans="1:16" x14ac:dyDescent="0.2">
      <c r="L214" s="289"/>
      <c r="M214" s="285"/>
      <c r="N214" s="286"/>
      <c r="O214" s="287"/>
    </row>
    <row r="215" spans="1:16" x14ac:dyDescent="0.2">
      <c r="L215" s="59"/>
      <c r="M215" s="285"/>
      <c r="N215" s="286"/>
      <c r="O215" s="287"/>
    </row>
    <row r="216" spans="1:16" x14ac:dyDescent="0.2">
      <c r="L216" s="59"/>
      <c r="M216" s="282"/>
      <c r="N216" s="286"/>
      <c r="O216" s="282"/>
    </row>
    <row r="217" spans="1:16" x14ac:dyDescent="0.2">
      <c r="L217" s="59"/>
      <c r="M217" s="282"/>
      <c r="N217" s="286"/>
      <c r="O217" s="287"/>
    </row>
    <row r="218" spans="1:16" x14ac:dyDescent="0.2">
      <c r="L218" s="59"/>
      <c r="M218" s="282"/>
      <c r="N218" s="286"/>
      <c r="O218" s="287"/>
    </row>
  </sheetData>
  <mergeCells count="31">
    <mergeCell ref="D179:N179"/>
    <mergeCell ref="C179:C180"/>
    <mergeCell ref="O179:O180"/>
    <mergeCell ref="M35:O36"/>
    <mergeCell ref="M37:O38"/>
    <mergeCell ref="F154:I154"/>
    <mergeCell ref="K154:N154"/>
    <mergeCell ref="C177:P177"/>
    <mergeCell ref="C134:C135"/>
    <mergeCell ref="D48:L48"/>
    <mergeCell ref="F146:G146"/>
    <mergeCell ref="D146:E146"/>
    <mergeCell ref="C149:E149"/>
    <mergeCell ref="C150:E150"/>
    <mergeCell ref="N76:O76"/>
    <mergeCell ref="Z124:Z158"/>
    <mergeCell ref="M16:O16"/>
    <mergeCell ref="C88:C91"/>
    <mergeCell ref="D88:O88"/>
    <mergeCell ref="C5:N6"/>
    <mergeCell ref="M17:O18"/>
    <mergeCell ref="M19:O20"/>
    <mergeCell ref="M23:O24"/>
    <mergeCell ref="M25:O26"/>
    <mergeCell ref="M21:O22"/>
    <mergeCell ref="M27:O28"/>
    <mergeCell ref="M29:O30"/>
    <mergeCell ref="M31:O32"/>
    <mergeCell ref="C48:C51"/>
    <mergeCell ref="N68:P68"/>
    <mergeCell ref="M33:O34"/>
  </mergeCells>
  <hyperlinks>
    <hyperlink ref="J12" r:id="rId1"/>
  </hyperlinks>
  <pageMargins left="0.70866141732283472" right="0.70866141732283472" top="0.74803149606299213" bottom="0.74803149606299213" header="0.31496062992125984" footer="0.31496062992125984"/>
  <pageSetup paperSize="9" scale="35" orientation="portrait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3"/>
  <sheetViews>
    <sheetView topLeftCell="A61" zoomScaleNormal="100" workbookViewId="0">
      <selection activeCell="G52" sqref="G52"/>
    </sheetView>
  </sheetViews>
  <sheetFormatPr baseColWidth="10" defaultColWidth="11.5703125" defaultRowHeight="12.75" x14ac:dyDescent="0.2"/>
  <cols>
    <col min="1" max="1" width="5.140625" style="3" customWidth="1"/>
    <col min="2" max="2" width="7.7109375" style="3" bestFit="1" customWidth="1"/>
    <col min="3" max="3" width="12.140625" style="3" bestFit="1" customWidth="1"/>
    <col min="4" max="4" width="17.28515625" style="3" customWidth="1"/>
    <col min="5" max="6" width="23.28515625" style="3" customWidth="1"/>
    <col min="7" max="7" width="13" style="350" bestFit="1" customWidth="1"/>
    <col min="8" max="16384" width="11.5703125" style="3"/>
  </cols>
  <sheetData>
    <row r="1" spans="2:7" ht="13.5" thickBot="1" x14ac:dyDescent="0.25"/>
    <row r="2" spans="2:7" ht="24.6" customHeight="1" x14ac:dyDescent="0.2">
      <c r="B2" s="631" t="str">
        <f>'RESUMEN SUPERFICIES'!C5</f>
        <v>DUNAMAR</v>
      </c>
      <c r="C2" s="632"/>
      <c r="D2" s="632"/>
      <c r="E2" s="632"/>
      <c r="F2" s="633"/>
      <c r="G2" s="351" t="str">
        <f>'RESUMEN SUPERFICIES'!O5</f>
        <v>P.E.</v>
      </c>
    </row>
    <row r="3" spans="2:7" ht="13.9" customHeight="1" thickBot="1" x14ac:dyDescent="0.25">
      <c r="B3" s="634"/>
      <c r="C3" s="635"/>
      <c r="D3" s="635"/>
      <c r="E3" s="635"/>
      <c r="F3" s="636"/>
      <c r="G3" s="41">
        <f>'RESUMEN SUPERFICIES'!O6</f>
        <v>43752</v>
      </c>
    </row>
    <row r="5" spans="2:7" ht="13.5" thickBot="1" x14ac:dyDescent="0.25"/>
    <row r="6" spans="2:7" ht="13.5" thickBot="1" x14ac:dyDescent="0.25">
      <c r="B6" s="689" t="s">
        <v>144</v>
      </c>
      <c r="C6" s="690"/>
      <c r="D6" s="690"/>
      <c r="E6" s="690"/>
      <c r="F6" s="690"/>
      <c r="G6" s="691"/>
    </row>
    <row r="7" spans="2:7" ht="13.5" thickBot="1" x14ac:dyDescent="0.25">
      <c r="B7" s="466" t="s">
        <v>3</v>
      </c>
      <c r="C7" s="467" t="s">
        <v>2</v>
      </c>
      <c r="D7" s="468" t="s">
        <v>14</v>
      </c>
      <c r="E7" s="468" t="s">
        <v>16</v>
      </c>
      <c r="F7" s="468" t="s">
        <v>15</v>
      </c>
      <c r="G7" s="469" t="s">
        <v>12</v>
      </c>
    </row>
    <row r="8" spans="2:7" ht="15" x14ac:dyDescent="0.25">
      <c r="B8" s="461">
        <v>2</v>
      </c>
      <c r="C8" s="462">
        <v>204</v>
      </c>
      <c r="D8" s="463">
        <f>D16</f>
        <v>50.18</v>
      </c>
      <c r="E8" s="463"/>
      <c r="F8" s="464">
        <f>F16</f>
        <v>8.99</v>
      </c>
      <c r="G8" s="465">
        <f t="shared" ref="G8:G12" si="0">SUM(D8:F8)</f>
        <v>59.17</v>
      </c>
    </row>
    <row r="9" spans="2:7" ht="15" x14ac:dyDescent="0.25">
      <c r="B9" s="20">
        <v>2</v>
      </c>
      <c r="C9" s="7">
        <v>205</v>
      </c>
      <c r="D9" s="312">
        <f>D17</f>
        <v>57.67</v>
      </c>
      <c r="E9" s="312"/>
      <c r="F9" s="313">
        <f>F17</f>
        <v>8.2100000000000009</v>
      </c>
      <c r="G9" s="355">
        <f t="shared" si="0"/>
        <v>65.88</v>
      </c>
    </row>
    <row r="10" spans="2:7" ht="15" x14ac:dyDescent="0.25">
      <c r="B10" s="20">
        <v>2</v>
      </c>
      <c r="C10" s="7">
        <v>207</v>
      </c>
      <c r="D10" s="312">
        <f>D19</f>
        <v>50.18</v>
      </c>
      <c r="E10" s="312"/>
      <c r="F10" s="313">
        <f>F19</f>
        <v>8.99</v>
      </c>
      <c r="G10" s="355">
        <f t="shared" si="0"/>
        <v>59.17</v>
      </c>
    </row>
    <row r="11" spans="2:7" ht="15" x14ac:dyDescent="0.25">
      <c r="B11" s="20">
        <v>2</v>
      </c>
      <c r="C11" s="7">
        <v>208</v>
      </c>
      <c r="D11" s="312">
        <f>D20</f>
        <v>60.68</v>
      </c>
      <c r="E11" s="312"/>
      <c r="F11" s="313">
        <f>F20</f>
        <v>9.32</v>
      </c>
      <c r="G11" s="355">
        <f t="shared" si="0"/>
        <v>70</v>
      </c>
    </row>
    <row r="12" spans="2:7" ht="15.75" thickBot="1" x14ac:dyDescent="0.3">
      <c r="B12" s="20">
        <v>2</v>
      </c>
      <c r="C12" s="7">
        <v>209</v>
      </c>
      <c r="D12" s="312">
        <f>D21</f>
        <v>50.28</v>
      </c>
      <c r="E12" s="312"/>
      <c r="F12" s="313">
        <f>F21</f>
        <v>8.99</v>
      </c>
      <c r="G12" s="355">
        <f t="shared" si="0"/>
        <v>59.27</v>
      </c>
    </row>
    <row r="13" spans="2:7" ht="15" x14ac:dyDescent="0.25">
      <c r="B13" s="336">
        <v>3</v>
      </c>
      <c r="C13" s="337">
        <v>301</v>
      </c>
      <c r="D13" s="338">
        <f>'RESUMEN SUPERFICIES'!K157</f>
        <v>33.24</v>
      </c>
      <c r="E13" s="338"/>
      <c r="F13" s="339">
        <f>'RESUMEN SUPERFICIES'!M157</f>
        <v>7.98</v>
      </c>
      <c r="G13" s="352">
        <f>SUM(D13:F13)</f>
        <v>41.22</v>
      </c>
    </row>
    <row r="14" spans="2:7" ht="15" x14ac:dyDescent="0.25">
      <c r="B14" s="340">
        <v>3</v>
      </c>
      <c r="C14" s="341">
        <v>302</v>
      </c>
      <c r="D14" s="342">
        <f>'RESUMEN SUPERFICIES'!K159</f>
        <v>50.18</v>
      </c>
      <c r="E14" s="342"/>
      <c r="F14" s="343">
        <f>'RESUMEN SUPERFICIES'!M159</f>
        <v>8.99</v>
      </c>
      <c r="G14" s="353">
        <f>SUM(D14:F14)</f>
        <v>59.17</v>
      </c>
    </row>
    <row r="15" spans="2:7" ht="15" x14ac:dyDescent="0.25">
      <c r="B15" s="340">
        <v>3</v>
      </c>
      <c r="C15" s="341">
        <v>303</v>
      </c>
      <c r="D15" s="342">
        <f>'RESUMEN SUPERFICIES'!K162</f>
        <v>71.180000000000007</v>
      </c>
      <c r="E15" s="342"/>
      <c r="F15" s="343">
        <f>'RESUMEN SUPERFICIES'!M161</f>
        <v>8.2100000000000009</v>
      </c>
      <c r="G15" s="353">
        <f t="shared" ref="G15:G22" si="1">SUM(D15:F15)</f>
        <v>79.390000000000015</v>
      </c>
    </row>
    <row r="16" spans="2:7" ht="15" x14ac:dyDescent="0.25">
      <c r="B16" s="340">
        <v>3</v>
      </c>
      <c r="C16" s="341">
        <v>304</v>
      </c>
      <c r="D16" s="344">
        <f>'RESUMEN SUPERFICIES'!K158</f>
        <v>50.18</v>
      </c>
      <c r="E16" s="344"/>
      <c r="F16" s="615">
        <f>'RESUMEN SUPERFICIES'!M158</f>
        <v>8.99</v>
      </c>
      <c r="G16" s="353">
        <f t="shared" si="1"/>
        <v>59.17</v>
      </c>
    </row>
    <row r="17" spans="2:7" ht="15" x14ac:dyDescent="0.25">
      <c r="B17" s="340">
        <v>3</v>
      </c>
      <c r="C17" s="341">
        <v>305</v>
      </c>
      <c r="D17" s="344">
        <f>'RESUMEN SUPERFICIES'!K161</f>
        <v>57.67</v>
      </c>
      <c r="E17" s="344"/>
      <c r="F17" s="615">
        <f>'RESUMEN SUPERFICIES'!M161</f>
        <v>8.2100000000000009</v>
      </c>
      <c r="G17" s="353">
        <f t="shared" si="1"/>
        <v>65.88</v>
      </c>
    </row>
    <row r="18" spans="2:7" ht="15" x14ac:dyDescent="0.25">
      <c r="B18" s="340">
        <v>3</v>
      </c>
      <c r="C18" s="341">
        <v>306</v>
      </c>
      <c r="D18" s="344">
        <f>'RESUMEN SUPERFICIES'!K161</f>
        <v>57.67</v>
      </c>
      <c r="E18" s="344"/>
      <c r="F18" s="615">
        <f>'RESUMEN SUPERFICIES'!M161</f>
        <v>8.2100000000000009</v>
      </c>
      <c r="G18" s="353">
        <f t="shared" si="1"/>
        <v>65.88</v>
      </c>
    </row>
    <row r="19" spans="2:7" ht="15" x14ac:dyDescent="0.25">
      <c r="B19" s="340">
        <v>3</v>
      </c>
      <c r="C19" s="341">
        <v>307</v>
      </c>
      <c r="D19" s="344">
        <f>'RESUMEN SUPERFICIES'!K158</f>
        <v>50.18</v>
      </c>
      <c r="E19" s="344"/>
      <c r="F19" s="615">
        <f>'RESUMEN SUPERFICIES'!M158</f>
        <v>8.99</v>
      </c>
      <c r="G19" s="353">
        <f t="shared" si="1"/>
        <v>59.17</v>
      </c>
    </row>
    <row r="20" spans="2:7" ht="15" x14ac:dyDescent="0.25">
      <c r="B20" s="340">
        <v>3</v>
      </c>
      <c r="C20" s="341">
        <v>308</v>
      </c>
      <c r="D20" s="344">
        <f>'RESUMEN SUPERFICIES'!K163</f>
        <v>60.68</v>
      </c>
      <c r="E20" s="344"/>
      <c r="F20" s="615">
        <f>'RESUMEN SUPERFICIES'!M163</f>
        <v>9.32</v>
      </c>
      <c r="G20" s="353">
        <f t="shared" si="1"/>
        <v>70</v>
      </c>
    </row>
    <row r="21" spans="2:7" ht="15" x14ac:dyDescent="0.25">
      <c r="B21" s="340">
        <v>3</v>
      </c>
      <c r="C21" s="341">
        <v>309</v>
      </c>
      <c r="D21" s="344">
        <f>'RESUMEN SUPERFICIES'!K160</f>
        <v>50.28</v>
      </c>
      <c r="E21" s="344"/>
      <c r="F21" s="615">
        <f>'RESUMEN SUPERFICIES'!M160</f>
        <v>8.99</v>
      </c>
      <c r="G21" s="353">
        <f t="shared" si="1"/>
        <v>59.27</v>
      </c>
    </row>
    <row r="22" spans="2:7" ht="15.75" thickBot="1" x14ac:dyDescent="0.3">
      <c r="B22" s="340">
        <v>3</v>
      </c>
      <c r="C22" s="341">
        <v>310</v>
      </c>
      <c r="D22" s="344">
        <f>'RESUMEN SUPERFICIES'!K157</f>
        <v>33.24</v>
      </c>
      <c r="E22" s="344"/>
      <c r="F22" s="615">
        <f>'RESUMEN SUPERFICIES'!M157</f>
        <v>7.98</v>
      </c>
      <c r="G22" s="353">
        <f t="shared" si="1"/>
        <v>41.22</v>
      </c>
    </row>
    <row r="23" spans="2:7" ht="15" x14ac:dyDescent="0.25">
      <c r="B23" s="323">
        <v>4</v>
      </c>
      <c r="C23" s="324">
        <v>401</v>
      </c>
      <c r="D23" s="325">
        <f>D13</f>
        <v>33.24</v>
      </c>
      <c r="E23" s="325"/>
      <c r="F23" s="326">
        <f>F13</f>
        <v>7.98</v>
      </c>
      <c r="G23" s="354">
        <f>SUM(D23:F23)</f>
        <v>41.22</v>
      </c>
    </row>
    <row r="24" spans="2:7" ht="15" x14ac:dyDescent="0.25">
      <c r="B24" s="327">
        <v>4</v>
      </c>
      <c r="C24" s="328">
        <v>402</v>
      </c>
      <c r="D24" s="329">
        <f>D14</f>
        <v>50.18</v>
      </c>
      <c r="E24" s="329"/>
      <c r="F24" s="330">
        <f>F14</f>
        <v>8.99</v>
      </c>
      <c r="G24" s="355">
        <f>SUM(D24:F24)</f>
        <v>59.17</v>
      </c>
    </row>
    <row r="25" spans="2:7" ht="15" x14ac:dyDescent="0.25">
      <c r="B25" s="327">
        <v>4</v>
      </c>
      <c r="C25" s="328">
        <v>403</v>
      </c>
      <c r="D25" s="329">
        <f t="shared" ref="D25:D32" si="2">D15</f>
        <v>71.180000000000007</v>
      </c>
      <c r="E25" s="329"/>
      <c r="F25" s="330">
        <f t="shared" ref="F25:F32" si="3">F15</f>
        <v>8.2100000000000009</v>
      </c>
      <c r="G25" s="355">
        <f t="shared" ref="G25:G32" si="4">SUM(D25:F25)</f>
        <v>79.390000000000015</v>
      </c>
    </row>
    <row r="26" spans="2:7" ht="15" x14ac:dyDescent="0.25">
      <c r="B26" s="327">
        <v>4</v>
      </c>
      <c r="C26" s="328">
        <v>404</v>
      </c>
      <c r="D26" s="329">
        <f t="shared" si="2"/>
        <v>50.18</v>
      </c>
      <c r="E26" s="331"/>
      <c r="F26" s="330">
        <f t="shared" si="3"/>
        <v>8.99</v>
      </c>
      <c r="G26" s="355">
        <f t="shared" si="4"/>
        <v>59.17</v>
      </c>
    </row>
    <row r="27" spans="2:7" ht="15" x14ac:dyDescent="0.25">
      <c r="B27" s="327">
        <v>4</v>
      </c>
      <c r="C27" s="328">
        <v>405</v>
      </c>
      <c r="D27" s="329">
        <f t="shared" si="2"/>
        <v>57.67</v>
      </c>
      <c r="E27" s="331"/>
      <c r="F27" s="330">
        <f t="shared" si="3"/>
        <v>8.2100000000000009</v>
      </c>
      <c r="G27" s="355">
        <f t="shared" si="4"/>
        <v>65.88</v>
      </c>
    </row>
    <row r="28" spans="2:7" ht="15" x14ac:dyDescent="0.25">
      <c r="B28" s="327">
        <v>4</v>
      </c>
      <c r="C28" s="328">
        <v>406</v>
      </c>
      <c r="D28" s="329">
        <f t="shared" si="2"/>
        <v>57.67</v>
      </c>
      <c r="E28" s="333"/>
      <c r="F28" s="330">
        <f t="shared" si="3"/>
        <v>8.2100000000000009</v>
      </c>
      <c r="G28" s="355">
        <f t="shared" si="4"/>
        <v>65.88</v>
      </c>
    </row>
    <row r="29" spans="2:7" ht="15" x14ac:dyDescent="0.25">
      <c r="B29" s="327">
        <v>4</v>
      </c>
      <c r="C29" s="328">
        <v>407</v>
      </c>
      <c r="D29" s="329">
        <f t="shared" si="2"/>
        <v>50.18</v>
      </c>
      <c r="E29" s="333"/>
      <c r="F29" s="330">
        <f t="shared" si="3"/>
        <v>8.99</v>
      </c>
      <c r="G29" s="355">
        <f t="shared" si="4"/>
        <v>59.17</v>
      </c>
    </row>
    <row r="30" spans="2:7" ht="15" x14ac:dyDescent="0.25">
      <c r="B30" s="327">
        <v>4</v>
      </c>
      <c r="C30" s="328">
        <v>408</v>
      </c>
      <c r="D30" s="329">
        <f t="shared" si="2"/>
        <v>60.68</v>
      </c>
      <c r="E30" s="331"/>
      <c r="F30" s="330">
        <f t="shared" si="3"/>
        <v>9.32</v>
      </c>
      <c r="G30" s="355">
        <f t="shared" si="4"/>
        <v>70</v>
      </c>
    </row>
    <row r="31" spans="2:7" ht="15" x14ac:dyDescent="0.25">
      <c r="B31" s="327">
        <v>4</v>
      </c>
      <c r="C31" s="328">
        <v>409</v>
      </c>
      <c r="D31" s="329">
        <f t="shared" si="2"/>
        <v>50.28</v>
      </c>
      <c r="E31" s="331"/>
      <c r="F31" s="330">
        <f t="shared" si="3"/>
        <v>8.99</v>
      </c>
      <c r="G31" s="355">
        <f t="shared" si="4"/>
        <v>59.27</v>
      </c>
    </row>
    <row r="32" spans="2:7" ht="15.75" thickBot="1" x14ac:dyDescent="0.3">
      <c r="B32" s="327">
        <v>4</v>
      </c>
      <c r="C32" s="328">
        <v>410</v>
      </c>
      <c r="D32" s="329">
        <f t="shared" si="2"/>
        <v>33.24</v>
      </c>
      <c r="E32" s="331"/>
      <c r="F32" s="330">
        <f t="shared" si="3"/>
        <v>7.98</v>
      </c>
      <c r="G32" s="355">
        <f t="shared" si="4"/>
        <v>41.22</v>
      </c>
    </row>
    <row r="33" spans="2:7" ht="15" x14ac:dyDescent="0.25">
      <c r="B33" s="336">
        <v>5</v>
      </c>
      <c r="C33" s="337">
        <v>501</v>
      </c>
      <c r="D33" s="338">
        <f>D23</f>
        <v>33.24</v>
      </c>
      <c r="E33" s="338"/>
      <c r="F33" s="339">
        <f>F23</f>
        <v>7.98</v>
      </c>
      <c r="G33" s="352">
        <f>SUM(D33:F33)</f>
        <v>41.22</v>
      </c>
    </row>
    <row r="34" spans="2:7" ht="15" x14ac:dyDescent="0.25">
      <c r="B34" s="340">
        <v>5</v>
      </c>
      <c r="C34" s="341">
        <v>502</v>
      </c>
      <c r="D34" s="342">
        <f>D24</f>
        <v>50.18</v>
      </c>
      <c r="E34" s="342"/>
      <c r="F34" s="343">
        <f>F24</f>
        <v>8.99</v>
      </c>
      <c r="G34" s="353">
        <f>SUM(D34:F34)</f>
        <v>59.17</v>
      </c>
    </row>
    <row r="35" spans="2:7" ht="15" x14ac:dyDescent="0.25">
      <c r="B35" s="340">
        <v>5</v>
      </c>
      <c r="C35" s="341">
        <v>503</v>
      </c>
      <c r="D35" s="342">
        <f t="shared" ref="D35:D42" si="5">D25</f>
        <v>71.180000000000007</v>
      </c>
      <c r="E35" s="342"/>
      <c r="F35" s="343">
        <f t="shared" ref="F35:F42" si="6">F25</f>
        <v>8.2100000000000009</v>
      </c>
      <c r="G35" s="353">
        <f t="shared" ref="G35:G42" si="7">SUM(D35:F35)</f>
        <v>79.390000000000015</v>
      </c>
    </row>
    <row r="36" spans="2:7" ht="15" x14ac:dyDescent="0.25">
      <c r="B36" s="340">
        <v>5</v>
      </c>
      <c r="C36" s="341">
        <v>504</v>
      </c>
      <c r="D36" s="342">
        <f t="shared" si="5"/>
        <v>50.18</v>
      </c>
      <c r="E36" s="344"/>
      <c r="F36" s="345">
        <f t="shared" si="6"/>
        <v>8.99</v>
      </c>
      <c r="G36" s="353">
        <f t="shared" si="7"/>
        <v>59.17</v>
      </c>
    </row>
    <row r="37" spans="2:7" ht="15" x14ac:dyDescent="0.25">
      <c r="B37" s="340">
        <v>5</v>
      </c>
      <c r="C37" s="341">
        <v>505</v>
      </c>
      <c r="D37" s="342">
        <f t="shared" si="5"/>
        <v>57.67</v>
      </c>
      <c r="E37" s="344"/>
      <c r="F37" s="345">
        <f t="shared" si="6"/>
        <v>8.2100000000000009</v>
      </c>
      <c r="G37" s="353">
        <f t="shared" si="7"/>
        <v>65.88</v>
      </c>
    </row>
    <row r="38" spans="2:7" ht="15" x14ac:dyDescent="0.25">
      <c r="B38" s="340">
        <v>5</v>
      </c>
      <c r="C38" s="341">
        <v>506</v>
      </c>
      <c r="D38" s="342">
        <f t="shared" si="5"/>
        <v>57.67</v>
      </c>
      <c r="E38" s="344"/>
      <c r="F38" s="345">
        <f t="shared" si="6"/>
        <v>8.2100000000000009</v>
      </c>
      <c r="G38" s="353">
        <f t="shared" si="7"/>
        <v>65.88</v>
      </c>
    </row>
    <row r="39" spans="2:7" ht="15" x14ac:dyDescent="0.25">
      <c r="B39" s="340">
        <v>5</v>
      </c>
      <c r="C39" s="341">
        <v>507</v>
      </c>
      <c r="D39" s="342">
        <f t="shared" si="5"/>
        <v>50.18</v>
      </c>
      <c r="E39" s="344"/>
      <c r="F39" s="345">
        <f t="shared" si="6"/>
        <v>8.99</v>
      </c>
      <c r="G39" s="353">
        <f t="shared" si="7"/>
        <v>59.17</v>
      </c>
    </row>
    <row r="40" spans="2:7" ht="15" x14ac:dyDescent="0.25">
      <c r="B40" s="340">
        <v>5</v>
      </c>
      <c r="C40" s="341">
        <v>508</v>
      </c>
      <c r="D40" s="342">
        <f t="shared" si="5"/>
        <v>60.68</v>
      </c>
      <c r="E40" s="344"/>
      <c r="F40" s="345">
        <f t="shared" si="6"/>
        <v>9.32</v>
      </c>
      <c r="G40" s="353">
        <f t="shared" si="7"/>
        <v>70</v>
      </c>
    </row>
    <row r="41" spans="2:7" ht="15" x14ac:dyDescent="0.25">
      <c r="B41" s="340">
        <v>5</v>
      </c>
      <c r="C41" s="341">
        <v>509</v>
      </c>
      <c r="D41" s="342">
        <f t="shared" si="5"/>
        <v>50.28</v>
      </c>
      <c r="E41" s="344"/>
      <c r="F41" s="345">
        <f t="shared" si="6"/>
        <v>8.99</v>
      </c>
      <c r="G41" s="353">
        <f t="shared" si="7"/>
        <v>59.27</v>
      </c>
    </row>
    <row r="42" spans="2:7" ht="15.75" thickBot="1" x14ac:dyDescent="0.3">
      <c r="B42" s="340">
        <v>5</v>
      </c>
      <c r="C42" s="341">
        <v>510</v>
      </c>
      <c r="D42" s="342">
        <f t="shared" si="5"/>
        <v>33.24</v>
      </c>
      <c r="E42" s="344"/>
      <c r="F42" s="345">
        <f t="shared" si="6"/>
        <v>7.98</v>
      </c>
      <c r="G42" s="353">
        <f t="shared" si="7"/>
        <v>41.22</v>
      </c>
    </row>
    <row r="43" spans="2:7" ht="15" x14ac:dyDescent="0.25">
      <c r="B43" s="323">
        <v>6</v>
      </c>
      <c r="C43" s="324">
        <v>601</v>
      </c>
      <c r="D43" s="325">
        <f>D33</f>
        <v>33.24</v>
      </c>
      <c r="E43" s="325"/>
      <c r="F43" s="326">
        <f>F33</f>
        <v>7.98</v>
      </c>
      <c r="G43" s="354">
        <f>SUM(D43:F43)</f>
        <v>41.22</v>
      </c>
    </row>
    <row r="44" spans="2:7" ht="15" x14ac:dyDescent="0.25">
      <c r="B44" s="327">
        <v>6</v>
      </c>
      <c r="C44" s="328">
        <v>602</v>
      </c>
      <c r="D44" s="329">
        <f>D34</f>
        <v>50.18</v>
      </c>
      <c r="E44" s="329"/>
      <c r="F44" s="330">
        <f>F34</f>
        <v>8.99</v>
      </c>
      <c r="G44" s="355">
        <f>SUM(D44:F44)</f>
        <v>59.17</v>
      </c>
    </row>
    <row r="45" spans="2:7" ht="15" x14ac:dyDescent="0.25">
      <c r="B45" s="327">
        <v>6</v>
      </c>
      <c r="C45" s="328">
        <v>603</v>
      </c>
      <c r="D45" s="329">
        <f t="shared" ref="D45:D52" si="8">D35</f>
        <v>71.180000000000007</v>
      </c>
      <c r="E45" s="329"/>
      <c r="F45" s="330">
        <f t="shared" ref="F45:F52" si="9">F35</f>
        <v>8.2100000000000009</v>
      </c>
      <c r="G45" s="355">
        <f t="shared" ref="G45:G52" si="10">SUM(D45:F45)</f>
        <v>79.390000000000015</v>
      </c>
    </row>
    <row r="46" spans="2:7" ht="15" x14ac:dyDescent="0.25">
      <c r="B46" s="327">
        <v>6</v>
      </c>
      <c r="C46" s="328">
        <v>604</v>
      </c>
      <c r="D46" s="331">
        <f t="shared" si="8"/>
        <v>50.18</v>
      </c>
      <c r="E46" s="331"/>
      <c r="F46" s="332">
        <f t="shared" si="9"/>
        <v>8.99</v>
      </c>
      <c r="G46" s="355">
        <f t="shared" si="10"/>
        <v>59.17</v>
      </c>
    </row>
    <row r="47" spans="2:7" ht="15" x14ac:dyDescent="0.25">
      <c r="B47" s="327">
        <v>6</v>
      </c>
      <c r="C47" s="328">
        <v>605</v>
      </c>
      <c r="D47" s="331">
        <f t="shared" si="8"/>
        <v>57.67</v>
      </c>
      <c r="E47" s="331"/>
      <c r="F47" s="332">
        <f t="shared" si="9"/>
        <v>8.2100000000000009</v>
      </c>
      <c r="G47" s="355">
        <f t="shared" si="10"/>
        <v>65.88</v>
      </c>
    </row>
    <row r="48" spans="2:7" ht="15" x14ac:dyDescent="0.25">
      <c r="B48" s="327">
        <v>6</v>
      </c>
      <c r="C48" s="328">
        <v>606</v>
      </c>
      <c r="D48" s="331">
        <f t="shared" si="8"/>
        <v>57.67</v>
      </c>
      <c r="E48" s="331"/>
      <c r="F48" s="332">
        <f t="shared" si="9"/>
        <v>8.2100000000000009</v>
      </c>
      <c r="G48" s="355">
        <f t="shared" si="10"/>
        <v>65.88</v>
      </c>
    </row>
    <row r="49" spans="2:7" ht="15" x14ac:dyDescent="0.25">
      <c r="B49" s="327">
        <v>6</v>
      </c>
      <c r="C49" s="328">
        <v>607</v>
      </c>
      <c r="D49" s="331">
        <f t="shared" si="8"/>
        <v>50.18</v>
      </c>
      <c r="E49" s="331"/>
      <c r="F49" s="332">
        <f t="shared" si="9"/>
        <v>8.99</v>
      </c>
      <c r="G49" s="355">
        <f t="shared" si="10"/>
        <v>59.17</v>
      </c>
    </row>
    <row r="50" spans="2:7" ht="15" x14ac:dyDescent="0.25">
      <c r="B50" s="327">
        <v>6</v>
      </c>
      <c r="C50" s="328">
        <v>608</v>
      </c>
      <c r="D50" s="331">
        <f t="shared" si="8"/>
        <v>60.68</v>
      </c>
      <c r="E50" s="331"/>
      <c r="F50" s="332">
        <f t="shared" si="9"/>
        <v>9.32</v>
      </c>
      <c r="G50" s="355">
        <f t="shared" si="10"/>
        <v>70</v>
      </c>
    </row>
    <row r="51" spans="2:7" ht="15" x14ac:dyDescent="0.25">
      <c r="B51" s="327">
        <v>6</v>
      </c>
      <c r="C51" s="328">
        <v>609</v>
      </c>
      <c r="D51" s="331">
        <f t="shared" si="8"/>
        <v>50.28</v>
      </c>
      <c r="E51" s="331"/>
      <c r="F51" s="332">
        <f t="shared" si="9"/>
        <v>8.99</v>
      </c>
      <c r="G51" s="355">
        <f t="shared" si="10"/>
        <v>59.27</v>
      </c>
    </row>
    <row r="52" spans="2:7" ht="15.75" thickBot="1" x14ac:dyDescent="0.3">
      <c r="B52" s="327">
        <v>6</v>
      </c>
      <c r="C52" s="328">
        <v>610</v>
      </c>
      <c r="D52" s="331">
        <f t="shared" si="8"/>
        <v>33.24</v>
      </c>
      <c r="E52" s="331"/>
      <c r="F52" s="332">
        <f t="shared" si="9"/>
        <v>7.98</v>
      </c>
      <c r="G52" s="355">
        <f t="shared" si="10"/>
        <v>41.22</v>
      </c>
    </row>
    <row r="53" spans="2:7" ht="15" x14ac:dyDescent="0.25">
      <c r="B53" s="336">
        <v>7</v>
      </c>
      <c r="C53" s="337">
        <v>701</v>
      </c>
      <c r="D53" s="338">
        <f>D43</f>
        <v>33.24</v>
      </c>
      <c r="E53" s="338"/>
      <c r="F53" s="339">
        <f>F43</f>
        <v>7.98</v>
      </c>
      <c r="G53" s="352">
        <f>SUM(D53:F53)</f>
        <v>41.22</v>
      </c>
    </row>
    <row r="54" spans="2:7" ht="15" x14ac:dyDescent="0.25">
      <c r="B54" s="340">
        <v>7</v>
      </c>
      <c r="C54" s="341">
        <v>702</v>
      </c>
      <c r="D54" s="342">
        <f>D44</f>
        <v>50.18</v>
      </c>
      <c r="E54" s="342"/>
      <c r="F54" s="343">
        <f>F44</f>
        <v>8.99</v>
      </c>
      <c r="G54" s="353">
        <f>SUM(D54:F54)</f>
        <v>59.17</v>
      </c>
    </row>
    <row r="55" spans="2:7" ht="15" x14ac:dyDescent="0.25">
      <c r="B55" s="340">
        <v>7</v>
      </c>
      <c r="C55" s="341">
        <v>703</v>
      </c>
      <c r="D55" s="342">
        <f t="shared" ref="D55:D62" si="11">D45</f>
        <v>71.180000000000007</v>
      </c>
      <c r="E55" s="342"/>
      <c r="F55" s="343">
        <f t="shared" ref="F55:F62" si="12">F45</f>
        <v>8.2100000000000009</v>
      </c>
      <c r="G55" s="353">
        <f t="shared" ref="G55:G62" si="13">SUM(D55:F55)</f>
        <v>79.390000000000015</v>
      </c>
    </row>
    <row r="56" spans="2:7" ht="15" x14ac:dyDescent="0.25">
      <c r="B56" s="340">
        <v>7</v>
      </c>
      <c r="C56" s="341">
        <v>704</v>
      </c>
      <c r="D56" s="344">
        <f t="shared" si="11"/>
        <v>50.18</v>
      </c>
      <c r="E56" s="344"/>
      <c r="F56" s="345">
        <f t="shared" si="12"/>
        <v>8.99</v>
      </c>
      <c r="G56" s="353">
        <f t="shared" si="13"/>
        <v>59.17</v>
      </c>
    </row>
    <row r="57" spans="2:7" ht="15" x14ac:dyDescent="0.25">
      <c r="B57" s="340">
        <v>7</v>
      </c>
      <c r="C57" s="341">
        <v>705</v>
      </c>
      <c r="D57" s="344">
        <f t="shared" si="11"/>
        <v>57.67</v>
      </c>
      <c r="E57" s="344"/>
      <c r="F57" s="345">
        <f t="shared" si="12"/>
        <v>8.2100000000000009</v>
      </c>
      <c r="G57" s="353">
        <f t="shared" si="13"/>
        <v>65.88</v>
      </c>
    </row>
    <row r="58" spans="2:7" ht="15" x14ac:dyDescent="0.25">
      <c r="B58" s="340">
        <v>7</v>
      </c>
      <c r="C58" s="341">
        <v>706</v>
      </c>
      <c r="D58" s="344">
        <f t="shared" si="11"/>
        <v>57.67</v>
      </c>
      <c r="E58" s="344"/>
      <c r="F58" s="345">
        <f t="shared" si="12"/>
        <v>8.2100000000000009</v>
      </c>
      <c r="G58" s="353">
        <f t="shared" si="13"/>
        <v>65.88</v>
      </c>
    </row>
    <row r="59" spans="2:7" ht="15" x14ac:dyDescent="0.25">
      <c r="B59" s="340">
        <v>7</v>
      </c>
      <c r="C59" s="341">
        <v>707</v>
      </c>
      <c r="D59" s="344">
        <f t="shared" si="11"/>
        <v>50.18</v>
      </c>
      <c r="E59" s="344"/>
      <c r="F59" s="345">
        <f t="shared" si="12"/>
        <v>8.99</v>
      </c>
      <c r="G59" s="353">
        <f t="shared" si="13"/>
        <v>59.17</v>
      </c>
    </row>
    <row r="60" spans="2:7" ht="15" x14ac:dyDescent="0.25">
      <c r="B60" s="340">
        <v>7</v>
      </c>
      <c r="C60" s="341">
        <v>708</v>
      </c>
      <c r="D60" s="344">
        <f t="shared" si="11"/>
        <v>60.68</v>
      </c>
      <c r="E60" s="344"/>
      <c r="F60" s="345">
        <f t="shared" si="12"/>
        <v>9.32</v>
      </c>
      <c r="G60" s="353">
        <f t="shared" si="13"/>
        <v>70</v>
      </c>
    </row>
    <row r="61" spans="2:7" ht="15" x14ac:dyDescent="0.25">
      <c r="B61" s="340">
        <v>7</v>
      </c>
      <c r="C61" s="341">
        <v>709</v>
      </c>
      <c r="D61" s="344">
        <f t="shared" si="11"/>
        <v>50.28</v>
      </c>
      <c r="E61" s="344"/>
      <c r="F61" s="345">
        <f t="shared" si="12"/>
        <v>8.99</v>
      </c>
      <c r="G61" s="353">
        <f t="shared" si="13"/>
        <v>59.27</v>
      </c>
    </row>
    <row r="62" spans="2:7" ht="15.75" thickBot="1" x14ac:dyDescent="0.3">
      <c r="B62" s="340">
        <v>7</v>
      </c>
      <c r="C62" s="341">
        <v>710</v>
      </c>
      <c r="D62" s="344">
        <f t="shared" si="11"/>
        <v>33.24</v>
      </c>
      <c r="E62" s="344"/>
      <c r="F62" s="345">
        <f t="shared" si="12"/>
        <v>7.98</v>
      </c>
      <c r="G62" s="353">
        <f t="shared" si="13"/>
        <v>41.22</v>
      </c>
    </row>
    <row r="63" spans="2:7" ht="15" x14ac:dyDescent="0.25">
      <c r="B63" s="323">
        <v>8</v>
      </c>
      <c r="C63" s="324">
        <v>801</v>
      </c>
      <c r="D63" s="325">
        <f>D53</f>
        <v>33.24</v>
      </c>
      <c r="E63" s="325"/>
      <c r="F63" s="326">
        <f>F53</f>
        <v>7.98</v>
      </c>
      <c r="G63" s="354">
        <f>SUM(D63:F63)</f>
        <v>41.22</v>
      </c>
    </row>
    <row r="64" spans="2:7" ht="15" x14ac:dyDescent="0.25">
      <c r="B64" s="327">
        <v>8</v>
      </c>
      <c r="C64" s="328">
        <v>802</v>
      </c>
      <c r="D64" s="329">
        <f>D54</f>
        <v>50.18</v>
      </c>
      <c r="E64" s="329"/>
      <c r="F64" s="330">
        <f>F54</f>
        <v>8.99</v>
      </c>
      <c r="G64" s="355">
        <f>SUM(D64:F64)</f>
        <v>59.17</v>
      </c>
    </row>
    <row r="65" spans="2:7" ht="15" x14ac:dyDescent="0.25">
      <c r="B65" s="327">
        <v>8</v>
      </c>
      <c r="C65" s="328">
        <v>803</v>
      </c>
      <c r="D65" s="329">
        <f t="shared" ref="D65:D72" si="14">D55</f>
        <v>71.180000000000007</v>
      </c>
      <c r="E65" s="329"/>
      <c r="F65" s="330">
        <f t="shared" ref="F65:F72" si="15">F55</f>
        <v>8.2100000000000009</v>
      </c>
      <c r="G65" s="355">
        <f t="shared" ref="G65:G72" si="16">SUM(D65:F65)</f>
        <v>79.390000000000015</v>
      </c>
    </row>
    <row r="66" spans="2:7" ht="15" x14ac:dyDescent="0.25">
      <c r="B66" s="327">
        <v>8</v>
      </c>
      <c r="C66" s="328">
        <v>804</v>
      </c>
      <c r="D66" s="331">
        <f t="shared" si="14"/>
        <v>50.18</v>
      </c>
      <c r="E66" s="331"/>
      <c r="F66" s="332">
        <f t="shared" si="15"/>
        <v>8.99</v>
      </c>
      <c r="G66" s="355">
        <f t="shared" si="16"/>
        <v>59.17</v>
      </c>
    </row>
    <row r="67" spans="2:7" ht="15" x14ac:dyDescent="0.25">
      <c r="B67" s="327">
        <v>8</v>
      </c>
      <c r="C67" s="328">
        <v>805</v>
      </c>
      <c r="D67" s="331">
        <f t="shared" si="14"/>
        <v>57.67</v>
      </c>
      <c r="E67" s="331"/>
      <c r="F67" s="332">
        <f t="shared" si="15"/>
        <v>8.2100000000000009</v>
      </c>
      <c r="G67" s="355">
        <f t="shared" si="16"/>
        <v>65.88</v>
      </c>
    </row>
    <row r="68" spans="2:7" ht="15" x14ac:dyDescent="0.25">
      <c r="B68" s="327">
        <v>8</v>
      </c>
      <c r="C68" s="328">
        <v>806</v>
      </c>
      <c r="D68" s="331">
        <f t="shared" si="14"/>
        <v>57.67</v>
      </c>
      <c r="E68" s="331"/>
      <c r="F68" s="332">
        <f t="shared" si="15"/>
        <v>8.2100000000000009</v>
      </c>
      <c r="G68" s="355">
        <f t="shared" si="16"/>
        <v>65.88</v>
      </c>
    </row>
    <row r="69" spans="2:7" ht="15" x14ac:dyDescent="0.25">
      <c r="B69" s="327">
        <v>8</v>
      </c>
      <c r="C69" s="328">
        <v>807</v>
      </c>
      <c r="D69" s="331">
        <f t="shared" si="14"/>
        <v>50.18</v>
      </c>
      <c r="E69" s="331"/>
      <c r="F69" s="332">
        <f t="shared" si="15"/>
        <v>8.99</v>
      </c>
      <c r="G69" s="355">
        <f t="shared" si="16"/>
        <v>59.17</v>
      </c>
    </row>
    <row r="70" spans="2:7" ht="15" x14ac:dyDescent="0.25">
      <c r="B70" s="327">
        <v>8</v>
      </c>
      <c r="C70" s="328">
        <v>808</v>
      </c>
      <c r="D70" s="331">
        <f t="shared" si="14"/>
        <v>60.68</v>
      </c>
      <c r="E70" s="331"/>
      <c r="F70" s="332">
        <f t="shared" si="15"/>
        <v>9.32</v>
      </c>
      <c r="G70" s="355">
        <f t="shared" si="16"/>
        <v>70</v>
      </c>
    </row>
    <row r="71" spans="2:7" ht="15" x14ac:dyDescent="0.25">
      <c r="B71" s="327">
        <v>8</v>
      </c>
      <c r="C71" s="328">
        <v>809</v>
      </c>
      <c r="D71" s="331">
        <f t="shared" si="14"/>
        <v>50.28</v>
      </c>
      <c r="E71" s="331"/>
      <c r="F71" s="332">
        <f t="shared" si="15"/>
        <v>8.99</v>
      </c>
      <c r="G71" s="355">
        <f t="shared" si="16"/>
        <v>59.27</v>
      </c>
    </row>
    <row r="72" spans="2:7" ht="15.75" thickBot="1" x14ac:dyDescent="0.3">
      <c r="B72" s="327">
        <v>8</v>
      </c>
      <c r="C72" s="328">
        <v>810</v>
      </c>
      <c r="D72" s="331">
        <f t="shared" si="14"/>
        <v>33.24</v>
      </c>
      <c r="E72" s="331"/>
      <c r="F72" s="332">
        <f t="shared" si="15"/>
        <v>7.98</v>
      </c>
      <c r="G72" s="355">
        <f t="shared" si="16"/>
        <v>41.22</v>
      </c>
    </row>
    <row r="73" spans="2:7" ht="15" x14ac:dyDescent="0.25">
      <c r="B73" s="336">
        <v>9</v>
      </c>
      <c r="C73" s="337">
        <v>901</v>
      </c>
      <c r="D73" s="338">
        <f>D63</f>
        <v>33.24</v>
      </c>
      <c r="E73" s="338"/>
      <c r="F73" s="339">
        <f>F63</f>
        <v>7.98</v>
      </c>
      <c r="G73" s="352">
        <f>SUM(D73:F73)</f>
        <v>41.22</v>
      </c>
    </row>
    <row r="74" spans="2:7" ht="15" x14ac:dyDescent="0.25">
      <c r="B74" s="340">
        <v>9</v>
      </c>
      <c r="C74" s="341">
        <v>902</v>
      </c>
      <c r="D74" s="342">
        <f>D64</f>
        <v>50.18</v>
      </c>
      <c r="E74" s="342"/>
      <c r="F74" s="343">
        <f>F64</f>
        <v>8.99</v>
      </c>
      <c r="G74" s="353">
        <f>SUM(D74:F74)</f>
        <v>59.17</v>
      </c>
    </row>
    <row r="75" spans="2:7" ht="15" x14ac:dyDescent="0.25">
      <c r="B75" s="340">
        <v>9</v>
      </c>
      <c r="C75" s="341">
        <v>903</v>
      </c>
      <c r="D75" s="342">
        <f t="shared" ref="D75:D82" si="17">D65</f>
        <v>71.180000000000007</v>
      </c>
      <c r="E75" s="342"/>
      <c r="F75" s="343">
        <f t="shared" ref="F75:F82" si="18">F65</f>
        <v>8.2100000000000009</v>
      </c>
      <c r="G75" s="353">
        <f t="shared" ref="G75:G82" si="19">SUM(D75:F75)</f>
        <v>79.390000000000015</v>
      </c>
    </row>
    <row r="76" spans="2:7" ht="15" x14ac:dyDescent="0.25">
      <c r="B76" s="340">
        <v>9</v>
      </c>
      <c r="C76" s="341">
        <v>904</v>
      </c>
      <c r="D76" s="344">
        <f t="shared" si="17"/>
        <v>50.18</v>
      </c>
      <c r="E76" s="344"/>
      <c r="F76" s="345">
        <f t="shared" si="18"/>
        <v>8.99</v>
      </c>
      <c r="G76" s="353">
        <f t="shared" si="19"/>
        <v>59.17</v>
      </c>
    </row>
    <row r="77" spans="2:7" ht="15" x14ac:dyDescent="0.25">
      <c r="B77" s="340">
        <v>9</v>
      </c>
      <c r="C77" s="341">
        <v>905</v>
      </c>
      <c r="D77" s="344">
        <f t="shared" si="17"/>
        <v>57.67</v>
      </c>
      <c r="E77" s="344"/>
      <c r="F77" s="345">
        <f t="shared" si="18"/>
        <v>8.2100000000000009</v>
      </c>
      <c r="G77" s="353">
        <f t="shared" si="19"/>
        <v>65.88</v>
      </c>
    </row>
    <row r="78" spans="2:7" ht="15" x14ac:dyDescent="0.25">
      <c r="B78" s="340">
        <v>9</v>
      </c>
      <c r="C78" s="341">
        <v>906</v>
      </c>
      <c r="D78" s="344">
        <f t="shared" si="17"/>
        <v>57.67</v>
      </c>
      <c r="E78" s="344"/>
      <c r="F78" s="345">
        <f t="shared" si="18"/>
        <v>8.2100000000000009</v>
      </c>
      <c r="G78" s="353">
        <f t="shared" si="19"/>
        <v>65.88</v>
      </c>
    </row>
    <row r="79" spans="2:7" ht="15" x14ac:dyDescent="0.25">
      <c r="B79" s="340">
        <v>9</v>
      </c>
      <c r="C79" s="341">
        <v>907</v>
      </c>
      <c r="D79" s="344">
        <f t="shared" si="17"/>
        <v>50.18</v>
      </c>
      <c r="E79" s="344"/>
      <c r="F79" s="345">
        <f t="shared" si="18"/>
        <v>8.99</v>
      </c>
      <c r="G79" s="353">
        <f t="shared" si="19"/>
        <v>59.17</v>
      </c>
    </row>
    <row r="80" spans="2:7" ht="15" x14ac:dyDescent="0.25">
      <c r="B80" s="340">
        <v>9</v>
      </c>
      <c r="C80" s="341">
        <v>908</v>
      </c>
      <c r="D80" s="344">
        <f t="shared" si="17"/>
        <v>60.68</v>
      </c>
      <c r="E80" s="344"/>
      <c r="F80" s="345">
        <f t="shared" si="18"/>
        <v>9.32</v>
      </c>
      <c r="G80" s="353">
        <f t="shared" si="19"/>
        <v>70</v>
      </c>
    </row>
    <row r="81" spans="2:7" ht="15" x14ac:dyDescent="0.25">
      <c r="B81" s="340">
        <v>9</v>
      </c>
      <c r="C81" s="341">
        <v>909</v>
      </c>
      <c r="D81" s="344">
        <f t="shared" si="17"/>
        <v>50.28</v>
      </c>
      <c r="E81" s="344"/>
      <c r="F81" s="345">
        <f t="shared" si="18"/>
        <v>8.99</v>
      </c>
      <c r="G81" s="353">
        <f t="shared" si="19"/>
        <v>59.27</v>
      </c>
    </row>
    <row r="82" spans="2:7" ht="15.75" thickBot="1" x14ac:dyDescent="0.3">
      <c r="B82" s="340">
        <v>9</v>
      </c>
      <c r="C82" s="341">
        <v>910</v>
      </c>
      <c r="D82" s="344">
        <f t="shared" si="17"/>
        <v>33.24</v>
      </c>
      <c r="E82" s="344"/>
      <c r="F82" s="345">
        <f t="shared" si="18"/>
        <v>7.98</v>
      </c>
      <c r="G82" s="353">
        <f t="shared" si="19"/>
        <v>41.22</v>
      </c>
    </row>
    <row r="83" spans="2:7" ht="15" x14ac:dyDescent="0.25">
      <c r="B83" s="323">
        <v>10</v>
      </c>
      <c r="C83" s="324">
        <v>1001</v>
      </c>
      <c r="D83" s="325">
        <f>D73</f>
        <v>33.24</v>
      </c>
      <c r="E83" s="325"/>
      <c r="F83" s="326">
        <f>F73</f>
        <v>7.98</v>
      </c>
      <c r="G83" s="354">
        <f>SUM(D83:F83)</f>
        <v>41.22</v>
      </c>
    </row>
    <row r="84" spans="2:7" ht="15" x14ac:dyDescent="0.25">
      <c r="B84" s="327">
        <v>10</v>
      </c>
      <c r="C84" s="328">
        <v>1002</v>
      </c>
      <c r="D84" s="329">
        <f>D74</f>
        <v>50.18</v>
      </c>
      <c r="E84" s="329"/>
      <c r="F84" s="330">
        <f>F74</f>
        <v>8.99</v>
      </c>
      <c r="G84" s="355">
        <f>SUM(D84:F84)</f>
        <v>59.17</v>
      </c>
    </row>
    <row r="85" spans="2:7" ht="15" x14ac:dyDescent="0.25">
      <c r="B85" s="327">
        <v>10</v>
      </c>
      <c r="C85" s="328">
        <v>1003</v>
      </c>
      <c r="D85" s="329">
        <f t="shared" ref="D85:D92" si="20">D75</f>
        <v>71.180000000000007</v>
      </c>
      <c r="E85" s="329"/>
      <c r="F85" s="330">
        <f t="shared" ref="F85:F92" si="21">F75</f>
        <v>8.2100000000000009</v>
      </c>
      <c r="G85" s="355">
        <f t="shared" ref="G85:G92" si="22">SUM(D85:F85)</f>
        <v>79.390000000000015</v>
      </c>
    </row>
    <row r="86" spans="2:7" ht="15" x14ac:dyDescent="0.25">
      <c r="B86" s="327">
        <v>10</v>
      </c>
      <c r="C86" s="328">
        <v>1004</v>
      </c>
      <c r="D86" s="331">
        <f t="shared" si="20"/>
        <v>50.18</v>
      </c>
      <c r="E86" s="331"/>
      <c r="F86" s="332">
        <f t="shared" si="21"/>
        <v>8.99</v>
      </c>
      <c r="G86" s="355">
        <f t="shared" si="22"/>
        <v>59.17</v>
      </c>
    </row>
    <row r="87" spans="2:7" ht="15" x14ac:dyDescent="0.25">
      <c r="B87" s="327">
        <v>10</v>
      </c>
      <c r="C87" s="328">
        <v>1005</v>
      </c>
      <c r="D87" s="331">
        <f t="shared" si="20"/>
        <v>57.67</v>
      </c>
      <c r="E87" s="331"/>
      <c r="F87" s="332">
        <f t="shared" si="21"/>
        <v>8.2100000000000009</v>
      </c>
      <c r="G87" s="355">
        <f t="shared" si="22"/>
        <v>65.88</v>
      </c>
    </row>
    <row r="88" spans="2:7" ht="15" x14ac:dyDescent="0.25">
      <c r="B88" s="327">
        <v>10</v>
      </c>
      <c r="C88" s="328">
        <v>1006</v>
      </c>
      <c r="D88" s="331">
        <f t="shared" si="20"/>
        <v>57.67</v>
      </c>
      <c r="E88" s="331"/>
      <c r="F88" s="332">
        <f t="shared" si="21"/>
        <v>8.2100000000000009</v>
      </c>
      <c r="G88" s="355">
        <f t="shared" si="22"/>
        <v>65.88</v>
      </c>
    </row>
    <row r="89" spans="2:7" ht="15" x14ac:dyDescent="0.25">
      <c r="B89" s="327">
        <v>10</v>
      </c>
      <c r="C89" s="328">
        <v>1007</v>
      </c>
      <c r="D89" s="331">
        <f t="shared" si="20"/>
        <v>50.18</v>
      </c>
      <c r="E89" s="331"/>
      <c r="F89" s="332">
        <f t="shared" si="21"/>
        <v>8.99</v>
      </c>
      <c r="G89" s="355">
        <f t="shared" si="22"/>
        <v>59.17</v>
      </c>
    </row>
    <row r="90" spans="2:7" ht="15" x14ac:dyDescent="0.25">
      <c r="B90" s="327">
        <v>10</v>
      </c>
      <c r="C90" s="328">
        <v>1008</v>
      </c>
      <c r="D90" s="331">
        <f t="shared" si="20"/>
        <v>60.68</v>
      </c>
      <c r="E90" s="331"/>
      <c r="F90" s="332">
        <f t="shared" si="21"/>
        <v>9.32</v>
      </c>
      <c r="G90" s="355">
        <f t="shared" si="22"/>
        <v>70</v>
      </c>
    </row>
    <row r="91" spans="2:7" ht="15" x14ac:dyDescent="0.25">
      <c r="B91" s="327">
        <v>10</v>
      </c>
      <c r="C91" s="328">
        <v>1009</v>
      </c>
      <c r="D91" s="331">
        <f t="shared" si="20"/>
        <v>50.28</v>
      </c>
      <c r="E91" s="331"/>
      <c r="F91" s="332">
        <f t="shared" si="21"/>
        <v>8.99</v>
      </c>
      <c r="G91" s="355">
        <f t="shared" si="22"/>
        <v>59.27</v>
      </c>
    </row>
    <row r="92" spans="2:7" ht="15.75" thickBot="1" x14ac:dyDescent="0.3">
      <c r="B92" s="327">
        <v>10</v>
      </c>
      <c r="C92" s="328">
        <v>1010</v>
      </c>
      <c r="D92" s="331">
        <f t="shared" si="20"/>
        <v>33.24</v>
      </c>
      <c r="E92" s="331"/>
      <c r="F92" s="332">
        <f t="shared" si="21"/>
        <v>7.98</v>
      </c>
      <c r="G92" s="355">
        <f t="shared" si="22"/>
        <v>41.22</v>
      </c>
    </row>
    <row r="93" spans="2:7" ht="15" x14ac:dyDescent="0.25">
      <c r="B93" s="336">
        <v>11</v>
      </c>
      <c r="C93" s="337">
        <v>1101</v>
      </c>
      <c r="D93" s="338">
        <f>D83</f>
        <v>33.24</v>
      </c>
      <c r="E93" s="338"/>
      <c r="F93" s="339">
        <f>F83</f>
        <v>7.98</v>
      </c>
      <c r="G93" s="352">
        <f>SUM(D93:F93)</f>
        <v>41.22</v>
      </c>
    </row>
    <row r="94" spans="2:7" ht="15" x14ac:dyDescent="0.25">
      <c r="B94" s="340">
        <v>11</v>
      </c>
      <c r="C94" s="341">
        <v>1102</v>
      </c>
      <c r="D94" s="342">
        <f>D84</f>
        <v>50.18</v>
      </c>
      <c r="E94" s="342"/>
      <c r="F94" s="343">
        <f>F84</f>
        <v>8.99</v>
      </c>
      <c r="G94" s="353">
        <f>SUM(D94:F94)</f>
        <v>59.17</v>
      </c>
    </row>
    <row r="95" spans="2:7" ht="15" x14ac:dyDescent="0.25">
      <c r="B95" s="340">
        <v>11</v>
      </c>
      <c r="C95" s="341">
        <v>1103</v>
      </c>
      <c r="D95" s="342">
        <f t="shared" ref="D95:D102" si="23">D85</f>
        <v>71.180000000000007</v>
      </c>
      <c r="E95" s="342"/>
      <c r="F95" s="343">
        <f t="shared" ref="F95:F102" si="24">F85</f>
        <v>8.2100000000000009</v>
      </c>
      <c r="G95" s="353">
        <f t="shared" ref="G95:G102" si="25">SUM(D95:F95)</f>
        <v>79.390000000000015</v>
      </c>
    </row>
    <row r="96" spans="2:7" ht="15" x14ac:dyDescent="0.25">
      <c r="B96" s="340">
        <v>11</v>
      </c>
      <c r="C96" s="341">
        <v>1104</v>
      </c>
      <c r="D96" s="344">
        <f t="shared" si="23"/>
        <v>50.18</v>
      </c>
      <c r="E96" s="344"/>
      <c r="F96" s="345">
        <f t="shared" si="24"/>
        <v>8.99</v>
      </c>
      <c r="G96" s="353">
        <f t="shared" si="25"/>
        <v>59.17</v>
      </c>
    </row>
    <row r="97" spans="2:7" ht="15" x14ac:dyDescent="0.25">
      <c r="B97" s="340">
        <v>11</v>
      </c>
      <c r="C97" s="341">
        <v>1105</v>
      </c>
      <c r="D97" s="344">
        <f t="shared" si="23"/>
        <v>57.67</v>
      </c>
      <c r="E97" s="344"/>
      <c r="F97" s="345">
        <f t="shared" si="24"/>
        <v>8.2100000000000009</v>
      </c>
      <c r="G97" s="353">
        <f t="shared" si="25"/>
        <v>65.88</v>
      </c>
    </row>
    <row r="98" spans="2:7" ht="15" x14ac:dyDescent="0.25">
      <c r="B98" s="340">
        <v>11</v>
      </c>
      <c r="C98" s="341">
        <v>1106</v>
      </c>
      <c r="D98" s="344">
        <f t="shared" si="23"/>
        <v>57.67</v>
      </c>
      <c r="E98" s="344"/>
      <c r="F98" s="345">
        <f t="shared" si="24"/>
        <v>8.2100000000000009</v>
      </c>
      <c r="G98" s="353">
        <f t="shared" si="25"/>
        <v>65.88</v>
      </c>
    </row>
    <row r="99" spans="2:7" ht="15" x14ac:dyDescent="0.25">
      <c r="B99" s="340">
        <v>11</v>
      </c>
      <c r="C99" s="341">
        <v>1107</v>
      </c>
      <c r="D99" s="344">
        <f t="shared" si="23"/>
        <v>50.18</v>
      </c>
      <c r="E99" s="344"/>
      <c r="F99" s="345">
        <f t="shared" si="24"/>
        <v>8.99</v>
      </c>
      <c r="G99" s="353">
        <f t="shared" si="25"/>
        <v>59.17</v>
      </c>
    </row>
    <row r="100" spans="2:7" ht="15" x14ac:dyDescent="0.25">
      <c r="B100" s="340">
        <v>11</v>
      </c>
      <c r="C100" s="341">
        <v>1108</v>
      </c>
      <c r="D100" s="344">
        <f t="shared" si="23"/>
        <v>60.68</v>
      </c>
      <c r="E100" s="344"/>
      <c r="F100" s="345">
        <f t="shared" si="24"/>
        <v>9.32</v>
      </c>
      <c r="G100" s="353">
        <f t="shared" si="25"/>
        <v>70</v>
      </c>
    </row>
    <row r="101" spans="2:7" ht="15" x14ac:dyDescent="0.25">
      <c r="B101" s="340">
        <v>11</v>
      </c>
      <c r="C101" s="341">
        <v>1109</v>
      </c>
      <c r="D101" s="344">
        <f t="shared" si="23"/>
        <v>50.28</v>
      </c>
      <c r="E101" s="344"/>
      <c r="F101" s="345">
        <f t="shared" si="24"/>
        <v>8.99</v>
      </c>
      <c r="G101" s="353">
        <f t="shared" si="25"/>
        <v>59.27</v>
      </c>
    </row>
    <row r="102" spans="2:7" ht="15.75" thickBot="1" x14ac:dyDescent="0.3">
      <c r="B102" s="340">
        <v>11</v>
      </c>
      <c r="C102" s="341">
        <v>1110</v>
      </c>
      <c r="D102" s="344">
        <f t="shared" si="23"/>
        <v>33.24</v>
      </c>
      <c r="E102" s="344"/>
      <c r="F102" s="345">
        <f t="shared" si="24"/>
        <v>7.98</v>
      </c>
      <c r="G102" s="353">
        <f t="shared" si="25"/>
        <v>41.22</v>
      </c>
    </row>
    <row r="103" spans="2:7" ht="15" x14ac:dyDescent="0.25">
      <c r="B103" s="323">
        <v>12</v>
      </c>
      <c r="C103" s="324">
        <v>1201</v>
      </c>
      <c r="D103" s="325">
        <f>D93</f>
        <v>33.24</v>
      </c>
      <c r="E103" s="325"/>
      <c r="F103" s="326">
        <f>F93</f>
        <v>7.98</v>
      </c>
      <c r="G103" s="354">
        <f>SUM(D103:F103)</f>
        <v>41.22</v>
      </c>
    </row>
    <row r="104" spans="2:7" ht="15" x14ac:dyDescent="0.25">
      <c r="B104" s="327">
        <v>12</v>
      </c>
      <c r="C104" s="328">
        <v>1202</v>
      </c>
      <c r="D104" s="329">
        <f>D94</f>
        <v>50.18</v>
      </c>
      <c r="E104" s="329"/>
      <c r="F104" s="330">
        <f>F94</f>
        <v>8.99</v>
      </c>
      <c r="G104" s="355">
        <f>SUM(D104:F104)</f>
        <v>59.17</v>
      </c>
    </row>
    <row r="105" spans="2:7" ht="15" x14ac:dyDescent="0.25">
      <c r="B105" s="327">
        <v>12</v>
      </c>
      <c r="C105" s="328">
        <v>1203</v>
      </c>
      <c r="D105" s="329">
        <f t="shared" ref="D105:D112" si="26">D95</f>
        <v>71.180000000000007</v>
      </c>
      <c r="E105" s="329"/>
      <c r="F105" s="330">
        <f t="shared" ref="F105:F112" si="27">F95</f>
        <v>8.2100000000000009</v>
      </c>
      <c r="G105" s="355">
        <f t="shared" ref="G105:G112" si="28">SUM(D105:F105)</f>
        <v>79.390000000000015</v>
      </c>
    </row>
    <row r="106" spans="2:7" ht="15" x14ac:dyDescent="0.25">
      <c r="B106" s="327">
        <v>12</v>
      </c>
      <c r="C106" s="328">
        <v>1204</v>
      </c>
      <c r="D106" s="331">
        <f t="shared" si="26"/>
        <v>50.18</v>
      </c>
      <c r="E106" s="331"/>
      <c r="F106" s="332">
        <f t="shared" si="27"/>
        <v>8.99</v>
      </c>
      <c r="G106" s="355">
        <f t="shared" si="28"/>
        <v>59.17</v>
      </c>
    </row>
    <row r="107" spans="2:7" ht="15" x14ac:dyDescent="0.25">
      <c r="B107" s="327">
        <v>12</v>
      </c>
      <c r="C107" s="328">
        <v>1205</v>
      </c>
      <c r="D107" s="331">
        <f t="shared" si="26"/>
        <v>57.67</v>
      </c>
      <c r="E107" s="331"/>
      <c r="F107" s="332">
        <f t="shared" si="27"/>
        <v>8.2100000000000009</v>
      </c>
      <c r="G107" s="355">
        <f t="shared" si="28"/>
        <v>65.88</v>
      </c>
    </row>
    <row r="108" spans="2:7" ht="15" x14ac:dyDescent="0.25">
      <c r="B108" s="327">
        <v>12</v>
      </c>
      <c r="C108" s="328">
        <v>1206</v>
      </c>
      <c r="D108" s="331">
        <f t="shared" si="26"/>
        <v>57.67</v>
      </c>
      <c r="E108" s="331"/>
      <c r="F108" s="332">
        <f t="shared" si="27"/>
        <v>8.2100000000000009</v>
      </c>
      <c r="G108" s="355">
        <f t="shared" si="28"/>
        <v>65.88</v>
      </c>
    </row>
    <row r="109" spans="2:7" ht="15" x14ac:dyDescent="0.25">
      <c r="B109" s="327">
        <v>12</v>
      </c>
      <c r="C109" s="328">
        <v>1207</v>
      </c>
      <c r="D109" s="331">
        <f t="shared" si="26"/>
        <v>50.18</v>
      </c>
      <c r="E109" s="331"/>
      <c r="F109" s="332">
        <f t="shared" si="27"/>
        <v>8.99</v>
      </c>
      <c r="G109" s="355">
        <f t="shared" si="28"/>
        <v>59.17</v>
      </c>
    </row>
    <row r="110" spans="2:7" ht="15" x14ac:dyDescent="0.25">
      <c r="B110" s="327">
        <v>12</v>
      </c>
      <c r="C110" s="328">
        <v>1208</v>
      </c>
      <c r="D110" s="331">
        <f t="shared" si="26"/>
        <v>60.68</v>
      </c>
      <c r="E110" s="331"/>
      <c r="F110" s="332">
        <f t="shared" si="27"/>
        <v>9.32</v>
      </c>
      <c r="G110" s="355">
        <f t="shared" si="28"/>
        <v>70</v>
      </c>
    </row>
    <row r="111" spans="2:7" ht="15" x14ac:dyDescent="0.25">
      <c r="B111" s="327">
        <v>12</v>
      </c>
      <c r="C111" s="328">
        <v>1209</v>
      </c>
      <c r="D111" s="331">
        <f t="shared" si="26"/>
        <v>50.28</v>
      </c>
      <c r="E111" s="331"/>
      <c r="F111" s="332">
        <f t="shared" si="27"/>
        <v>8.99</v>
      </c>
      <c r="G111" s="355">
        <f t="shared" si="28"/>
        <v>59.27</v>
      </c>
    </row>
    <row r="112" spans="2:7" ht="15.75" thickBot="1" x14ac:dyDescent="0.3">
      <c r="B112" s="327">
        <v>12</v>
      </c>
      <c r="C112" s="328">
        <v>1210</v>
      </c>
      <c r="D112" s="331">
        <f t="shared" si="26"/>
        <v>33.24</v>
      </c>
      <c r="E112" s="331"/>
      <c r="F112" s="332">
        <f t="shared" si="27"/>
        <v>7.98</v>
      </c>
      <c r="G112" s="355">
        <f t="shared" si="28"/>
        <v>41.22</v>
      </c>
    </row>
    <row r="113" spans="2:7" ht="15" x14ac:dyDescent="0.25">
      <c r="B113" s="336">
        <v>13</v>
      </c>
      <c r="C113" s="337">
        <v>1301</v>
      </c>
      <c r="D113" s="338">
        <f>D103</f>
        <v>33.24</v>
      </c>
      <c r="E113" s="338"/>
      <c r="F113" s="339">
        <f>F103</f>
        <v>7.98</v>
      </c>
      <c r="G113" s="352">
        <f>SUM(D113:F113)</f>
        <v>41.22</v>
      </c>
    </row>
    <row r="114" spans="2:7" ht="15" x14ac:dyDescent="0.25">
      <c r="B114" s="340">
        <v>13</v>
      </c>
      <c r="C114" s="341">
        <v>1302</v>
      </c>
      <c r="D114" s="342">
        <f>D104</f>
        <v>50.18</v>
      </c>
      <c r="E114" s="342"/>
      <c r="F114" s="343">
        <f>F104</f>
        <v>8.99</v>
      </c>
      <c r="G114" s="353">
        <f>SUM(D114:F114)</f>
        <v>59.17</v>
      </c>
    </row>
    <row r="115" spans="2:7" ht="15" x14ac:dyDescent="0.25">
      <c r="B115" s="340">
        <v>13</v>
      </c>
      <c r="C115" s="341">
        <v>1303</v>
      </c>
      <c r="D115" s="342">
        <f t="shared" ref="D115:D122" si="29">D105</f>
        <v>71.180000000000007</v>
      </c>
      <c r="E115" s="342"/>
      <c r="F115" s="343">
        <f t="shared" ref="F115:F122" si="30">F105</f>
        <v>8.2100000000000009</v>
      </c>
      <c r="G115" s="353">
        <f t="shared" ref="G115:G122" si="31">SUM(D115:F115)</f>
        <v>79.390000000000015</v>
      </c>
    </row>
    <row r="116" spans="2:7" ht="15" x14ac:dyDescent="0.25">
      <c r="B116" s="340">
        <v>13</v>
      </c>
      <c r="C116" s="341">
        <v>1304</v>
      </c>
      <c r="D116" s="344">
        <f t="shared" si="29"/>
        <v>50.18</v>
      </c>
      <c r="E116" s="344"/>
      <c r="F116" s="345">
        <f t="shared" si="30"/>
        <v>8.99</v>
      </c>
      <c r="G116" s="353">
        <f t="shared" si="31"/>
        <v>59.17</v>
      </c>
    </row>
    <row r="117" spans="2:7" ht="15" x14ac:dyDescent="0.25">
      <c r="B117" s="340">
        <v>13</v>
      </c>
      <c r="C117" s="341">
        <v>1305</v>
      </c>
      <c r="D117" s="344">
        <f t="shared" si="29"/>
        <v>57.67</v>
      </c>
      <c r="E117" s="344"/>
      <c r="F117" s="345">
        <f t="shared" si="30"/>
        <v>8.2100000000000009</v>
      </c>
      <c r="G117" s="353">
        <f t="shared" si="31"/>
        <v>65.88</v>
      </c>
    </row>
    <row r="118" spans="2:7" ht="15" x14ac:dyDescent="0.25">
      <c r="B118" s="340">
        <v>13</v>
      </c>
      <c r="C118" s="341">
        <v>1306</v>
      </c>
      <c r="D118" s="344">
        <f t="shared" si="29"/>
        <v>57.67</v>
      </c>
      <c r="E118" s="344"/>
      <c r="F118" s="345">
        <f t="shared" si="30"/>
        <v>8.2100000000000009</v>
      </c>
      <c r="G118" s="353">
        <f t="shared" si="31"/>
        <v>65.88</v>
      </c>
    </row>
    <row r="119" spans="2:7" ht="15" x14ac:dyDescent="0.25">
      <c r="B119" s="340">
        <v>13</v>
      </c>
      <c r="C119" s="341">
        <v>1307</v>
      </c>
      <c r="D119" s="344">
        <f t="shared" si="29"/>
        <v>50.18</v>
      </c>
      <c r="E119" s="344"/>
      <c r="F119" s="345">
        <f t="shared" si="30"/>
        <v>8.99</v>
      </c>
      <c r="G119" s="353">
        <f t="shared" si="31"/>
        <v>59.17</v>
      </c>
    </row>
    <row r="120" spans="2:7" ht="15" x14ac:dyDescent="0.25">
      <c r="B120" s="340">
        <v>13</v>
      </c>
      <c r="C120" s="341">
        <v>1308</v>
      </c>
      <c r="D120" s="344">
        <f t="shared" si="29"/>
        <v>60.68</v>
      </c>
      <c r="E120" s="344"/>
      <c r="F120" s="345">
        <f t="shared" si="30"/>
        <v>9.32</v>
      </c>
      <c r="G120" s="353">
        <f t="shared" si="31"/>
        <v>70</v>
      </c>
    </row>
    <row r="121" spans="2:7" ht="15" x14ac:dyDescent="0.25">
      <c r="B121" s="340">
        <v>13</v>
      </c>
      <c r="C121" s="341">
        <v>1309</v>
      </c>
      <c r="D121" s="344">
        <f t="shared" si="29"/>
        <v>50.28</v>
      </c>
      <c r="E121" s="344"/>
      <c r="F121" s="345">
        <f t="shared" si="30"/>
        <v>8.99</v>
      </c>
      <c r="G121" s="353">
        <f t="shared" si="31"/>
        <v>59.27</v>
      </c>
    </row>
    <row r="122" spans="2:7" ht="15.75" thickBot="1" x14ac:dyDescent="0.3">
      <c r="B122" s="340">
        <v>13</v>
      </c>
      <c r="C122" s="341">
        <v>1310</v>
      </c>
      <c r="D122" s="344">
        <f t="shared" si="29"/>
        <v>33.24</v>
      </c>
      <c r="E122" s="344"/>
      <c r="F122" s="345">
        <f t="shared" si="30"/>
        <v>7.98</v>
      </c>
      <c r="G122" s="353">
        <f t="shared" si="31"/>
        <v>41.22</v>
      </c>
    </row>
    <row r="123" spans="2:7" ht="15" x14ac:dyDescent="0.25">
      <c r="B123" s="323">
        <v>14</v>
      </c>
      <c r="C123" s="324">
        <v>1401</v>
      </c>
      <c r="D123" s="325">
        <f>D113</f>
        <v>33.24</v>
      </c>
      <c r="E123" s="325"/>
      <c r="F123" s="326">
        <f>F113</f>
        <v>7.98</v>
      </c>
      <c r="G123" s="354">
        <f>SUM(D123:F123)</f>
        <v>41.22</v>
      </c>
    </row>
    <row r="124" spans="2:7" ht="15" x14ac:dyDescent="0.25">
      <c r="B124" s="327">
        <v>14</v>
      </c>
      <c r="C124" s="328">
        <v>1402</v>
      </c>
      <c r="D124" s="329">
        <f>D114</f>
        <v>50.18</v>
      </c>
      <c r="E124" s="329"/>
      <c r="F124" s="330">
        <f>F114</f>
        <v>8.99</v>
      </c>
      <c r="G124" s="355">
        <f>SUM(D124:F124)</f>
        <v>59.17</v>
      </c>
    </row>
    <row r="125" spans="2:7" ht="15" x14ac:dyDescent="0.25">
      <c r="B125" s="327">
        <v>14</v>
      </c>
      <c r="C125" s="328">
        <v>1403</v>
      </c>
      <c r="D125" s="329">
        <f t="shared" ref="D125:D132" si="32">D115</f>
        <v>71.180000000000007</v>
      </c>
      <c r="E125" s="329"/>
      <c r="F125" s="330">
        <f t="shared" ref="F125:F132" si="33">F115</f>
        <v>8.2100000000000009</v>
      </c>
      <c r="G125" s="355">
        <f t="shared" ref="G125:G132" si="34">SUM(D125:F125)</f>
        <v>79.390000000000015</v>
      </c>
    </row>
    <row r="126" spans="2:7" ht="15" x14ac:dyDescent="0.25">
      <c r="B126" s="327">
        <v>14</v>
      </c>
      <c r="C126" s="328">
        <v>1404</v>
      </c>
      <c r="D126" s="331">
        <f t="shared" si="32"/>
        <v>50.18</v>
      </c>
      <c r="E126" s="331"/>
      <c r="F126" s="332">
        <f t="shared" si="33"/>
        <v>8.99</v>
      </c>
      <c r="G126" s="355">
        <f t="shared" si="34"/>
        <v>59.17</v>
      </c>
    </row>
    <row r="127" spans="2:7" ht="15" x14ac:dyDescent="0.25">
      <c r="B127" s="327">
        <v>14</v>
      </c>
      <c r="C127" s="328">
        <v>1405</v>
      </c>
      <c r="D127" s="331">
        <f t="shared" si="32"/>
        <v>57.67</v>
      </c>
      <c r="E127" s="331"/>
      <c r="F127" s="332">
        <f t="shared" si="33"/>
        <v>8.2100000000000009</v>
      </c>
      <c r="G127" s="355">
        <f t="shared" si="34"/>
        <v>65.88</v>
      </c>
    </row>
    <row r="128" spans="2:7" ht="15" x14ac:dyDescent="0.25">
      <c r="B128" s="327">
        <v>14</v>
      </c>
      <c r="C128" s="328">
        <v>1406</v>
      </c>
      <c r="D128" s="331">
        <f t="shared" si="32"/>
        <v>57.67</v>
      </c>
      <c r="E128" s="333"/>
      <c r="F128" s="332">
        <f t="shared" si="33"/>
        <v>8.2100000000000009</v>
      </c>
      <c r="G128" s="355">
        <f t="shared" si="34"/>
        <v>65.88</v>
      </c>
    </row>
    <row r="129" spans="2:7" ht="15" x14ac:dyDescent="0.25">
      <c r="B129" s="327">
        <v>14</v>
      </c>
      <c r="C129" s="328">
        <v>1407</v>
      </c>
      <c r="D129" s="331">
        <f t="shared" si="32"/>
        <v>50.18</v>
      </c>
      <c r="E129" s="333"/>
      <c r="F129" s="332">
        <f t="shared" si="33"/>
        <v>8.99</v>
      </c>
      <c r="G129" s="355">
        <f t="shared" si="34"/>
        <v>59.17</v>
      </c>
    </row>
    <row r="130" spans="2:7" ht="15" x14ac:dyDescent="0.25">
      <c r="B130" s="327">
        <v>14</v>
      </c>
      <c r="C130" s="328">
        <v>1408</v>
      </c>
      <c r="D130" s="331">
        <f t="shared" si="32"/>
        <v>60.68</v>
      </c>
      <c r="E130" s="331"/>
      <c r="F130" s="332">
        <f t="shared" si="33"/>
        <v>9.32</v>
      </c>
      <c r="G130" s="355">
        <f t="shared" si="34"/>
        <v>70</v>
      </c>
    </row>
    <row r="131" spans="2:7" ht="15" x14ac:dyDescent="0.25">
      <c r="B131" s="327">
        <v>14</v>
      </c>
      <c r="C131" s="328">
        <v>1409</v>
      </c>
      <c r="D131" s="331">
        <f t="shared" si="32"/>
        <v>50.28</v>
      </c>
      <c r="E131" s="331"/>
      <c r="F131" s="332">
        <f t="shared" si="33"/>
        <v>8.99</v>
      </c>
      <c r="G131" s="355">
        <f t="shared" si="34"/>
        <v>59.27</v>
      </c>
    </row>
    <row r="132" spans="2:7" ht="15.75" thickBot="1" x14ac:dyDescent="0.3">
      <c r="B132" s="327">
        <v>14</v>
      </c>
      <c r="C132" s="328">
        <v>1410</v>
      </c>
      <c r="D132" s="331">
        <f t="shared" si="32"/>
        <v>33.24</v>
      </c>
      <c r="E132" s="331"/>
      <c r="F132" s="332">
        <f t="shared" si="33"/>
        <v>7.98</v>
      </c>
      <c r="G132" s="355">
        <f t="shared" si="34"/>
        <v>41.22</v>
      </c>
    </row>
    <row r="133" spans="2:7" ht="15" x14ac:dyDescent="0.25">
      <c r="B133" s="336">
        <v>15</v>
      </c>
      <c r="C133" s="337">
        <v>1501</v>
      </c>
      <c r="D133" s="338">
        <f>D123</f>
        <v>33.24</v>
      </c>
      <c r="E133" s="338"/>
      <c r="F133" s="339">
        <f>F123</f>
        <v>7.98</v>
      </c>
      <c r="G133" s="352">
        <f>SUM(D133:F133)</f>
        <v>41.22</v>
      </c>
    </row>
    <row r="134" spans="2:7" ht="15" x14ac:dyDescent="0.25">
      <c r="B134" s="340">
        <v>15</v>
      </c>
      <c r="C134" s="341">
        <v>1502</v>
      </c>
      <c r="D134" s="342">
        <f>D124</f>
        <v>50.18</v>
      </c>
      <c r="E134" s="342"/>
      <c r="F134" s="343">
        <f>F124</f>
        <v>8.99</v>
      </c>
      <c r="G134" s="353">
        <f>SUM(D134:F134)</f>
        <v>59.17</v>
      </c>
    </row>
    <row r="135" spans="2:7" ht="15" x14ac:dyDescent="0.25">
      <c r="B135" s="340">
        <v>15</v>
      </c>
      <c r="C135" s="341">
        <v>1503</v>
      </c>
      <c r="D135" s="342">
        <f t="shared" ref="D135:D142" si="35">D125</f>
        <v>71.180000000000007</v>
      </c>
      <c r="E135" s="342"/>
      <c r="F135" s="343">
        <f t="shared" ref="F135:F142" si="36">F125</f>
        <v>8.2100000000000009</v>
      </c>
      <c r="G135" s="353">
        <f t="shared" ref="G135:G142" si="37">SUM(D135:F135)</f>
        <v>79.390000000000015</v>
      </c>
    </row>
    <row r="136" spans="2:7" ht="15" x14ac:dyDescent="0.25">
      <c r="B136" s="340">
        <v>15</v>
      </c>
      <c r="C136" s="341">
        <v>1504</v>
      </c>
      <c r="D136" s="344">
        <f t="shared" si="35"/>
        <v>50.18</v>
      </c>
      <c r="E136" s="344"/>
      <c r="F136" s="345">
        <f t="shared" si="36"/>
        <v>8.99</v>
      </c>
      <c r="G136" s="353">
        <f t="shared" si="37"/>
        <v>59.17</v>
      </c>
    </row>
    <row r="137" spans="2:7" ht="15" x14ac:dyDescent="0.25">
      <c r="B137" s="340">
        <v>15</v>
      </c>
      <c r="C137" s="341">
        <v>1505</v>
      </c>
      <c r="D137" s="344">
        <f t="shared" si="35"/>
        <v>57.67</v>
      </c>
      <c r="E137" s="344"/>
      <c r="F137" s="345">
        <f t="shared" si="36"/>
        <v>8.2100000000000009</v>
      </c>
      <c r="G137" s="353">
        <f t="shared" si="37"/>
        <v>65.88</v>
      </c>
    </row>
    <row r="138" spans="2:7" ht="15" x14ac:dyDescent="0.25">
      <c r="B138" s="340">
        <v>15</v>
      </c>
      <c r="C138" s="341">
        <v>1506</v>
      </c>
      <c r="D138" s="344">
        <f t="shared" si="35"/>
        <v>57.67</v>
      </c>
      <c r="E138" s="344"/>
      <c r="F138" s="345">
        <f t="shared" si="36"/>
        <v>8.2100000000000009</v>
      </c>
      <c r="G138" s="353">
        <f t="shared" si="37"/>
        <v>65.88</v>
      </c>
    </row>
    <row r="139" spans="2:7" ht="15" x14ac:dyDescent="0.25">
      <c r="B139" s="340">
        <v>15</v>
      </c>
      <c r="C139" s="341">
        <v>1507</v>
      </c>
      <c r="D139" s="344">
        <f t="shared" si="35"/>
        <v>50.18</v>
      </c>
      <c r="E139" s="344"/>
      <c r="F139" s="345">
        <f t="shared" si="36"/>
        <v>8.99</v>
      </c>
      <c r="G139" s="353">
        <f t="shared" si="37"/>
        <v>59.17</v>
      </c>
    </row>
    <row r="140" spans="2:7" ht="15" x14ac:dyDescent="0.25">
      <c r="B140" s="340">
        <v>15</v>
      </c>
      <c r="C140" s="341">
        <v>1508</v>
      </c>
      <c r="D140" s="344">
        <f t="shared" si="35"/>
        <v>60.68</v>
      </c>
      <c r="E140" s="344"/>
      <c r="F140" s="345">
        <f t="shared" si="36"/>
        <v>9.32</v>
      </c>
      <c r="G140" s="353">
        <f t="shared" si="37"/>
        <v>70</v>
      </c>
    </row>
    <row r="141" spans="2:7" ht="15" x14ac:dyDescent="0.25">
      <c r="B141" s="340">
        <v>15</v>
      </c>
      <c r="C141" s="341">
        <v>1509</v>
      </c>
      <c r="D141" s="344">
        <f t="shared" si="35"/>
        <v>50.28</v>
      </c>
      <c r="E141" s="344"/>
      <c r="F141" s="345">
        <f t="shared" si="36"/>
        <v>8.99</v>
      </c>
      <c r="G141" s="353">
        <f t="shared" si="37"/>
        <v>59.27</v>
      </c>
    </row>
    <row r="142" spans="2:7" ht="15.75" thickBot="1" x14ac:dyDescent="0.3">
      <c r="B142" s="340">
        <v>15</v>
      </c>
      <c r="C142" s="341">
        <v>1510</v>
      </c>
      <c r="D142" s="344">
        <f t="shared" si="35"/>
        <v>33.24</v>
      </c>
      <c r="E142" s="344"/>
      <c r="F142" s="345">
        <f t="shared" si="36"/>
        <v>7.98</v>
      </c>
      <c r="G142" s="353">
        <f t="shared" si="37"/>
        <v>41.22</v>
      </c>
    </row>
    <row r="143" spans="2:7" ht="15" x14ac:dyDescent="0.25">
      <c r="B143" s="323">
        <v>16</v>
      </c>
      <c r="C143" s="324">
        <v>1601</v>
      </c>
      <c r="D143" s="325">
        <f>D133</f>
        <v>33.24</v>
      </c>
      <c r="E143" s="325"/>
      <c r="F143" s="326">
        <f>F133</f>
        <v>7.98</v>
      </c>
      <c r="G143" s="354">
        <f>SUM(D143:F143)</f>
        <v>41.22</v>
      </c>
    </row>
    <row r="144" spans="2:7" ht="15" x14ac:dyDescent="0.25">
      <c r="B144" s="327">
        <v>16</v>
      </c>
      <c r="C144" s="328">
        <v>1602</v>
      </c>
      <c r="D144" s="329">
        <f>D134</f>
        <v>50.18</v>
      </c>
      <c r="E144" s="329"/>
      <c r="F144" s="330">
        <f>F134</f>
        <v>8.99</v>
      </c>
      <c r="G144" s="355">
        <f>SUM(D144:F144)</f>
        <v>59.17</v>
      </c>
    </row>
    <row r="145" spans="2:7" ht="15" x14ac:dyDescent="0.25">
      <c r="B145" s="327">
        <v>16</v>
      </c>
      <c r="C145" s="328">
        <v>1603</v>
      </c>
      <c r="D145" s="329">
        <f t="shared" ref="D145:D152" si="38">D135</f>
        <v>71.180000000000007</v>
      </c>
      <c r="E145" s="329"/>
      <c r="F145" s="330">
        <f t="shared" ref="F145:F152" si="39">F135</f>
        <v>8.2100000000000009</v>
      </c>
      <c r="G145" s="355">
        <f t="shared" ref="G145:G152" si="40">SUM(D145:F145)</f>
        <v>79.390000000000015</v>
      </c>
    </row>
    <row r="146" spans="2:7" ht="15" x14ac:dyDescent="0.25">
      <c r="B146" s="327">
        <v>16</v>
      </c>
      <c r="C146" s="328">
        <v>1604</v>
      </c>
      <c r="D146" s="331">
        <f t="shared" si="38"/>
        <v>50.18</v>
      </c>
      <c r="E146" s="331"/>
      <c r="F146" s="332">
        <f t="shared" si="39"/>
        <v>8.99</v>
      </c>
      <c r="G146" s="355">
        <f t="shared" si="40"/>
        <v>59.17</v>
      </c>
    </row>
    <row r="147" spans="2:7" ht="15" x14ac:dyDescent="0.25">
      <c r="B147" s="327">
        <v>16</v>
      </c>
      <c r="C147" s="328">
        <v>1605</v>
      </c>
      <c r="D147" s="331">
        <f t="shared" si="38"/>
        <v>57.67</v>
      </c>
      <c r="E147" s="331"/>
      <c r="F147" s="332">
        <f t="shared" si="39"/>
        <v>8.2100000000000009</v>
      </c>
      <c r="G147" s="355">
        <f t="shared" si="40"/>
        <v>65.88</v>
      </c>
    </row>
    <row r="148" spans="2:7" ht="15" x14ac:dyDescent="0.25">
      <c r="B148" s="327">
        <v>16</v>
      </c>
      <c r="C148" s="328">
        <v>1606</v>
      </c>
      <c r="D148" s="331">
        <f t="shared" si="38"/>
        <v>57.67</v>
      </c>
      <c r="E148" s="331"/>
      <c r="F148" s="332">
        <f t="shared" si="39"/>
        <v>8.2100000000000009</v>
      </c>
      <c r="G148" s="355">
        <f t="shared" si="40"/>
        <v>65.88</v>
      </c>
    </row>
    <row r="149" spans="2:7" ht="15" x14ac:dyDescent="0.25">
      <c r="B149" s="327">
        <v>16</v>
      </c>
      <c r="C149" s="328">
        <v>1607</v>
      </c>
      <c r="D149" s="331">
        <f t="shared" si="38"/>
        <v>50.18</v>
      </c>
      <c r="E149" s="331"/>
      <c r="F149" s="332">
        <f t="shared" si="39"/>
        <v>8.99</v>
      </c>
      <c r="G149" s="355">
        <f t="shared" si="40"/>
        <v>59.17</v>
      </c>
    </row>
    <row r="150" spans="2:7" ht="15" x14ac:dyDescent="0.25">
      <c r="B150" s="327">
        <v>16</v>
      </c>
      <c r="C150" s="328">
        <v>1608</v>
      </c>
      <c r="D150" s="331">
        <f t="shared" si="38"/>
        <v>60.68</v>
      </c>
      <c r="E150" s="331"/>
      <c r="F150" s="332">
        <f t="shared" si="39"/>
        <v>9.32</v>
      </c>
      <c r="G150" s="355">
        <f t="shared" si="40"/>
        <v>70</v>
      </c>
    </row>
    <row r="151" spans="2:7" ht="15" x14ac:dyDescent="0.25">
      <c r="B151" s="327">
        <v>16</v>
      </c>
      <c r="C151" s="328">
        <v>1609</v>
      </c>
      <c r="D151" s="331">
        <f t="shared" si="38"/>
        <v>50.28</v>
      </c>
      <c r="E151" s="331"/>
      <c r="F151" s="332">
        <f t="shared" si="39"/>
        <v>8.99</v>
      </c>
      <c r="G151" s="355">
        <f t="shared" si="40"/>
        <v>59.27</v>
      </c>
    </row>
    <row r="152" spans="2:7" ht="15.75" thickBot="1" x14ac:dyDescent="0.3">
      <c r="B152" s="327">
        <v>16</v>
      </c>
      <c r="C152" s="328">
        <v>1610</v>
      </c>
      <c r="D152" s="331">
        <f t="shared" si="38"/>
        <v>33.24</v>
      </c>
      <c r="E152" s="331"/>
      <c r="F152" s="332">
        <f t="shared" si="39"/>
        <v>7.98</v>
      </c>
      <c r="G152" s="355">
        <f t="shared" si="40"/>
        <v>41.22</v>
      </c>
    </row>
    <row r="153" spans="2:7" ht="15" x14ac:dyDescent="0.25">
      <c r="B153" s="336">
        <v>17</v>
      </c>
      <c r="C153" s="337">
        <v>1701</v>
      </c>
      <c r="D153" s="338">
        <f>D143</f>
        <v>33.24</v>
      </c>
      <c r="E153" s="338"/>
      <c r="F153" s="339">
        <f>F143</f>
        <v>7.98</v>
      </c>
      <c r="G153" s="352">
        <f>SUM(D153:F153)</f>
        <v>41.22</v>
      </c>
    </row>
    <row r="154" spans="2:7" ht="15" x14ac:dyDescent="0.25">
      <c r="B154" s="340">
        <v>17</v>
      </c>
      <c r="C154" s="341">
        <v>1702</v>
      </c>
      <c r="D154" s="342">
        <f>D144</f>
        <v>50.18</v>
      </c>
      <c r="E154" s="342"/>
      <c r="F154" s="343">
        <f>F144</f>
        <v>8.99</v>
      </c>
      <c r="G154" s="353">
        <f>SUM(D154:F154)</f>
        <v>59.17</v>
      </c>
    </row>
    <row r="155" spans="2:7" ht="15" x14ac:dyDescent="0.25">
      <c r="B155" s="340">
        <v>17</v>
      </c>
      <c r="C155" s="341">
        <v>1703</v>
      </c>
      <c r="D155" s="342">
        <f t="shared" ref="D155:D162" si="41">D145</f>
        <v>71.180000000000007</v>
      </c>
      <c r="E155" s="342"/>
      <c r="F155" s="343">
        <f t="shared" ref="F155:F162" si="42">F145</f>
        <v>8.2100000000000009</v>
      </c>
      <c r="G155" s="353">
        <f t="shared" ref="G155:G162" si="43">SUM(D155:F155)</f>
        <v>79.390000000000015</v>
      </c>
    </row>
    <row r="156" spans="2:7" ht="15" x14ac:dyDescent="0.25">
      <c r="B156" s="340">
        <v>17</v>
      </c>
      <c r="C156" s="341">
        <v>1704</v>
      </c>
      <c r="D156" s="344">
        <f t="shared" si="41"/>
        <v>50.18</v>
      </c>
      <c r="E156" s="344"/>
      <c r="F156" s="345">
        <f t="shared" si="42"/>
        <v>8.99</v>
      </c>
      <c r="G156" s="353">
        <f t="shared" si="43"/>
        <v>59.17</v>
      </c>
    </row>
    <row r="157" spans="2:7" ht="15" x14ac:dyDescent="0.25">
      <c r="B157" s="340">
        <v>17</v>
      </c>
      <c r="C157" s="341">
        <v>1705</v>
      </c>
      <c r="D157" s="344">
        <f t="shared" si="41"/>
        <v>57.67</v>
      </c>
      <c r="E157" s="344"/>
      <c r="F157" s="345">
        <f t="shared" si="42"/>
        <v>8.2100000000000009</v>
      </c>
      <c r="G157" s="353">
        <f t="shared" si="43"/>
        <v>65.88</v>
      </c>
    </row>
    <row r="158" spans="2:7" ht="15" x14ac:dyDescent="0.25">
      <c r="B158" s="340">
        <v>17</v>
      </c>
      <c r="C158" s="341">
        <v>1706</v>
      </c>
      <c r="D158" s="344">
        <f t="shared" si="41"/>
        <v>57.67</v>
      </c>
      <c r="E158" s="344"/>
      <c r="F158" s="345">
        <f t="shared" si="42"/>
        <v>8.2100000000000009</v>
      </c>
      <c r="G158" s="353">
        <f t="shared" si="43"/>
        <v>65.88</v>
      </c>
    </row>
    <row r="159" spans="2:7" ht="15" x14ac:dyDescent="0.25">
      <c r="B159" s="340">
        <v>17</v>
      </c>
      <c r="C159" s="341">
        <v>1707</v>
      </c>
      <c r="D159" s="344">
        <f t="shared" si="41"/>
        <v>50.18</v>
      </c>
      <c r="E159" s="344"/>
      <c r="F159" s="345">
        <f t="shared" si="42"/>
        <v>8.99</v>
      </c>
      <c r="G159" s="353">
        <f t="shared" si="43"/>
        <v>59.17</v>
      </c>
    </row>
    <row r="160" spans="2:7" ht="15" x14ac:dyDescent="0.25">
      <c r="B160" s="340">
        <v>17</v>
      </c>
      <c r="C160" s="341">
        <v>1708</v>
      </c>
      <c r="D160" s="344">
        <f t="shared" si="41"/>
        <v>60.68</v>
      </c>
      <c r="E160" s="344"/>
      <c r="F160" s="345">
        <f t="shared" si="42"/>
        <v>9.32</v>
      </c>
      <c r="G160" s="353">
        <f t="shared" si="43"/>
        <v>70</v>
      </c>
    </row>
    <row r="161" spans="2:7" ht="15" x14ac:dyDescent="0.25">
      <c r="B161" s="340">
        <v>17</v>
      </c>
      <c r="C161" s="341">
        <v>1709</v>
      </c>
      <c r="D161" s="344">
        <f t="shared" si="41"/>
        <v>50.28</v>
      </c>
      <c r="E161" s="344"/>
      <c r="F161" s="345">
        <f t="shared" si="42"/>
        <v>8.99</v>
      </c>
      <c r="G161" s="353">
        <f t="shared" si="43"/>
        <v>59.27</v>
      </c>
    </row>
    <row r="162" spans="2:7" ht="15.75" thickBot="1" x14ac:dyDescent="0.3">
      <c r="B162" s="340">
        <v>17</v>
      </c>
      <c r="C162" s="341">
        <v>1710</v>
      </c>
      <c r="D162" s="344">
        <f t="shared" si="41"/>
        <v>33.24</v>
      </c>
      <c r="E162" s="344"/>
      <c r="F162" s="345">
        <f t="shared" si="42"/>
        <v>7.98</v>
      </c>
      <c r="G162" s="353">
        <f t="shared" si="43"/>
        <v>41.22</v>
      </c>
    </row>
    <row r="163" spans="2:7" ht="15" x14ac:dyDescent="0.25">
      <c r="B163" s="323">
        <v>18</v>
      </c>
      <c r="C163" s="324">
        <v>1801</v>
      </c>
      <c r="D163" s="325">
        <f>D153</f>
        <v>33.24</v>
      </c>
      <c r="E163" s="325"/>
      <c r="F163" s="326">
        <f>F153</f>
        <v>7.98</v>
      </c>
      <c r="G163" s="354">
        <f>SUM(D163:F163)</f>
        <v>41.22</v>
      </c>
    </row>
    <row r="164" spans="2:7" ht="15" x14ac:dyDescent="0.25">
      <c r="B164" s="327">
        <v>18</v>
      </c>
      <c r="C164" s="328">
        <v>1802</v>
      </c>
      <c r="D164" s="329">
        <f>D154</f>
        <v>50.18</v>
      </c>
      <c r="E164" s="329"/>
      <c r="F164" s="330">
        <f>F154</f>
        <v>8.99</v>
      </c>
      <c r="G164" s="355">
        <f>SUM(D164:F164)</f>
        <v>59.17</v>
      </c>
    </row>
    <row r="165" spans="2:7" ht="15" x14ac:dyDescent="0.25">
      <c r="B165" s="327">
        <v>18</v>
      </c>
      <c r="C165" s="328">
        <v>1803</v>
      </c>
      <c r="D165" s="329">
        <f t="shared" ref="D165:D172" si="44">D155</f>
        <v>71.180000000000007</v>
      </c>
      <c r="E165" s="329"/>
      <c r="F165" s="330">
        <f t="shared" ref="F165:F172" si="45">F155</f>
        <v>8.2100000000000009</v>
      </c>
      <c r="G165" s="355">
        <f t="shared" ref="G165:G172" si="46">SUM(D165:F165)</f>
        <v>79.390000000000015</v>
      </c>
    </row>
    <row r="166" spans="2:7" ht="15" x14ac:dyDescent="0.25">
      <c r="B166" s="327">
        <v>18</v>
      </c>
      <c r="C166" s="328">
        <v>1804</v>
      </c>
      <c r="D166" s="331">
        <f t="shared" si="44"/>
        <v>50.18</v>
      </c>
      <c r="E166" s="331"/>
      <c r="F166" s="332">
        <f t="shared" si="45"/>
        <v>8.99</v>
      </c>
      <c r="G166" s="355">
        <f t="shared" si="46"/>
        <v>59.17</v>
      </c>
    </row>
    <row r="167" spans="2:7" ht="15" x14ac:dyDescent="0.25">
      <c r="B167" s="327">
        <v>18</v>
      </c>
      <c r="C167" s="328">
        <v>1805</v>
      </c>
      <c r="D167" s="331">
        <f t="shared" si="44"/>
        <v>57.67</v>
      </c>
      <c r="E167" s="331"/>
      <c r="F167" s="332">
        <f t="shared" si="45"/>
        <v>8.2100000000000009</v>
      </c>
      <c r="G167" s="355">
        <f t="shared" si="46"/>
        <v>65.88</v>
      </c>
    </row>
    <row r="168" spans="2:7" ht="15" x14ac:dyDescent="0.25">
      <c r="B168" s="327">
        <v>18</v>
      </c>
      <c r="C168" s="328">
        <v>1806</v>
      </c>
      <c r="D168" s="331">
        <f t="shared" si="44"/>
        <v>57.67</v>
      </c>
      <c r="E168" s="331"/>
      <c r="F168" s="332">
        <f t="shared" si="45"/>
        <v>8.2100000000000009</v>
      </c>
      <c r="G168" s="355">
        <f t="shared" si="46"/>
        <v>65.88</v>
      </c>
    </row>
    <row r="169" spans="2:7" ht="15" x14ac:dyDescent="0.25">
      <c r="B169" s="327">
        <v>18</v>
      </c>
      <c r="C169" s="328">
        <v>1807</v>
      </c>
      <c r="D169" s="331">
        <f t="shared" si="44"/>
        <v>50.18</v>
      </c>
      <c r="E169" s="331"/>
      <c r="F169" s="332">
        <f t="shared" si="45"/>
        <v>8.99</v>
      </c>
      <c r="G169" s="355">
        <f t="shared" si="46"/>
        <v>59.17</v>
      </c>
    </row>
    <row r="170" spans="2:7" ht="15" x14ac:dyDescent="0.25">
      <c r="B170" s="327">
        <v>18</v>
      </c>
      <c r="C170" s="328">
        <v>1808</v>
      </c>
      <c r="D170" s="331">
        <f t="shared" si="44"/>
        <v>60.68</v>
      </c>
      <c r="E170" s="331"/>
      <c r="F170" s="332">
        <f t="shared" si="45"/>
        <v>9.32</v>
      </c>
      <c r="G170" s="355">
        <f t="shared" si="46"/>
        <v>70</v>
      </c>
    </row>
    <row r="171" spans="2:7" ht="15" x14ac:dyDescent="0.25">
      <c r="B171" s="327">
        <v>18</v>
      </c>
      <c r="C171" s="328">
        <v>1809</v>
      </c>
      <c r="D171" s="331">
        <f t="shared" si="44"/>
        <v>50.28</v>
      </c>
      <c r="E171" s="331"/>
      <c r="F171" s="332">
        <f t="shared" si="45"/>
        <v>8.99</v>
      </c>
      <c r="G171" s="355">
        <f t="shared" si="46"/>
        <v>59.27</v>
      </c>
    </row>
    <row r="172" spans="2:7" ht="15.75" thickBot="1" x14ac:dyDescent="0.3">
      <c r="B172" s="327">
        <v>18</v>
      </c>
      <c r="C172" s="328">
        <v>1810</v>
      </c>
      <c r="D172" s="331">
        <f t="shared" si="44"/>
        <v>33.24</v>
      </c>
      <c r="E172" s="331"/>
      <c r="F172" s="332">
        <f t="shared" si="45"/>
        <v>7.98</v>
      </c>
      <c r="G172" s="355">
        <f t="shared" si="46"/>
        <v>41.22</v>
      </c>
    </row>
    <row r="173" spans="2:7" ht="15" x14ac:dyDescent="0.25">
      <c r="B173" s="336">
        <v>19</v>
      </c>
      <c r="C173" s="337">
        <v>1901</v>
      </c>
      <c r="D173" s="338">
        <f>D163</f>
        <v>33.24</v>
      </c>
      <c r="E173" s="338"/>
      <c r="F173" s="339">
        <f>F163</f>
        <v>7.98</v>
      </c>
      <c r="G173" s="352">
        <f>SUM(D173:F173)</f>
        <v>41.22</v>
      </c>
    </row>
    <row r="174" spans="2:7" ht="15" x14ac:dyDescent="0.25">
      <c r="B174" s="340">
        <v>19</v>
      </c>
      <c r="C174" s="341">
        <v>1902</v>
      </c>
      <c r="D174" s="342">
        <f>D164</f>
        <v>50.18</v>
      </c>
      <c r="E174" s="342"/>
      <c r="F174" s="343">
        <f>F164</f>
        <v>8.99</v>
      </c>
      <c r="G174" s="353">
        <f>SUM(D174:F174)</f>
        <v>59.17</v>
      </c>
    </row>
    <row r="175" spans="2:7" ht="15" x14ac:dyDescent="0.25">
      <c r="B175" s="340">
        <v>19</v>
      </c>
      <c r="C175" s="341">
        <v>1903</v>
      </c>
      <c r="D175" s="342">
        <f t="shared" ref="D175:D182" si="47">D165</f>
        <v>71.180000000000007</v>
      </c>
      <c r="E175" s="342"/>
      <c r="F175" s="343">
        <f t="shared" ref="F175:F182" si="48">F165</f>
        <v>8.2100000000000009</v>
      </c>
      <c r="G175" s="353">
        <f t="shared" ref="G175:G182" si="49">SUM(D175:F175)</f>
        <v>79.390000000000015</v>
      </c>
    </row>
    <row r="176" spans="2:7" ht="15" x14ac:dyDescent="0.25">
      <c r="B176" s="340">
        <v>19</v>
      </c>
      <c r="C176" s="341">
        <v>1904</v>
      </c>
      <c r="D176" s="344">
        <f t="shared" si="47"/>
        <v>50.18</v>
      </c>
      <c r="E176" s="344"/>
      <c r="F176" s="345">
        <f t="shared" si="48"/>
        <v>8.99</v>
      </c>
      <c r="G176" s="353">
        <f>SUM(D176:F176)</f>
        <v>59.17</v>
      </c>
    </row>
    <row r="177" spans="2:7" ht="15" x14ac:dyDescent="0.25">
      <c r="B177" s="340">
        <v>19</v>
      </c>
      <c r="C177" s="341">
        <v>1905</v>
      </c>
      <c r="D177" s="344">
        <f t="shared" si="47"/>
        <v>57.67</v>
      </c>
      <c r="E177" s="344"/>
      <c r="F177" s="345">
        <f t="shared" si="48"/>
        <v>8.2100000000000009</v>
      </c>
      <c r="G177" s="353">
        <f>SUM(D177:F177)</f>
        <v>65.88</v>
      </c>
    </row>
    <row r="178" spans="2:7" ht="15" x14ac:dyDescent="0.25">
      <c r="B178" s="340">
        <v>19</v>
      </c>
      <c r="C178" s="341">
        <v>1906</v>
      </c>
      <c r="D178" s="344">
        <f t="shared" si="47"/>
        <v>57.67</v>
      </c>
      <c r="E178" s="344"/>
      <c r="F178" s="345">
        <f t="shared" si="48"/>
        <v>8.2100000000000009</v>
      </c>
      <c r="G178" s="353">
        <f t="shared" si="49"/>
        <v>65.88</v>
      </c>
    </row>
    <row r="179" spans="2:7" ht="15" x14ac:dyDescent="0.25">
      <c r="B179" s="340">
        <v>19</v>
      </c>
      <c r="C179" s="341">
        <v>1907</v>
      </c>
      <c r="D179" s="344">
        <f t="shared" si="47"/>
        <v>50.18</v>
      </c>
      <c r="E179" s="344"/>
      <c r="F179" s="345">
        <f t="shared" si="48"/>
        <v>8.99</v>
      </c>
      <c r="G179" s="353">
        <f t="shared" si="49"/>
        <v>59.17</v>
      </c>
    </row>
    <row r="180" spans="2:7" ht="15" x14ac:dyDescent="0.25">
      <c r="B180" s="340">
        <v>19</v>
      </c>
      <c r="C180" s="341">
        <v>1908</v>
      </c>
      <c r="D180" s="344">
        <f t="shared" si="47"/>
        <v>60.68</v>
      </c>
      <c r="E180" s="344"/>
      <c r="F180" s="345">
        <f t="shared" si="48"/>
        <v>9.32</v>
      </c>
      <c r="G180" s="353">
        <f t="shared" si="49"/>
        <v>70</v>
      </c>
    </row>
    <row r="181" spans="2:7" ht="15" x14ac:dyDescent="0.25">
      <c r="B181" s="340">
        <v>19</v>
      </c>
      <c r="C181" s="341">
        <v>1909</v>
      </c>
      <c r="D181" s="344">
        <f t="shared" si="47"/>
        <v>50.28</v>
      </c>
      <c r="E181" s="344"/>
      <c r="F181" s="345">
        <f t="shared" si="48"/>
        <v>8.99</v>
      </c>
      <c r="G181" s="353">
        <f t="shared" si="49"/>
        <v>59.27</v>
      </c>
    </row>
    <row r="182" spans="2:7" ht="15.75" thickBot="1" x14ac:dyDescent="0.3">
      <c r="B182" s="340">
        <v>19</v>
      </c>
      <c r="C182" s="341">
        <v>1910</v>
      </c>
      <c r="D182" s="344">
        <f t="shared" si="47"/>
        <v>33.24</v>
      </c>
      <c r="E182" s="344"/>
      <c r="F182" s="345">
        <f t="shared" si="48"/>
        <v>7.98</v>
      </c>
      <c r="G182" s="353">
        <f t="shared" si="49"/>
        <v>41.22</v>
      </c>
    </row>
    <row r="183" spans="2:7" ht="15" x14ac:dyDescent="0.25">
      <c r="B183" s="323">
        <v>20</v>
      </c>
      <c r="C183" s="324">
        <v>2001</v>
      </c>
      <c r="D183" s="325">
        <v>33.4</v>
      </c>
      <c r="E183" s="325"/>
      <c r="F183" s="326">
        <v>9.06</v>
      </c>
      <c r="G183" s="354">
        <f>SUM(D183:F183)</f>
        <v>42.46</v>
      </c>
    </row>
    <row r="184" spans="2:7" ht="15" x14ac:dyDescent="0.25">
      <c r="B184" s="327">
        <v>20</v>
      </c>
      <c r="C184" s="328">
        <v>2002</v>
      </c>
      <c r="D184" s="329">
        <v>50.17</v>
      </c>
      <c r="E184" s="329"/>
      <c r="F184" s="330">
        <v>13.36</v>
      </c>
      <c r="G184" s="355">
        <f>SUM(D184:F184)</f>
        <v>63.53</v>
      </c>
    </row>
    <row r="185" spans="2:7" ht="15" x14ac:dyDescent="0.25">
      <c r="B185" s="327">
        <v>20</v>
      </c>
      <c r="C185" s="328">
        <v>2003</v>
      </c>
      <c r="D185" s="329">
        <v>72.819999999999993</v>
      </c>
      <c r="E185" s="329"/>
      <c r="F185" s="330">
        <v>15.03</v>
      </c>
      <c r="G185" s="355">
        <f t="shared" ref="G185:G192" si="50">SUM(D185:F185)</f>
        <v>87.85</v>
      </c>
    </row>
    <row r="186" spans="2:7" ht="15" x14ac:dyDescent="0.25">
      <c r="B186" s="327">
        <v>20</v>
      </c>
      <c r="C186" s="328">
        <v>2004</v>
      </c>
      <c r="D186" s="331">
        <v>50.41</v>
      </c>
      <c r="E186" s="331"/>
      <c r="F186" s="332">
        <v>13.2</v>
      </c>
      <c r="G186" s="355">
        <f t="shared" si="50"/>
        <v>63.61</v>
      </c>
    </row>
    <row r="187" spans="2:7" ht="15" x14ac:dyDescent="0.25">
      <c r="B187" s="327">
        <v>20</v>
      </c>
      <c r="C187" s="328">
        <v>2005</v>
      </c>
      <c r="D187" s="331">
        <v>57.74</v>
      </c>
      <c r="E187" s="331"/>
      <c r="F187" s="332">
        <v>16.54</v>
      </c>
      <c r="G187" s="355">
        <f t="shared" si="50"/>
        <v>74.28</v>
      </c>
    </row>
    <row r="188" spans="2:7" ht="15" x14ac:dyDescent="0.25">
      <c r="B188" s="327">
        <v>20</v>
      </c>
      <c r="C188" s="328">
        <v>2006</v>
      </c>
      <c r="D188" s="331">
        <v>57.74</v>
      </c>
      <c r="E188" s="331"/>
      <c r="F188" s="332">
        <v>16.54</v>
      </c>
      <c r="G188" s="355">
        <f t="shared" si="50"/>
        <v>74.28</v>
      </c>
    </row>
    <row r="189" spans="2:7" ht="15" x14ac:dyDescent="0.25">
      <c r="B189" s="327">
        <v>20</v>
      </c>
      <c r="C189" s="328">
        <v>2007</v>
      </c>
      <c r="D189" s="331">
        <v>50.41</v>
      </c>
      <c r="E189" s="331"/>
      <c r="F189" s="332">
        <v>13.2</v>
      </c>
      <c r="G189" s="355">
        <f t="shared" si="50"/>
        <v>63.61</v>
      </c>
    </row>
    <row r="190" spans="2:7" ht="15" x14ac:dyDescent="0.25">
      <c r="B190" s="327">
        <v>20</v>
      </c>
      <c r="C190" s="328">
        <v>2008</v>
      </c>
      <c r="D190" s="331">
        <v>72.819999999999993</v>
      </c>
      <c r="E190" s="331"/>
      <c r="F190" s="332">
        <v>15.03</v>
      </c>
      <c r="G190" s="355">
        <f t="shared" si="50"/>
        <v>87.85</v>
      </c>
    </row>
    <row r="191" spans="2:7" ht="15" x14ac:dyDescent="0.25">
      <c r="B191" s="327">
        <v>20</v>
      </c>
      <c r="C191" s="328">
        <v>2009</v>
      </c>
      <c r="D191" s="331">
        <v>50.17</v>
      </c>
      <c r="E191" s="331"/>
      <c r="F191" s="332">
        <v>13.36</v>
      </c>
      <c r="G191" s="355">
        <f t="shared" si="50"/>
        <v>63.53</v>
      </c>
    </row>
    <row r="192" spans="2:7" ht="15.75" thickBot="1" x14ac:dyDescent="0.3">
      <c r="B192" s="327">
        <v>20</v>
      </c>
      <c r="C192" s="328">
        <v>2010</v>
      </c>
      <c r="D192" s="331">
        <v>33.4</v>
      </c>
      <c r="E192" s="331"/>
      <c r="F192" s="332">
        <v>9.06</v>
      </c>
      <c r="G192" s="355">
        <f t="shared" si="50"/>
        <v>42.46</v>
      </c>
    </row>
    <row r="193" spans="2:9" ht="15" x14ac:dyDescent="0.25">
      <c r="B193" s="336">
        <v>21</v>
      </c>
      <c r="C193" s="337">
        <v>2101</v>
      </c>
      <c r="D193" s="338">
        <v>33.4</v>
      </c>
      <c r="E193" s="338"/>
      <c r="F193" s="339">
        <v>9.06</v>
      </c>
      <c r="G193" s="352">
        <f>SUM(D193:F193)</f>
        <v>42.46</v>
      </c>
    </row>
    <row r="194" spans="2:9" ht="15" x14ac:dyDescent="0.25">
      <c r="B194" s="340">
        <v>21</v>
      </c>
      <c r="C194" s="341">
        <v>2102</v>
      </c>
      <c r="D194" s="342">
        <v>50.17</v>
      </c>
      <c r="E194" s="342"/>
      <c r="F194" s="343">
        <v>13.36</v>
      </c>
      <c r="G194" s="353">
        <f>SUM(D194:F194)</f>
        <v>63.53</v>
      </c>
    </row>
    <row r="195" spans="2:9" ht="15" x14ac:dyDescent="0.25">
      <c r="B195" s="340">
        <v>21</v>
      </c>
      <c r="C195" s="341">
        <v>2103</v>
      </c>
      <c r="D195" s="342">
        <v>72.819999999999993</v>
      </c>
      <c r="E195" s="342"/>
      <c r="F195" s="343">
        <v>15.03</v>
      </c>
      <c r="G195" s="353">
        <f t="shared" ref="G195:G202" si="51">SUM(D195:F195)</f>
        <v>87.85</v>
      </c>
    </row>
    <row r="196" spans="2:9" ht="15" x14ac:dyDescent="0.25">
      <c r="B196" s="340">
        <v>21</v>
      </c>
      <c r="C196" s="341">
        <v>2104</v>
      </c>
      <c r="D196" s="344">
        <v>50.41</v>
      </c>
      <c r="E196" s="344"/>
      <c r="F196" s="345">
        <v>13.2</v>
      </c>
      <c r="G196" s="353">
        <f t="shared" si="51"/>
        <v>63.61</v>
      </c>
    </row>
    <row r="197" spans="2:9" ht="15" x14ac:dyDescent="0.25">
      <c r="B197" s="340">
        <v>21</v>
      </c>
      <c r="C197" s="341">
        <v>2105</v>
      </c>
      <c r="D197" s="344">
        <v>57.74</v>
      </c>
      <c r="E197" s="344"/>
      <c r="F197" s="345">
        <v>16.54</v>
      </c>
      <c r="G197" s="353">
        <f t="shared" si="51"/>
        <v>74.28</v>
      </c>
    </row>
    <row r="198" spans="2:9" ht="15" x14ac:dyDescent="0.25">
      <c r="B198" s="340">
        <v>21</v>
      </c>
      <c r="C198" s="341">
        <v>2106</v>
      </c>
      <c r="D198" s="344">
        <v>57.74</v>
      </c>
      <c r="E198" s="344"/>
      <c r="F198" s="345">
        <v>16.54</v>
      </c>
      <c r="G198" s="353">
        <f t="shared" si="51"/>
        <v>74.28</v>
      </c>
    </row>
    <row r="199" spans="2:9" ht="15" x14ac:dyDescent="0.25">
      <c r="B199" s="340">
        <v>21</v>
      </c>
      <c r="C199" s="341">
        <v>2107</v>
      </c>
      <c r="D199" s="344">
        <v>50.41</v>
      </c>
      <c r="E199" s="344"/>
      <c r="F199" s="345">
        <v>13.2</v>
      </c>
      <c r="G199" s="353">
        <f t="shared" si="51"/>
        <v>63.61</v>
      </c>
    </row>
    <row r="200" spans="2:9" ht="15" x14ac:dyDescent="0.25">
      <c r="B200" s="340">
        <v>21</v>
      </c>
      <c r="C200" s="341">
        <v>2108</v>
      </c>
      <c r="D200" s="344">
        <v>72.819999999999993</v>
      </c>
      <c r="E200" s="344"/>
      <c r="F200" s="345">
        <v>15.03</v>
      </c>
      <c r="G200" s="353">
        <f t="shared" si="51"/>
        <v>87.85</v>
      </c>
    </row>
    <row r="201" spans="2:9" ht="15" x14ac:dyDescent="0.25">
      <c r="B201" s="340">
        <v>21</v>
      </c>
      <c r="C201" s="341">
        <v>2109</v>
      </c>
      <c r="D201" s="344">
        <v>50.17</v>
      </c>
      <c r="E201" s="344"/>
      <c r="F201" s="345">
        <v>13.36</v>
      </c>
      <c r="G201" s="353">
        <f t="shared" si="51"/>
        <v>63.53</v>
      </c>
    </row>
    <row r="202" spans="2:9" ht="15.75" thickBot="1" x14ac:dyDescent="0.3">
      <c r="B202" s="346">
        <v>21</v>
      </c>
      <c r="C202" s="347">
        <v>2110</v>
      </c>
      <c r="D202" s="348">
        <v>33.4</v>
      </c>
      <c r="E202" s="348"/>
      <c r="F202" s="349">
        <v>9.06</v>
      </c>
      <c r="G202" s="470">
        <f t="shared" si="51"/>
        <v>42.46</v>
      </c>
    </row>
    <row r="203" spans="2:9" ht="13.5" thickBot="1" x14ac:dyDescent="0.25"/>
    <row r="204" spans="2:9" ht="13.5" thickBot="1" x14ac:dyDescent="0.25">
      <c r="B204" s="687" t="s">
        <v>62</v>
      </c>
      <c r="C204" s="688"/>
      <c r="D204" s="291">
        <f>SUM(D8:D202)</f>
        <v>10073.650000000003</v>
      </c>
      <c r="E204" s="291">
        <f>SUM(E8:E132)</f>
        <v>0</v>
      </c>
      <c r="F204" s="291">
        <f>SUM(F8:F202)</f>
        <v>1773.0500000000013</v>
      </c>
      <c r="G204" s="356">
        <f>SUM(G8:G202)</f>
        <v>11846.700000000006</v>
      </c>
      <c r="I204" s="350">
        <f>G204+500.13</f>
        <v>12346.830000000005</v>
      </c>
    </row>
    <row r="206" spans="2:9" x14ac:dyDescent="0.2">
      <c r="B206" s="335" t="s">
        <v>159</v>
      </c>
    </row>
    <row r="208" spans="2:9" ht="13.5" thickBot="1" x14ac:dyDescent="0.25"/>
    <row r="209" spans="2:7" ht="13.5" thickBot="1" x14ac:dyDescent="0.25">
      <c r="B209" s="689" t="s">
        <v>629</v>
      </c>
      <c r="C209" s="690"/>
      <c r="D209" s="690"/>
      <c r="E209" s="690"/>
      <c r="F209" s="690"/>
      <c r="G209" s="691"/>
    </row>
    <row r="210" spans="2:7" ht="13.5" thickBot="1" x14ac:dyDescent="0.25">
      <c r="B210" s="466" t="s">
        <v>3</v>
      </c>
      <c r="C210" s="467" t="s">
        <v>591</v>
      </c>
      <c r="D210" s="468" t="s">
        <v>14</v>
      </c>
      <c r="E210" s="468" t="s">
        <v>16</v>
      </c>
      <c r="F210" s="468" t="s">
        <v>15</v>
      </c>
      <c r="G210" s="469" t="s">
        <v>12</v>
      </c>
    </row>
    <row r="211" spans="2:7" ht="15" x14ac:dyDescent="0.25">
      <c r="B211" s="19">
        <v>-3</v>
      </c>
      <c r="C211" s="8" t="s">
        <v>592</v>
      </c>
      <c r="D211" s="571">
        <v>39.24</v>
      </c>
      <c r="E211" s="571"/>
      <c r="F211" s="574">
        <v>0</v>
      </c>
      <c r="G211" s="354">
        <f t="shared" ref="G211:G215" si="52">SUM(D211:F211)</f>
        <v>39.24</v>
      </c>
    </row>
    <row r="212" spans="2:7" ht="15" x14ac:dyDescent="0.25">
      <c r="B212" s="20">
        <v>-3</v>
      </c>
      <c r="C212" s="7" t="s">
        <v>593</v>
      </c>
      <c r="D212" s="312">
        <v>37.479999999999997</v>
      </c>
      <c r="E212" s="312"/>
      <c r="F212" s="573">
        <v>0</v>
      </c>
      <c r="G212" s="355">
        <f t="shared" si="52"/>
        <v>37.479999999999997</v>
      </c>
    </row>
    <row r="213" spans="2:7" ht="15" x14ac:dyDescent="0.25">
      <c r="B213" s="20">
        <v>-3</v>
      </c>
      <c r="C213" s="7" t="s">
        <v>594</v>
      </c>
      <c r="D213" s="312">
        <v>37.479999999999997</v>
      </c>
      <c r="E213" s="312"/>
      <c r="F213" s="573">
        <v>0</v>
      </c>
      <c r="G213" s="355">
        <f t="shared" si="52"/>
        <v>37.479999999999997</v>
      </c>
    </row>
    <row r="214" spans="2:7" ht="15" x14ac:dyDescent="0.25">
      <c r="B214" s="20">
        <v>-3</v>
      </c>
      <c r="C214" s="7" t="s">
        <v>595</v>
      </c>
      <c r="D214" s="312">
        <v>37.479999999999997</v>
      </c>
      <c r="E214" s="312"/>
      <c r="F214" s="573">
        <v>0</v>
      </c>
      <c r="G214" s="355">
        <f t="shared" si="52"/>
        <v>37.479999999999997</v>
      </c>
    </row>
    <row r="215" spans="2:7" ht="15" x14ac:dyDescent="0.25">
      <c r="B215" s="20">
        <v>-3</v>
      </c>
      <c r="C215" s="7" t="s">
        <v>596</v>
      </c>
      <c r="D215" s="312">
        <v>37.36</v>
      </c>
      <c r="E215" s="312"/>
      <c r="F215" s="573">
        <v>0</v>
      </c>
      <c r="G215" s="355">
        <f t="shared" si="52"/>
        <v>37.36</v>
      </c>
    </row>
    <row r="216" spans="2:7" ht="15" x14ac:dyDescent="0.25">
      <c r="B216" s="20">
        <v>-3</v>
      </c>
      <c r="C216" s="7" t="s">
        <v>597</v>
      </c>
      <c r="D216" s="312">
        <v>41.2</v>
      </c>
      <c r="E216" s="312"/>
      <c r="F216" s="573">
        <v>0</v>
      </c>
      <c r="G216" s="355">
        <f>SUM(D216:F216)</f>
        <v>41.2</v>
      </c>
    </row>
    <row r="217" spans="2:7" ht="15" x14ac:dyDescent="0.25">
      <c r="B217" s="20">
        <v>-3</v>
      </c>
      <c r="C217" s="7" t="s">
        <v>598</v>
      </c>
      <c r="D217" s="312">
        <v>37.69</v>
      </c>
      <c r="E217" s="312"/>
      <c r="F217" s="573">
        <v>0</v>
      </c>
      <c r="G217" s="355">
        <f>SUM(D217:F217)</f>
        <v>37.69</v>
      </c>
    </row>
    <row r="218" spans="2:7" ht="15" x14ac:dyDescent="0.25">
      <c r="B218" s="20">
        <v>-3</v>
      </c>
      <c r="C218" s="7" t="s">
        <v>599</v>
      </c>
      <c r="D218" s="312">
        <v>36.96</v>
      </c>
      <c r="E218" s="312"/>
      <c r="F218" s="573">
        <v>0</v>
      </c>
      <c r="G218" s="355">
        <f t="shared" ref="G218:G221" si="53">SUM(D218:F218)</f>
        <v>36.96</v>
      </c>
    </row>
    <row r="219" spans="2:7" ht="15" x14ac:dyDescent="0.25">
      <c r="B219" s="20">
        <v>-3</v>
      </c>
      <c r="C219" s="7" t="s">
        <v>600</v>
      </c>
      <c r="D219" s="312">
        <v>36.96</v>
      </c>
      <c r="E219" s="312"/>
      <c r="F219" s="573">
        <v>0</v>
      </c>
      <c r="G219" s="355">
        <f t="shared" si="53"/>
        <v>36.96</v>
      </c>
    </row>
    <row r="220" spans="2:7" ht="15" x14ac:dyDescent="0.25">
      <c r="B220" s="20">
        <v>-3</v>
      </c>
      <c r="C220" s="7" t="s">
        <v>601</v>
      </c>
      <c r="D220" s="312">
        <v>117.7</v>
      </c>
      <c r="E220" s="312"/>
      <c r="F220" s="573">
        <v>0</v>
      </c>
      <c r="G220" s="355">
        <f t="shared" si="53"/>
        <v>117.7</v>
      </c>
    </row>
    <row r="221" spans="2:7" ht="15.75" thickBot="1" x14ac:dyDescent="0.3">
      <c r="B221" s="321">
        <v>-3</v>
      </c>
      <c r="C221" s="322" t="s">
        <v>602</v>
      </c>
      <c r="D221" s="572">
        <v>40.58</v>
      </c>
      <c r="E221" s="572"/>
      <c r="F221" s="576">
        <v>0</v>
      </c>
      <c r="G221" s="577">
        <f t="shared" si="53"/>
        <v>40.58</v>
      </c>
    </row>
    <row r="222" spans="2:7" ht="13.5" thickBot="1" x14ac:dyDescent="0.25"/>
    <row r="223" spans="2:7" ht="13.5" thickBot="1" x14ac:dyDescent="0.25">
      <c r="B223" s="687" t="s">
        <v>62</v>
      </c>
      <c r="C223" s="688"/>
      <c r="D223" s="291">
        <f>SUM(D211:D221)</f>
        <v>500.12999999999988</v>
      </c>
      <c r="E223" s="291">
        <f>SUM(E31:E155)</f>
        <v>0</v>
      </c>
      <c r="F223" s="575">
        <f>SUM(F211:F221)</f>
        <v>0</v>
      </c>
      <c r="G223" s="356">
        <f>SUM(G211:G221)</f>
        <v>500.12999999999988</v>
      </c>
    </row>
  </sheetData>
  <mergeCells count="5">
    <mergeCell ref="B2:F3"/>
    <mergeCell ref="B204:C204"/>
    <mergeCell ref="B6:G6"/>
    <mergeCell ref="B209:G209"/>
    <mergeCell ref="B223:C223"/>
  </mergeCells>
  <pageMargins left="0.70866141732283472" right="0.70866141732283472" top="0.74803149606299213" bottom="0.74803149606299213" header="0.31496062992125984" footer="0.31496062992125984"/>
  <pageSetup paperSize="190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6"/>
  <sheetViews>
    <sheetView topLeftCell="A130" zoomScaleNormal="100" workbookViewId="0">
      <selection activeCell="R35" sqref="R35"/>
    </sheetView>
  </sheetViews>
  <sheetFormatPr baseColWidth="10" defaultColWidth="10.85546875" defaultRowHeight="12.75" x14ac:dyDescent="0.2"/>
  <cols>
    <col min="1" max="1" width="4" style="3" customWidth="1"/>
    <col min="2" max="2" width="7.7109375" bestFit="1" customWidth="1"/>
    <col min="3" max="3" width="14" bestFit="1" customWidth="1"/>
    <col min="4" max="4" width="18.5703125" bestFit="1" customWidth="1"/>
    <col min="5" max="5" width="4" style="1" customWidth="1"/>
    <col min="6" max="6" width="7.140625" bestFit="1" customWidth="1"/>
    <col min="7" max="7" width="26.7109375" bestFit="1" customWidth="1"/>
    <col min="8" max="8" width="22.5703125" style="3" bestFit="1" customWidth="1"/>
    <col min="9" max="9" width="24.28515625" bestFit="1" customWidth="1"/>
    <col min="10" max="10" width="4" customWidth="1"/>
    <col min="11" max="11" width="7.140625" style="3" bestFit="1" customWidth="1"/>
    <col min="12" max="12" width="26.7109375" bestFit="1" customWidth="1"/>
    <col min="13" max="13" width="15" bestFit="1" customWidth="1"/>
    <col min="14" max="14" width="20.28515625" bestFit="1" customWidth="1"/>
    <col min="18" max="18" width="13.85546875" customWidth="1"/>
  </cols>
  <sheetData>
    <row r="1" spans="1:19" s="3" customFormat="1" ht="13.5" thickBot="1" x14ac:dyDescent="0.25">
      <c r="E1" s="1"/>
    </row>
    <row r="2" spans="1:19" s="3" customFormat="1" ht="24.6" customHeight="1" x14ac:dyDescent="0.2">
      <c r="B2" s="631" t="str">
        <f>'RESUMEN SUPERFICIES'!C5</f>
        <v>DUNAMAR</v>
      </c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3"/>
      <c r="N2" s="40" t="str">
        <f>'RESUMEN SUPERFICIES'!O5</f>
        <v>P.E.</v>
      </c>
    </row>
    <row r="3" spans="1:19" s="3" customFormat="1" ht="13.9" customHeight="1" thickBot="1" x14ac:dyDescent="0.25">
      <c r="B3" s="634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6"/>
      <c r="N3" s="41">
        <f>'RESUMEN SUPERFICIES'!O6</f>
        <v>43752</v>
      </c>
    </row>
    <row r="4" spans="1:19" s="3" customFormat="1" ht="13.5" thickBot="1" x14ac:dyDescent="0.25">
      <c r="E4" s="1"/>
    </row>
    <row r="5" spans="1:19" ht="13.5" thickBot="1" x14ac:dyDescent="0.25">
      <c r="B5" s="705" t="s">
        <v>146</v>
      </c>
      <c r="C5" s="705"/>
      <c r="D5" s="706"/>
      <c r="E5" s="28"/>
      <c r="F5" s="707" t="s">
        <v>143</v>
      </c>
      <c r="G5" s="708"/>
      <c r="H5" s="708"/>
      <c r="I5" s="709"/>
      <c r="K5" s="707" t="s">
        <v>11</v>
      </c>
      <c r="L5" s="708"/>
      <c r="M5" s="708"/>
      <c r="N5" s="709"/>
      <c r="P5" s="1"/>
      <c r="Q5" s="1"/>
    </row>
    <row r="6" spans="1:19" ht="13.5" thickBot="1" x14ac:dyDescent="0.25">
      <c r="B6" s="14" t="s">
        <v>3</v>
      </c>
      <c r="C6" s="13" t="s">
        <v>5</v>
      </c>
      <c r="D6" s="15" t="s">
        <v>13</v>
      </c>
      <c r="E6" s="28"/>
      <c r="F6" s="18" t="s">
        <v>0</v>
      </c>
      <c r="G6" s="11" t="s">
        <v>4</v>
      </c>
      <c r="H6" s="12" t="s">
        <v>8</v>
      </c>
      <c r="I6" s="18" t="s">
        <v>1</v>
      </c>
      <c r="K6" s="16" t="s">
        <v>0</v>
      </c>
      <c r="L6" s="10" t="s">
        <v>4</v>
      </c>
      <c r="M6" s="12" t="s">
        <v>8</v>
      </c>
      <c r="N6" s="9" t="s">
        <v>1</v>
      </c>
      <c r="P6" s="1"/>
      <c r="Q6" s="1"/>
      <c r="S6" s="719" t="s">
        <v>515</v>
      </c>
    </row>
    <row r="7" spans="1:19" ht="15.75" thickBot="1" x14ac:dyDescent="0.3">
      <c r="B7" s="314">
        <v>2</v>
      </c>
      <c r="C7" s="315" t="s">
        <v>200</v>
      </c>
      <c r="D7" s="611">
        <v>3.58</v>
      </c>
      <c r="E7" s="5"/>
      <c r="F7" s="336">
        <v>1</v>
      </c>
      <c r="G7" s="357" t="s">
        <v>232</v>
      </c>
      <c r="H7" s="358">
        <v>18</v>
      </c>
      <c r="I7" s="359" t="s">
        <v>6</v>
      </c>
      <c r="K7" s="710">
        <v>1</v>
      </c>
      <c r="L7" s="367" t="s">
        <v>164</v>
      </c>
      <c r="M7" s="368">
        <v>4.87</v>
      </c>
      <c r="N7" s="367" t="s">
        <v>9</v>
      </c>
      <c r="O7" s="1"/>
      <c r="P7" s="694" t="s">
        <v>636</v>
      </c>
      <c r="Q7" s="695"/>
      <c r="R7" s="608">
        <f>SUM(D7:D31)</f>
        <v>82.759999999999977</v>
      </c>
      <c r="S7" s="720"/>
    </row>
    <row r="8" spans="1:19" ht="15.75" thickBot="1" x14ac:dyDescent="0.3">
      <c r="B8" s="316">
        <v>2</v>
      </c>
      <c r="C8" s="317" t="s">
        <v>201</v>
      </c>
      <c r="D8" s="612">
        <f>3.44-0.32</f>
        <v>3.12</v>
      </c>
      <c r="E8" s="5"/>
      <c r="F8" s="340">
        <v>1</v>
      </c>
      <c r="G8" s="360" t="s">
        <v>233</v>
      </c>
      <c r="H8" s="361">
        <v>12.5</v>
      </c>
      <c r="I8" s="362" t="s">
        <v>6</v>
      </c>
      <c r="K8" s="700"/>
      <c r="L8" s="369" t="s">
        <v>294</v>
      </c>
      <c r="M8" s="370">
        <v>14.81</v>
      </c>
      <c r="N8" s="371" t="s">
        <v>10</v>
      </c>
      <c r="O8" s="1"/>
      <c r="P8" s="1"/>
      <c r="Q8" s="1"/>
      <c r="S8" s="721"/>
    </row>
    <row r="9" spans="1:19" ht="15.75" thickBot="1" x14ac:dyDescent="0.3">
      <c r="B9" s="316">
        <v>2</v>
      </c>
      <c r="C9" s="317" t="s">
        <v>202</v>
      </c>
      <c r="D9" s="612">
        <v>2.73</v>
      </c>
      <c r="E9" s="5"/>
      <c r="F9" s="340">
        <v>1</v>
      </c>
      <c r="G9" s="360" t="s">
        <v>234</v>
      </c>
      <c r="H9" s="361">
        <v>12.5</v>
      </c>
      <c r="I9" s="362" t="s">
        <v>6</v>
      </c>
      <c r="K9" s="700">
        <v>1</v>
      </c>
      <c r="L9" s="372" t="s">
        <v>166</v>
      </c>
      <c r="M9" s="373">
        <f>3.88-0.33</f>
        <v>3.55</v>
      </c>
      <c r="N9" s="372" t="s">
        <v>9</v>
      </c>
      <c r="O9" s="1"/>
      <c r="P9" s="1"/>
      <c r="Q9" s="1"/>
      <c r="S9" s="722" t="s">
        <v>646</v>
      </c>
    </row>
    <row r="10" spans="1:19" ht="15.75" thickBot="1" x14ac:dyDescent="0.3">
      <c r="B10" s="316">
        <v>2</v>
      </c>
      <c r="C10" s="317" t="s">
        <v>203</v>
      </c>
      <c r="D10" s="612">
        <v>3.96</v>
      </c>
      <c r="E10" s="5"/>
      <c r="F10" s="340">
        <v>1</v>
      </c>
      <c r="G10" s="360" t="s">
        <v>235</v>
      </c>
      <c r="H10" s="361">
        <v>12.5</v>
      </c>
      <c r="I10" s="362" t="s">
        <v>6</v>
      </c>
      <c r="K10" s="703"/>
      <c r="L10" s="369" t="s">
        <v>296</v>
      </c>
      <c r="M10" s="370">
        <v>13.74</v>
      </c>
      <c r="N10" s="371" t="s">
        <v>10</v>
      </c>
      <c r="O10" s="1"/>
      <c r="P10" s="694" t="s">
        <v>638</v>
      </c>
      <c r="Q10" s="695"/>
      <c r="R10" s="608">
        <f>SUM(D32:D33)</f>
        <v>10.35</v>
      </c>
      <c r="S10" s="723"/>
    </row>
    <row r="11" spans="1:19" ht="15.75" thickBot="1" x14ac:dyDescent="0.3">
      <c r="B11" s="316">
        <v>2</v>
      </c>
      <c r="C11" s="317" t="s">
        <v>204</v>
      </c>
      <c r="D11" s="612">
        <v>3.89</v>
      </c>
      <c r="E11" s="5"/>
      <c r="F11" s="340">
        <v>1</v>
      </c>
      <c r="G11" s="360" t="s">
        <v>236</v>
      </c>
      <c r="H11" s="361">
        <v>12.5</v>
      </c>
      <c r="I11" s="362" t="s">
        <v>6</v>
      </c>
      <c r="K11" s="703">
        <v>1</v>
      </c>
      <c r="L11" s="372" t="s">
        <v>168</v>
      </c>
      <c r="M11" s="373">
        <v>3.65</v>
      </c>
      <c r="N11" s="423" t="s">
        <v>9</v>
      </c>
      <c r="O11" s="1"/>
      <c r="P11" s="694" t="s">
        <v>639</v>
      </c>
      <c r="Q11" s="695"/>
      <c r="R11" s="608">
        <f>M7+M9+M11+M13+M15+M17+M19+M21+M23+M25+M27+M29+M31+M33+M35+M37+M39+M41</f>
        <v>74.540000000000006</v>
      </c>
      <c r="S11" s="723"/>
    </row>
    <row r="12" spans="1:19" ht="15.75" thickBot="1" x14ac:dyDescent="0.3">
      <c r="B12" s="316">
        <v>2</v>
      </c>
      <c r="C12" s="317" t="s">
        <v>205</v>
      </c>
      <c r="D12" s="612">
        <v>3.31</v>
      </c>
      <c r="E12" s="5"/>
      <c r="F12" s="340">
        <v>1</v>
      </c>
      <c r="G12" s="360" t="s">
        <v>237</v>
      </c>
      <c r="H12" s="361">
        <v>12.5</v>
      </c>
      <c r="I12" s="362" t="s">
        <v>6</v>
      </c>
      <c r="K12" s="702"/>
      <c r="L12" s="424" t="s">
        <v>165</v>
      </c>
      <c r="M12" s="425">
        <v>14.21</v>
      </c>
      <c r="N12" s="426" t="s">
        <v>10</v>
      </c>
      <c r="O12" s="1"/>
      <c r="P12" s="1"/>
      <c r="Q12" s="1"/>
      <c r="S12" s="723"/>
    </row>
    <row r="13" spans="1:19" ht="15.75" thickBot="1" x14ac:dyDescent="0.3">
      <c r="B13" s="316">
        <v>2</v>
      </c>
      <c r="C13" s="317" t="s">
        <v>206</v>
      </c>
      <c r="D13" s="612">
        <v>3.13</v>
      </c>
      <c r="E13" s="5"/>
      <c r="F13" s="340">
        <v>1</v>
      </c>
      <c r="G13" s="360" t="s">
        <v>238</v>
      </c>
      <c r="H13" s="361">
        <v>12.5</v>
      </c>
      <c r="I13" s="362" t="s">
        <v>6</v>
      </c>
      <c r="K13" s="703">
        <v>1</v>
      </c>
      <c r="L13" s="372" t="s">
        <v>170</v>
      </c>
      <c r="M13" s="373">
        <f>3.87-0.34</f>
        <v>3.5300000000000002</v>
      </c>
      <c r="N13" s="423" t="s">
        <v>9</v>
      </c>
      <c r="O13" s="1"/>
      <c r="P13" s="694" t="s">
        <v>637</v>
      </c>
      <c r="Q13" s="695"/>
      <c r="R13" s="608">
        <f>SUM(R10:R11)</f>
        <v>84.89</v>
      </c>
      <c r="S13" s="723"/>
    </row>
    <row r="14" spans="1:19" ht="15.75" thickBot="1" x14ac:dyDescent="0.3">
      <c r="B14" s="316">
        <v>2</v>
      </c>
      <c r="C14" s="317" t="s">
        <v>207</v>
      </c>
      <c r="D14" s="612">
        <v>3.13</v>
      </c>
      <c r="E14" s="5"/>
      <c r="F14" s="340">
        <v>1</v>
      </c>
      <c r="G14" s="360" t="s">
        <v>239</v>
      </c>
      <c r="H14" s="361">
        <v>12.5</v>
      </c>
      <c r="I14" s="362" t="s">
        <v>6</v>
      </c>
      <c r="K14" s="702"/>
      <c r="L14" s="424" t="s">
        <v>566</v>
      </c>
      <c r="M14" s="425">
        <v>14.05</v>
      </c>
      <c r="N14" s="426" t="s">
        <v>10</v>
      </c>
      <c r="O14" s="1"/>
      <c r="P14" s="1"/>
      <c r="Q14" s="1"/>
      <c r="S14" s="723"/>
    </row>
    <row r="15" spans="1:19" ht="15.75" thickBot="1" x14ac:dyDescent="0.3">
      <c r="A15" s="32"/>
      <c r="B15" s="316">
        <v>2</v>
      </c>
      <c r="C15" s="317" t="s">
        <v>208</v>
      </c>
      <c r="D15" s="612">
        <v>3.28</v>
      </c>
      <c r="E15" s="5"/>
      <c r="F15" s="340">
        <v>1</v>
      </c>
      <c r="G15" s="360" t="s">
        <v>240</v>
      </c>
      <c r="H15" s="361">
        <v>12.5</v>
      </c>
      <c r="I15" s="362" t="s">
        <v>6</v>
      </c>
      <c r="K15" s="703">
        <v>1</v>
      </c>
      <c r="L15" s="372" t="s">
        <v>174</v>
      </c>
      <c r="M15" s="373">
        <f>3.89-0.07</f>
        <v>3.8200000000000003</v>
      </c>
      <c r="N15" s="423" t="s">
        <v>9</v>
      </c>
      <c r="O15" s="1"/>
      <c r="P15" s="717" t="s">
        <v>642</v>
      </c>
      <c r="Q15" s="718"/>
      <c r="R15" s="609">
        <f>SUM(H46:H78)</f>
        <v>442.96</v>
      </c>
      <c r="S15" s="723"/>
    </row>
    <row r="16" spans="1:19" ht="15.75" thickBot="1" x14ac:dyDescent="0.3">
      <c r="A16" s="32"/>
      <c r="B16" s="316">
        <v>2</v>
      </c>
      <c r="C16" s="317" t="s">
        <v>209</v>
      </c>
      <c r="D16" s="612">
        <v>3.6</v>
      </c>
      <c r="E16" s="5"/>
      <c r="F16" s="340">
        <v>1</v>
      </c>
      <c r="G16" s="360" t="s">
        <v>241</v>
      </c>
      <c r="H16" s="361">
        <v>12.5</v>
      </c>
      <c r="I16" s="362" t="s">
        <v>6</v>
      </c>
      <c r="K16" s="702"/>
      <c r="L16" s="424" t="s">
        <v>567</v>
      </c>
      <c r="M16" s="425">
        <v>12.64</v>
      </c>
      <c r="N16" s="426" t="s">
        <v>10</v>
      </c>
      <c r="O16" s="1"/>
      <c r="P16" s="717" t="s">
        <v>643</v>
      </c>
      <c r="Q16" s="718"/>
      <c r="R16" s="609">
        <f>M8+M10+M12+M14+M16+M18+M20+M22+M24+M26+M28+M30+M32+M34+M36+M38+M40+M42</f>
        <v>250.98000000000002</v>
      </c>
      <c r="S16" s="723"/>
    </row>
    <row r="17" spans="1:19" ht="15.75" thickBot="1" x14ac:dyDescent="0.3">
      <c r="B17" s="316">
        <v>2</v>
      </c>
      <c r="C17" s="317" t="s">
        <v>210</v>
      </c>
      <c r="D17" s="612">
        <f>3.39-0.34</f>
        <v>3.0500000000000003</v>
      </c>
      <c r="E17" s="5"/>
      <c r="F17" s="340">
        <v>1</v>
      </c>
      <c r="G17" s="360" t="s">
        <v>242</v>
      </c>
      <c r="H17" s="361">
        <v>12.5</v>
      </c>
      <c r="I17" s="362" t="s">
        <v>6</v>
      </c>
      <c r="K17" s="703">
        <v>1</v>
      </c>
      <c r="L17" s="372" t="s">
        <v>175</v>
      </c>
      <c r="M17" s="373">
        <f>3.38-0.31</f>
        <v>3.07</v>
      </c>
      <c r="N17" s="423" t="s">
        <v>9</v>
      </c>
      <c r="O17" s="1"/>
      <c r="P17" s="1"/>
      <c r="Q17" s="1"/>
      <c r="R17" s="3"/>
      <c r="S17" s="723"/>
    </row>
    <row r="18" spans="1:19" ht="15.75" thickBot="1" x14ac:dyDescent="0.3">
      <c r="B18" s="316">
        <v>2</v>
      </c>
      <c r="C18" s="317" t="s">
        <v>211</v>
      </c>
      <c r="D18" s="612">
        <f>3.8-0.07</f>
        <v>3.73</v>
      </c>
      <c r="E18" s="5"/>
      <c r="F18" s="340">
        <v>1</v>
      </c>
      <c r="G18" s="360" t="s">
        <v>243</v>
      </c>
      <c r="H18" s="361">
        <v>12.5</v>
      </c>
      <c r="I18" s="362" t="s">
        <v>6</v>
      </c>
      <c r="K18" s="702"/>
      <c r="L18" s="424" t="s">
        <v>167</v>
      </c>
      <c r="M18" s="425">
        <f>15.58-0.19</f>
        <v>15.39</v>
      </c>
      <c r="N18" s="426" t="s">
        <v>10</v>
      </c>
      <c r="P18" s="717" t="s">
        <v>644</v>
      </c>
      <c r="Q18" s="718"/>
      <c r="R18" s="609">
        <f>SUM(R15:R16)</f>
        <v>693.94</v>
      </c>
      <c r="S18" s="723"/>
    </row>
    <row r="19" spans="1:19" ht="15.75" thickBot="1" x14ac:dyDescent="0.3">
      <c r="B19" s="316">
        <v>2</v>
      </c>
      <c r="C19" s="317" t="s">
        <v>212</v>
      </c>
      <c r="D19" s="612">
        <v>3.19</v>
      </c>
      <c r="E19" s="5"/>
      <c r="F19" s="340">
        <v>1</v>
      </c>
      <c r="G19" s="360" t="s">
        <v>244</v>
      </c>
      <c r="H19" s="361">
        <v>12.5</v>
      </c>
      <c r="I19" s="362" t="s">
        <v>6</v>
      </c>
      <c r="K19" s="703">
        <v>1</v>
      </c>
      <c r="L19" s="372" t="s">
        <v>176</v>
      </c>
      <c r="M19" s="373">
        <f>3.38-0.31</f>
        <v>3.07</v>
      </c>
      <c r="N19" s="423" t="s">
        <v>9</v>
      </c>
      <c r="O19" s="1"/>
      <c r="P19" s="1"/>
      <c r="Q19" s="1"/>
      <c r="S19" s="724"/>
    </row>
    <row r="20" spans="1:19" ht="15.75" thickBot="1" x14ac:dyDescent="0.3">
      <c r="B20" s="316">
        <v>2</v>
      </c>
      <c r="C20" s="317" t="s">
        <v>213</v>
      </c>
      <c r="D20" s="612">
        <v>3.08</v>
      </c>
      <c r="E20" s="5"/>
      <c r="F20" s="340">
        <v>1</v>
      </c>
      <c r="G20" s="360" t="s">
        <v>245</v>
      </c>
      <c r="H20" s="361">
        <v>12.5</v>
      </c>
      <c r="I20" s="362" t="s">
        <v>6</v>
      </c>
      <c r="K20" s="702"/>
      <c r="L20" s="424" t="s">
        <v>169</v>
      </c>
      <c r="M20" s="425">
        <f>15.58-0.19</f>
        <v>15.39</v>
      </c>
      <c r="N20" s="426" t="s">
        <v>10</v>
      </c>
      <c r="S20" s="722" t="s">
        <v>653</v>
      </c>
    </row>
    <row r="21" spans="1:19" ht="15.75" thickBot="1" x14ac:dyDescent="0.3">
      <c r="B21" s="316">
        <v>2</v>
      </c>
      <c r="C21" s="317" t="s">
        <v>214</v>
      </c>
      <c r="D21" s="612">
        <v>3.08</v>
      </c>
      <c r="E21" s="5"/>
      <c r="F21" s="340">
        <v>1</v>
      </c>
      <c r="G21" s="360" t="s">
        <v>246</v>
      </c>
      <c r="H21" s="361">
        <v>12.5</v>
      </c>
      <c r="I21" s="362" t="s">
        <v>6</v>
      </c>
      <c r="K21" s="703">
        <v>1</v>
      </c>
      <c r="L21" s="372" t="s">
        <v>178</v>
      </c>
      <c r="M21" s="373">
        <f>3.89-0.07</f>
        <v>3.8200000000000003</v>
      </c>
      <c r="N21" s="423" t="s">
        <v>9</v>
      </c>
      <c r="O21" s="1"/>
      <c r="P21" s="694" t="s">
        <v>645</v>
      </c>
      <c r="Q21" s="695"/>
      <c r="R21" s="590">
        <f>SUM(D34:D35)</f>
        <v>7.8100000000000005</v>
      </c>
      <c r="S21" s="723"/>
    </row>
    <row r="22" spans="1:19" ht="15.75" thickBot="1" x14ac:dyDescent="0.3">
      <c r="B22" s="316">
        <v>2</v>
      </c>
      <c r="C22" s="317" t="s">
        <v>215</v>
      </c>
      <c r="D22" s="612">
        <v>3.22</v>
      </c>
      <c r="E22" s="2"/>
      <c r="F22" s="340">
        <v>1</v>
      </c>
      <c r="G22" s="360" t="s">
        <v>247</v>
      </c>
      <c r="H22" s="361">
        <v>12.5</v>
      </c>
      <c r="I22" s="362" t="s">
        <v>6</v>
      </c>
      <c r="K22" s="702"/>
      <c r="L22" s="424" t="s">
        <v>171</v>
      </c>
      <c r="M22" s="425">
        <v>12.64</v>
      </c>
      <c r="N22" s="426" t="s">
        <v>10</v>
      </c>
      <c r="P22" s="694" t="s">
        <v>654</v>
      </c>
      <c r="Q22" s="695"/>
      <c r="R22" s="590">
        <f>M43+M45+M47+M49+M51+M53+M55+M57+M59+M61+M63+M65+M67+M69+M71+M73+M75+M77+M79+M81+M83+M85+M87+M89</f>
        <v>116.67000000000003</v>
      </c>
      <c r="S22" s="723"/>
    </row>
    <row r="23" spans="1:19" ht="15.75" thickBot="1" x14ac:dyDescent="0.3">
      <c r="B23" s="316">
        <v>2</v>
      </c>
      <c r="C23" s="317" t="s">
        <v>216</v>
      </c>
      <c r="D23" s="612">
        <f>3.51-0.09</f>
        <v>3.42</v>
      </c>
      <c r="E23" s="5"/>
      <c r="F23" s="340">
        <v>1</v>
      </c>
      <c r="G23" s="360" t="s">
        <v>248</v>
      </c>
      <c r="H23" s="361">
        <v>12.5</v>
      </c>
      <c r="I23" s="362" t="s">
        <v>6</v>
      </c>
      <c r="K23" s="703">
        <v>1</v>
      </c>
      <c r="L23" s="372" t="s">
        <v>180</v>
      </c>
      <c r="M23" s="373">
        <f>3.87-0.34</f>
        <v>3.5300000000000002</v>
      </c>
      <c r="N23" s="423" t="s">
        <v>9</v>
      </c>
      <c r="P23" s="1"/>
      <c r="Q23" s="1"/>
      <c r="R23" s="3"/>
      <c r="S23" s="723"/>
    </row>
    <row r="24" spans="1:19" ht="15.75" thickBot="1" x14ac:dyDescent="0.3">
      <c r="B24" s="316">
        <v>2</v>
      </c>
      <c r="C24" s="317" t="s">
        <v>217</v>
      </c>
      <c r="D24" s="612">
        <f>3.55-0.28</f>
        <v>3.2699999999999996</v>
      </c>
      <c r="E24" s="5"/>
      <c r="F24" s="340">
        <v>1</v>
      </c>
      <c r="G24" s="360" t="s">
        <v>249</v>
      </c>
      <c r="H24" s="361">
        <v>12.5</v>
      </c>
      <c r="I24" s="362" t="s">
        <v>6</v>
      </c>
      <c r="K24" s="702"/>
      <c r="L24" s="424" t="s">
        <v>172</v>
      </c>
      <c r="M24" s="425">
        <v>14.05</v>
      </c>
      <c r="N24" s="426" t="s">
        <v>10</v>
      </c>
      <c r="P24" s="694" t="s">
        <v>655</v>
      </c>
      <c r="Q24" s="695"/>
      <c r="R24" s="590">
        <f>SUM(R21:R22)</f>
        <v>124.48000000000003</v>
      </c>
      <c r="S24" s="723"/>
    </row>
    <row r="25" spans="1:19" ht="15.75" thickBot="1" x14ac:dyDescent="0.3">
      <c r="B25" s="316">
        <v>2</v>
      </c>
      <c r="C25" s="317" t="s">
        <v>218</v>
      </c>
      <c r="D25" s="612">
        <f>3.55-0.28</f>
        <v>3.2699999999999996</v>
      </c>
      <c r="E25" s="5"/>
      <c r="F25" s="340">
        <v>1</v>
      </c>
      <c r="G25" s="360" t="s">
        <v>250</v>
      </c>
      <c r="H25" s="361">
        <v>12.5</v>
      </c>
      <c r="I25" s="362" t="s">
        <v>6</v>
      </c>
      <c r="K25" s="703">
        <v>1</v>
      </c>
      <c r="L25" s="372" t="s">
        <v>182</v>
      </c>
      <c r="M25" s="373">
        <v>3.65</v>
      </c>
      <c r="N25" s="423" t="s">
        <v>9</v>
      </c>
      <c r="O25" s="1"/>
      <c r="P25" s="1"/>
      <c r="Q25" s="1"/>
      <c r="S25" s="723"/>
    </row>
    <row r="26" spans="1:19" ht="15.75" thickBot="1" x14ac:dyDescent="0.3">
      <c r="A26" s="32"/>
      <c r="B26" s="316">
        <v>2</v>
      </c>
      <c r="C26" s="317" t="s">
        <v>219</v>
      </c>
      <c r="D26" s="612">
        <f>3.51-0.09</f>
        <v>3.42</v>
      </c>
      <c r="E26" s="5"/>
      <c r="F26" s="340">
        <v>1</v>
      </c>
      <c r="G26" s="360" t="s">
        <v>251</v>
      </c>
      <c r="H26" s="361">
        <v>12.5</v>
      </c>
      <c r="I26" s="362" t="s">
        <v>6</v>
      </c>
      <c r="K26" s="704"/>
      <c r="L26" s="369" t="s">
        <v>173</v>
      </c>
      <c r="M26" s="425">
        <v>14.21</v>
      </c>
      <c r="N26" s="428" t="s">
        <v>10</v>
      </c>
      <c r="O26" s="1"/>
      <c r="P26" s="717" t="s">
        <v>647</v>
      </c>
      <c r="Q26" s="718"/>
      <c r="R26" s="609">
        <f>SUM(H79:H125)</f>
        <v>588.61999999999989</v>
      </c>
      <c r="S26" s="723"/>
    </row>
    <row r="27" spans="1:19" ht="15.75" thickBot="1" x14ac:dyDescent="0.3">
      <c r="A27" s="32"/>
      <c r="B27" s="316">
        <v>2</v>
      </c>
      <c r="C27" s="317" t="s">
        <v>220</v>
      </c>
      <c r="D27" s="612">
        <v>3.22</v>
      </c>
      <c r="E27" s="5"/>
      <c r="F27" s="340">
        <v>1</v>
      </c>
      <c r="G27" s="360" t="s">
        <v>252</v>
      </c>
      <c r="H27" s="361">
        <v>12.5</v>
      </c>
      <c r="I27" s="362" t="s">
        <v>6</v>
      </c>
      <c r="K27" s="699">
        <v>1</v>
      </c>
      <c r="L27" s="372" t="s">
        <v>184</v>
      </c>
      <c r="M27" s="373">
        <f>3.88-0.33</f>
        <v>3.55</v>
      </c>
      <c r="N27" s="423" t="s">
        <v>9</v>
      </c>
      <c r="O27" s="1"/>
      <c r="P27" s="717" t="s">
        <v>648</v>
      </c>
      <c r="Q27" s="718"/>
      <c r="R27" s="609">
        <f>M44+M46+M48+M50+M52+M54+M56+M58+M60+M62+M64+M66+M68+M70+M72+M74+M76+M78+M80+M82+M84+M86+M88+M90</f>
        <v>334.28000000000014</v>
      </c>
      <c r="S27" s="723"/>
    </row>
    <row r="28" spans="1:19" ht="15.75" thickBot="1" x14ac:dyDescent="0.3">
      <c r="B28" s="316">
        <v>2</v>
      </c>
      <c r="C28" s="317" t="s">
        <v>221</v>
      </c>
      <c r="D28" s="612">
        <v>3.08</v>
      </c>
      <c r="E28" s="2"/>
      <c r="F28" s="340">
        <v>1</v>
      </c>
      <c r="G28" s="360" t="s">
        <v>253</v>
      </c>
      <c r="H28" s="361">
        <v>12.5</v>
      </c>
      <c r="I28" s="362" t="s">
        <v>6</v>
      </c>
      <c r="K28" s="699"/>
      <c r="L28" s="424" t="s">
        <v>177</v>
      </c>
      <c r="M28" s="370">
        <v>13.74</v>
      </c>
      <c r="N28" s="426" t="s">
        <v>10</v>
      </c>
      <c r="P28" s="1"/>
      <c r="Q28" s="1"/>
      <c r="R28" s="3"/>
      <c r="S28" s="723"/>
    </row>
    <row r="29" spans="1:19" ht="15.75" thickBot="1" x14ac:dyDescent="0.3">
      <c r="B29" s="316">
        <v>2</v>
      </c>
      <c r="C29" s="317" t="s">
        <v>222</v>
      </c>
      <c r="D29" s="612">
        <v>3.08</v>
      </c>
      <c r="E29" s="5"/>
      <c r="F29" s="340">
        <v>1</v>
      </c>
      <c r="G29" s="360" t="s">
        <v>254</v>
      </c>
      <c r="H29" s="361">
        <v>12.5</v>
      </c>
      <c r="I29" s="362" t="s">
        <v>6</v>
      </c>
      <c r="K29" s="698">
        <v>1</v>
      </c>
      <c r="L29" s="372" t="s">
        <v>186</v>
      </c>
      <c r="M29" s="373">
        <v>4.79</v>
      </c>
      <c r="N29" s="423" t="s">
        <v>9</v>
      </c>
      <c r="P29" s="717" t="s">
        <v>649</v>
      </c>
      <c r="Q29" s="718"/>
      <c r="R29" s="609">
        <f>SUM(R26:R27)</f>
        <v>922.90000000000009</v>
      </c>
      <c r="S29" s="723"/>
    </row>
    <row r="30" spans="1:19" ht="15.75" thickBot="1" x14ac:dyDescent="0.3">
      <c r="B30" s="316">
        <v>2</v>
      </c>
      <c r="C30" s="317" t="s">
        <v>223</v>
      </c>
      <c r="D30" s="612">
        <v>3.19</v>
      </c>
      <c r="E30" s="5"/>
      <c r="F30" s="340">
        <v>1</v>
      </c>
      <c r="G30" s="360" t="s">
        <v>255</v>
      </c>
      <c r="H30" s="361">
        <v>12.5</v>
      </c>
      <c r="I30" s="362" t="s">
        <v>6</v>
      </c>
      <c r="K30" s="699"/>
      <c r="L30" s="424" t="s">
        <v>183</v>
      </c>
      <c r="M30" s="425">
        <v>14.55</v>
      </c>
      <c r="N30" s="426" t="s">
        <v>10</v>
      </c>
      <c r="P30" s="1"/>
      <c r="Q30" s="1"/>
      <c r="S30" s="724"/>
    </row>
    <row r="31" spans="1:19" ht="15.75" thickBot="1" x14ac:dyDescent="0.3">
      <c r="B31" s="432">
        <v>2</v>
      </c>
      <c r="C31" s="433" t="s">
        <v>224</v>
      </c>
      <c r="D31" s="613">
        <f>3.8-0.07</f>
        <v>3.73</v>
      </c>
      <c r="E31" s="5"/>
      <c r="F31" s="340">
        <v>1</v>
      </c>
      <c r="G31" s="360" t="s">
        <v>256</v>
      </c>
      <c r="H31" s="361">
        <v>12.5</v>
      </c>
      <c r="I31" s="362" t="s">
        <v>6</v>
      </c>
      <c r="K31" s="698">
        <v>1</v>
      </c>
      <c r="L31" s="372" t="s">
        <v>188</v>
      </c>
      <c r="M31" s="373">
        <f>5.08-0.21</f>
        <v>4.87</v>
      </c>
      <c r="N31" s="423" t="s">
        <v>9</v>
      </c>
      <c r="O31" s="1"/>
      <c r="P31" s="3"/>
      <c r="Q31" s="3"/>
      <c r="R31" s="3"/>
      <c r="S31" s="722" t="s">
        <v>656</v>
      </c>
    </row>
    <row r="32" spans="1:19" ht="15.75" thickBot="1" x14ac:dyDescent="0.3">
      <c r="B32" s="19">
        <v>1</v>
      </c>
      <c r="C32" s="8" t="s">
        <v>225</v>
      </c>
      <c r="D32" s="17">
        <v>5.21</v>
      </c>
      <c r="E32" s="5"/>
      <c r="F32" s="340">
        <v>1</v>
      </c>
      <c r="G32" s="360" t="s">
        <v>257</v>
      </c>
      <c r="H32" s="361">
        <v>12.5</v>
      </c>
      <c r="I32" s="362" t="s">
        <v>6</v>
      </c>
      <c r="K32" s="699"/>
      <c r="L32" s="424" t="s">
        <v>298</v>
      </c>
      <c r="M32" s="425">
        <v>13.65</v>
      </c>
      <c r="N32" s="426" t="s">
        <v>10</v>
      </c>
      <c r="P32" s="694" t="s">
        <v>657</v>
      </c>
      <c r="Q32" s="695"/>
      <c r="R32" s="590">
        <f>SUM(D36:D37)</f>
        <v>12.06</v>
      </c>
      <c r="S32" s="723"/>
    </row>
    <row r="33" spans="1:19" ht="15.75" thickBot="1" x14ac:dyDescent="0.3">
      <c r="B33" s="321">
        <v>1</v>
      </c>
      <c r="C33" s="322" t="s">
        <v>226</v>
      </c>
      <c r="D33" s="614">
        <v>5.14</v>
      </c>
      <c r="E33" s="5"/>
      <c r="F33" s="340">
        <v>1</v>
      </c>
      <c r="G33" s="360" t="s">
        <v>258</v>
      </c>
      <c r="H33" s="361">
        <v>12.5</v>
      </c>
      <c r="I33" s="362" t="s">
        <v>6</v>
      </c>
      <c r="K33" s="698">
        <v>1</v>
      </c>
      <c r="L33" s="372" t="s">
        <v>190</v>
      </c>
      <c r="M33" s="373">
        <v>4.88</v>
      </c>
      <c r="N33" s="423" t="s">
        <v>9</v>
      </c>
      <c r="O33" s="1"/>
      <c r="P33" s="694" t="s">
        <v>658</v>
      </c>
      <c r="Q33" s="695"/>
      <c r="R33" s="590">
        <f>M91+M93+M95+M97+M99+M101+M103+M105+M107+M109+M111+M113+M115+M117+M119+M121+M123+M125+M127+M129+M131+M133+M135+M137+M139+M141+M143</f>
        <v>134.29000000000002</v>
      </c>
      <c r="S33" s="723"/>
    </row>
    <row r="34" spans="1:19" ht="15.75" thickBot="1" x14ac:dyDescent="0.3">
      <c r="B34" s="385">
        <v>-1</v>
      </c>
      <c r="C34" s="434" t="s">
        <v>448</v>
      </c>
      <c r="D34" s="435">
        <v>3.82</v>
      </c>
      <c r="E34" s="5"/>
      <c r="F34" s="340">
        <v>1</v>
      </c>
      <c r="G34" s="360" t="s">
        <v>259</v>
      </c>
      <c r="H34" s="361">
        <v>12.5</v>
      </c>
      <c r="I34" s="362" t="s">
        <v>6</v>
      </c>
      <c r="K34" s="699"/>
      <c r="L34" s="424" t="s">
        <v>187</v>
      </c>
      <c r="M34" s="425">
        <v>14.15</v>
      </c>
      <c r="N34" s="426" t="s">
        <v>10</v>
      </c>
      <c r="P34" s="1"/>
      <c r="Q34" s="1"/>
      <c r="R34" s="3"/>
      <c r="S34" s="723"/>
    </row>
    <row r="35" spans="1:19" ht="15.75" thickBot="1" x14ac:dyDescent="0.3">
      <c r="B35" s="318">
        <v>-1</v>
      </c>
      <c r="C35" s="319" t="s">
        <v>424</v>
      </c>
      <c r="D35" s="320">
        <v>3.99</v>
      </c>
      <c r="E35" s="2"/>
      <c r="F35" s="340">
        <v>1</v>
      </c>
      <c r="G35" s="360" t="s">
        <v>260</v>
      </c>
      <c r="H35" s="361">
        <v>12.5</v>
      </c>
      <c r="I35" s="362" t="s">
        <v>6</v>
      </c>
      <c r="K35" s="698">
        <v>1</v>
      </c>
      <c r="L35" s="372" t="s">
        <v>192</v>
      </c>
      <c r="M35" s="373">
        <f>5.22-0.33</f>
        <v>4.8899999999999997</v>
      </c>
      <c r="N35" s="423" t="s">
        <v>9</v>
      </c>
      <c r="P35" s="694" t="s">
        <v>659</v>
      </c>
      <c r="Q35" s="695"/>
      <c r="R35" s="590">
        <f>SUM(R32:R33)</f>
        <v>146.35000000000002</v>
      </c>
      <c r="S35" s="723"/>
    </row>
    <row r="36" spans="1:19" ht="15.75" thickBot="1" x14ac:dyDescent="0.3">
      <c r="B36" s="19">
        <v>-2</v>
      </c>
      <c r="C36" s="324" t="s">
        <v>488</v>
      </c>
      <c r="D36" s="17">
        <v>6.98</v>
      </c>
      <c r="E36" s="5"/>
      <c r="F36" s="340">
        <v>1</v>
      </c>
      <c r="G36" s="360" t="s">
        <v>261</v>
      </c>
      <c r="H36" s="361">
        <v>12.5</v>
      </c>
      <c r="I36" s="362" t="s">
        <v>6</v>
      </c>
      <c r="K36" s="699"/>
      <c r="L36" s="424" t="s">
        <v>299</v>
      </c>
      <c r="M36" s="425">
        <v>14</v>
      </c>
      <c r="N36" s="426" t="s">
        <v>10</v>
      </c>
      <c r="P36" s="1"/>
      <c r="Q36" s="1"/>
      <c r="R36" s="3"/>
      <c r="S36" s="723"/>
    </row>
    <row r="37" spans="1:19" ht="15.75" thickBot="1" x14ac:dyDescent="0.3">
      <c r="B37" s="578">
        <v>-2</v>
      </c>
      <c r="C37" s="610" t="s">
        <v>663</v>
      </c>
      <c r="D37" s="579">
        <v>5.08</v>
      </c>
      <c r="E37" s="5"/>
      <c r="F37" s="340">
        <v>1</v>
      </c>
      <c r="G37" s="360" t="s">
        <v>262</v>
      </c>
      <c r="H37" s="361">
        <v>12.5</v>
      </c>
      <c r="I37" s="362" t="s">
        <v>6</v>
      </c>
      <c r="K37" s="698">
        <v>1</v>
      </c>
      <c r="L37" s="372" t="s">
        <v>194</v>
      </c>
      <c r="M37" s="373">
        <v>5.97</v>
      </c>
      <c r="N37" s="423" t="s">
        <v>9</v>
      </c>
      <c r="P37" s="717" t="s">
        <v>660</v>
      </c>
      <c r="Q37" s="718"/>
      <c r="R37" s="609">
        <f>SUM(H126:H174)</f>
        <v>613.61999999999989</v>
      </c>
      <c r="S37" s="723"/>
    </row>
    <row r="38" spans="1:19" ht="15.75" thickBot="1" x14ac:dyDescent="0.3">
      <c r="A38" s="32"/>
      <c r="B38" s="314">
        <v>-3</v>
      </c>
      <c r="C38" s="315" t="s">
        <v>603</v>
      </c>
      <c r="D38" s="611">
        <v>7.7</v>
      </c>
      <c r="E38" s="5"/>
      <c r="F38" s="340">
        <v>1</v>
      </c>
      <c r="G38" s="360" t="s">
        <v>263</v>
      </c>
      <c r="H38" s="361">
        <v>12.5</v>
      </c>
      <c r="I38" s="362" t="s">
        <v>6</v>
      </c>
      <c r="K38" s="699"/>
      <c r="L38" s="424" t="s">
        <v>300</v>
      </c>
      <c r="M38" s="425">
        <v>12.67</v>
      </c>
      <c r="N38" s="426" t="s">
        <v>10</v>
      </c>
      <c r="P38" s="717" t="s">
        <v>661</v>
      </c>
      <c r="Q38" s="718"/>
      <c r="R38" s="609">
        <f>M92+M94+M96+M98+M100+M102+M104+M106+M108+M110+M112+M114+M116+M118+M120+M122+M124+M126+M128+M130+M132+M134+M136+M138+M140+M142+M144</f>
        <v>375.04000000000008</v>
      </c>
      <c r="S38" s="723"/>
    </row>
    <row r="39" spans="1:19" ht="15.75" thickBot="1" x14ac:dyDescent="0.3">
      <c r="A39" s="32"/>
      <c r="B39" s="316">
        <v>-3</v>
      </c>
      <c r="C39" s="317" t="s">
        <v>604</v>
      </c>
      <c r="D39" s="612">
        <v>7.67</v>
      </c>
      <c r="E39" s="5"/>
      <c r="F39" s="340">
        <v>1</v>
      </c>
      <c r="G39" s="360" t="s">
        <v>264</v>
      </c>
      <c r="H39" s="361">
        <v>12.5</v>
      </c>
      <c r="I39" s="362" t="s">
        <v>6</v>
      </c>
      <c r="K39" s="698">
        <v>1</v>
      </c>
      <c r="L39" s="372" t="s">
        <v>196</v>
      </c>
      <c r="M39" s="373">
        <f>4.79-0.34</f>
        <v>4.45</v>
      </c>
      <c r="N39" s="423" t="s">
        <v>9</v>
      </c>
      <c r="P39" s="1"/>
      <c r="Q39" s="1"/>
      <c r="R39" s="3"/>
      <c r="S39" s="723"/>
    </row>
    <row r="40" spans="1:19" ht="15.75" thickBot="1" x14ac:dyDescent="0.3">
      <c r="B40" s="316">
        <v>-3</v>
      </c>
      <c r="C40" s="317" t="s">
        <v>605</v>
      </c>
      <c r="D40" s="612">
        <v>7.6</v>
      </c>
      <c r="E40" s="5"/>
      <c r="F40" s="340">
        <v>1</v>
      </c>
      <c r="G40" s="360" t="s">
        <v>265</v>
      </c>
      <c r="H40" s="361">
        <v>12.5</v>
      </c>
      <c r="I40" s="362" t="s">
        <v>6</v>
      </c>
      <c r="K40" s="699"/>
      <c r="L40" s="424" t="s">
        <v>189</v>
      </c>
      <c r="M40" s="425">
        <v>13.63</v>
      </c>
      <c r="N40" s="426" t="s">
        <v>10</v>
      </c>
      <c r="P40" s="717" t="s">
        <v>662</v>
      </c>
      <c r="Q40" s="718"/>
      <c r="R40" s="609">
        <f>SUM(R37:R38)</f>
        <v>988.66</v>
      </c>
      <c r="S40" s="723"/>
    </row>
    <row r="41" spans="1:19" ht="15.75" thickBot="1" x14ac:dyDescent="0.3">
      <c r="B41" s="316">
        <v>-3</v>
      </c>
      <c r="C41" s="317" t="s">
        <v>606</v>
      </c>
      <c r="D41" s="612">
        <v>7.63</v>
      </c>
      <c r="E41" s="5"/>
      <c r="F41" s="340">
        <v>1</v>
      </c>
      <c r="G41" s="360" t="s">
        <v>266</v>
      </c>
      <c r="H41" s="361">
        <v>12.5</v>
      </c>
      <c r="I41" s="362" t="s">
        <v>6</v>
      </c>
      <c r="K41" s="698">
        <v>1</v>
      </c>
      <c r="L41" s="372" t="s">
        <v>198</v>
      </c>
      <c r="M41" s="373">
        <f>4.77-0.19</f>
        <v>4.5799999999999992</v>
      </c>
      <c r="N41" s="423" t="s">
        <v>9</v>
      </c>
      <c r="P41" s="1"/>
      <c r="Q41" s="1"/>
      <c r="R41" s="3"/>
      <c r="S41" s="724"/>
    </row>
    <row r="42" spans="1:19" ht="15.75" thickBot="1" x14ac:dyDescent="0.3">
      <c r="B42" s="316">
        <v>-3</v>
      </c>
      <c r="C42" s="317" t="s">
        <v>607</v>
      </c>
      <c r="D42" s="612">
        <v>7.63</v>
      </c>
      <c r="E42" s="5"/>
      <c r="F42" s="340">
        <v>1</v>
      </c>
      <c r="G42" s="360" t="s">
        <v>267</v>
      </c>
      <c r="H42" s="361">
        <v>12.5</v>
      </c>
      <c r="I42" s="362" t="s">
        <v>6</v>
      </c>
      <c r="K42" s="711"/>
      <c r="L42" s="374" t="s">
        <v>191</v>
      </c>
      <c r="M42" s="375">
        <v>13.46</v>
      </c>
      <c r="N42" s="427" t="s">
        <v>10</v>
      </c>
      <c r="P42" s="1"/>
      <c r="Q42" s="1"/>
    </row>
    <row r="43" spans="1:19" ht="15" x14ac:dyDescent="0.25">
      <c r="B43" s="316">
        <v>-3</v>
      </c>
      <c r="C43" s="317" t="s">
        <v>608</v>
      </c>
      <c r="D43" s="612">
        <v>7.6</v>
      </c>
      <c r="E43" s="5"/>
      <c r="F43" s="340">
        <v>1</v>
      </c>
      <c r="G43" s="437" t="s">
        <v>268</v>
      </c>
      <c r="H43" s="361">
        <v>12.5</v>
      </c>
      <c r="I43" s="362" t="s">
        <v>6</v>
      </c>
      <c r="K43" s="712">
        <v>-1</v>
      </c>
      <c r="L43" s="449" t="s">
        <v>650</v>
      </c>
      <c r="M43" s="450">
        <v>5.5</v>
      </c>
      <c r="N43" s="451" t="s">
        <v>9</v>
      </c>
      <c r="Q43" s="1"/>
    </row>
    <row r="44" spans="1:19" ht="15" x14ac:dyDescent="0.25">
      <c r="B44" s="316">
        <v>-3</v>
      </c>
      <c r="C44" s="317" t="s">
        <v>609</v>
      </c>
      <c r="D44" s="612">
        <v>7.67</v>
      </c>
      <c r="E44" s="5"/>
      <c r="F44" s="340">
        <v>1</v>
      </c>
      <c r="G44" s="360" t="s">
        <v>269</v>
      </c>
      <c r="H44" s="361">
        <v>12.5</v>
      </c>
      <c r="I44" s="362" t="s">
        <v>6</v>
      </c>
      <c r="K44" s="713"/>
      <c r="L44" s="376" t="s">
        <v>568</v>
      </c>
      <c r="M44" s="377">
        <v>12.79</v>
      </c>
      <c r="N44" s="378" t="s">
        <v>10</v>
      </c>
      <c r="P44" s="1"/>
      <c r="Q44" s="1"/>
    </row>
    <row r="45" spans="1:19" ht="15.75" thickBot="1" x14ac:dyDescent="0.3">
      <c r="B45" s="316">
        <v>-3</v>
      </c>
      <c r="C45" s="317" t="s">
        <v>610</v>
      </c>
      <c r="D45" s="612">
        <v>7.7</v>
      </c>
      <c r="E45" s="5"/>
      <c r="F45" s="346">
        <v>1</v>
      </c>
      <c r="G45" s="363" t="s">
        <v>270</v>
      </c>
      <c r="H45" s="364">
        <v>12.5</v>
      </c>
      <c r="I45" s="457" t="s">
        <v>6</v>
      </c>
      <c r="K45" s="714">
        <v>-1</v>
      </c>
      <c r="L45" s="379" t="s">
        <v>410</v>
      </c>
      <c r="M45" s="380">
        <v>5.94</v>
      </c>
      <c r="N45" s="381" t="s">
        <v>9</v>
      </c>
      <c r="P45" s="1"/>
      <c r="Q45" s="1"/>
    </row>
    <row r="46" spans="1:19" ht="15" x14ac:dyDescent="0.25">
      <c r="B46" s="316">
        <v>-3</v>
      </c>
      <c r="C46" s="317" t="s">
        <v>611</v>
      </c>
      <c r="D46" s="612">
        <v>9.81</v>
      </c>
      <c r="E46" s="5"/>
      <c r="F46" s="543">
        <v>1</v>
      </c>
      <c r="G46" s="544" t="s">
        <v>231</v>
      </c>
      <c r="H46" s="545">
        <v>12.5</v>
      </c>
      <c r="I46" s="442" t="s">
        <v>7</v>
      </c>
      <c r="K46" s="713"/>
      <c r="L46" s="376" t="s">
        <v>411</v>
      </c>
      <c r="M46" s="377">
        <v>12.92</v>
      </c>
      <c r="N46" s="378" t="s">
        <v>10</v>
      </c>
      <c r="P46" s="1"/>
      <c r="Q46" s="1"/>
    </row>
    <row r="47" spans="1:19" ht="15" x14ac:dyDescent="0.25">
      <c r="B47" s="316">
        <v>-3</v>
      </c>
      <c r="C47" s="317" t="s">
        <v>612</v>
      </c>
      <c r="D47" s="612">
        <v>6.81</v>
      </c>
      <c r="E47" s="5"/>
      <c r="F47" s="327">
        <v>1</v>
      </c>
      <c r="G47" s="544" t="s">
        <v>271</v>
      </c>
      <c r="H47" s="440">
        <v>12.5</v>
      </c>
      <c r="I47" s="441" t="s">
        <v>7</v>
      </c>
      <c r="K47" s="714">
        <v>-1</v>
      </c>
      <c r="L47" s="379" t="s">
        <v>412</v>
      </c>
      <c r="M47" s="380">
        <v>4.8899999999999997</v>
      </c>
      <c r="N47" s="381" t="s">
        <v>9</v>
      </c>
      <c r="P47" s="1"/>
      <c r="Q47" s="1"/>
    </row>
    <row r="48" spans="1:19" ht="15.75" thickBot="1" x14ac:dyDescent="0.3">
      <c r="B48" s="432">
        <v>-3</v>
      </c>
      <c r="C48" s="433" t="s">
        <v>626</v>
      </c>
      <c r="D48" s="613">
        <v>7.29</v>
      </c>
      <c r="E48" s="5"/>
      <c r="F48" s="327">
        <v>1</v>
      </c>
      <c r="G48" s="544" t="s">
        <v>272</v>
      </c>
      <c r="H48" s="440">
        <v>12.5</v>
      </c>
      <c r="I48" s="441" t="s">
        <v>7</v>
      </c>
      <c r="K48" s="713"/>
      <c r="L48" s="376" t="s">
        <v>413</v>
      </c>
      <c r="M48" s="377">
        <v>13.65</v>
      </c>
      <c r="N48" s="378" t="s">
        <v>10</v>
      </c>
      <c r="P48" s="1"/>
      <c r="Q48" s="1"/>
    </row>
    <row r="49" spans="2:17" ht="15" x14ac:dyDescent="0.25">
      <c r="B49" s="21"/>
      <c r="C49" s="21"/>
      <c r="D49" s="22"/>
      <c r="E49" s="5"/>
      <c r="F49" s="327">
        <v>1</v>
      </c>
      <c r="G49" s="544" t="s">
        <v>273</v>
      </c>
      <c r="H49" s="440">
        <v>12.5</v>
      </c>
      <c r="I49" s="441" t="s">
        <v>7</v>
      </c>
      <c r="K49" s="714">
        <v>-1</v>
      </c>
      <c r="L49" s="379" t="s">
        <v>228</v>
      </c>
      <c r="M49" s="380">
        <v>5.07</v>
      </c>
      <c r="N49" s="381" t="s">
        <v>9</v>
      </c>
      <c r="P49" s="1"/>
      <c r="Q49" s="1"/>
    </row>
    <row r="50" spans="2:17" ht="13.5" thickBot="1" x14ac:dyDescent="0.25">
      <c r="E50" s="5"/>
      <c r="F50" s="327">
        <v>1</v>
      </c>
      <c r="G50" s="544" t="s">
        <v>274</v>
      </c>
      <c r="H50" s="440">
        <v>12.5</v>
      </c>
      <c r="I50" s="441" t="s">
        <v>7</v>
      </c>
      <c r="K50" s="713"/>
      <c r="L50" s="376" t="s">
        <v>415</v>
      </c>
      <c r="M50" s="377">
        <v>14.15</v>
      </c>
      <c r="N50" s="378" t="s">
        <v>10</v>
      </c>
      <c r="P50" s="1"/>
      <c r="Q50" s="1"/>
    </row>
    <row r="51" spans="2:17" ht="15.75" thickBot="1" x14ac:dyDescent="0.3">
      <c r="B51" s="692" t="s">
        <v>634</v>
      </c>
      <c r="C51" s="693"/>
      <c r="D51" s="290">
        <f>SUM(D7:D37)</f>
        <v>112.97999999999996</v>
      </c>
      <c r="E51" s="5"/>
      <c r="F51" s="327">
        <v>1</v>
      </c>
      <c r="G51" s="544" t="s">
        <v>275</v>
      </c>
      <c r="H51" s="440">
        <v>12.5</v>
      </c>
      <c r="I51" s="441" t="s">
        <v>7</v>
      </c>
      <c r="K51" s="714">
        <v>-1</v>
      </c>
      <c r="L51" s="379" t="s">
        <v>414</v>
      </c>
      <c r="M51" s="380">
        <v>5.21</v>
      </c>
      <c r="N51" s="381" t="s">
        <v>9</v>
      </c>
      <c r="P51" s="1"/>
      <c r="Q51" s="1"/>
    </row>
    <row r="52" spans="2:17" ht="13.5" thickBot="1" x14ac:dyDescent="0.25">
      <c r="E52" s="5"/>
      <c r="F52" s="327">
        <v>1</v>
      </c>
      <c r="G52" s="544" t="s">
        <v>276</v>
      </c>
      <c r="H52" s="440">
        <v>12.5</v>
      </c>
      <c r="I52" s="441" t="s">
        <v>7</v>
      </c>
      <c r="K52" s="713"/>
      <c r="L52" s="376" t="s">
        <v>417</v>
      </c>
      <c r="M52" s="377">
        <v>14</v>
      </c>
      <c r="N52" s="378" t="s">
        <v>10</v>
      </c>
      <c r="O52" s="1"/>
      <c r="P52" s="1"/>
      <c r="Q52" s="1"/>
    </row>
    <row r="53" spans="2:17" ht="15.75" thickBot="1" x14ac:dyDescent="0.3">
      <c r="B53" s="692" t="s">
        <v>635</v>
      </c>
      <c r="C53" s="693"/>
      <c r="D53" s="290">
        <f>SUM(D38:D48)</f>
        <v>85.110000000000014</v>
      </c>
      <c r="E53" s="5"/>
      <c r="F53" s="327">
        <v>1</v>
      </c>
      <c r="G53" s="544" t="s">
        <v>277</v>
      </c>
      <c r="H53" s="440">
        <v>12.5</v>
      </c>
      <c r="I53" s="441" t="s">
        <v>7</v>
      </c>
      <c r="K53" s="714">
        <v>-1</v>
      </c>
      <c r="L53" s="379" t="s">
        <v>416</v>
      </c>
      <c r="M53" s="380">
        <v>5.03</v>
      </c>
      <c r="N53" s="381" t="s">
        <v>9</v>
      </c>
      <c r="O53" s="1"/>
      <c r="P53" s="1"/>
      <c r="Q53" s="1"/>
    </row>
    <row r="54" spans="2:17" ht="13.5" thickBot="1" x14ac:dyDescent="0.25">
      <c r="E54" s="2"/>
      <c r="F54" s="327">
        <v>1</v>
      </c>
      <c r="G54" s="544" t="s">
        <v>278</v>
      </c>
      <c r="H54" s="440">
        <v>12.5</v>
      </c>
      <c r="I54" s="441" t="s">
        <v>7</v>
      </c>
      <c r="K54" s="713"/>
      <c r="L54" s="429" t="s">
        <v>419</v>
      </c>
      <c r="M54" s="430">
        <v>13.46</v>
      </c>
      <c r="N54" s="431" t="s">
        <v>10</v>
      </c>
      <c r="O54" s="1"/>
      <c r="P54" s="1"/>
      <c r="Q54" s="1"/>
    </row>
    <row r="55" spans="2:17" ht="15.75" thickBot="1" x14ac:dyDescent="0.3">
      <c r="B55" s="692" t="s">
        <v>142</v>
      </c>
      <c r="C55" s="693"/>
      <c r="D55" s="290">
        <f>D51+D53</f>
        <v>198.08999999999997</v>
      </c>
      <c r="E55" s="5"/>
      <c r="F55" s="327">
        <v>1</v>
      </c>
      <c r="G55" s="544" t="s">
        <v>279</v>
      </c>
      <c r="H55" s="440">
        <v>12.5</v>
      </c>
      <c r="I55" s="441" t="s">
        <v>7</v>
      </c>
      <c r="K55" s="714">
        <v>-1</v>
      </c>
      <c r="L55" s="379" t="s">
        <v>418</v>
      </c>
      <c r="M55" s="380">
        <v>4.83</v>
      </c>
      <c r="N55" s="381" t="s">
        <v>9</v>
      </c>
      <c r="O55" s="1"/>
      <c r="P55" s="1"/>
      <c r="Q55" s="1"/>
    </row>
    <row r="56" spans="2:17" x14ac:dyDescent="0.2">
      <c r="E56" s="5"/>
      <c r="F56" s="327">
        <v>1</v>
      </c>
      <c r="G56" s="544" t="s">
        <v>280</v>
      </c>
      <c r="H56" s="440">
        <v>12.5</v>
      </c>
      <c r="I56" s="441" t="s">
        <v>7</v>
      </c>
      <c r="K56" s="713"/>
      <c r="L56" s="376" t="s">
        <v>569</v>
      </c>
      <c r="M56" s="377">
        <v>13.46</v>
      </c>
      <c r="N56" s="378" t="s">
        <v>10</v>
      </c>
      <c r="P56" s="1"/>
      <c r="Q56" s="1"/>
    </row>
    <row r="57" spans="2:17" ht="13.5" thickBot="1" x14ac:dyDescent="0.25">
      <c r="E57" s="5"/>
      <c r="F57" s="327">
        <v>1</v>
      </c>
      <c r="G57" s="544" t="s">
        <v>281</v>
      </c>
      <c r="H57" s="440">
        <v>12.5</v>
      </c>
      <c r="I57" s="441" t="s">
        <v>7</v>
      </c>
      <c r="K57" s="714">
        <v>-1</v>
      </c>
      <c r="L57" s="379" t="s">
        <v>420</v>
      </c>
      <c r="M57" s="380">
        <v>4.83</v>
      </c>
      <c r="N57" s="381" t="s">
        <v>9</v>
      </c>
      <c r="O57" s="1"/>
      <c r="P57" s="1"/>
      <c r="Q57" s="1"/>
    </row>
    <row r="58" spans="2:17" ht="15.75" thickBot="1" x14ac:dyDescent="0.3">
      <c r="B58" s="692" t="s">
        <v>532</v>
      </c>
      <c r="C58" s="693"/>
      <c r="D58" s="502">
        <f>COUNT(B7:B31)</f>
        <v>25</v>
      </c>
      <c r="E58" s="5"/>
      <c r="F58" s="327">
        <v>1</v>
      </c>
      <c r="G58" s="544" t="s">
        <v>282</v>
      </c>
      <c r="H58" s="440">
        <v>12.5</v>
      </c>
      <c r="I58" s="441" t="s">
        <v>7</v>
      </c>
      <c r="K58" s="713"/>
      <c r="L58" s="376" t="s">
        <v>570</v>
      </c>
      <c r="M58" s="377">
        <v>13.46</v>
      </c>
      <c r="N58" s="378" t="s">
        <v>10</v>
      </c>
      <c r="P58" s="1"/>
      <c r="Q58" s="1"/>
    </row>
    <row r="59" spans="2:17" ht="15.75" thickBot="1" x14ac:dyDescent="0.3">
      <c r="B59" s="21"/>
      <c r="C59" s="21"/>
      <c r="D59" s="22"/>
      <c r="E59" s="5"/>
      <c r="F59" s="327">
        <v>1</v>
      </c>
      <c r="G59" s="544" t="s">
        <v>283</v>
      </c>
      <c r="H59" s="440">
        <v>12.5</v>
      </c>
      <c r="I59" s="441" t="s">
        <v>7</v>
      </c>
      <c r="K59" s="714">
        <v>-1</v>
      </c>
      <c r="L59" s="379" t="s">
        <v>421</v>
      </c>
      <c r="M59" s="380">
        <v>5.03</v>
      </c>
      <c r="N59" s="381" t="s">
        <v>9</v>
      </c>
      <c r="O59" s="1"/>
      <c r="P59" s="1"/>
      <c r="Q59" s="1"/>
    </row>
    <row r="60" spans="2:17" ht="15.75" thickBot="1" x14ac:dyDescent="0.3">
      <c r="B60" s="692" t="s">
        <v>533</v>
      </c>
      <c r="C60" s="693"/>
      <c r="D60" s="502">
        <f>COUNT(B32:B33)</f>
        <v>2</v>
      </c>
      <c r="E60" s="2"/>
      <c r="F60" s="327">
        <v>1</v>
      </c>
      <c r="G60" s="544" t="s">
        <v>284</v>
      </c>
      <c r="H60" s="440">
        <v>12.5</v>
      </c>
      <c r="I60" s="441" t="s">
        <v>7</v>
      </c>
      <c r="K60" s="713"/>
      <c r="L60" s="376" t="s">
        <v>423</v>
      </c>
      <c r="M60" s="377">
        <v>13.46</v>
      </c>
      <c r="N60" s="378" t="s">
        <v>10</v>
      </c>
      <c r="P60" s="1"/>
      <c r="Q60" s="1"/>
    </row>
    <row r="61" spans="2:17" ht="15.75" thickBot="1" x14ac:dyDescent="0.3">
      <c r="B61" s="21"/>
      <c r="C61" s="21"/>
      <c r="D61" s="22"/>
      <c r="E61" s="5"/>
      <c r="F61" s="327">
        <v>1</v>
      </c>
      <c r="G61" s="544" t="s">
        <v>285</v>
      </c>
      <c r="H61" s="440">
        <v>12.5</v>
      </c>
      <c r="I61" s="441" t="s">
        <v>7</v>
      </c>
      <c r="K61" s="714">
        <v>-1</v>
      </c>
      <c r="L61" s="379" t="s">
        <v>422</v>
      </c>
      <c r="M61" s="380">
        <v>5.32</v>
      </c>
      <c r="N61" s="381" t="s">
        <v>9</v>
      </c>
      <c r="P61" s="1"/>
      <c r="Q61" s="1"/>
    </row>
    <row r="62" spans="2:17" ht="15.75" thickBot="1" x14ac:dyDescent="0.3">
      <c r="B62" s="692" t="s">
        <v>534</v>
      </c>
      <c r="C62" s="693"/>
      <c r="D62" s="502">
        <f>COUNT(B34:B35)</f>
        <v>2</v>
      </c>
      <c r="E62" s="5"/>
      <c r="F62" s="327">
        <v>1</v>
      </c>
      <c r="G62" s="544" t="s">
        <v>286</v>
      </c>
      <c r="H62" s="440">
        <v>12.5</v>
      </c>
      <c r="I62" s="441" t="s">
        <v>7</v>
      </c>
      <c r="K62" s="713"/>
      <c r="L62" s="376" t="s">
        <v>425</v>
      </c>
      <c r="M62" s="377">
        <v>13.5</v>
      </c>
      <c r="N62" s="378" t="s">
        <v>10</v>
      </c>
      <c r="P62" s="1"/>
      <c r="Q62" s="1"/>
    </row>
    <row r="63" spans="2:17" ht="15.75" thickBot="1" x14ac:dyDescent="0.3">
      <c r="B63" s="21"/>
      <c r="C63" s="21"/>
      <c r="D63" s="22"/>
      <c r="E63" s="5"/>
      <c r="F63" s="327">
        <v>1</v>
      </c>
      <c r="G63" s="544" t="s">
        <v>287</v>
      </c>
      <c r="H63" s="440">
        <v>12.5</v>
      </c>
      <c r="I63" s="441" t="s">
        <v>7</v>
      </c>
      <c r="K63" s="714">
        <v>-1</v>
      </c>
      <c r="L63" s="379" t="s">
        <v>426</v>
      </c>
      <c r="M63" s="380">
        <v>4.5599999999999996</v>
      </c>
      <c r="N63" s="381" t="s">
        <v>9</v>
      </c>
    </row>
    <row r="64" spans="2:17" ht="15.75" thickBot="1" x14ac:dyDescent="0.3">
      <c r="B64" s="692" t="s">
        <v>535</v>
      </c>
      <c r="C64" s="693"/>
      <c r="D64" s="502">
        <f>COUNT(B36:B37)</f>
        <v>2</v>
      </c>
      <c r="E64" s="5"/>
      <c r="F64" s="327">
        <v>1</v>
      </c>
      <c r="G64" s="544" t="s">
        <v>288</v>
      </c>
      <c r="H64" s="440">
        <v>12.5</v>
      </c>
      <c r="I64" s="441" t="s">
        <v>7</v>
      </c>
      <c r="K64" s="713"/>
      <c r="L64" s="429" t="s">
        <v>427</v>
      </c>
      <c r="M64" s="430">
        <v>16.350000000000001</v>
      </c>
      <c r="N64" s="431" t="s">
        <v>10</v>
      </c>
    </row>
    <row r="65" spans="2:15" ht="15.75" thickBot="1" x14ac:dyDescent="0.3">
      <c r="B65" s="21"/>
      <c r="C65" s="21"/>
      <c r="D65" s="22"/>
      <c r="E65" s="5"/>
      <c r="F65" s="327">
        <v>1</v>
      </c>
      <c r="G65" s="544" t="s">
        <v>289</v>
      </c>
      <c r="H65" s="440">
        <v>12.5</v>
      </c>
      <c r="I65" s="441" t="s">
        <v>7</v>
      </c>
      <c r="K65" s="714">
        <v>-1</v>
      </c>
      <c r="L65" s="379" t="s">
        <v>227</v>
      </c>
      <c r="M65" s="380">
        <v>6.6</v>
      </c>
      <c r="N65" s="381" t="s">
        <v>9</v>
      </c>
    </row>
    <row r="66" spans="2:15" ht="15.75" thickBot="1" x14ac:dyDescent="0.3">
      <c r="B66" s="692" t="s">
        <v>613</v>
      </c>
      <c r="C66" s="693"/>
      <c r="D66" s="502">
        <f>COUNT(B38:B48)</f>
        <v>11</v>
      </c>
      <c r="E66" s="5"/>
      <c r="F66" s="327">
        <v>1</v>
      </c>
      <c r="G66" s="544" t="s">
        <v>290</v>
      </c>
      <c r="H66" s="440">
        <v>12.5</v>
      </c>
      <c r="I66" s="441" t="s">
        <v>7</v>
      </c>
      <c r="K66" s="713"/>
      <c r="L66" s="376" t="s">
        <v>429</v>
      </c>
      <c r="M66" s="377">
        <v>14.1</v>
      </c>
      <c r="N66" s="378" t="s">
        <v>10</v>
      </c>
    </row>
    <row r="67" spans="2:15" ht="13.5" thickBot="1" x14ac:dyDescent="0.25">
      <c r="E67" s="2"/>
      <c r="F67" s="327">
        <v>1</v>
      </c>
      <c r="G67" s="544" t="s">
        <v>291</v>
      </c>
      <c r="H67" s="440">
        <v>12.5</v>
      </c>
      <c r="I67" s="441" t="s">
        <v>7</v>
      </c>
      <c r="K67" s="714">
        <v>-1</v>
      </c>
      <c r="L67" s="379" t="s">
        <v>428</v>
      </c>
      <c r="M67" s="380">
        <v>6.73</v>
      </c>
      <c r="N67" s="381" t="s">
        <v>9</v>
      </c>
    </row>
    <row r="68" spans="2:15" ht="15.75" thickBot="1" x14ac:dyDescent="0.3">
      <c r="B68" s="692" t="s">
        <v>536</v>
      </c>
      <c r="C68" s="693"/>
      <c r="D68" s="502">
        <f>SUM(D58:D66)</f>
        <v>42</v>
      </c>
      <c r="E68" s="5"/>
      <c r="F68" s="327">
        <v>1</v>
      </c>
      <c r="G68" s="544" t="s">
        <v>292</v>
      </c>
      <c r="H68" s="440">
        <v>12.5</v>
      </c>
      <c r="I68" s="441" t="s">
        <v>7</v>
      </c>
      <c r="K68" s="713"/>
      <c r="L68" s="376" t="s">
        <v>431</v>
      </c>
      <c r="M68" s="377">
        <f>2.75*5</f>
        <v>13.75</v>
      </c>
      <c r="N68" s="378" t="s">
        <v>10</v>
      </c>
    </row>
    <row r="69" spans="2:15" x14ac:dyDescent="0.2">
      <c r="E69" s="5"/>
      <c r="F69" s="327">
        <v>1</v>
      </c>
      <c r="G69" s="544" t="s">
        <v>293</v>
      </c>
      <c r="H69" s="440">
        <v>18</v>
      </c>
      <c r="I69" s="441" t="s">
        <v>7</v>
      </c>
      <c r="K69" s="714">
        <v>-1</v>
      </c>
      <c r="L69" s="379" t="s">
        <v>430</v>
      </c>
      <c r="M69" s="380">
        <v>6.73</v>
      </c>
      <c r="N69" s="381" t="s">
        <v>9</v>
      </c>
    </row>
    <row r="70" spans="2:15" x14ac:dyDescent="0.2">
      <c r="E70" s="5"/>
      <c r="F70" s="327">
        <v>1</v>
      </c>
      <c r="G70" s="544" t="s">
        <v>295</v>
      </c>
      <c r="H70" s="440">
        <f>17.12-0.31</f>
        <v>16.810000000000002</v>
      </c>
      <c r="I70" s="546" t="s">
        <v>7</v>
      </c>
      <c r="K70" s="713"/>
      <c r="L70" s="376" t="s">
        <v>433</v>
      </c>
      <c r="M70" s="377">
        <f>2.75*5</f>
        <v>13.75</v>
      </c>
      <c r="N70" s="378" t="s">
        <v>10</v>
      </c>
    </row>
    <row r="71" spans="2:15" x14ac:dyDescent="0.2">
      <c r="E71" s="5"/>
      <c r="F71" s="327">
        <v>1</v>
      </c>
      <c r="G71" s="544" t="s">
        <v>179</v>
      </c>
      <c r="H71" s="440">
        <f>15.48-0.14</f>
        <v>15.34</v>
      </c>
      <c r="I71" s="546" t="s">
        <v>7</v>
      </c>
      <c r="K71" s="714">
        <v>-1</v>
      </c>
      <c r="L71" s="379" t="s">
        <v>432</v>
      </c>
      <c r="M71" s="380">
        <v>6.6</v>
      </c>
      <c r="N71" s="381" t="s">
        <v>9</v>
      </c>
    </row>
    <row r="72" spans="2:15" x14ac:dyDescent="0.2">
      <c r="E72" s="5"/>
      <c r="F72" s="327">
        <v>1</v>
      </c>
      <c r="G72" s="544" t="s">
        <v>181</v>
      </c>
      <c r="H72" s="440">
        <f>14.55-0.31</f>
        <v>14.24</v>
      </c>
      <c r="I72" s="546" t="s">
        <v>7</v>
      </c>
      <c r="K72" s="713"/>
      <c r="L72" s="376" t="s">
        <v>435</v>
      </c>
      <c r="M72" s="377">
        <f>2.75*5</f>
        <v>13.75</v>
      </c>
      <c r="N72" s="378" t="s">
        <v>10</v>
      </c>
    </row>
    <row r="73" spans="2:15" x14ac:dyDescent="0.2">
      <c r="E73" s="5"/>
      <c r="F73" s="327">
        <v>1</v>
      </c>
      <c r="G73" s="544" t="s">
        <v>185</v>
      </c>
      <c r="H73" s="440">
        <f>18.38-0.06</f>
        <v>18.32</v>
      </c>
      <c r="I73" s="546" t="s">
        <v>7</v>
      </c>
      <c r="K73" s="714">
        <v>-1</v>
      </c>
      <c r="L73" s="379" t="s">
        <v>434</v>
      </c>
      <c r="M73" s="380">
        <v>4.0199999999999996</v>
      </c>
      <c r="N73" s="381" t="s">
        <v>9</v>
      </c>
    </row>
    <row r="74" spans="2:15" x14ac:dyDescent="0.2">
      <c r="E74" s="5"/>
      <c r="F74" s="327">
        <v>1</v>
      </c>
      <c r="G74" s="544" t="s">
        <v>297</v>
      </c>
      <c r="H74" s="440">
        <f>17.41-0.16</f>
        <v>17.25</v>
      </c>
      <c r="I74" s="546" t="s">
        <v>7</v>
      </c>
      <c r="K74" s="713"/>
      <c r="L74" s="376" t="s">
        <v>437</v>
      </c>
      <c r="M74" s="377">
        <v>13.5</v>
      </c>
      <c r="N74" s="448" t="s">
        <v>10</v>
      </c>
    </row>
    <row r="75" spans="2:15" x14ac:dyDescent="0.2">
      <c r="E75" s="5"/>
      <c r="F75" s="327">
        <v>1</v>
      </c>
      <c r="G75" s="544" t="s">
        <v>193</v>
      </c>
      <c r="H75" s="547">
        <v>12.5</v>
      </c>
      <c r="I75" s="546" t="s">
        <v>7</v>
      </c>
      <c r="K75" s="714">
        <v>-1</v>
      </c>
      <c r="L75" s="446" t="s">
        <v>436</v>
      </c>
      <c r="M75" s="541">
        <v>3.89</v>
      </c>
      <c r="N75" s="447" t="s">
        <v>9</v>
      </c>
      <c r="O75" s="1"/>
    </row>
    <row r="76" spans="2:15" x14ac:dyDescent="0.2">
      <c r="E76" s="5"/>
      <c r="F76" s="327">
        <v>1</v>
      </c>
      <c r="G76" s="544" t="s">
        <v>195</v>
      </c>
      <c r="H76" s="547">
        <v>12.5</v>
      </c>
      <c r="I76" s="546" t="s">
        <v>7</v>
      </c>
      <c r="K76" s="713"/>
      <c r="L76" s="376" t="s">
        <v>438</v>
      </c>
      <c r="M76" s="377">
        <v>14.05</v>
      </c>
      <c r="N76" s="378" t="s">
        <v>10</v>
      </c>
      <c r="O76" s="1"/>
    </row>
    <row r="77" spans="2:15" x14ac:dyDescent="0.2">
      <c r="E77" s="5"/>
      <c r="F77" s="327">
        <v>1</v>
      </c>
      <c r="G77" s="544" t="s">
        <v>197</v>
      </c>
      <c r="H77" s="547">
        <v>12.5</v>
      </c>
      <c r="I77" s="546" t="s">
        <v>7</v>
      </c>
      <c r="K77" s="714">
        <v>-1</v>
      </c>
      <c r="L77" s="379" t="s">
        <v>651</v>
      </c>
      <c r="M77" s="380">
        <v>3.37</v>
      </c>
      <c r="N77" s="381" t="s">
        <v>9</v>
      </c>
      <c r="O77" s="1"/>
    </row>
    <row r="78" spans="2:15" ht="13.5" thickBot="1" x14ac:dyDescent="0.25">
      <c r="E78" s="5"/>
      <c r="F78" s="327">
        <v>1</v>
      </c>
      <c r="G78" s="544" t="s">
        <v>199</v>
      </c>
      <c r="H78" s="547">
        <v>18</v>
      </c>
      <c r="I78" s="546" t="s">
        <v>7</v>
      </c>
      <c r="K78" s="713"/>
      <c r="L78" s="429" t="s">
        <v>440</v>
      </c>
      <c r="M78" s="430">
        <v>14.11</v>
      </c>
      <c r="N78" s="431" t="s">
        <v>10</v>
      </c>
      <c r="O78" s="1"/>
    </row>
    <row r="79" spans="2:15" x14ac:dyDescent="0.2">
      <c r="E79" s="5"/>
      <c r="F79" s="548">
        <v>-1</v>
      </c>
      <c r="G79" s="357" t="s">
        <v>301</v>
      </c>
      <c r="H79" s="549">
        <v>12.5</v>
      </c>
      <c r="I79" s="550" t="s">
        <v>7</v>
      </c>
      <c r="K79" s="714">
        <v>-1</v>
      </c>
      <c r="L79" s="379" t="s">
        <v>439</v>
      </c>
      <c r="M79" s="380">
        <v>3.37</v>
      </c>
      <c r="N79" s="381" t="s">
        <v>9</v>
      </c>
      <c r="O79" s="1"/>
    </row>
    <row r="80" spans="2:15" x14ac:dyDescent="0.2">
      <c r="E80" s="5"/>
      <c r="F80" s="340">
        <v>-1</v>
      </c>
      <c r="G80" s="360" t="s">
        <v>302</v>
      </c>
      <c r="H80" s="361">
        <v>12.42</v>
      </c>
      <c r="I80" s="365" t="s">
        <v>7</v>
      </c>
      <c r="K80" s="713"/>
      <c r="L80" s="376" t="s">
        <v>441</v>
      </c>
      <c r="M80" s="377">
        <v>14.11</v>
      </c>
      <c r="N80" s="378" t="s">
        <v>10</v>
      </c>
      <c r="O80" s="1"/>
    </row>
    <row r="81" spans="2:15" x14ac:dyDescent="0.2">
      <c r="E81" s="5"/>
      <c r="F81" s="340">
        <v>-1</v>
      </c>
      <c r="G81" s="360" t="s">
        <v>303</v>
      </c>
      <c r="H81" s="361">
        <v>12.42</v>
      </c>
      <c r="I81" s="436" t="s">
        <v>7</v>
      </c>
      <c r="K81" s="714">
        <v>-1</v>
      </c>
      <c r="L81" s="379" t="s">
        <v>652</v>
      </c>
      <c r="M81" s="380">
        <v>3.89</v>
      </c>
      <c r="N81" s="381" t="s">
        <v>9</v>
      </c>
      <c r="O81" s="1"/>
    </row>
    <row r="82" spans="2:15" x14ac:dyDescent="0.2">
      <c r="E82" s="5"/>
      <c r="F82" s="340">
        <v>-1</v>
      </c>
      <c r="G82" s="360" t="s">
        <v>304</v>
      </c>
      <c r="H82" s="361">
        <v>12.5</v>
      </c>
      <c r="I82" s="365" t="s">
        <v>7</v>
      </c>
      <c r="K82" s="713"/>
      <c r="L82" s="376" t="s">
        <v>443</v>
      </c>
      <c r="M82" s="377">
        <v>14.11</v>
      </c>
      <c r="N82" s="378" t="s">
        <v>10</v>
      </c>
      <c r="O82" s="1"/>
    </row>
    <row r="83" spans="2:15" x14ac:dyDescent="0.2">
      <c r="E83" s="5"/>
      <c r="F83" s="340">
        <v>-1</v>
      </c>
      <c r="G83" s="360" t="s">
        <v>305</v>
      </c>
      <c r="H83" s="361">
        <v>12.42</v>
      </c>
      <c r="I83" s="365" t="s">
        <v>7</v>
      </c>
      <c r="K83" s="714">
        <v>-1</v>
      </c>
      <c r="L83" s="379" t="s">
        <v>442</v>
      </c>
      <c r="M83" s="380">
        <v>3.73</v>
      </c>
      <c r="N83" s="381" t="s">
        <v>9</v>
      </c>
    </row>
    <row r="84" spans="2:15" x14ac:dyDescent="0.2">
      <c r="E84" s="5"/>
      <c r="F84" s="340">
        <v>-1</v>
      </c>
      <c r="G84" s="360" t="s">
        <v>306</v>
      </c>
      <c r="H84" s="361">
        <v>12.42</v>
      </c>
      <c r="I84" s="365" t="s">
        <v>7</v>
      </c>
      <c r="K84" s="713"/>
      <c r="L84" s="376" t="s">
        <v>445</v>
      </c>
      <c r="M84" s="377">
        <v>14.05</v>
      </c>
      <c r="N84" s="378" t="s">
        <v>10</v>
      </c>
    </row>
    <row r="85" spans="2:15" x14ac:dyDescent="0.2">
      <c r="E85" s="5"/>
      <c r="F85" s="340">
        <v>-1</v>
      </c>
      <c r="G85" s="360" t="s">
        <v>307</v>
      </c>
      <c r="H85" s="361">
        <v>12.5</v>
      </c>
      <c r="I85" s="365" t="s">
        <v>7</v>
      </c>
      <c r="K85" s="714">
        <v>-1</v>
      </c>
      <c r="L85" s="379" t="s">
        <v>444</v>
      </c>
      <c r="M85" s="380">
        <v>3.95</v>
      </c>
      <c r="N85" s="381" t="s">
        <v>9</v>
      </c>
      <c r="O85" s="1"/>
    </row>
    <row r="86" spans="2:15" x14ac:dyDescent="0.2">
      <c r="E86" s="2"/>
      <c r="F86" s="340">
        <v>-1</v>
      </c>
      <c r="G86" s="360" t="s">
        <v>308</v>
      </c>
      <c r="H86" s="361">
        <v>12.42</v>
      </c>
      <c r="I86" s="365" t="s">
        <v>7</v>
      </c>
      <c r="K86" s="713"/>
      <c r="L86" s="376" t="s">
        <v>447</v>
      </c>
      <c r="M86" s="377">
        <v>14.22</v>
      </c>
      <c r="N86" s="378" t="s">
        <v>10</v>
      </c>
      <c r="O86" s="1"/>
    </row>
    <row r="87" spans="2:15" ht="15" x14ac:dyDescent="0.25">
      <c r="B87" s="21"/>
      <c r="C87" s="21"/>
      <c r="D87" s="22"/>
      <c r="E87" s="5"/>
      <c r="F87" s="340">
        <v>-1</v>
      </c>
      <c r="G87" s="360" t="s">
        <v>309</v>
      </c>
      <c r="H87" s="361">
        <v>12.42</v>
      </c>
      <c r="I87" s="365" t="s">
        <v>7</v>
      </c>
      <c r="K87" s="714">
        <v>-1</v>
      </c>
      <c r="L87" s="379" t="s">
        <v>446</v>
      </c>
      <c r="M87" s="380">
        <v>3.79</v>
      </c>
      <c r="N87" s="381" t="s">
        <v>9</v>
      </c>
      <c r="O87" s="1"/>
    </row>
    <row r="88" spans="2:15" ht="15" x14ac:dyDescent="0.25">
      <c r="B88" s="21"/>
      <c r="C88" s="21"/>
      <c r="D88" s="22"/>
      <c r="E88" s="5"/>
      <c r="F88" s="340">
        <v>-1</v>
      </c>
      <c r="G88" s="360" t="s">
        <v>310</v>
      </c>
      <c r="H88" s="361">
        <v>12.5</v>
      </c>
      <c r="I88" s="365" t="s">
        <v>7</v>
      </c>
      <c r="K88" s="713"/>
      <c r="L88" s="376" t="s">
        <v>449</v>
      </c>
      <c r="M88" s="377">
        <v>13.72</v>
      </c>
      <c r="N88" s="378" t="s">
        <v>10</v>
      </c>
    </row>
    <row r="89" spans="2:15" ht="15" x14ac:dyDescent="0.25">
      <c r="B89" s="21"/>
      <c r="C89" s="21"/>
      <c r="D89" s="22"/>
      <c r="E89" s="5"/>
      <c r="F89" s="340">
        <v>-1</v>
      </c>
      <c r="G89" s="360" t="s">
        <v>311</v>
      </c>
      <c r="H89" s="361">
        <v>12.42</v>
      </c>
      <c r="I89" s="365" t="s">
        <v>7</v>
      </c>
      <c r="K89" s="714">
        <v>-1</v>
      </c>
      <c r="L89" s="379" t="s">
        <v>450</v>
      </c>
      <c r="M89" s="380">
        <v>3.79</v>
      </c>
      <c r="N89" s="381" t="s">
        <v>9</v>
      </c>
    </row>
    <row r="90" spans="2:15" ht="15.75" thickBot="1" x14ac:dyDescent="0.3">
      <c r="B90" s="21"/>
      <c r="C90" s="21"/>
      <c r="D90" s="22"/>
      <c r="E90" s="5"/>
      <c r="F90" s="340">
        <v>-1</v>
      </c>
      <c r="G90" s="360" t="s">
        <v>312</v>
      </c>
      <c r="H90" s="361">
        <v>12.42</v>
      </c>
      <c r="I90" s="365" t="s">
        <v>7</v>
      </c>
      <c r="K90" s="715"/>
      <c r="L90" s="382" t="s">
        <v>451</v>
      </c>
      <c r="M90" s="383">
        <v>15.86</v>
      </c>
      <c r="N90" s="384" t="s">
        <v>10</v>
      </c>
    </row>
    <row r="91" spans="2:15" ht="15" x14ac:dyDescent="0.25">
      <c r="B91" s="21"/>
      <c r="C91" s="21"/>
      <c r="D91" s="22"/>
      <c r="E91" s="5"/>
      <c r="F91" s="340">
        <v>-1</v>
      </c>
      <c r="G91" s="360" t="s">
        <v>313</v>
      </c>
      <c r="H91" s="361">
        <v>12.5</v>
      </c>
      <c r="I91" s="365" t="s">
        <v>7</v>
      </c>
      <c r="K91" s="716">
        <v>-2</v>
      </c>
      <c r="L91" s="367" t="s">
        <v>230</v>
      </c>
      <c r="M91" s="368">
        <v>5.5</v>
      </c>
      <c r="N91" s="456" t="s">
        <v>9</v>
      </c>
    </row>
    <row r="92" spans="2:15" ht="15" x14ac:dyDescent="0.25">
      <c r="B92" s="21"/>
      <c r="C92" s="21"/>
      <c r="D92" s="22"/>
      <c r="E92" s="2"/>
      <c r="F92" s="340">
        <v>-1</v>
      </c>
      <c r="G92" s="360" t="s">
        <v>314</v>
      </c>
      <c r="H92" s="361">
        <v>12.42</v>
      </c>
      <c r="I92" s="365" t="s">
        <v>7</v>
      </c>
      <c r="K92" s="699"/>
      <c r="L92" s="424" t="s">
        <v>371</v>
      </c>
      <c r="M92" s="425">
        <v>12.81</v>
      </c>
      <c r="N92" s="426" t="s">
        <v>10</v>
      </c>
      <c r="O92" s="1"/>
    </row>
    <row r="93" spans="2:15" ht="15" x14ac:dyDescent="0.25">
      <c r="B93" s="21"/>
      <c r="C93" s="21"/>
      <c r="D93" s="22"/>
      <c r="E93" s="5"/>
      <c r="F93" s="340">
        <v>-1</v>
      </c>
      <c r="G93" s="360" t="s">
        <v>315</v>
      </c>
      <c r="H93" s="361">
        <v>12.42</v>
      </c>
      <c r="I93" s="365" t="s">
        <v>7</v>
      </c>
      <c r="K93" s="698">
        <v>-2</v>
      </c>
      <c r="L93" s="372" t="s">
        <v>452</v>
      </c>
      <c r="M93" s="373">
        <v>5.86</v>
      </c>
      <c r="N93" s="423" t="s">
        <v>9</v>
      </c>
      <c r="O93" s="1"/>
    </row>
    <row r="94" spans="2:15" ht="15" x14ac:dyDescent="0.25">
      <c r="B94" s="21"/>
      <c r="C94" s="21"/>
      <c r="D94" s="22"/>
      <c r="E94" s="5"/>
      <c r="F94" s="340">
        <v>-1</v>
      </c>
      <c r="G94" s="360" t="s">
        <v>316</v>
      </c>
      <c r="H94" s="361">
        <v>12.5</v>
      </c>
      <c r="I94" s="365" t="s">
        <v>7</v>
      </c>
      <c r="K94" s="699"/>
      <c r="L94" s="424" t="s">
        <v>372</v>
      </c>
      <c r="M94" s="425">
        <v>12.9</v>
      </c>
      <c r="N94" s="426" t="s">
        <v>10</v>
      </c>
      <c r="O94" s="1"/>
    </row>
    <row r="95" spans="2:15" ht="15" x14ac:dyDescent="0.25">
      <c r="B95" s="21"/>
      <c r="C95" s="21"/>
      <c r="D95" s="22"/>
      <c r="E95" s="5"/>
      <c r="F95" s="340">
        <v>-1</v>
      </c>
      <c r="G95" s="360" t="s">
        <v>317</v>
      </c>
      <c r="H95" s="361">
        <v>12.42</v>
      </c>
      <c r="I95" s="365" t="s">
        <v>7</v>
      </c>
      <c r="K95" s="698">
        <v>-2</v>
      </c>
      <c r="L95" s="372" t="s">
        <v>453</v>
      </c>
      <c r="M95" s="373">
        <v>4.8899999999999997</v>
      </c>
      <c r="N95" s="423" t="s">
        <v>9</v>
      </c>
      <c r="O95" s="1"/>
    </row>
    <row r="96" spans="2:15" ht="15" x14ac:dyDescent="0.25">
      <c r="B96" s="21"/>
      <c r="C96" s="21"/>
      <c r="D96" s="22"/>
      <c r="E96" s="5"/>
      <c r="F96" s="340">
        <v>-1</v>
      </c>
      <c r="G96" s="360" t="s">
        <v>318</v>
      </c>
      <c r="H96" s="361">
        <v>12.42</v>
      </c>
      <c r="I96" s="365" t="s">
        <v>7</v>
      </c>
      <c r="K96" s="699"/>
      <c r="L96" s="424" t="s">
        <v>373</v>
      </c>
      <c r="M96" s="425">
        <v>13.65</v>
      </c>
      <c r="N96" s="426" t="s">
        <v>10</v>
      </c>
      <c r="O96" s="1"/>
    </row>
    <row r="97" spans="2:15" ht="15" x14ac:dyDescent="0.25">
      <c r="B97" s="21"/>
      <c r="C97" s="21"/>
      <c r="D97" s="22"/>
      <c r="E97" s="5"/>
      <c r="F97" s="340">
        <v>-1</v>
      </c>
      <c r="G97" s="360" t="s">
        <v>319</v>
      </c>
      <c r="H97" s="361">
        <v>12.5</v>
      </c>
      <c r="I97" s="365" t="s">
        <v>7</v>
      </c>
      <c r="K97" s="698">
        <v>-2</v>
      </c>
      <c r="L97" s="372" t="s">
        <v>229</v>
      </c>
      <c r="M97" s="373">
        <v>5.28</v>
      </c>
      <c r="N97" s="423" t="s">
        <v>9</v>
      </c>
    </row>
    <row r="98" spans="2:15" ht="15" x14ac:dyDescent="0.25">
      <c r="B98" s="21"/>
      <c r="C98" s="21"/>
      <c r="D98" s="22"/>
      <c r="E98" s="5"/>
      <c r="F98" s="340">
        <v>-1</v>
      </c>
      <c r="G98" s="360" t="s">
        <v>320</v>
      </c>
      <c r="H98" s="361">
        <v>12.42</v>
      </c>
      <c r="I98" s="365" t="s">
        <v>7</v>
      </c>
      <c r="K98" s="699"/>
      <c r="L98" s="424" t="s">
        <v>374</v>
      </c>
      <c r="M98" s="425">
        <v>14.15</v>
      </c>
      <c r="N98" s="426" t="s">
        <v>10</v>
      </c>
    </row>
    <row r="99" spans="2:15" ht="15" x14ac:dyDescent="0.25">
      <c r="B99" s="21"/>
      <c r="C99" s="21"/>
      <c r="D99" s="22"/>
      <c r="E99" s="2"/>
      <c r="F99" s="340">
        <v>-1</v>
      </c>
      <c r="G99" s="360" t="s">
        <v>321</v>
      </c>
      <c r="H99" s="361">
        <v>12.42</v>
      </c>
      <c r="I99" s="365" t="s">
        <v>7</v>
      </c>
      <c r="K99" s="700">
        <v>-2</v>
      </c>
      <c r="L99" s="372" t="s">
        <v>454</v>
      </c>
      <c r="M99" s="373">
        <v>5.0199999999999996</v>
      </c>
      <c r="N99" s="423" t="s">
        <v>9</v>
      </c>
      <c r="O99" s="1"/>
    </row>
    <row r="100" spans="2:15" ht="15" x14ac:dyDescent="0.25">
      <c r="B100" s="21"/>
      <c r="C100" s="21"/>
      <c r="D100" s="22"/>
      <c r="E100" s="5"/>
      <c r="F100" s="340">
        <v>-1</v>
      </c>
      <c r="G100" s="360" t="s">
        <v>322</v>
      </c>
      <c r="H100" s="361">
        <v>12.5</v>
      </c>
      <c r="I100" s="365" t="s">
        <v>7</v>
      </c>
      <c r="K100" s="700"/>
      <c r="L100" s="424" t="s">
        <v>375</v>
      </c>
      <c r="M100" s="425">
        <v>14</v>
      </c>
      <c r="N100" s="426" t="s">
        <v>10</v>
      </c>
      <c r="O100" s="1"/>
    </row>
    <row r="101" spans="2:15" ht="15" x14ac:dyDescent="0.25">
      <c r="B101" s="21"/>
      <c r="C101" s="21"/>
      <c r="D101" s="22"/>
      <c r="E101" s="5"/>
      <c r="F101" s="340">
        <v>-1</v>
      </c>
      <c r="G101" s="360" t="s">
        <v>323</v>
      </c>
      <c r="H101" s="361">
        <v>12.5</v>
      </c>
      <c r="I101" s="365" t="s">
        <v>7</v>
      </c>
      <c r="K101" s="698">
        <v>-2</v>
      </c>
      <c r="L101" s="452" t="s">
        <v>455</v>
      </c>
      <c r="M101" s="455">
        <v>5.9</v>
      </c>
      <c r="N101" s="453" t="s">
        <v>9</v>
      </c>
      <c r="O101" s="1"/>
    </row>
    <row r="102" spans="2:15" ht="15" x14ac:dyDescent="0.25">
      <c r="B102" s="21"/>
      <c r="C102" s="21"/>
      <c r="D102" s="22"/>
      <c r="E102" s="5"/>
      <c r="F102" s="340">
        <v>-1</v>
      </c>
      <c r="G102" s="360" t="s">
        <v>324</v>
      </c>
      <c r="H102" s="361">
        <v>15.86</v>
      </c>
      <c r="I102" s="365" t="s">
        <v>7</v>
      </c>
      <c r="K102" s="699"/>
      <c r="L102" s="424" t="s">
        <v>376</v>
      </c>
      <c r="M102" s="425">
        <v>18.170000000000002</v>
      </c>
      <c r="N102" s="426" t="s">
        <v>571</v>
      </c>
      <c r="O102" s="1"/>
    </row>
    <row r="103" spans="2:15" ht="15" x14ac:dyDescent="0.25">
      <c r="B103" s="21"/>
      <c r="C103" s="21"/>
      <c r="D103" s="22"/>
      <c r="E103" s="5"/>
      <c r="F103" s="340">
        <v>-1</v>
      </c>
      <c r="G103" s="360" t="s">
        <v>325</v>
      </c>
      <c r="H103" s="361">
        <v>12.5</v>
      </c>
      <c r="I103" s="365" t="s">
        <v>7</v>
      </c>
      <c r="K103" s="698">
        <v>-2</v>
      </c>
      <c r="L103" s="372" t="s">
        <v>456</v>
      </c>
      <c r="M103" s="373">
        <v>4.95</v>
      </c>
      <c r="N103" s="423" t="s">
        <v>9</v>
      </c>
      <c r="O103" s="1"/>
    </row>
    <row r="104" spans="2:15" ht="15" x14ac:dyDescent="0.25">
      <c r="B104" s="21"/>
      <c r="C104" s="21"/>
      <c r="D104" s="22"/>
      <c r="E104" s="5"/>
      <c r="F104" s="340">
        <v>-1</v>
      </c>
      <c r="G104" s="360" t="s">
        <v>326</v>
      </c>
      <c r="H104" s="361">
        <v>12.5</v>
      </c>
      <c r="I104" s="365" t="s">
        <v>7</v>
      </c>
      <c r="K104" s="699"/>
      <c r="L104" s="424" t="s">
        <v>377</v>
      </c>
      <c r="M104" s="425">
        <v>13.63</v>
      </c>
      <c r="N104" s="426" t="s">
        <v>10</v>
      </c>
      <c r="O104" s="1"/>
    </row>
    <row r="105" spans="2:15" ht="15" x14ac:dyDescent="0.25">
      <c r="B105" s="21"/>
      <c r="C105" s="21"/>
      <c r="D105" s="22"/>
      <c r="E105" s="5"/>
      <c r="F105" s="340">
        <v>-1</v>
      </c>
      <c r="G105" s="360" t="s">
        <v>327</v>
      </c>
      <c r="H105" s="361">
        <v>12.42</v>
      </c>
      <c r="I105" s="365" t="s">
        <v>7</v>
      </c>
      <c r="K105" s="700">
        <v>-2</v>
      </c>
      <c r="L105" s="372" t="s">
        <v>457</v>
      </c>
      <c r="M105" s="373">
        <v>4.83</v>
      </c>
      <c r="N105" s="423" t="s">
        <v>9</v>
      </c>
      <c r="O105" s="1"/>
    </row>
    <row r="106" spans="2:15" ht="15" x14ac:dyDescent="0.25">
      <c r="B106" s="21"/>
      <c r="C106" s="23"/>
      <c r="D106" s="22"/>
      <c r="E106" s="5"/>
      <c r="F106" s="340">
        <v>-1</v>
      </c>
      <c r="G106" s="360" t="s">
        <v>328</v>
      </c>
      <c r="H106" s="361">
        <v>12.42</v>
      </c>
      <c r="I106" s="365" t="s">
        <v>7</v>
      </c>
      <c r="K106" s="700"/>
      <c r="L106" s="424" t="s">
        <v>378</v>
      </c>
      <c r="M106" s="425">
        <v>13.46</v>
      </c>
      <c r="N106" s="454" t="s">
        <v>10</v>
      </c>
      <c r="O106" s="1"/>
    </row>
    <row r="107" spans="2:15" ht="15" x14ac:dyDescent="0.25">
      <c r="B107" s="21"/>
      <c r="C107" s="23"/>
      <c r="D107" s="22"/>
      <c r="E107" s="5"/>
      <c r="F107" s="340">
        <v>-1</v>
      </c>
      <c r="G107" s="360" t="s">
        <v>329</v>
      </c>
      <c r="H107" s="361">
        <v>12.5</v>
      </c>
      <c r="I107" s="365" t="s">
        <v>7</v>
      </c>
      <c r="K107" s="698">
        <v>-2</v>
      </c>
      <c r="L107" s="452" t="s">
        <v>458</v>
      </c>
      <c r="M107" s="455">
        <v>4.83</v>
      </c>
      <c r="N107" s="453" t="s">
        <v>9</v>
      </c>
      <c r="O107" s="1"/>
    </row>
    <row r="108" spans="2:15" ht="15" x14ac:dyDescent="0.25">
      <c r="B108" s="21"/>
      <c r="C108" s="23"/>
      <c r="D108" s="22"/>
      <c r="E108" s="5"/>
      <c r="F108" s="340">
        <v>-1</v>
      </c>
      <c r="G108" s="360" t="s">
        <v>330</v>
      </c>
      <c r="H108" s="361">
        <v>12.42</v>
      </c>
      <c r="I108" s="365" t="s">
        <v>7</v>
      </c>
      <c r="K108" s="699"/>
      <c r="L108" s="424" t="s">
        <v>379</v>
      </c>
      <c r="M108" s="425">
        <v>13.46</v>
      </c>
      <c r="N108" s="426" t="s">
        <v>10</v>
      </c>
      <c r="O108" s="1"/>
    </row>
    <row r="109" spans="2:15" ht="15" x14ac:dyDescent="0.25">
      <c r="B109" s="21"/>
      <c r="C109" s="23"/>
      <c r="D109" s="22"/>
      <c r="E109" s="5"/>
      <c r="F109" s="340">
        <v>-1</v>
      </c>
      <c r="G109" s="360" t="s">
        <v>331</v>
      </c>
      <c r="H109" s="361">
        <v>12.42</v>
      </c>
      <c r="I109" s="365" t="s">
        <v>7</v>
      </c>
      <c r="K109" s="698">
        <v>-2</v>
      </c>
      <c r="L109" s="452" t="s">
        <v>459</v>
      </c>
      <c r="M109" s="455">
        <v>4.95</v>
      </c>
      <c r="N109" s="453" t="s">
        <v>9</v>
      </c>
      <c r="O109" s="1"/>
    </row>
    <row r="110" spans="2:15" ht="15" x14ac:dyDescent="0.25">
      <c r="B110" s="21"/>
      <c r="C110" s="23"/>
      <c r="D110" s="22"/>
      <c r="E110" s="5"/>
      <c r="F110" s="340">
        <v>-1</v>
      </c>
      <c r="G110" s="360" t="s">
        <v>332</v>
      </c>
      <c r="H110" s="361">
        <v>12.5</v>
      </c>
      <c r="I110" s="365" t="s">
        <v>7</v>
      </c>
      <c r="K110" s="699"/>
      <c r="L110" s="424" t="s">
        <v>380</v>
      </c>
      <c r="M110" s="425">
        <v>13.63</v>
      </c>
      <c r="N110" s="426" t="s">
        <v>10</v>
      </c>
      <c r="O110" s="1"/>
    </row>
    <row r="111" spans="2:15" ht="15" x14ac:dyDescent="0.25">
      <c r="B111" s="21"/>
      <c r="C111" s="23"/>
      <c r="D111" s="22"/>
      <c r="E111" s="5"/>
      <c r="F111" s="340">
        <v>-1</v>
      </c>
      <c r="G111" s="360" t="s">
        <v>333</v>
      </c>
      <c r="H111" s="361">
        <v>12.42</v>
      </c>
      <c r="I111" s="365" t="s">
        <v>7</v>
      </c>
      <c r="K111" s="698">
        <v>-2</v>
      </c>
      <c r="L111" s="372" t="s">
        <v>460</v>
      </c>
      <c r="M111" s="373">
        <v>4.8</v>
      </c>
      <c r="N111" s="423" t="s">
        <v>9</v>
      </c>
    </row>
    <row r="112" spans="2:15" ht="15" x14ac:dyDescent="0.25">
      <c r="B112" s="21"/>
      <c r="C112" s="23"/>
      <c r="D112" s="22"/>
      <c r="E112" s="5"/>
      <c r="F112" s="340">
        <v>-1</v>
      </c>
      <c r="G112" s="360" t="s">
        <v>334</v>
      </c>
      <c r="H112" s="361">
        <v>12.42</v>
      </c>
      <c r="I112" s="365" t="s">
        <v>7</v>
      </c>
      <c r="K112" s="699"/>
      <c r="L112" s="424" t="s">
        <v>381</v>
      </c>
      <c r="M112" s="425">
        <v>12.92</v>
      </c>
      <c r="N112" s="426" t="s">
        <v>10</v>
      </c>
    </row>
    <row r="113" spans="2:15" ht="15" x14ac:dyDescent="0.25">
      <c r="B113" s="21"/>
      <c r="C113" s="23"/>
      <c r="D113" s="22"/>
      <c r="E113" s="5"/>
      <c r="F113" s="340">
        <v>-1</v>
      </c>
      <c r="G113" s="360" t="s">
        <v>335</v>
      </c>
      <c r="H113" s="361">
        <v>12.5</v>
      </c>
      <c r="I113" s="365" t="s">
        <v>7</v>
      </c>
      <c r="K113" s="698">
        <v>-2</v>
      </c>
      <c r="L113" s="372" t="s">
        <v>461</v>
      </c>
      <c r="M113" s="373">
        <v>3.93</v>
      </c>
      <c r="N113" s="423" t="s">
        <v>9</v>
      </c>
    </row>
    <row r="114" spans="2:15" ht="15" x14ac:dyDescent="0.25">
      <c r="B114" s="21"/>
      <c r="C114" s="23"/>
      <c r="D114" s="22"/>
      <c r="E114" s="5"/>
      <c r="F114" s="340">
        <v>-1</v>
      </c>
      <c r="G114" s="360" t="s">
        <v>336</v>
      </c>
      <c r="H114" s="361">
        <v>12.42</v>
      </c>
      <c r="I114" s="365" t="s">
        <v>7</v>
      </c>
      <c r="K114" s="699"/>
      <c r="L114" s="424" t="s">
        <v>463</v>
      </c>
      <c r="M114" s="425">
        <f>2.55*5</f>
        <v>12.75</v>
      </c>
      <c r="N114" s="426" t="s">
        <v>10</v>
      </c>
    </row>
    <row r="115" spans="2:15" ht="15" x14ac:dyDescent="0.25">
      <c r="B115" s="21"/>
      <c r="C115" s="23"/>
      <c r="D115" s="22"/>
      <c r="E115" s="5"/>
      <c r="F115" s="340">
        <v>-1</v>
      </c>
      <c r="G115" s="360" t="s">
        <v>337</v>
      </c>
      <c r="H115" s="361">
        <v>12.42</v>
      </c>
      <c r="I115" s="365" t="s">
        <v>7</v>
      </c>
      <c r="K115" s="700">
        <v>-2</v>
      </c>
      <c r="L115" s="372" t="s">
        <v>462</v>
      </c>
      <c r="M115" s="373">
        <v>5.21</v>
      </c>
      <c r="N115" s="423" t="s">
        <v>9</v>
      </c>
    </row>
    <row r="116" spans="2:15" x14ac:dyDescent="0.2">
      <c r="B116" s="4"/>
      <c r="C116" s="4"/>
      <c r="D116" s="5"/>
      <c r="E116" s="5"/>
      <c r="F116" s="340">
        <v>-1</v>
      </c>
      <c r="G116" s="360" t="s">
        <v>338</v>
      </c>
      <c r="H116" s="361">
        <v>12.5</v>
      </c>
      <c r="I116" s="365" t="s">
        <v>7</v>
      </c>
      <c r="K116" s="700"/>
      <c r="L116" s="424" t="s">
        <v>465</v>
      </c>
      <c r="M116" s="425">
        <v>13.5</v>
      </c>
      <c r="N116" s="426" t="s">
        <v>10</v>
      </c>
    </row>
    <row r="117" spans="2:15" x14ac:dyDescent="0.2">
      <c r="B117" s="4"/>
      <c r="C117" s="4"/>
      <c r="D117" s="5"/>
      <c r="E117" s="5"/>
      <c r="F117" s="340">
        <v>-1</v>
      </c>
      <c r="G117" s="360" t="s">
        <v>339</v>
      </c>
      <c r="H117" s="361">
        <v>12.42</v>
      </c>
      <c r="I117" s="365" t="s">
        <v>7</v>
      </c>
      <c r="K117" s="698">
        <v>-2</v>
      </c>
      <c r="L117" s="452" t="s">
        <v>464</v>
      </c>
      <c r="M117" s="455">
        <v>4.92</v>
      </c>
      <c r="N117" s="453" t="s">
        <v>9</v>
      </c>
    </row>
    <row r="118" spans="2:15" x14ac:dyDescent="0.2">
      <c r="B118" s="4"/>
      <c r="C118" s="4"/>
      <c r="D118" s="5"/>
      <c r="E118" s="2"/>
      <c r="F118" s="340">
        <v>-1</v>
      </c>
      <c r="G118" s="360" t="s">
        <v>340</v>
      </c>
      <c r="H118" s="361">
        <v>12.42</v>
      </c>
      <c r="I118" s="365" t="s">
        <v>7</v>
      </c>
      <c r="K118" s="699"/>
      <c r="L118" s="424" t="s">
        <v>467</v>
      </c>
      <c r="M118" s="425">
        <v>12.9</v>
      </c>
      <c r="N118" s="426" t="s">
        <v>10</v>
      </c>
    </row>
    <row r="119" spans="2:15" x14ac:dyDescent="0.2">
      <c r="B119" s="4"/>
      <c r="C119" s="4"/>
      <c r="D119" s="5"/>
      <c r="E119" s="5"/>
      <c r="F119" s="340">
        <v>-1</v>
      </c>
      <c r="G119" s="360" t="s">
        <v>341</v>
      </c>
      <c r="H119" s="361">
        <v>12.5</v>
      </c>
      <c r="I119" s="365" t="s">
        <v>7</v>
      </c>
      <c r="K119" s="698">
        <v>-2</v>
      </c>
      <c r="L119" s="372" t="s">
        <v>466</v>
      </c>
      <c r="M119" s="373">
        <v>6.58</v>
      </c>
      <c r="N119" s="423" t="s">
        <v>9</v>
      </c>
    </row>
    <row r="120" spans="2:15" x14ac:dyDescent="0.2">
      <c r="B120" s="4"/>
      <c r="C120" s="4"/>
      <c r="D120" s="5"/>
      <c r="E120" s="5"/>
      <c r="F120" s="340">
        <v>-1</v>
      </c>
      <c r="G120" s="360" t="s">
        <v>342</v>
      </c>
      <c r="H120" s="361">
        <v>12.42</v>
      </c>
      <c r="I120" s="365" t="s">
        <v>7</v>
      </c>
      <c r="K120" s="699"/>
      <c r="L120" s="424" t="s">
        <v>469</v>
      </c>
      <c r="M120" s="425">
        <v>14.1</v>
      </c>
      <c r="N120" s="426" t="s">
        <v>10</v>
      </c>
    </row>
    <row r="121" spans="2:15" x14ac:dyDescent="0.2">
      <c r="B121" s="4"/>
      <c r="C121" s="4"/>
      <c r="D121" s="5"/>
      <c r="E121" s="5"/>
      <c r="F121" s="340">
        <v>-1</v>
      </c>
      <c r="G121" s="360" t="s">
        <v>343</v>
      </c>
      <c r="H121" s="361">
        <v>12.42</v>
      </c>
      <c r="I121" s="365" t="s">
        <v>7</v>
      </c>
      <c r="K121" s="698">
        <v>-2</v>
      </c>
      <c r="L121" s="372" t="s">
        <v>468</v>
      </c>
      <c r="M121" s="373">
        <v>6.75</v>
      </c>
      <c r="N121" s="423" t="s">
        <v>9</v>
      </c>
    </row>
    <row r="122" spans="2:15" x14ac:dyDescent="0.2">
      <c r="B122" s="4"/>
      <c r="C122" s="4"/>
      <c r="D122" s="5"/>
      <c r="E122" s="5"/>
      <c r="F122" s="340">
        <v>-1</v>
      </c>
      <c r="G122" s="360" t="s">
        <v>344</v>
      </c>
      <c r="H122" s="361">
        <v>12.5</v>
      </c>
      <c r="I122" s="365" t="s">
        <v>7</v>
      </c>
      <c r="K122" s="699"/>
      <c r="L122" s="424" t="s">
        <v>471</v>
      </c>
      <c r="M122" s="425">
        <f>2.75*5</f>
        <v>13.75</v>
      </c>
      <c r="N122" s="426" t="s">
        <v>10</v>
      </c>
    </row>
    <row r="123" spans="2:15" x14ac:dyDescent="0.2">
      <c r="B123" s="4"/>
      <c r="C123" s="4"/>
      <c r="D123" s="5"/>
      <c r="E123" s="5"/>
      <c r="F123" s="340">
        <v>-1</v>
      </c>
      <c r="G123" s="360" t="s">
        <v>345</v>
      </c>
      <c r="H123" s="361">
        <v>12.42</v>
      </c>
      <c r="I123" s="365" t="s">
        <v>7</v>
      </c>
      <c r="K123" s="700">
        <v>-2</v>
      </c>
      <c r="L123" s="372" t="s">
        <v>470</v>
      </c>
      <c r="M123" s="373">
        <v>6.75</v>
      </c>
      <c r="N123" s="423" t="s">
        <v>9</v>
      </c>
    </row>
    <row r="124" spans="2:15" x14ac:dyDescent="0.2">
      <c r="B124" s="4"/>
      <c r="C124" s="4"/>
      <c r="D124" s="5"/>
      <c r="E124" s="2"/>
      <c r="F124" s="340">
        <v>-1</v>
      </c>
      <c r="G124" s="360" t="s">
        <v>346</v>
      </c>
      <c r="H124" s="361">
        <v>12.42</v>
      </c>
      <c r="I124" s="365" t="s">
        <v>7</v>
      </c>
      <c r="K124" s="700"/>
      <c r="L124" s="424" t="s">
        <v>479</v>
      </c>
      <c r="M124" s="425">
        <v>13.77</v>
      </c>
      <c r="N124" s="454" t="s">
        <v>10</v>
      </c>
    </row>
    <row r="125" spans="2:15" ht="13.5" thickBot="1" x14ac:dyDescent="0.25">
      <c r="B125" s="4"/>
      <c r="C125" s="4"/>
      <c r="D125" s="5"/>
      <c r="E125" s="5"/>
      <c r="F125" s="346">
        <v>-1</v>
      </c>
      <c r="G125" s="363" t="s">
        <v>347</v>
      </c>
      <c r="H125" s="364">
        <v>12.5</v>
      </c>
      <c r="I125" s="366" t="s">
        <v>7</v>
      </c>
      <c r="K125" s="702">
        <v>-2</v>
      </c>
      <c r="L125" s="452" t="s">
        <v>472</v>
      </c>
      <c r="M125" s="455">
        <v>6.58</v>
      </c>
      <c r="N125" s="453" t="s">
        <v>9</v>
      </c>
    </row>
    <row r="126" spans="2:15" x14ac:dyDescent="0.2">
      <c r="B126" s="4"/>
      <c r="C126" s="4"/>
      <c r="D126" s="5"/>
      <c r="E126" s="5"/>
      <c r="F126" s="323">
        <v>-2</v>
      </c>
      <c r="G126" s="438" t="s">
        <v>348</v>
      </c>
      <c r="H126" s="551">
        <v>12.5</v>
      </c>
      <c r="I126" s="552" t="s">
        <v>7</v>
      </c>
      <c r="K126" s="700"/>
      <c r="L126" s="424" t="s">
        <v>481</v>
      </c>
      <c r="M126" s="425">
        <f>2.75*5</f>
        <v>13.75</v>
      </c>
      <c r="N126" s="426" t="s">
        <v>10</v>
      </c>
      <c r="O126" s="1"/>
    </row>
    <row r="127" spans="2:15" x14ac:dyDescent="0.2">
      <c r="B127" s="4"/>
      <c r="C127" s="4"/>
      <c r="D127" s="5"/>
      <c r="E127" s="5"/>
      <c r="F127" s="327">
        <v>-2</v>
      </c>
      <c r="G127" s="439" t="s">
        <v>349</v>
      </c>
      <c r="H127" s="440">
        <v>12.42</v>
      </c>
      <c r="I127" s="441" t="s">
        <v>7</v>
      </c>
      <c r="K127" s="698">
        <v>-2</v>
      </c>
      <c r="L127" s="452" t="s">
        <v>474</v>
      </c>
      <c r="M127" s="455">
        <v>3.93</v>
      </c>
      <c r="N127" s="453" t="s">
        <v>9</v>
      </c>
      <c r="O127" s="1"/>
    </row>
    <row r="128" spans="2:15" x14ac:dyDescent="0.2">
      <c r="B128" s="4"/>
      <c r="C128" s="4"/>
      <c r="D128" s="2"/>
      <c r="E128" s="5"/>
      <c r="F128" s="327">
        <v>-2</v>
      </c>
      <c r="G128" s="439" t="s">
        <v>350</v>
      </c>
      <c r="H128" s="440">
        <v>12.42</v>
      </c>
      <c r="I128" s="441" t="s">
        <v>7</v>
      </c>
      <c r="K128" s="699"/>
      <c r="L128" s="424" t="s">
        <v>483</v>
      </c>
      <c r="M128" s="425">
        <v>13.5</v>
      </c>
      <c r="N128" s="426" t="s">
        <v>10</v>
      </c>
      <c r="O128" s="1"/>
    </row>
    <row r="129" spans="1:22" x14ac:dyDescent="0.2">
      <c r="B129" s="4"/>
      <c r="C129" s="4"/>
      <c r="D129" s="5"/>
      <c r="E129" s="5"/>
      <c r="F129" s="327">
        <v>-2</v>
      </c>
      <c r="G129" s="439" t="s">
        <v>351</v>
      </c>
      <c r="H129" s="440">
        <v>12.5</v>
      </c>
      <c r="I129" s="441" t="s">
        <v>7</v>
      </c>
      <c r="K129" s="698">
        <v>-2</v>
      </c>
      <c r="L129" s="372" t="s">
        <v>475</v>
      </c>
      <c r="M129" s="373">
        <v>3.88</v>
      </c>
      <c r="N129" s="423" t="s">
        <v>9</v>
      </c>
      <c r="O129" s="1"/>
    </row>
    <row r="130" spans="1:22" x14ac:dyDescent="0.2">
      <c r="B130" s="4"/>
      <c r="C130" s="4"/>
      <c r="D130" s="2"/>
      <c r="E130" s="5"/>
      <c r="F130" s="327">
        <v>-2</v>
      </c>
      <c r="G130" s="439" t="s">
        <v>352</v>
      </c>
      <c r="H130" s="440">
        <v>12.42</v>
      </c>
      <c r="I130" s="441" t="s">
        <v>7</v>
      </c>
      <c r="K130" s="699"/>
      <c r="L130" s="424" t="s">
        <v>485</v>
      </c>
      <c r="M130" s="425">
        <v>14.06</v>
      </c>
      <c r="N130" s="426" t="s">
        <v>10</v>
      </c>
    </row>
    <row r="131" spans="1:22" x14ac:dyDescent="0.2">
      <c r="B131" s="4"/>
      <c r="C131" s="4"/>
      <c r="D131" s="5"/>
      <c r="E131" s="2"/>
      <c r="F131" s="327">
        <v>-2</v>
      </c>
      <c r="G131" s="439" t="s">
        <v>353</v>
      </c>
      <c r="H131" s="440">
        <v>12.42</v>
      </c>
      <c r="I131" s="441" t="s">
        <v>7</v>
      </c>
      <c r="K131" s="700">
        <v>-2</v>
      </c>
      <c r="L131" s="372" t="s">
        <v>476</v>
      </c>
      <c r="M131" s="373">
        <v>3.39</v>
      </c>
      <c r="N131" s="423" t="s">
        <v>9</v>
      </c>
      <c r="O131" s="1"/>
    </row>
    <row r="132" spans="1:22" x14ac:dyDescent="0.2">
      <c r="B132" s="4"/>
      <c r="C132" s="4"/>
      <c r="D132" s="5"/>
      <c r="E132" s="5"/>
      <c r="F132" s="327">
        <v>-2</v>
      </c>
      <c r="G132" s="439" t="s">
        <v>354</v>
      </c>
      <c r="H132" s="440">
        <v>12.5</v>
      </c>
      <c r="I132" s="441" t="s">
        <v>7</v>
      </c>
      <c r="K132" s="700"/>
      <c r="L132" s="424" t="s">
        <v>487</v>
      </c>
      <c r="M132" s="425">
        <v>14.11</v>
      </c>
      <c r="N132" s="454" t="s">
        <v>10</v>
      </c>
      <c r="O132" s="1"/>
    </row>
    <row r="133" spans="1:22" x14ac:dyDescent="0.2">
      <c r="B133" s="4"/>
      <c r="C133" s="4"/>
      <c r="D133" s="5"/>
      <c r="E133" s="5"/>
      <c r="F133" s="327">
        <v>-2</v>
      </c>
      <c r="G133" s="439" t="s">
        <v>355</v>
      </c>
      <c r="H133" s="440">
        <v>12.42</v>
      </c>
      <c r="I133" s="441" t="s">
        <v>7</v>
      </c>
      <c r="K133" s="698">
        <v>-2</v>
      </c>
      <c r="L133" s="452" t="s">
        <v>478</v>
      </c>
      <c r="M133" s="455">
        <v>3.39</v>
      </c>
      <c r="N133" s="453" t="s">
        <v>9</v>
      </c>
      <c r="O133" s="1"/>
    </row>
    <row r="134" spans="1:22" x14ac:dyDescent="0.2">
      <c r="B134" s="4"/>
      <c r="C134" s="4"/>
      <c r="D134" s="5"/>
      <c r="E134" s="5"/>
      <c r="F134" s="327">
        <v>-2</v>
      </c>
      <c r="G134" s="439" t="s">
        <v>356</v>
      </c>
      <c r="H134" s="440">
        <v>12.42</v>
      </c>
      <c r="I134" s="441" t="s">
        <v>7</v>
      </c>
      <c r="K134" s="699"/>
      <c r="L134" s="424" t="s">
        <v>489</v>
      </c>
      <c r="M134" s="425">
        <v>14.11</v>
      </c>
      <c r="N134" s="426" t="s">
        <v>10</v>
      </c>
      <c r="O134" s="1"/>
    </row>
    <row r="135" spans="1:22" x14ac:dyDescent="0.2">
      <c r="A135" s="5"/>
      <c r="B135" s="5"/>
      <c r="C135" s="5"/>
      <c r="D135" s="5"/>
      <c r="E135" s="5"/>
      <c r="F135" s="327">
        <v>-2</v>
      </c>
      <c r="G135" s="439" t="s">
        <v>357</v>
      </c>
      <c r="H135" s="440">
        <v>12.5</v>
      </c>
      <c r="I135" s="441" t="s">
        <v>7</v>
      </c>
      <c r="J135" s="5"/>
      <c r="K135" s="698">
        <v>-2</v>
      </c>
      <c r="L135" s="452" t="s">
        <v>480</v>
      </c>
      <c r="M135" s="455">
        <v>3.88</v>
      </c>
      <c r="N135" s="453" t="s">
        <v>9</v>
      </c>
      <c r="O135" s="5"/>
      <c r="P135" s="5"/>
      <c r="Q135" s="5"/>
      <c r="R135" s="5"/>
      <c r="S135" s="5"/>
      <c r="T135" s="5"/>
      <c r="U135" s="5"/>
      <c r="V135" s="5"/>
    </row>
    <row r="136" spans="1:22" x14ac:dyDescent="0.2">
      <c r="A136" s="5"/>
      <c r="B136" s="5"/>
      <c r="C136" s="5"/>
      <c r="D136" s="2"/>
      <c r="E136" s="5"/>
      <c r="F136" s="327">
        <v>-2</v>
      </c>
      <c r="G136" s="439" t="s">
        <v>358</v>
      </c>
      <c r="H136" s="440">
        <v>12.42</v>
      </c>
      <c r="I136" s="441" t="s">
        <v>7</v>
      </c>
      <c r="J136" s="5"/>
      <c r="K136" s="699"/>
      <c r="L136" s="424" t="s">
        <v>491</v>
      </c>
      <c r="M136" s="425">
        <v>14.11</v>
      </c>
      <c r="N136" s="426" t="s">
        <v>10</v>
      </c>
      <c r="O136" s="5"/>
      <c r="P136" s="5"/>
      <c r="Q136" s="5"/>
      <c r="R136" s="5"/>
      <c r="S136" s="5"/>
      <c r="T136" s="5"/>
      <c r="U136" s="5"/>
      <c r="V136" s="5"/>
    </row>
    <row r="137" spans="1:22" x14ac:dyDescent="0.2">
      <c r="A137" s="5"/>
      <c r="B137" s="5"/>
      <c r="C137" s="5"/>
      <c r="D137" s="5"/>
      <c r="E137" s="5"/>
      <c r="F137" s="327">
        <v>-2</v>
      </c>
      <c r="G137" s="439" t="s">
        <v>359</v>
      </c>
      <c r="H137" s="440">
        <v>12.42</v>
      </c>
      <c r="I137" s="441" t="s">
        <v>7</v>
      </c>
      <c r="J137" s="5"/>
      <c r="K137" s="698">
        <v>-2</v>
      </c>
      <c r="L137" s="372" t="s">
        <v>482</v>
      </c>
      <c r="M137" s="373">
        <v>3.72</v>
      </c>
      <c r="N137" s="423" t="s">
        <v>9</v>
      </c>
      <c r="O137" s="5"/>
      <c r="P137" s="5"/>
      <c r="Q137" s="5"/>
      <c r="R137" s="5"/>
      <c r="S137" s="5"/>
      <c r="T137" s="5"/>
      <c r="U137" s="5"/>
      <c r="V137" s="5"/>
    </row>
    <row r="138" spans="1:22" x14ac:dyDescent="0.2">
      <c r="A138" s="5"/>
      <c r="B138" s="5"/>
      <c r="C138" s="5"/>
      <c r="D138" s="2"/>
      <c r="E138" s="5"/>
      <c r="F138" s="327">
        <v>-2</v>
      </c>
      <c r="G138" s="439" t="s">
        <v>360</v>
      </c>
      <c r="H138" s="440">
        <v>12.5</v>
      </c>
      <c r="I138" s="441" t="s">
        <v>7</v>
      </c>
      <c r="J138" s="5"/>
      <c r="K138" s="699"/>
      <c r="L138" s="424" t="s">
        <v>382</v>
      </c>
      <c r="M138" s="425">
        <v>14.05</v>
      </c>
      <c r="N138" s="426" t="s">
        <v>10</v>
      </c>
      <c r="O138" s="5"/>
      <c r="P138" s="5"/>
      <c r="Q138" s="5"/>
      <c r="R138" s="5"/>
      <c r="S138" s="5"/>
      <c r="T138" s="5"/>
      <c r="U138" s="5"/>
      <c r="V138" s="5"/>
    </row>
    <row r="139" spans="1:22" x14ac:dyDescent="0.2">
      <c r="A139" s="5"/>
      <c r="B139" s="5"/>
      <c r="C139" s="5"/>
      <c r="D139" s="6"/>
      <c r="E139" s="5"/>
      <c r="F139" s="327">
        <v>-2</v>
      </c>
      <c r="G139" s="439" t="s">
        <v>361</v>
      </c>
      <c r="H139" s="440">
        <v>12.42</v>
      </c>
      <c r="I139" s="441" t="s">
        <v>7</v>
      </c>
      <c r="J139" s="5"/>
      <c r="K139" s="698">
        <v>-2</v>
      </c>
      <c r="L139" s="372" t="s">
        <v>484</v>
      </c>
      <c r="M139" s="373">
        <v>3.95</v>
      </c>
      <c r="N139" s="423" t="s">
        <v>9</v>
      </c>
      <c r="O139" s="5"/>
      <c r="P139" s="5"/>
      <c r="Q139" s="5"/>
      <c r="R139" s="5"/>
      <c r="S139" s="5"/>
      <c r="T139" s="5"/>
      <c r="U139" s="5"/>
      <c r="V139" s="5"/>
    </row>
    <row r="140" spans="1:22" x14ac:dyDescent="0.2">
      <c r="A140" s="5"/>
      <c r="B140" s="5"/>
      <c r="C140" s="5"/>
      <c r="D140" s="6"/>
      <c r="E140" s="5"/>
      <c r="F140" s="327">
        <v>-2</v>
      </c>
      <c r="G140" s="439" t="s">
        <v>362</v>
      </c>
      <c r="H140" s="440">
        <v>12.42</v>
      </c>
      <c r="I140" s="441" t="s">
        <v>7</v>
      </c>
      <c r="J140" s="5"/>
      <c r="K140" s="699"/>
      <c r="L140" s="424" t="s">
        <v>383</v>
      </c>
      <c r="M140" s="425">
        <v>14.22</v>
      </c>
      <c r="N140" s="426" t="s">
        <v>10</v>
      </c>
      <c r="O140" s="5"/>
      <c r="P140" s="5"/>
      <c r="Q140" s="5"/>
      <c r="R140" s="5"/>
      <c r="S140" s="5"/>
      <c r="T140" s="5"/>
      <c r="U140" s="5"/>
      <c r="V140" s="5"/>
    </row>
    <row r="141" spans="1:22" x14ac:dyDescent="0.2">
      <c r="A141" s="5"/>
      <c r="B141" s="5"/>
      <c r="C141" s="5"/>
      <c r="D141" s="6"/>
      <c r="E141" s="5"/>
      <c r="F141" s="327">
        <v>-2</v>
      </c>
      <c r="G141" s="439" t="s">
        <v>363</v>
      </c>
      <c r="H141" s="440">
        <v>12.5</v>
      </c>
      <c r="I141" s="441" t="s">
        <v>7</v>
      </c>
      <c r="J141" s="5"/>
      <c r="K141" s="698">
        <v>-2</v>
      </c>
      <c r="L141" s="372" t="s">
        <v>486</v>
      </c>
      <c r="M141" s="373">
        <v>3.79</v>
      </c>
      <c r="N141" s="423" t="s">
        <v>9</v>
      </c>
      <c r="O141" s="5"/>
      <c r="P141" s="5"/>
      <c r="Q141" s="5"/>
      <c r="R141" s="5"/>
      <c r="S141" s="5"/>
      <c r="T141" s="5"/>
      <c r="U141" s="5"/>
      <c r="V141" s="5"/>
    </row>
    <row r="142" spans="1:22" x14ac:dyDescent="0.2">
      <c r="A142" s="5"/>
      <c r="B142" s="5"/>
      <c r="C142" s="5"/>
      <c r="D142" s="2"/>
      <c r="E142" s="5"/>
      <c r="F142" s="327">
        <v>-2</v>
      </c>
      <c r="G142" s="439" t="s">
        <v>364</v>
      </c>
      <c r="H142" s="440">
        <v>12.42</v>
      </c>
      <c r="I142" s="441" t="s">
        <v>7</v>
      </c>
      <c r="J142" s="5"/>
      <c r="K142" s="699"/>
      <c r="L142" s="424" t="s">
        <v>384</v>
      </c>
      <c r="M142" s="425">
        <v>13.72</v>
      </c>
      <c r="N142" s="426" t="s">
        <v>10</v>
      </c>
      <c r="O142" s="5"/>
      <c r="P142" s="5"/>
      <c r="Q142" s="5"/>
      <c r="R142" s="5"/>
      <c r="S142" s="5"/>
      <c r="T142" s="5"/>
      <c r="U142" s="5"/>
      <c r="V142" s="5"/>
    </row>
    <row r="143" spans="1:22" x14ac:dyDescent="0.2">
      <c r="A143" s="5"/>
      <c r="B143" s="5"/>
      <c r="C143" s="5"/>
      <c r="D143" s="2"/>
      <c r="E143" s="5"/>
      <c r="F143" s="327">
        <v>-2</v>
      </c>
      <c r="G143" s="439" t="s">
        <v>365</v>
      </c>
      <c r="H143" s="440">
        <v>12.42</v>
      </c>
      <c r="I143" s="441" t="s">
        <v>7</v>
      </c>
      <c r="J143" s="5"/>
      <c r="K143" s="700">
        <v>-2</v>
      </c>
      <c r="L143" s="372" t="s">
        <v>490</v>
      </c>
      <c r="M143" s="373">
        <v>6.83</v>
      </c>
      <c r="N143" s="423" t="s">
        <v>9</v>
      </c>
      <c r="O143" s="5"/>
      <c r="P143" s="5"/>
      <c r="Q143" s="5"/>
      <c r="R143" s="5"/>
      <c r="S143" s="5"/>
      <c r="T143" s="5"/>
      <c r="U143" s="5"/>
      <c r="V143" s="5"/>
    </row>
    <row r="144" spans="1:22" ht="13.5" thickBot="1" x14ac:dyDescent="0.25">
      <c r="A144" s="5"/>
      <c r="B144" s="5"/>
      <c r="C144" s="5"/>
      <c r="D144" s="5"/>
      <c r="E144" s="5"/>
      <c r="F144" s="327">
        <v>-2</v>
      </c>
      <c r="G144" s="439" t="s">
        <v>366</v>
      </c>
      <c r="H144" s="440">
        <v>12.5</v>
      </c>
      <c r="I144" s="441" t="s">
        <v>7</v>
      </c>
      <c r="J144" s="5"/>
      <c r="K144" s="701"/>
      <c r="L144" s="374" t="s">
        <v>385</v>
      </c>
      <c r="M144" s="375">
        <v>15.86</v>
      </c>
      <c r="N144" s="427" t="s">
        <v>10</v>
      </c>
      <c r="O144" s="5"/>
      <c r="P144" s="5"/>
      <c r="Q144" s="5"/>
      <c r="R144" s="5"/>
      <c r="S144" s="5"/>
      <c r="T144" s="5"/>
      <c r="U144" s="5"/>
      <c r="V144" s="5"/>
    </row>
    <row r="145" spans="1:22" x14ac:dyDescent="0.2">
      <c r="A145" s="5"/>
      <c r="B145" s="5"/>
      <c r="C145" s="5"/>
      <c r="D145" s="5"/>
      <c r="E145" s="5"/>
      <c r="F145" s="327">
        <v>-2</v>
      </c>
      <c r="G145" s="439" t="s">
        <v>367</v>
      </c>
      <c r="H145" s="440">
        <v>12.42</v>
      </c>
      <c r="I145" s="441" t="s">
        <v>7</v>
      </c>
      <c r="J145" s="5"/>
      <c r="K145" s="697"/>
      <c r="L145" s="27"/>
      <c r="M145" s="29"/>
      <c r="N145" s="27"/>
      <c r="O145" s="5"/>
      <c r="P145" s="5"/>
      <c r="Q145" s="5"/>
      <c r="R145" s="5"/>
      <c r="S145" s="5"/>
      <c r="T145" s="5"/>
      <c r="U145" s="5"/>
      <c r="V145" s="5"/>
    </row>
    <row r="146" spans="1:22" ht="13.5" thickBot="1" x14ac:dyDescent="0.25">
      <c r="A146" s="5"/>
      <c r="B146" s="5"/>
      <c r="C146" s="5"/>
      <c r="D146" s="5"/>
      <c r="E146" s="5"/>
      <c r="F146" s="327">
        <v>-2</v>
      </c>
      <c r="G146" s="439" t="s">
        <v>368</v>
      </c>
      <c r="H146" s="440">
        <v>12.42</v>
      </c>
      <c r="I146" s="441" t="s">
        <v>7</v>
      </c>
      <c r="J146" s="5"/>
      <c r="K146" s="697"/>
      <c r="L146" s="25"/>
      <c r="M146" s="26"/>
      <c r="N146" s="30"/>
      <c r="O146" s="5"/>
      <c r="P146" s="5"/>
      <c r="Q146" s="5"/>
      <c r="R146" s="5"/>
      <c r="S146" s="5"/>
      <c r="T146" s="5"/>
      <c r="U146" s="5"/>
      <c r="V146" s="5"/>
    </row>
    <row r="147" spans="1:22" ht="15.75" thickBot="1" x14ac:dyDescent="0.3">
      <c r="A147" s="5"/>
      <c r="B147" s="5"/>
      <c r="C147" s="5"/>
      <c r="D147" s="5"/>
      <c r="E147" s="5"/>
      <c r="F147" s="327">
        <v>-2</v>
      </c>
      <c r="G147" s="439" t="s">
        <v>369</v>
      </c>
      <c r="H147" s="440">
        <v>12.5</v>
      </c>
      <c r="I147" s="441" t="s">
        <v>7</v>
      </c>
      <c r="J147" s="5"/>
      <c r="K147" s="692" t="s">
        <v>142</v>
      </c>
      <c r="L147" s="693"/>
      <c r="M147" s="290">
        <f>M7+M9+M11+M13+M15+M17+M19+M21+M23+M25+M27+M29+M31+M33+M35+M37+M39+M41+M43+M45+M47+M49+M51+M53+M55+M57+M59+M61+M63+M65+M67+M69+M71+M73+M75+M77+M79+M81+M83+M85+M87+M89+M91+M93+M95+M97+M99+M101+M103+M105+M107+M109+M111+M113+M115+M117+M119+M121+M123+M125+M127+M129+M131+M133+M135+M137+M139+M141+M143</f>
        <v>325.49999999999994</v>
      </c>
      <c r="N147" s="27"/>
      <c r="O147" s="5"/>
      <c r="P147" s="5"/>
      <c r="Q147" s="5"/>
      <c r="R147" s="5"/>
      <c r="S147" s="5"/>
      <c r="T147" s="5"/>
      <c r="U147" s="5"/>
      <c r="V147" s="5"/>
    </row>
    <row r="148" spans="1:22" ht="15.75" thickBot="1" x14ac:dyDescent="0.3">
      <c r="A148" s="5"/>
      <c r="B148" s="5"/>
      <c r="C148" s="5"/>
      <c r="D148" s="5"/>
      <c r="E148" s="5"/>
      <c r="F148" s="327">
        <v>-2</v>
      </c>
      <c r="G148" s="439" t="s">
        <v>370</v>
      </c>
      <c r="H148" s="440">
        <v>12.5</v>
      </c>
      <c r="I148" s="441" t="s">
        <v>7</v>
      </c>
      <c r="J148" s="5"/>
      <c r="K148" s="696" t="s">
        <v>518</v>
      </c>
      <c r="L148" s="693"/>
      <c r="M148" s="290">
        <f>M8+M10+M12+M14+M16+M18+M20+M22+M24+M26+M28+M30+M32+M34+M36+M38+M40+M42+M44+M46+M48+M50+M52+M54+M56+M58+M60+M62+M64+M66+M68+M70+M72+M74+M76+M78+M80+M82+M84+M86+M88+M90+M92+M94+M96+M98+M100+M102+M104+M106+M108+M110+M112+M114+M116+M118+M120+M122+M124+M126+M128+M130+M132+M134+M136+M138+M140+M142+M144</f>
        <v>960.29999999999984</v>
      </c>
      <c r="N148" s="30"/>
      <c r="O148" s="5"/>
      <c r="P148" s="5"/>
      <c r="Q148" s="5"/>
      <c r="R148" s="5"/>
      <c r="S148" s="5"/>
      <c r="T148" s="5"/>
      <c r="U148" s="5"/>
      <c r="V148" s="5"/>
    </row>
    <row r="149" spans="1:22" x14ac:dyDescent="0.2">
      <c r="A149" s="5"/>
      <c r="B149" s="5"/>
      <c r="C149" s="5"/>
      <c r="D149" s="5"/>
      <c r="E149" s="5"/>
      <c r="F149" s="327">
        <v>-2</v>
      </c>
      <c r="G149" s="439" t="s">
        <v>473</v>
      </c>
      <c r="H149" s="440">
        <v>12.5</v>
      </c>
      <c r="I149" s="441" t="s">
        <v>7</v>
      </c>
      <c r="J149" s="5"/>
      <c r="K149" s="697"/>
      <c r="L149" s="27"/>
      <c r="M149" s="29"/>
      <c r="N149" s="27"/>
      <c r="O149" s="5"/>
      <c r="P149" s="5"/>
      <c r="Q149" s="5"/>
      <c r="R149" s="5"/>
      <c r="S149" s="5"/>
      <c r="T149" s="5"/>
      <c r="U149" s="5"/>
      <c r="V149" s="5"/>
    </row>
    <row r="150" spans="1:22" ht="13.5" thickBot="1" x14ac:dyDescent="0.25">
      <c r="A150" s="5"/>
      <c r="B150" s="5"/>
      <c r="C150" s="5"/>
      <c r="D150" s="5"/>
      <c r="E150" s="2"/>
      <c r="F150" s="327">
        <v>-2</v>
      </c>
      <c r="G150" s="439" t="s">
        <v>477</v>
      </c>
      <c r="H150" s="440">
        <v>12.5</v>
      </c>
      <c r="I150" s="441" t="s">
        <v>7</v>
      </c>
      <c r="J150" s="5"/>
      <c r="K150" s="697"/>
      <c r="L150" s="25"/>
      <c r="M150" s="26"/>
      <c r="N150" s="30"/>
      <c r="O150" s="5"/>
      <c r="P150" s="5"/>
      <c r="Q150" s="5"/>
      <c r="R150" s="5"/>
      <c r="S150" s="5"/>
      <c r="T150" s="5"/>
      <c r="U150" s="5"/>
      <c r="V150" s="5"/>
    </row>
    <row r="151" spans="1:22" ht="15.75" thickBot="1" x14ac:dyDescent="0.3">
      <c r="A151" s="5"/>
      <c r="B151" s="5"/>
      <c r="C151" s="5"/>
      <c r="D151" s="5"/>
      <c r="E151" s="5"/>
      <c r="F151" s="327">
        <v>-2</v>
      </c>
      <c r="G151" s="439" t="s">
        <v>386</v>
      </c>
      <c r="H151" s="440">
        <v>15.86</v>
      </c>
      <c r="I151" s="441" t="s">
        <v>7</v>
      </c>
      <c r="J151" s="5"/>
      <c r="K151" s="696" t="s">
        <v>525</v>
      </c>
      <c r="L151" s="693"/>
      <c r="M151" s="502">
        <f>COUNT(K7:K42)</f>
        <v>18</v>
      </c>
      <c r="N151" s="27"/>
      <c r="O151" s="5"/>
      <c r="P151" s="5"/>
      <c r="Q151" s="5"/>
      <c r="R151" s="5"/>
      <c r="S151" s="5"/>
      <c r="T151" s="5"/>
      <c r="U151" s="5"/>
      <c r="V151" s="5"/>
    </row>
    <row r="152" spans="1:22" ht="13.5" thickBot="1" x14ac:dyDescent="0.25">
      <c r="A152" s="5"/>
      <c r="B152" s="5"/>
      <c r="C152" s="5"/>
      <c r="D152" s="5"/>
      <c r="E152" s="5"/>
      <c r="F152" s="327">
        <v>-2</v>
      </c>
      <c r="G152" s="439" t="s">
        <v>387</v>
      </c>
      <c r="H152" s="440">
        <v>12.5</v>
      </c>
      <c r="I152" s="441" t="s">
        <v>7</v>
      </c>
      <c r="J152" s="5"/>
      <c r="K152" s="501"/>
      <c r="L152" s="25"/>
      <c r="M152" s="26"/>
      <c r="N152" s="30"/>
      <c r="O152" s="5"/>
      <c r="P152" s="5"/>
      <c r="Q152" s="5"/>
      <c r="R152" s="5"/>
      <c r="S152" s="5"/>
      <c r="T152" s="5"/>
      <c r="U152" s="5"/>
      <c r="V152" s="5"/>
    </row>
    <row r="153" spans="1:22" ht="15.75" thickBot="1" x14ac:dyDescent="0.3">
      <c r="A153" s="5"/>
      <c r="B153" s="5"/>
      <c r="C153" s="5"/>
      <c r="D153" s="5"/>
      <c r="E153" s="5"/>
      <c r="F153" s="327">
        <v>-2</v>
      </c>
      <c r="G153" s="439" t="s">
        <v>388</v>
      </c>
      <c r="H153" s="440">
        <v>12.5</v>
      </c>
      <c r="I153" s="441" t="s">
        <v>7</v>
      </c>
      <c r="J153" s="5"/>
      <c r="K153" s="696" t="s">
        <v>526</v>
      </c>
      <c r="L153" s="693"/>
      <c r="M153" s="502">
        <f>COUNT(K43:K90)</f>
        <v>24</v>
      </c>
      <c r="N153" s="27"/>
      <c r="O153" s="5"/>
      <c r="P153" s="5"/>
      <c r="Q153" s="5"/>
      <c r="R153" s="5"/>
      <c r="S153" s="5"/>
      <c r="T153" s="5"/>
      <c r="U153" s="5"/>
      <c r="V153" s="5"/>
    </row>
    <row r="154" spans="1:22" ht="13.5" thickBot="1" x14ac:dyDescent="0.25">
      <c r="A154" s="5"/>
      <c r="B154" s="5"/>
      <c r="C154" s="5"/>
      <c r="D154" s="5"/>
      <c r="E154" s="5"/>
      <c r="F154" s="327">
        <v>-2</v>
      </c>
      <c r="G154" s="439" t="s">
        <v>389</v>
      </c>
      <c r="H154" s="440">
        <v>12.42</v>
      </c>
      <c r="I154" s="441" t="s">
        <v>7</v>
      </c>
      <c r="J154" s="5"/>
      <c r="K154" s="501"/>
      <c r="L154" s="25"/>
      <c r="M154" s="26"/>
      <c r="N154" s="30"/>
      <c r="O154" s="5"/>
      <c r="P154" s="5"/>
      <c r="Q154" s="5"/>
      <c r="R154" s="5"/>
      <c r="S154" s="5"/>
      <c r="T154" s="5"/>
      <c r="U154" s="5"/>
      <c r="V154" s="5"/>
    </row>
    <row r="155" spans="1:22" ht="15.75" thickBot="1" x14ac:dyDescent="0.3">
      <c r="A155" s="5"/>
      <c r="B155" s="5"/>
      <c r="C155" s="5"/>
      <c r="D155" s="5"/>
      <c r="E155" s="5"/>
      <c r="F155" s="327">
        <v>-2</v>
      </c>
      <c r="G155" s="439" t="s">
        <v>390</v>
      </c>
      <c r="H155" s="440">
        <v>12.42</v>
      </c>
      <c r="I155" s="441" t="s">
        <v>7</v>
      </c>
      <c r="J155" s="5"/>
      <c r="K155" s="696" t="s">
        <v>527</v>
      </c>
      <c r="L155" s="693"/>
      <c r="M155" s="502">
        <f>COUNT(K91:K144)</f>
        <v>27</v>
      </c>
      <c r="N155" s="27"/>
      <c r="O155" s="5"/>
      <c r="P155" s="5"/>
      <c r="Q155" s="5"/>
      <c r="R155" s="5"/>
      <c r="S155" s="5"/>
      <c r="T155" s="5"/>
      <c r="U155" s="5"/>
      <c r="V155" s="5"/>
    </row>
    <row r="156" spans="1:22" x14ac:dyDescent="0.2">
      <c r="A156" s="5"/>
      <c r="B156" s="5"/>
      <c r="C156" s="5"/>
      <c r="D156" s="5"/>
      <c r="E156" s="2"/>
      <c r="F156" s="327">
        <v>-2</v>
      </c>
      <c r="G156" s="439" t="s">
        <v>391</v>
      </c>
      <c r="H156" s="440">
        <v>12.5</v>
      </c>
      <c r="I156" s="441" t="s">
        <v>7</v>
      </c>
      <c r="J156" s="5"/>
      <c r="K156" s="501"/>
      <c r="L156" s="25"/>
      <c r="M156" s="26"/>
      <c r="N156" s="30"/>
      <c r="O156" s="5"/>
      <c r="P156" s="5"/>
      <c r="Q156" s="5"/>
      <c r="R156" s="5"/>
      <c r="S156" s="5"/>
      <c r="T156" s="5"/>
      <c r="U156" s="5"/>
      <c r="V156" s="5"/>
    </row>
    <row r="157" spans="1:22" x14ac:dyDescent="0.2">
      <c r="A157" s="5"/>
      <c r="B157" s="5"/>
      <c r="C157" s="5"/>
      <c r="D157" s="5"/>
      <c r="E157" s="5"/>
      <c r="F157" s="327">
        <v>-2</v>
      </c>
      <c r="G157" s="439" t="s">
        <v>392</v>
      </c>
      <c r="H157" s="440">
        <v>12.42</v>
      </c>
      <c r="I157" s="441" t="s">
        <v>7</v>
      </c>
      <c r="J157" s="5"/>
      <c r="K157" s="697"/>
      <c r="L157" s="27"/>
      <c r="M157" s="29"/>
      <c r="N157" s="27"/>
      <c r="O157" s="5"/>
      <c r="P157" s="5"/>
      <c r="Q157" s="5"/>
      <c r="R157" s="5"/>
      <c r="S157" s="5"/>
      <c r="T157" s="5"/>
      <c r="U157" s="5"/>
      <c r="V157" s="5"/>
    </row>
    <row r="158" spans="1:22" x14ac:dyDescent="0.2">
      <c r="A158" s="5"/>
      <c r="B158" s="5"/>
      <c r="C158" s="5"/>
      <c r="D158" s="5"/>
      <c r="E158" s="5"/>
      <c r="F158" s="327">
        <v>-2</v>
      </c>
      <c r="G158" s="439" t="s">
        <v>393</v>
      </c>
      <c r="H158" s="440">
        <v>12.42</v>
      </c>
      <c r="I158" s="441" t="s">
        <v>7</v>
      </c>
      <c r="J158" s="5"/>
      <c r="K158" s="697"/>
      <c r="L158" s="25"/>
      <c r="M158" s="26"/>
      <c r="N158" s="30"/>
      <c r="O158" s="5"/>
      <c r="P158" s="5"/>
      <c r="Q158" s="5"/>
      <c r="R158" s="5"/>
      <c r="S158" s="5"/>
      <c r="T158" s="5"/>
      <c r="U158" s="5"/>
      <c r="V158" s="5"/>
    </row>
    <row r="159" spans="1:22" x14ac:dyDescent="0.2">
      <c r="A159" s="5"/>
      <c r="B159" s="5"/>
      <c r="C159" s="5"/>
      <c r="D159" s="5"/>
      <c r="E159" s="5"/>
      <c r="F159" s="327">
        <v>-2</v>
      </c>
      <c r="G159" s="439" t="s">
        <v>394</v>
      </c>
      <c r="H159" s="440">
        <v>12.5</v>
      </c>
      <c r="I159" s="441" t="s">
        <v>7</v>
      </c>
      <c r="J159" s="5"/>
      <c r="K159" s="697"/>
      <c r="L159" s="27"/>
      <c r="M159" s="29"/>
      <c r="N159" s="27"/>
      <c r="O159" s="5"/>
      <c r="P159" s="5"/>
      <c r="Q159" s="5"/>
      <c r="R159" s="5"/>
      <c r="S159" s="5"/>
      <c r="T159" s="5"/>
      <c r="U159" s="5"/>
      <c r="V159" s="5"/>
    </row>
    <row r="160" spans="1:22" x14ac:dyDescent="0.2">
      <c r="A160" s="5"/>
      <c r="B160" s="5"/>
      <c r="C160" s="5"/>
      <c r="D160" s="5"/>
      <c r="E160" s="5"/>
      <c r="F160" s="327">
        <v>-2</v>
      </c>
      <c r="G160" s="439" t="s">
        <v>395</v>
      </c>
      <c r="H160" s="440">
        <v>12.42</v>
      </c>
      <c r="I160" s="441" t="s">
        <v>7</v>
      </c>
      <c r="J160" s="5"/>
      <c r="K160" s="697"/>
      <c r="L160" s="25"/>
      <c r="M160" s="26"/>
      <c r="N160" s="30"/>
      <c r="O160" s="5"/>
      <c r="P160" s="5"/>
      <c r="Q160" s="5"/>
      <c r="R160" s="5"/>
      <c r="S160" s="5"/>
      <c r="T160" s="5"/>
      <c r="U160" s="5"/>
      <c r="V160" s="5"/>
    </row>
    <row r="161" spans="1:22" x14ac:dyDescent="0.2">
      <c r="A161" s="5"/>
      <c r="B161" s="5"/>
      <c r="C161" s="5"/>
      <c r="D161" s="5"/>
      <c r="E161" s="5"/>
      <c r="F161" s="327">
        <v>-2</v>
      </c>
      <c r="G161" s="439" t="s">
        <v>396</v>
      </c>
      <c r="H161" s="440">
        <v>12.42</v>
      </c>
      <c r="I161" s="441" t="s">
        <v>7</v>
      </c>
      <c r="J161" s="5"/>
      <c r="K161" s="697"/>
      <c r="L161" s="27"/>
      <c r="M161" s="29"/>
      <c r="N161" s="27"/>
      <c r="O161" s="5"/>
      <c r="P161" s="5"/>
      <c r="Q161" s="5"/>
      <c r="R161" s="5"/>
      <c r="S161" s="5"/>
      <c r="T161" s="5"/>
      <c r="U161" s="5"/>
      <c r="V161" s="5"/>
    </row>
    <row r="162" spans="1:22" x14ac:dyDescent="0.2">
      <c r="A162" s="5"/>
      <c r="B162" s="5"/>
      <c r="C162" s="5"/>
      <c r="D162" s="5"/>
      <c r="E162" s="5"/>
      <c r="F162" s="327">
        <v>-2</v>
      </c>
      <c r="G162" s="439" t="s">
        <v>397</v>
      </c>
      <c r="H162" s="440">
        <v>12.5</v>
      </c>
      <c r="I162" s="441" t="s">
        <v>7</v>
      </c>
      <c r="J162" s="5"/>
      <c r="K162" s="697"/>
      <c r="L162" s="25"/>
      <c r="M162" s="26"/>
      <c r="N162" s="30"/>
      <c r="O162" s="5"/>
      <c r="P162" s="5"/>
      <c r="Q162" s="5"/>
      <c r="R162" s="5"/>
      <c r="S162" s="5"/>
      <c r="T162" s="5"/>
      <c r="U162" s="5"/>
      <c r="V162" s="5"/>
    </row>
    <row r="163" spans="1:22" x14ac:dyDescent="0.2">
      <c r="A163" s="5"/>
      <c r="B163" s="5"/>
      <c r="C163" s="5"/>
      <c r="D163" s="5"/>
      <c r="E163" s="2"/>
      <c r="F163" s="327">
        <v>-2</v>
      </c>
      <c r="G163" s="439" t="s">
        <v>398</v>
      </c>
      <c r="H163" s="440">
        <v>12.42</v>
      </c>
      <c r="I163" s="441" t="s">
        <v>7</v>
      </c>
      <c r="J163" s="5"/>
      <c r="K163" s="697"/>
      <c r="L163" s="27"/>
      <c r="M163" s="29"/>
      <c r="N163" s="27"/>
      <c r="O163" s="5"/>
      <c r="P163" s="5"/>
      <c r="Q163" s="5"/>
      <c r="R163" s="5"/>
      <c r="S163" s="5"/>
      <c r="T163" s="5"/>
      <c r="U163" s="5"/>
      <c r="V163" s="5"/>
    </row>
    <row r="164" spans="1:22" x14ac:dyDescent="0.2">
      <c r="A164" s="5"/>
      <c r="B164" s="5"/>
      <c r="C164" s="5"/>
      <c r="D164" s="2"/>
      <c r="E164" s="5"/>
      <c r="F164" s="327">
        <v>-2</v>
      </c>
      <c r="G164" s="439" t="s">
        <v>399</v>
      </c>
      <c r="H164" s="440">
        <v>12.42</v>
      </c>
      <c r="I164" s="441" t="s">
        <v>7</v>
      </c>
      <c r="J164" s="5"/>
      <c r="K164" s="697"/>
      <c r="L164" s="25"/>
      <c r="M164" s="26"/>
      <c r="N164" s="30"/>
      <c r="O164" s="5"/>
      <c r="P164" s="5"/>
      <c r="Q164" s="5"/>
      <c r="R164" s="5"/>
      <c r="S164" s="5"/>
      <c r="T164" s="5"/>
      <c r="U164" s="5"/>
      <c r="V164" s="5"/>
    </row>
    <row r="165" spans="1:22" x14ac:dyDescent="0.2">
      <c r="A165" s="5"/>
      <c r="B165" s="5"/>
      <c r="C165" s="5"/>
      <c r="D165" s="5"/>
      <c r="E165" s="5"/>
      <c r="F165" s="327">
        <v>-2</v>
      </c>
      <c r="G165" s="439" t="s">
        <v>400</v>
      </c>
      <c r="H165" s="440">
        <v>12.5</v>
      </c>
      <c r="I165" s="441" t="s">
        <v>7</v>
      </c>
      <c r="J165" s="5"/>
      <c r="K165" s="697"/>
      <c r="L165" s="27"/>
      <c r="M165" s="29"/>
      <c r="N165" s="27"/>
      <c r="O165" s="5"/>
      <c r="P165" s="5"/>
      <c r="Q165" s="5"/>
      <c r="R165" s="5"/>
      <c r="S165" s="5"/>
      <c r="T165" s="5"/>
      <c r="U165" s="5"/>
      <c r="V165" s="5"/>
    </row>
    <row r="166" spans="1:22" x14ac:dyDescent="0.2">
      <c r="A166" s="5"/>
      <c r="B166" s="5"/>
      <c r="C166" s="5"/>
      <c r="D166" s="2"/>
      <c r="E166" s="5"/>
      <c r="F166" s="327">
        <v>-2</v>
      </c>
      <c r="G166" s="439" t="s">
        <v>401</v>
      </c>
      <c r="H166" s="440">
        <v>12.42</v>
      </c>
      <c r="I166" s="441" t="s">
        <v>7</v>
      </c>
      <c r="J166" s="5"/>
      <c r="K166" s="697"/>
      <c r="L166" s="25"/>
      <c r="M166" s="26"/>
      <c r="N166" s="30"/>
      <c r="O166" s="5"/>
      <c r="P166" s="5"/>
      <c r="Q166" s="5"/>
      <c r="R166" s="5"/>
      <c r="S166" s="5"/>
      <c r="T166" s="5"/>
      <c r="U166" s="5"/>
      <c r="V166" s="5"/>
    </row>
    <row r="167" spans="1:22" x14ac:dyDescent="0.2">
      <c r="A167" s="5"/>
      <c r="B167" s="5"/>
      <c r="C167" s="5"/>
      <c r="D167" s="5"/>
      <c r="E167" s="5"/>
      <c r="F167" s="327">
        <v>-2</v>
      </c>
      <c r="G167" s="439" t="s">
        <v>402</v>
      </c>
      <c r="H167" s="440">
        <v>12.42</v>
      </c>
      <c r="I167" s="441" t="s">
        <v>7</v>
      </c>
      <c r="J167" s="5"/>
      <c r="K167" s="697"/>
      <c r="L167" s="27"/>
      <c r="M167" s="29"/>
      <c r="N167" s="27"/>
      <c r="O167" s="5"/>
      <c r="P167" s="5"/>
      <c r="Q167" s="5"/>
      <c r="R167" s="5"/>
      <c r="S167" s="5"/>
      <c r="T167" s="5"/>
      <c r="U167" s="5"/>
      <c r="V167" s="5"/>
    </row>
    <row r="168" spans="1:22" x14ac:dyDescent="0.2">
      <c r="A168" s="5"/>
      <c r="B168" s="5"/>
      <c r="C168" s="5"/>
      <c r="D168" s="5"/>
      <c r="E168" s="2"/>
      <c r="F168" s="327">
        <v>-2</v>
      </c>
      <c r="G168" s="439" t="s">
        <v>403</v>
      </c>
      <c r="H168" s="440">
        <v>12.5</v>
      </c>
      <c r="I168" s="441" t="s">
        <v>7</v>
      </c>
      <c r="J168" s="5"/>
      <c r="K168" s="697"/>
      <c r="L168" s="25"/>
      <c r="M168" s="26"/>
      <c r="N168" s="30"/>
      <c r="O168" s="5"/>
      <c r="P168" s="5"/>
      <c r="Q168" s="5"/>
      <c r="R168" s="5"/>
      <c r="S168" s="5"/>
      <c r="T168" s="5"/>
      <c r="U168" s="5"/>
      <c r="V168" s="5"/>
    </row>
    <row r="169" spans="1:22" x14ac:dyDescent="0.2">
      <c r="A169" s="5"/>
      <c r="B169" s="5"/>
      <c r="C169" s="5"/>
      <c r="D169" s="5"/>
      <c r="E169" s="2"/>
      <c r="F169" s="327">
        <v>-2</v>
      </c>
      <c r="G169" s="439" t="s">
        <v>404</v>
      </c>
      <c r="H169" s="440">
        <v>12.42</v>
      </c>
      <c r="I169" s="441" t="s">
        <v>7</v>
      </c>
      <c r="J169" s="5"/>
      <c r="K169" s="697"/>
      <c r="L169" s="27"/>
      <c r="M169" s="29"/>
      <c r="N169" s="27"/>
      <c r="O169" s="5"/>
      <c r="P169" s="5"/>
      <c r="Q169" s="5"/>
      <c r="R169" s="5"/>
      <c r="S169" s="5"/>
      <c r="T169" s="5"/>
      <c r="U169" s="5"/>
      <c r="V169" s="5"/>
    </row>
    <row r="170" spans="1:22" x14ac:dyDescent="0.2">
      <c r="A170" s="5"/>
      <c r="B170" s="5"/>
      <c r="C170" s="5"/>
      <c r="D170" s="5"/>
      <c r="E170" s="5"/>
      <c r="F170" s="327">
        <v>-2</v>
      </c>
      <c r="G170" s="439" t="s">
        <v>405</v>
      </c>
      <c r="H170" s="440">
        <v>12.42</v>
      </c>
      <c r="I170" s="441" t="s">
        <v>7</v>
      </c>
      <c r="J170" s="5"/>
      <c r="K170" s="697"/>
      <c r="L170" s="25"/>
      <c r="M170" s="26"/>
      <c r="N170" s="30"/>
      <c r="O170" s="5"/>
      <c r="P170" s="5"/>
      <c r="Q170" s="5"/>
      <c r="R170" s="5"/>
      <c r="S170" s="5"/>
      <c r="T170" s="5"/>
      <c r="U170" s="5"/>
      <c r="V170" s="5"/>
    </row>
    <row r="171" spans="1:22" x14ac:dyDescent="0.2">
      <c r="A171" s="5"/>
      <c r="B171" s="5"/>
      <c r="C171" s="5"/>
      <c r="D171" s="5"/>
      <c r="E171" s="5"/>
      <c r="F171" s="327">
        <v>-2</v>
      </c>
      <c r="G171" s="439" t="s">
        <v>406</v>
      </c>
      <c r="H171" s="440">
        <v>12.5</v>
      </c>
      <c r="I171" s="441" t="s">
        <v>7</v>
      </c>
      <c r="J171" s="5"/>
      <c r="K171" s="697"/>
      <c r="L171" s="27"/>
      <c r="M171" s="29"/>
      <c r="N171" s="27"/>
      <c r="O171" s="5"/>
      <c r="P171" s="5"/>
      <c r="Q171" s="5"/>
      <c r="R171" s="5"/>
      <c r="S171" s="5"/>
      <c r="T171" s="5"/>
      <c r="U171" s="5"/>
      <c r="V171" s="5"/>
    </row>
    <row r="172" spans="1:22" x14ac:dyDescent="0.2">
      <c r="A172" s="5"/>
      <c r="B172" s="5"/>
      <c r="C172" s="5"/>
      <c r="D172" s="2"/>
      <c r="E172" s="2"/>
      <c r="F172" s="327">
        <v>-2</v>
      </c>
      <c r="G172" s="439" t="s">
        <v>407</v>
      </c>
      <c r="H172" s="440">
        <v>12.42</v>
      </c>
      <c r="I172" s="441" t="s">
        <v>7</v>
      </c>
      <c r="J172" s="5"/>
      <c r="K172" s="697"/>
      <c r="L172" s="25"/>
      <c r="M172" s="26"/>
      <c r="N172" s="30"/>
      <c r="O172" s="5"/>
      <c r="P172" s="5"/>
      <c r="Q172" s="5"/>
      <c r="R172" s="5"/>
      <c r="S172" s="5"/>
      <c r="T172" s="5"/>
      <c r="U172" s="5"/>
      <c r="V172" s="5"/>
    </row>
    <row r="173" spans="1:22" x14ac:dyDescent="0.2">
      <c r="A173" s="5"/>
      <c r="B173" s="5"/>
      <c r="C173" s="5"/>
      <c r="D173" s="5"/>
      <c r="E173" s="2"/>
      <c r="F173" s="327">
        <v>-2</v>
      </c>
      <c r="G173" s="439" t="s">
        <v>408</v>
      </c>
      <c r="H173" s="440">
        <v>12.42</v>
      </c>
      <c r="I173" s="441" t="s">
        <v>7</v>
      </c>
      <c r="J173" s="5"/>
      <c r="K173" s="697"/>
      <c r="L173" s="27"/>
      <c r="M173" s="31"/>
      <c r="N173" s="27"/>
      <c r="O173" s="5"/>
      <c r="P173" s="5"/>
      <c r="Q173" s="5"/>
      <c r="R173" s="5"/>
      <c r="S173" s="5"/>
      <c r="T173" s="5"/>
      <c r="U173" s="5"/>
      <c r="V173" s="5"/>
    </row>
    <row r="174" spans="1:22" ht="13.5" thickBot="1" x14ac:dyDescent="0.25">
      <c r="A174" s="5"/>
      <c r="B174" s="5"/>
      <c r="C174" s="5"/>
      <c r="D174" s="2"/>
      <c r="E174" s="2"/>
      <c r="F174" s="334">
        <v>-2</v>
      </c>
      <c r="G174" s="443" t="s">
        <v>409</v>
      </c>
      <c r="H174" s="444">
        <v>12.5</v>
      </c>
      <c r="I174" s="445" t="s">
        <v>7</v>
      </c>
      <c r="J174" s="5"/>
      <c r="K174" s="697"/>
      <c r="L174" s="25"/>
      <c r="M174" s="26"/>
      <c r="N174" s="30"/>
      <c r="O174" s="5"/>
      <c r="P174" s="5"/>
      <c r="Q174" s="5"/>
      <c r="R174" s="5"/>
      <c r="S174" s="5"/>
      <c r="T174" s="5"/>
      <c r="U174" s="5"/>
      <c r="V174" s="5"/>
    </row>
    <row r="175" spans="1:22" x14ac:dyDescent="0.2">
      <c r="A175" s="5"/>
      <c r="B175" s="5"/>
      <c r="C175" s="5"/>
      <c r="D175" s="6"/>
      <c r="E175" s="2"/>
      <c r="F175" s="548">
        <v>-3</v>
      </c>
      <c r="G175" s="357" t="s">
        <v>615</v>
      </c>
      <c r="H175" s="549">
        <v>20.34</v>
      </c>
      <c r="I175" s="550" t="s">
        <v>7</v>
      </c>
      <c r="J175" s="5"/>
      <c r="K175" s="697"/>
      <c r="L175" s="27"/>
      <c r="M175" s="31"/>
      <c r="N175" s="27"/>
      <c r="O175" s="5"/>
      <c r="P175" s="5"/>
      <c r="Q175" s="5"/>
      <c r="R175" s="5"/>
      <c r="S175" s="5"/>
      <c r="T175" s="5"/>
      <c r="U175" s="5"/>
      <c r="V175" s="5"/>
    </row>
    <row r="176" spans="1:22" x14ac:dyDescent="0.2">
      <c r="A176" s="5"/>
      <c r="B176" s="5"/>
      <c r="C176" s="5"/>
      <c r="D176" s="6"/>
      <c r="E176" s="2"/>
      <c r="F176" s="340">
        <v>-3</v>
      </c>
      <c r="G176" s="360" t="s">
        <v>616</v>
      </c>
      <c r="H176" s="361">
        <v>15.48</v>
      </c>
      <c r="I176" s="365" t="s">
        <v>7</v>
      </c>
      <c r="J176" s="5"/>
      <c r="K176" s="697"/>
      <c r="L176" s="25"/>
      <c r="M176" s="26"/>
      <c r="N176" s="30"/>
      <c r="O176" s="5"/>
      <c r="P176" s="5"/>
      <c r="Q176" s="5"/>
      <c r="R176" s="5"/>
      <c r="S176" s="5"/>
      <c r="T176" s="5"/>
      <c r="U176" s="5"/>
      <c r="V176" s="5"/>
    </row>
    <row r="177" spans="1:22" x14ac:dyDescent="0.2">
      <c r="A177" s="5"/>
      <c r="B177" s="5"/>
      <c r="C177" s="5"/>
      <c r="D177" s="6"/>
      <c r="E177" s="2"/>
      <c r="F177" s="340">
        <v>-3</v>
      </c>
      <c r="G177" s="360" t="s">
        <v>617</v>
      </c>
      <c r="H177" s="361">
        <v>14.55</v>
      </c>
      <c r="I177" s="436" t="s">
        <v>7</v>
      </c>
      <c r="J177" s="5"/>
      <c r="K177" s="697"/>
      <c r="L177" s="27"/>
      <c r="M177" s="29"/>
      <c r="N177" s="27"/>
      <c r="O177" s="5"/>
      <c r="P177" s="5"/>
      <c r="Q177" s="5"/>
      <c r="R177" s="5"/>
      <c r="S177" s="5"/>
      <c r="T177" s="5"/>
      <c r="U177" s="5"/>
      <c r="V177" s="5"/>
    </row>
    <row r="178" spans="1:22" x14ac:dyDescent="0.2">
      <c r="A178" s="5"/>
      <c r="B178" s="5"/>
      <c r="C178" s="5"/>
      <c r="D178" s="2"/>
      <c r="E178" s="2"/>
      <c r="F178" s="340">
        <v>-3</v>
      </c>
      <c r="G178" s="360" t="s">
        <v>618</v>
      </c>
      <c r="H178" s="361">
        <v>14.55</v>
      </c>
      <c r="I178" s="365" t="s">
        <v>7</v>
      </c>
      <c r="J178" s="5"/>
      <c r="K178" s="697"/>
      <c r="L178" s="25"/>
      <c r="M178" s="26"/>
      <c r="N178" s="30"/>
      <c r="O178" s="5"/>
      <c r="P178" s="5"/>
      <c r="Q178" s="5"/>
      <c r="R178" s="5"/>
      <c r="S178" s="5"/>
      <c r="T178" s="5"/>
      <c r="U178" s="5"/>
      <c r="V178" s="5"/>
    </row>
    <row r="179" spans="1:22" x14ac:dyDescent="0.2">
      <c r="A179" s="5"/>
      <c r="B179" s="5"/>
      <c r="C179" s="5"/>
      <c r="D179" s="2"/>
      <c r="E179" s="2"/>
      <c r="F179" s="340">
        <v>-3</v>
      </c>
      <c r="G179" s="360" t="s">
        <v>619</v>
      </c>
      <c r="H179" s="361">
        <v>19.52</v>
      </c>
      <c r="I179" s="365" t="s">
        <v>7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x14ac:dyDescent="0.2">
      <c r="A180" s="5"/>
      <c r="B180" s="5"/>
      <c r="C180" s="5"/>
      <c r="D180" s="5"/>
      <c r="E180" s="2"/>
      <c r="F180" s="340">
        <v>-3</v>
      </c>
      <c r="G180" s="360" t="s">
        <v>620</v>
      </c>
      <c r="H180" s="361">
        <v>16.25</v>
      </c>
      <c r="I180" s="365" t="s">
        <v>7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x14ac:dyDescent="0.2">
      <c r="A181" s="5"/>
      <c r="B181" s="5"/>
      <c r="C181" s="5"/>
      <c r="D181" s="5"/>
      <c r="E181" s="2"/>
      <c r="F181" s="340">
        <v>-3</v>
      </c>
      <c r="G181" s="360" t="s">
        <v>621</v>
      </c>
      <c r="H181" s="361">
        <v>12.42</v>
      </c>
      <c r="I181" s="365" t="s">
        <v>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x14ac:dyDescent="0.2">
      <c r="A182" s="5"/>
      <c r="B182" s="5"/>
      <c r="C182" s="5"/>
      <c r="D182" s="5"/>
      <c r="E182" s="5"/>
      <c r="F182" s="340">
        <v>-3</v>
      </c>
      <c r="G182" s="360" t="s">
        <v>622</v>
      </c>
      <c r="H182" s="361">
        <v>12.42</v>
      </c>
      <c r="I182" s="365" t="s">
        <v>7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x14ac:dyDescent="0.2">
      <c r="A183" s="5"/>
      <c r="B183" s="5"/>
      <c r="C183" s="5"/>
      <c r="D183" s="5"/>
      <c r="E183" s="5"/>
      <c r="F183" s="340">
        <v>-3</v>
      </c>
      <c r="G183" s="360" t="s">
        <v>623</v>
      </c>
      <c r="H183" s="361">
        <v>12.5</v>
      </c>
      <c r="I183" s="365" t="s">
        <v>7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s="3" customFormat="1" x14ac:dyDescent="0.2">
      <c r="A184" s="5"/>
      <c r="B184" s="5"/>
      <c r="C184" s="5"/>
      <c r="D184" s="5"/>
      <c r="E184" s="5"/>
      <c r="F184" s="340">
        <v>-3</v>
      </c>
      <c r="G184" s="360" t="s">
        <v>624</v>
      </c>
      <c r="H184" s="361">
        <v>12.42</v>
      </c>
      <c r="I184" s="365" t="s">
        <v>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x14ac:dyDescent="0.2">
      <c r="A185" s="5"/>
      <c r="B185" s="5"/>
      <c r="C185" s="5"/>
      <c r="D185" s="5"/>
      <c r="E185" s="5"/>
      <c r="F185" s="340">
        <v>-3</v>
      </c>
      <c r="G185" s="360" t="s">
        <v>625</v>
      </c>
      <c r="H185" s="361">
        <v>12.42</v>
      </c>
      <c r="I185" s="365" t="s">
        <v>7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.5" thickBot="1" x14ac:dyDescent="0.25">
      <c r="A186" s="5"/>
      <c r="B186" s="5"/>
      <c r="C186" s="5"/>
      <c r="D186" s="5"/>
      <c r="E186" s="2"/>
      <c r="F186" s="346">
        <v>-3</v>
      </c>
      <c r="G186" s="363" t="s">
        <v>627</v>
      </c>
      <c r="H186" s="364">
        <v>12.56</v>
      </c>
      <c r="I186" s="366" t="s">
        <v>7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2">
      <c r="A187" s="5"/>
      <c r="B187" s="5"/>
      <c r="C187" s="5"/>
      <c r="D187" s="5"/>
      <c r="E187" s="5"/>
      <c r="I187" s="3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.5" thickBot="1" x14ac:dyDescent="0.25">
      <c r="A188" s="5"/>
      <c r="B188" s="5"/>
      <c r="C188" s="5"/>
      <c r="D188" s="5"/>
      <c r="E188" s="5"/>
      <c r="I188" s="3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thickBot="1" x14ac:dyDescent="0.3">
      <c r="A189" s="5"/>
      <c r="B189" s="5"/>
      <c r="C189" s="5"/>
      <c r="D189" s="2"/>
      <c r="E189" s="5"/>
      <c r="F189" s="696" t="s">
        <v>519</v>
      </c>
      <c r="G189" s="693"/>
      <c r="H189" s="290">
        <f>SUM(H7:H45)</f>
        <v>493</v>
      </c>
      <c r="I189" s="3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.5" thickBot="1" x14ac:dyDescent="0.25">
      <c r="A190" s="5"/>
      <c r="B190" s="5"/>
      <c r="C190" s="5"/>
      <c r="D190" s="5"/>
      <c r="E190" s="5"/>
      <c r="F190" s="33"/>
      <c r="G190" s="33"/>
      <c r="H190" s="33"/>
      <c r="I190" s="3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thickBot="1" x14ac:dyDescent="0.3">
      <c r="A191" s="5"/>
      <c r="B191" s="5"/>
      <c r="C191" s="5"/>
      <c r="D191" s="2"/>
      <c r="E191" s="5"/>
      <c r="F191" s="696" t="s">
        <v>520</v>
      </c>
      <c r="G191" s="693"/>
      <c r="H191" s="290">
        <f>SUM(H46:H174)</f>
        <v>1645.200000000001</v>
      </c>
      <c r="I191" s="3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.5" thickBot="1" x14ac:dyDescent="0.25">
      <c r="A192" s="5"/>
      <c r="B192" s="5"/>
      <c r="C192" s="5"/>
      <c r="D192" s="5"/>
      <c r="E192" s="2"/>
      <c r="F192" s="33"/>
      <c r="G192" s="33"/>
      <c r="H192" s="33"/>
      <c r="I192" s="3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thickBot="1" x14ac:dyDescent="0.3">
      <c r="A193" s="5"/>
      <c r="B193" s="5"/>
      <c r="C193" s="5"/>
      <c r="D193" s="5"/>
      <c r="E193" s="5"/>
      <c r="F193" s="696" t="s">
        <v>614</v>
      </c>
      <c r="G193" s="693"/>
      <c r="H193" s="290">
        <f>SUM(H175:H186)</f>
        <v>175.42999999999998</v>
      </c>
      <c r="I193" s="3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s="3" customFormat="1" x14ac:dyDescent="0.2">
      <c r="A194" s="5"/>
      <c r="B194" s="5"/>
      <c r="C194" s="5"/>
      <c r="D194" s="5"/>
      <c r="E194" s="5"/>
      <c r="F194" s="33"/>
      <c r="G194" s="33"/>
      <c r="H194" s="33"/>
      <c r="I194" s="3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s="3" customFormat="1" x14ac:dyDescent="0.2">
      <c r="A195" s="5"/>
      <c r="B195" s="5"/>
      <c r="C195" s="5"/>
      <c r="D195" s="5"/>
      <c r="E195" s="5"/>
      <c r="F195" s="33"/>
      <c r="G195" s="33"/>
      <c r="H195" s="33"/>
      <c r="I195" s="3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s="3" customFormat="1" x14ac:dyDescent="0.2">
      <c r="A196" s="5"/>
      <c r="B196" s="5"/>
      <c r="C196" s="5"/>
      <c r="D196" s="5"/>
      <c r="E196" s="5"/>
      <c r="F196" s="33"/>
      <c r="G196" s="33"/>
      <c r="H196" s="33"/>
      <c r="I196" s="3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s="3" customFormat="1" ht="13.5" thickBot="1" x14ac:dyDescent="0.25">
      <c r="A197" s="5"/>
      <c r="B197" s="5"/>
      <c r="C197" s="5"/>
      <c r="D197" s="2"/>
      <c r="E197" s="5"/>
      <c r="F197" s="33"/>
      <c r="G197" s="33"/>
      <c r="H197" s="33"/>
      <c r="I197" s="3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s="3" customFormat="1" ht="15.75" thickBot="1" x14ac:dyDescent="0.3">
      <c r="A198" s="5"/>
      <c r="B198" s="5"/>
      <c r="C198" s="5"/>
      <c r="D198" s="2"/>
      <c r="E198" s="5"/>
      <c r="F198" s="696" t="s">
        <v>528</v>
      </c>
      <c r="G198" s="693"/>
      <c r="H198" s="502">
        <f>COUNT(F7:F45)</f>
        <v>39</v>
      </c>
      <c r="I198" s="3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.5" thickBot="1" x14ac:dyDescent="0.25">
      <c r="A199" s="5"/>
      <c r="B199" s="5"/>
      <c r="C199" s="5"/>
      <c r="D199" s="5"/>
      <c r="E199" s="5"/>
      <c r="F199" s="33"/>
      <c r="G199" s="33"/>
      <c r="H199" s="33"/>
      <c r="I199" s="3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thickBot="1" x14ac:dyDescent="0.3">
      <c r="A200" s="5"/>
      <c r="B200" s="5"/>
      <c r="C200" s="5"/>
      <c r="D200" s="5"/>
      <c r="E200" s="5"/>
      <c r="F200" s="696" t="s">
        <v>529</v>
      </c>
      <c r="G200" s="693"/>
      <c r="H200" s="502">
        <f>SUM(F46:F78)</f>
        <v>33</v>
      </c>
      <c r="I200" s="3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.5" thickBot="1" x14ac:dyDescent="0.25">
      <c r="A201" s="5"/>
      <c r="B201" s="5"/>
      <c r="C201" s="5"/>
      <c r="D201" s="2"/>
      <c r="E201" s="5"/>
      <c r="I201" s="3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thickBot="1" x14ac:dyDescent="0.3">
      <c r="A202" s="5"/>
      <c r="B202" s="5"/>
      <c r="C202" s="5"/>
      <c r="D202" s="5"/>
      <c r="E202" s="5"/>
      <c r="F202" s="696" t="s">
        <v>530</v>
      </c>
      <c r="G202" s="693"/>
      <c r="H202" s="502">
        <f>COUNT(F79:F125)</f>
        <v>47</v>
      </c>
      <c r="I202" s="3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.5" thickBot="1" x14ac:dyDescent="0.25">
      <c r="A203" s="5"/>
      <c r="B203" s="5"/>
      <c r="C203" s="5"/>
      <c r="D203" s="2"/>
      <c r="E203" s="2"/>
      <c r="F203" s="33"/>
      <c r="G203" s="33"/>
      <c r="H203" s="33"/>
      <c r="I203" s="3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thickBot="1" x14ac:dyDescent="0.3">
      <c r="A204" s="5"/>
      <c r="B204" s="5"/>
      <c r="C204" s="5"/>
      <c r="D204" s="6"/>
      <c r="E204" s="5"/>
      <c r="F204" s="696" t="s">
        <v>531</v>
      </c>
      <c r="G204" s="693"/>
      <c r="H204" s="502">
        <f>COUNT(F126:F174)</f>
        <v>49</v>
      </c>
      <c r="I204" s="3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.5" thickBot="1" x14ac:dyDescent="0.25">
      <c r="A205" s="5"/>
      <c r="B205" s="5"/>
      <c r="C205" s="5"/>
      <c r="D205" s="6"/>
      <c r="E205" s="5"/>
      <c r="F205" s="33"/>
      <c r="G205" s="33"/>
      <c r="H205" s="33"/>
      <c r="I205" s="3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thickBot="1" x14ac:dyDescent="0.3">
      <c r="A206" s="5"/>
      <c r="B206" s="5"/>
      <c r="C206" s="5"/>
      <c r="D206" s="6"/>
      <c r="E206" s="5"/>
      <c r="F206" s="696" t="s">
        <v>628</v>
      </c>
      <c r="G206" s="693"/>
      <c r="H206" s="502">
        <f>COUNT(F175:F186)</f>
        <v>12</v>
      </c>
      <c r="I206" s="3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x14ac:dyDescent="0.2">
      <c r="A207" s="5"/>
      <c r="B207" s="5"/>
      <c r="C207" s="5"/>
      <c r="D207" s="2"/>
      <c r="E207" s="5"/>
      <c r="I207" s="3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2">
      <c r="A208" s="5"/>
      <c r="B208" s="5"/>
      <c r="C208" s="5"/>
      <c r="D208" s="2"/>
      <c r="E208" s="5"/>
      <c r="I208" s="3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.5" thickBot="1" x14ac:dyDescent="0.25">
      <c r="A209" s="5"/>
      <c r="B209" s="5"/>
      <c r="C209" s="5"/>
      <c r="D209" s="5"/>
      <c r="E209" s="5"/>
      <c r="I209" s="3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thickBot="1" x14ac:dyDescent="0.3">
      <c r="A210" s="5"/>
      <c r="B210" s="5"/>
      <c r="C210" s="5"/>
      <c r="D210" s="5"/>
      <c r="E210" s="5"/>
      <c r="F210" s="696" t="s">
        <v>519</v>
      </c>
      <c r="G210" s="693"/>
      <c r="H210" s="502">
        <f>SUM(H198)</f>
        <v>39</v>
      </c>
      <c r="I210" s="3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thickBot="1" x14ac:dyDescent="0.3">
      <c r="A211" s="5"/>
      <c r="B211" s="5"/>
      <c r="C211" s="5"/>
      <c r="D211" s="5"/>
      <c r="E211" s="5"/>
      <c r="F211" s="696" t="s">
        <v>520</v>
      </c>
      <c r="G211" s="693"/>
      <c r="H211" s="502">
        <f>SUM(H200:H204)</f>
        <v>129</v>
      </c>
      <c r="I211" s="3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thickBot="1" x14ac:dyDescent="0.3">
      <c r="A212" s="5"/>
      <c r="B212" s="5"/>
      <c r="C212" s="5"/>
      <c r="D212" s="5"/>
      <c r="E212" s="5"/>
      <c r="F212" s="696" t="s">
        <v>614</v>
      </c>
      <c r="G212" s="693"/>
      <c r="H212" s="502">
        <f>SUM(H206)</f>
        <v>12</v>
      </c>
      <c r="I212" s="3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x14ac:dyDescent="0.2">
      <c r="A213" s="5"/>
      <c r="B213" s="5"/>
      <c r="C213" s="5"/>
      <c r="D213" s="5"/>
      <c r="E213" s="5"/>
      <c r="I213" s="3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x14ac:dyDescent="0.2">
      <c r="A214" s="5"/>
      <c r="B214" s="5"/>
      <c r="C214" s="5"/>
      <c r="D214" s="5"/>
      <c r="E214" s="5"/>
      <c r="I214" s="3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x14ac:dyDescent="0.2">
      <c r="A215" s="5"/>
      <c r="B215" s="5"/>
      <c r="C215" s="5"/>
      <c r="D215" s="5"/>
      <c r="E215" s="5"/>
      <c r="I215" s="3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x14ac:dyDescent="0.2">
      <c r="A216" s="5"/>
      <c r="B216" s="5"/>
      <c r="C216" s="5"/>
      <c r="D216" s="5"/>
      <c r="E216" s="5"/>
      <c r="I216" s="3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x14ac:dyDescent="0.2">
      <c r="A217" s="5"/>
      <c r="B217" s="5"/>
      <c r="C217" s="5"/>
      <c r="D217" s="5"/>
      <c r="E217" s="5"/>
      <c r="I217" s="3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2">
      <c r="A218" s="5"/>
      <c r="B218" s="5"/>
      <c r="C218" s="5"/>
      <c r="D218" s="5"/>
      <c r="E218" s="5"/>
      <c r="I218" s="3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x14ac:dyDescent="0.2">
      <c r="A219" s="5"/>
      <c r="B219" s="5"/>
      <c r="C219" s="5"/>
      <c r="D219" s="5"/>
      <c r="E219" s="5"/>
      <c r="I219" s="3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x14ac:dyDescent="0.2">
      <c r="A220" s="5"/>
      <c r="B220" s="5"/>
      <c r="C220" s="5"/>
      <c r="D220" s="5"/>
      <c r="E220" s="5"/>
      <c r="I220" s="3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x14ac:dyDescent="0.2">
      <c r="A221" s="5"/>
      <c r="B221" s="5"/>
      <c r="C221" s="5"/>
      <c r="D221" s="5"/>
      <c r="E221" s="5"/>
      <c r="I221" s="3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x14ac:dyDescent="0.2">
      <c r="A222" s="5"/>
      <c r="B222" s="5"/>
      <c r="C222" s="5"/>
      <c r="D222" s="5"/>
      <c r="E222" s="5"/>
      <c r="I222" s="3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x14ac:dyDescent="0.2">
      <c r="A223" s="5"/>
      <c r="B223" s="5"/>
      <c r="C223" s="5"/>
      <c r="D223" s="5"/>
      <c r="E223" s="5"/>
      <c r="I223" s="3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x14ac:dyDescent="0.2">
      <c r="A224" s="5"/>
      <c r="B224" s="5"/>
      <c r="C224" s="5"/>
      <c r="D224" s="5"/>
      <c r="E224" s="5"/>
      <c r="I224" s="3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x14ac:dyDescent="0.2">
      <c r="A225" s="5"/>
      <c r="B225" s="5"/>
      <c r="C225" s="5"/>
      <c r="D225" s="5"/>
      <c r="E225" s="5"/>
      <c r="I225" s="3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x14ac:dyDescent="0.2">
      <c r="A226" s="5"/>
      <c r="B226" s="5"/>
      <c r="C226" s="5"/>
      <c r="D226" s="5"/>
      <c r="E226" s="5"/>
      <c r="I226" s="3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x14ac:dyDescent="0.2">
      <c r="A227" s="5"/>
      <c r="B227" s="5"/>
      <c r="C227" s="5"/>
      <c r="D227" s="5"/>
      <c r="E227" s="5"/>
      <c r="I227" s="3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x14ac:dyDescent="0.2">
      <c r="A228" s="5"/>
      <c r="B228" s="5"/>
      <c r="C228" s="5"/>
      <c r="D228" s="5"/>
      <c r="E228" s="5"/>
      <c r="I228" s="3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x14ac:dyDescent="0.2">
      <c r="A229" s="5"/>
      <c r="B229" s="5"/>
      <c r="C229" s="5"/>
      <c r="D229" s="5"/>
      <c r="E229" s="5"/>
      <c r="I229" s="3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x14ac:dyDescent="0.2">
      <c r="A230" s="5"/>
      <c r="B230" s="5"/>
      <c r="C230" s="5"/>
      <c r="D230" s="5"/>
      <c r="E230" s="5"/>
      <c r="I230" s="3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x14ac:dyDescent="0.2">
      <c r="A231" s="5"/>
      <c r="B231" s="5"/>
      <c r="C231" s="5"/>
      <c r="D231" s="5"/>
      <c r="E231" s="5"/>
      <c r="I231" s="3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x14ac:dyDescent="0.2">
      <c r="A232" s="5"/>
      <c r="B232" s="5"/>
      <c r="C232" s="5"/>
      <c r="D232" s="5"/>
      <c r="E232" s="5"/>
      <c r="I232" s="3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x14ac:dyDescent="0.2">
      <c r="A233" s="5"/>
      <c r="B233" s="5"/>
      <c r="C233" s="5"/>
      <c r="D233" s="5"/>
      <c r="E233" s="5"/>
      <c r="I233" s="3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x14ac:dyDescent="0.2">
      <c r="A234" s="5"/>
      <c r="B234" s="5"/>
      <c r="C234" s="5"/>
      <c r="D234" s="5"/>
      <c r="E234" s="5"/>
      <c r="F234" s="33"/>
      <c r="G234" s="33"/>
      <c r="H234" s="33"/>
      <c r="I234" s="3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x14ac:dyDescent="0.2">
      <c r="A235" s="5"/>
      <c r="B235" s="5"/>
      <c r="C235" s="5"/>
      <c r="D235" s="5"/>
      <c r="E235" s="5"/>
      <c r="F235" s="33"/>
      <c r="G235" s="33"/>
      <c r="H235" s="33"/>
      <c r="I235" s="3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x14ac:dyDescent="0.2">
      <c r="A236" s="5"/>
      <c r="B236" s="5"/>
      <c r="C236" s="5"/>
      <c r="D236" s="5"/>
      <c r="E236" s="5"/>
      <c r="F236" s="33"/>
      <c r="G236" s="33"/>
      <c r="H236" s="33"/>
      <c r="I236" s="3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x14ac:dyDescent="0.2">
      <c r="A237" s="5"/>
      <c r="B237" s="5"/>
      <c r="C237" s="5"/>
      <c r="D237" s="5"/>
      <c r="E237" s="5"/>
      <c r="F237" s="33"/>
      <c r="G237" s="33"/>
      <c r="H237" s="33"/>
      <c r="I237" s="3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x14ac:dyDescent="0.2">
      <c r="A238" s="5"/>
      <c r="B238" s="5"/>
      <c r="C238" s="5"/>
      <c r="D238" s="5"/>
      <c r="E238" s="5"/>
      <c r="F238" s="33"/>
      <c r="G238" s="33"/>
      <c r="H238" s="33"/>
      <c r="I238" s="3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x14ac:dyDescent="0.2">
      <c r="A239" s="5"/>
      <c r="B239" s="5"/>
      <c r="C239" s="5"/>
      <c r="D239" s="5"/>
      <c r="E239" s="5"/>
      <c r="F239" s="33"/>
      <c r="G239" s="33"/>
      <c r="H239" s="33"/>
      <c r="I239" s="3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x14ac:dyDescent="0.2">
      <c r="A240" s="5"/>
      <c r="B240" s="5"/>
      <c r="C240" s="5"/>
      <c r="D240" s="5"/>
      <c r="E240" s="5"/>
      <c r="F240" s="33"/>
      <c r="G240" s="33"/>
      <c r="H240" s="33"/>
      <c r="I240" s="3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x14ac:dyDescent="0.2">
      <c r="A241" s="5"/>
      <c r="B241" s="5"/>
      <c r="C241" s="5"/>
      <c r="D241" s="5"/>
      <c r="E241" s="5"/>
      <c r="F241" s="33"/>
      <c r="G241" s="33"/>
      <c r="H241" s="33"/>
      <c r="I241" s="33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x14ac:dyDescent="0.2">
      <c r="A242" s="5"/>
      <c r="B242" s="5"/>
      <c r="C242" s="5"/>
      <c r="D242" s="5"/>
      <c r="E242" s="5"/>
      <c r="F242" s="33"/>
      <c r="G242" s="33"/>
      <c r="H242" s="33"/>
      <c r="I242" s="33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x14ac:dyDescent="0.2">
      <c r="A243" s="5"/>
      <c r="B243" s="5"/>
      <c r="C243" s="5"/>
      <c r="D243" s="5"/>
      <c r="E243" s="5"/>
      <c r="F243" s="33"/>
      <c r="G243" s="33"/>
      <c r="H243" s="33"/>
      <c r="I243" s="33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x14ac:dyDescent="0.2">
      <c r="A244" s="5"/>
      <c r="B244" s="5"/>
      <c r="C244" s="5"/>
      <c r="D244" s="5"/>
      <c r="E244" s="5"/>
      <c r="F244" s="33"/>
      <c r="G244" s="33"/>
      <c r="H244" s="33"/>
      <c r="I244" s="33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x14ac:dyDescent="0.2">
      <c r="A245" s="5"/>
      <c r="B245" s="5"/>
      <c r="C245" s="5"/>
      <c r="D245" s="5"/>
      <c r="E245" s="5"/>
      <c r="F245" s="33"/>
      <c r="G245" s="33"/>
      <c r="H245" s="33"/>
      <c r="I245" s="33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x14ac:dyDescent="0.2">
      <c r="A246" s="5"/>
      <c r="B246" s="5"/>
      <c r="C246" s="5"/>
      <c r="D246" s="5"/>
      <c r="E246" s="5"/>
      <c r="F246" s="33"/>
      <c r="G246" s="33"/>
      <c r="H246" s="33"/>
      <c r="I246" s="33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x14ac:dyDescent="0.2">
      <c r="A247" s="5"/>
      <c r="B247" s="5"/>
      <c r="C247" s="5"/>
      <c r="D247" s="5"/>
      <c r="E247" s="5"/>
      <c r="F247" s="33"/>
      <c r="G247" s="33"/>
      <c r="H247" s="33"/>
      <c r="I247" s="33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x14ac:dyDescent="0.2">
      <c r="A248" s="5"/>
      <c r="B248" s="5"/>
      <c r="C248" s="5"/>
      <c r="D248" s="5"/>
      <c r="E248" s="5"/>
      <c r="F248" s="33"/>
      <c r="G248" s="33"/>
      <c r="H248" s="33"/>
      <c r="I248" s="33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x14ac:dyDescent="0.2">
      <c r="A249" s="5"/>
      <c r="B249" s="5"/>
      <c r="C249" s="5"/>
      <c r="D249" s="5"/>
      <c r="E249" s="5"/>
      <c r="F249" s="33"/>
      <c r="G249" s="33"/>
      <c r="H249" s="33"/>
      <c r="I249" s="33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x14ac:dyDescent="0.2">
      <c r="A250" s="5"/>
      <c r="B250" s="5"/>
      <c r="C250" s="5"/>
      <c r="D250" s="5"/>
      <c r="E250" s="5"/>
      <c r="F250" s="33"/>
      <c r="G250" s="33"/>
      <c r="H250" s="33"/>
      <c r="I250" s="33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x14ac:dyDescent="0.2">
      <c r="A251" s="5"/>
      <c r="B251" s="5"/>
      <c r="C251" s="5"/>
      <c r="D251" s="5"/>
      <c r="E251" s="5"/>
      <c r="F251" s="33"/>
      <c r="G251" s="33"/>
      <c r="H251" s="33"/>
      <c r="I251" s="33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x14ac:dyDescent="0.2">
      <c r="A252" s="5"/>
      <c r="B252" s="5"/>
      <c r="C252" s="5"/>
      <c r="D252" s="5"/>
      <c r="E252" s="5"/>
      <c r="F252" s="33"/>
      <c r="G252" s="33"/>
      <c r="H252" s="33"/>
      <c r="I252" s="33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x14ac:dyDescent="0.2">
      <c r="A253" s="5"/>
      <c r="B253" s="5"/>
      <c r="C253" s="5"/>
      <c r="D253" s="5"/>
      <c r="E253" s="5"/>
      <c r="F253" s="33"/>
      <c r="G253" s="33"/>
      <c r="H253" s="33"/>
      <c r="I253" s="33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x14ac:dyDescent="0.2">
      <c r="A254" s="5"/>
      <c r="B254" s="5"/>
      <c r="C254" s="5"/>
      <c r="D254" s="5"/>
      <c r="E254" s="5"/>
      <c r="F254" s="33"/>
      <c r="G254" s="33"/>
      <c r="H254" s="33"/>
      <c r="I254" s="33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x14ac:dyDescent="0.2">
      <c r="A255" s="5"/>
      <c r="B255" s="5"/>
      <c r="C255" s="5"/>
      <c r="D255" s="5"/>
      <c r="E255" s="5"/>
      <c r="F255" s="33"/>
      <c r="G255" s="33"/>
      <c r="H255" s="33"/>
      <c r="I255" s="33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x14ac:dyDescent="0.2">
      <c r="A256" s="5"/>
      <c r="B256" s="5"/>
      <c r="C256" s="5"/>
      <c r="D256" s="5"/>
      <c r="E256" s="5"/>
      <c r="F256" s="33"/>
      <c r="G256" s="33"/>
      <c r="H256" s="33"/>
      <c r="I256" s="3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x14ac:dyDescent="0.2">
      <c r="A257" s="5"/>
      <c r="B257" s="5"/>
      <c r="C257" s="5"/>
      <c r="D257" s="5"/>
      <c r="E257" s="5"/>
      <c r="F257" s="33"/>
      <c r="G257" s="33"/>
      <c r="H257" s="33"/>
      <c r="I257" s="3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x14ac:dyDescent="0.2">
      <c r="A258" s="5"/>
      <c r="B258" s="5"/>
      <c r="C258" s="5"/>
      <c r="D258" s="5"/>
      <c r="E258" s="5"/>
      <c r="F258" s="33"/>
      <c r="G258" s="33"/>
      <c r="H258" s="33"/>
      <c r="I258" s="33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x14ac:dyDescent="0.2">
      <c r="A259" s="5"/>
      <c r="B259" s="5"/>
      <c r="C259" s="5"/>
      <c r="D259" s="5"/>
      <c r="E259" s="5"/>
      <c r="F259" s="33"/>
      <c r="G259" s="33"/>
      <c r="H259" s="33"/>
      <c r="I259" s="33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x14ac:dyDescent="0.2">
      <c r="A260" s="5"/>
      <c r="B260" s="5"/>
      <c r="C260" s="5"/>
      <c r="D260" s="5"/>
      <c r="E260" s="5"/>
      <c r="F260" s="33"/>
      <c r="G260" s="33"/>
      <c r="H260" s="33"/>
      <c r="I260" s="33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x14ac:dyDescent="0.2">
      <c r="A261" s="5"/>
      <c r="B261" s="5"/>
      <c r="C261" s="5"/>
      <c r="D261" s="5"/>
      <c r="E261" s="5"/>
      <c r="F261" s="33"/>
      <c r="G261" s="33"/>
      <c r="H261" s="33"/>
      <c r="I261" s="33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x14ac:dyDescent="0.2">
      <c r="A262" s="5"/>
      <c r="B262" s="5"/>
      <c r="C262" s="5"/>
      <c r="D262" s="5"/>
      <c r="E262" s="5"/>
      <c r="F262" s="33"/>
      <c r="G262" s="33"/>
      <c r="H262" s="33"/>
      <c r="I262" s="33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x14ac:dyDescent="0.2">
      <c r="A263" s="5"/>
      <c r="B263" s="5"/>
      <c r="C263" s="5"/>
      <c r="D263" s="5"/>
      <c r="E263" s="5"/>
      <c r="F263" s="33"/>
      <c r="G263" s="33"/>
      <c r="H263" s="33"/>
      <c r="I263" s="33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x14ac:dyDescent="0.2">
      <c r="A264" s="5"/>
      <c r="B264" s="5"/>
      <c r="C264" s="5"/>
      <c r="D264" s="5"/>
      <c r="E264" s="5"/>
      <c r="F264" s="33"/>
      <c r="G264" s="33"/>
      <c r="H264" s="33"/>
      <c r="I264" s="33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x14ac:dyDescent="0.2">
      <c r="A272" s="5"/>
      <c r="B272" s="5"/>
      <c r="C272" s="5"/>
      <c r="D272" s="5"/>
      <c r="E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x14ac:dyDescent="0.2">
      <c r="A273" s="5"/>
      <c r="B273" s="5"/>
      <c r="C273" s="5"/>
      <c r="D273" s="5"/>
      <c r="E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x14ac:dyDescent="0.2">
      <c r="A274" s="5"/>
      <c r="B274" s="5"/>
      <c r="C274" s="5"/>
      <c r="D274" s="5"/>
      <c r="E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x14ac:dyDescent="0.2">
      <c r="A275" s="5"/>
      <c r="B275" s="5"/>
      <c r="C275" s="5"/>
      <c r="D275" s="5"/>
      <c r="E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x14ac:dyDescent="0.2">
      <c r="A276" s="5"/>
      <c r="B276" s="5"/>
      <c r="C276" s="5"/>
      <c r="D276" s="5"/>
      <c r="E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x14ac:dyDescent="0.2">
      <c r="A277" s="5"/>
      <c r="B277" s="5"/>
      <c r="C277" s="5"/>
      <c r="D277" s="5"/>
      <c r="E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x14ac:dyDescent="0.2">
      <c r="A278" s="5"/>
      <c r="B278" s="5"/>
      <c r="C278" s="5"/>
      <c r="D278" s="5"/>
      <c r="E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x14ac:dyDescent="0.2">
      <c r="A279" s="5"/>
      <c r="B279" s="5"/>
      <c r="C279" s="5"/>
      <c r="D279" s="5"/>
      <c r="E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x14ac:dyDescent="0.2">
      <c r="A280" s="5"/>
      <c r="B280" s="5"/>
      <c r="C280" s="5"/>
      <c r="D280" s="5"/>
      <c r="E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x14ac:dyDescent="0.2">
      <c r="A281" s="5"/>
      <c r="B281" s="5"/>
      <c r="C281" s="5"/>
      <c r="D281" s="5"/>
      <c r="E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x14ac:dyDescent="0.2">
      <c r="A282" s="5"/>
      <c r="B282" s="5"/>
      <c r="C282" s="5"/>
      <c r="D282" s="5"/>
      <c r="E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x14ac:dyDescent="0.2">
      <c r="K283" s="5"/>
      <c r="L283" s="5"/>
      <c r="M283" s="5"/>
      <c r="N283" s="5"/>
    </row>
    <row r="284" spans="1:22" x14ac:dyDescent="0.2">
      <c r="K284" s="5"/>
      <c r="L284" s="5"/>
      <c r="M284" s="5"/>
      <c r="N284" s="5"/>
    </row>
    <row r="285" spans="1:22" x14ac:dyDescent="0.2">
      <c r="K285" s="5"/>
      <c r="L285" s="5"/>
      <c r="M285" s="5"/>
      <c r="N285" s="5"/>
    </row>
    <row r="286" spans="1:22" x14ac:dyDescent="0.2">
      <c r="K286" s="5"/>
      <c r="L286" s="5"/>
      <c r="M286" s="5"/>
      <c r="N286" s="5"/>
    </row>
  </sheetData>
  <mergeCells count="134">
    <mergeCell ref="P27:Q27"/>
    <mergeCell ref="P29:Q29"/>
    <mergeCell ref="S20:S30"/>
    <mergeCell ref="K85:K86"/>
    <mergeCell ref="S31:S41"/>
    <mergeCell ref="P32:Q32"/>
    <mergeCell ref="P33:Q33"/>
    <mergeCell ref="P35:Q35"/>
    <mergeCell ref="P37:Q37"/>
    <mergeCell ref="P38:Q38"/>
    <mergeCell ref="P40:Q40"/>
    <mergeCell ref="P15:Q15"/>
    <mergeCell ref="P16:Q16"/>
    <mergeCell ref="P18:Q18"/>
    <mergeCell ref="P21:Q21"/>
    <mergeCell ref="P22:Q22"/>
    <mergeCell ref="P24:Q24"/>
    <mergeCell ref="S6:S8"/>
    <mergeCell ref="S9:S19"/>
    <mergeCell ref="P26:Q26"/>
    <mergeCell ref="P13:Q13"/>
    <mergeCell ref="P10:Q10"/>
    <mergeCell ref="P11:Q11"/>
    <mergeCell ref="B58:C58"/>
    <mergeCell ref="B60:C60"/>
    <mergeCell ref="B62:C62"/>
    <mergeCell ref="B64:C64"/>
    <mergeCell ref="B68:C68"/>
    <mergeCell ref="F189:G189"/>
    <mergeCell ref="K111:K112"/>
    <mergeCell ref="K113:K114"/>
    <mergeCell ref="K115:K116"/>
    <mergeCell ref="K83:K84"/>
    <mergeCell ref="K87:K88"/>
    <mergeCell ref="K89:K90"/>
    <mergeCell ref="K91:K92"/>
    <mergeCell ref="K101:K102"/>
    <mergeCell ref="K103:K104"/>
    <mergeCell ref="K105:K106"/>
    <mergeCell ref="K107:K108"/>
    <mergeCell ref="K109:K110"/>
    <mergeCell ref="K93:K94"/>
    <mergeCell ref="K95:K96"/>
    <mergeCell ref="K97:K98"/>
    <mergeCell ref="K99:K100"/>
    <mergeCell ref="K159:K160"/>
    <mergeCell ref="K171:K172"/>
    <mergeCell ref="F191:G191"/>
    <mergeCell ref="B66:C66"/>
    <mergeCell ref="F193:G193"/>
    <mergeCell ref="K23:K24"/>
    <mergeCell ref="K35:K36"/>
    <mergeCell ref="K37:K38"/>
    <mergeCell ref="K27:K28"/>
    <mergeCell ref="K29:K30"/>
    <mergeCell ref="K31:K32"/>
    <mergeCell ref="K33:K34"/>
    <mergeCell ref="K75:K76"/>
    <mergeCell ref="K77:K78"/>
    <mergeCell ref="K79:K80"/>
    <mergeCell ref="K81:K82"/>
    <mergeCell ref="K59:K60"/>
    <mergeCell ref="K61:K62"/>
    <mergeCell ref="K63:K64"/>
    <mergeCell ref="K65:K66"/>
    <mergeCell ref="K57:K58"/>
    <mergeCell ref="K67:K68"/>
    <mergeCell ref="K69:K70"/>
    <mergeCell ref="K71:K72"/>
    <mergeCell ref="K73:K74"/>
    <mergeCell ref="K55:K56"/>
    <mergeCell ref="B2:M3"/>
    <mergeCell ref="B53:C53"/>
    <mergeCell ref="K13:K14"/>
    <mergeCell ref="K15:K16"/>
    <mergeCell ref="K17:K18"/>
    <mergeCell ref="K19:K20"/>
    <mergeCell ref="K25:K26"/>
    <mergeCell ref="B5:D5"/>
    <mergeCell ref="F5:I5"/>
    <mergeCell ref="K7:K8"/>
    <mergeCell ref="K9:K10"/>
    <mergeCell ref="K11:K12"/>
    <mergeCell ref="B51:C51"/>
    <mergeCell ref="K5:N5"/>
    <mergeCell ref="K39:K40"/>
    <mergeCell ref="K41:K42"/>
    <mergeCell ref="K43:K44"/>
    <mergeCell ref="K45:K46"/>
    <mergeCell ref="K47:K48"/>
    <mergeCell ref="K49:K50"/>
    <mergeCell ref="K51:K52"/>
    <mergeCell ref="K53:K54"/>
    <mergeCell ref="K21:K22"/>
    <mergeCell ref="K153:L153"/>
    <mergeCell ref="K155:L155"/>
    <mergeCell ref="K147:L147"/>
    <mergeCell ref="K148:L148"/>
    <mergeCell ref="K135:K136"/>
    <mergeCell ref="K137:K138"/>
    <mergeCell ref="K117:K118"/>
    <mergeCell ref="K119:K120"/>
    <mergeCell ref="K129:K130"/>
    <mergeCell ref="K131:K132"/>
    <mergeCell ref="K133:K134"/>
    <mergeCell ref="K121:K122"/>
    <mergeCell ref="K123:K124"/>
    <mergeCell ref="K125:K126"/>
    <mergeCell ref="K127:K128"/>
    <mergeCell ref="K139:K140"/>
    <mergeCell ref="B55:C55"/>
    <mergeCell ref="P7:Q7"/>
    <mergeCell ref="F212:G212"/>
    <mergeCell ref="K173:K174"/>
    <mergeCell ref="K175:K176"/>
    <mergeCell ref="K177:K178"/>
    <mergeCell ref="K161:K162"/>
    <mergeCell ref="K163:K164"/>
    <mergeCell ref="K165:K166"/>
    <mergeCell ref="K167:K168"/>
    <mergeCell ref="K169:K170"/>
    <mergeCell ref="F210:G210"/>
    <mergeCell ref="F211:G211"/>
    <mergeCell ref="F198:G198"/>
    <mergeCell ref="F200:G200"/>
    <mergeCell ref="F202:G202"/>
    <mergeCell ref="F204:G204"/>
    <mergeCell ref="F206:G206"/>
    <mergeCell ref="K141:K142"/>
    <mergeCell ref="K143:K144"/>
    <mergeCell ref="K145:K146"/>
    <mergeCell ref="K149:K150"/>
    <mergeCell ref="K151:L151"/>
    <mergeCell ref="K157:K158"/>
  </mergeCells>
  <pageMargins left="0.70866141732283472" right="0.70866141732283472" top="0.74803149606299213" bottom="0.74803149606299213" header="0.31496062992125984" footer="0.31496062992125984"/>
  <pageSetup paperSize="190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0"/>
  <sheetViews>
    <sheetView topLeftCell="A49" workbookViewId="0">
      <selection activeCell="V37" sqref="V37"/>
    </sheetView>
  </sheetViews>
  <sheetFormatPr baseColWidth="10" defaultColWidth="10.85546875" defaultRowHeight="12.75" x14ac:dyDescent="0.2"/>
  <sheetData>
    <row r="1" spans="1:25" x14ac:dyDescent="0.2">
      <c r="A1" s="557"/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</row>
    <row r="2" spans="1:25" x14ac:dyDescent="0.2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</row>
    <row r="3" spans="1:25" x14ac:dyDescent="0.2">
      <c r="A3" s="557"/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</row>
    <row r="4" spans="1:25" x14ac:dyDescent="0.2">
      <c r="A4" s="557"/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</row>
    <row r="5" spans="1:25" x14ac:dyDescent="0.2">
      <c r="A5" s="557"/>
      <c r="B5" s="557"/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</row>
    <row r="6" spans="1:25" x14ac:dyDescent="0.2">
      <c r="A6" s="557"/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7"/>
      <c r="X6" s="557"/>
      <c r="Y6" s="557"/>
    </row>
    <row r="7" spans="1:25" x14ac:dyDescent="0.2">
      <c r="A7" s="557"/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</row>
    <row r="8" spans="1:25" x14ac:dyDescent="0.2">
      <c r="A8" s="557"/>
      <c r="B8" s="557"/>
      <c r="C8" s="557"/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</row>
    <row r="9" spans="1:25" x14ac:dyDescent="0.2">
      <c r="A9" s="557"/>
      <c r="B9" s="557"/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</row>
    <row r="10" spans="1:25" x14ac:dyDescent="0.2">
      <c r="A10" s="557"/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</row>
    <row r="11" spans="1:25" x14ac:dyDescent="0.2">
      <c r="A11" s="557"/>
      <c r="B11" s="557"/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  <c r="N11" s="557"/>
      <c r="O11" s="557"/>
      <c r="P11" s="557"/>
      <c r="Q11" s="557"/>
      <c r="R11" s="557"/>
      <c r="S11" s="557"/>
      <c r="T11" s="557"/>
      <c r="U11" s="557"/>
      <c r="V11" s="557"/>
      <c r="W11" s="557"/>
      <c r="X11" s="557"/>
      <c r="Y11" s="557"/>
    </row>
    <row r="12" spans="1:25" x14ac:dyDescent="0.2">
      <c r="A12" s="557"/>
      <c r="B12" s="557"/>
      <c r="C12" s="557"/>
      <c r="D12" s="557"/>
      <c r="E12" s="557"/>
      <c r="F12" s="557"/>
      <c r="G12" s="557"/>
      <c r="H12" s="557"/>
      <c r="I12" s="557"/>
      <c r="J12" s="557"/>
      <c r="K12" s="557"/>
      <c r="L12" s="557"/>
      <c r="M12" s="557"/>
      <c r="N12" s="557"/>
      <c r="O12" s="557"/>
      <c r="P12" s="557"/>
      <c r="Q12" s="557"/>
      <c r="R12" s="557"/>
      <c r="S12" s="557"/>
      <c r="T12" s="557"/>
      <c r="U12" s="557"/>
      <c r="V12" s="557"/>
      <c r="W12" s="557"/>
      <c r="X12" s="557"/>
      <c r="Y12" s="557"/>
    </row>
    <row r="13" spans="1:25" x14ac:dyDescent="0.2">
      <c r="A13" s="557"/>
      <c r="B13" s="557"/>
      <c r="C13" s="557"/>
      <c r="D13" s="557"/>
      <c r="E13" s="557"/>
      <c r="F13" s="557"/>
      <c r="G13" s="557"/>
      <c r="H13" s="557"/>
      <c r="I13" s="557"/>
      <c r="J13" s="557"/>
      <c r="K13" s="557"/>
      <c r="L13" s="557"/>
      <c r="M13" s="557"/>
      <c r="N13" s="557"/>
      <c r="O13" s="557"/>
      <c r="P13" s="557"/>
      <c r="Q13" s="557"/>
      <c r="R13" s="557"/>
      <c r="S13" s="557"/>
      <c r="T13" s="557"/>
      <c r="U13" s="557"/>
      <c r="V13" s="557"/>
      <c r="W13" s="557"/>
      <c r="X13" s="557"/>
      <c r="Y13" s="557"/>
    </row>
    <row r="14" spans="1:25" x14ac:dyDescent="0.2">
      <c r="A14" s="557"/>
      <c r="B14" s="557"/>
      <c r="C14" s="557"/>
      <c r="D14" s="557"/>
      <c r="E14" s="557"/>
      <c r="F14" s="557"/>
      <c r="G14" s="557"/>
      <c r="H14" s="557"/>
      <c r="I14" s="557"/>
      <c r="J14" s="557"/>
      <c r="K14" s="557"/>
      <c r="L14" s="557"/>
      <c r="M14" s="557"/>
      <c r="N14" s="557"/>
      <c r="O14" s="557"/>
      <c r="P14" s="557"/>
      <c r="Q14" s="557"/>
      <c r="R14" s="557"/>
      <c r="S14" s="557"/>
      <c r="T14" s="557"/>
      <c r="U14" s="557"/>
      <c r="V14" s="557"/>
      <c r="W14" s="557"/>
      <c r="X14" s="557"/>
      <c r="Y14" s="557"/>
    </row>
    <row r="15" spans="1:25" x14ac:dyDescent="0.2">
      <c r="A15" s="557"/>
      <c r="B15" s="557"/>
      <c r="C15" s="557"/>
      <c r="D15" s="557"/>
      <c r="E15" s="557"/>
      <c r="F15" s="557"/>
      <c r="G15" s="557"/>
      <c r="H15" s="557"/>
      <c r="I15" s="557"/>
      <c r="J15" s="557"/>
      <c r="K15" s="557"/>
      <c r="L15" s="557"/>
      <c r="M15" s="557"/>
      <c r="N15" s="557"/>
      <c r="O15" s="557"/>
      <c r="P15" s="557"/>
      <c r="Q15" s="557"/>
      <c r="R15" s="557"/>
      <c r="S15" s="557"/>
      <c r="T15" s="557"/>
      <c r="U15" s="557"/>
      <c r="V15" s="557"/>
      <c r="W15" s="557"/>
      <c r="X15" s="557"/>
      <c r="Y15" s="557"/>
    </row>
    <row r="16" spans="1:25" x14ac:dyDescent="0.2">
      <c r="A16" s="557"/>
      <c r="B16" s="557"/>
      <c r="C16" s="557"/>
      <c r="D16" s="557"/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7"/>
      <c r="S16" s="557"/>
      <c r="T16" s="557"/>
      <c r="U16" s="557"/>
      <c r="V16" s="557"/>
      <c r="W16" s="557"/>
      <c r="X16" s="557"/>
      <c r="Y16" s="557"/>
    </row>
    <row r="17" spans="1:25" x14ac:dyDescent="0.2">
      <c r="A17" s="557"/>
      <c r="B17" s="557"/>
      <c r="C17" s="557"/>
      <c r="D17" s="557"/>
      <c r="E17" s="557"/>
      <c r="F17" s="557"/>
      <c r="G17" s="557"/>
      <c r="H17" s="557"/>
      <c r="I17" s="557"/>
      <c r="J17" s="557"/>
      <c r="K17" s="557"/>
      <c r="L17" s="557"/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/>
      <c r="Y17" s="557"/>
    </row>
    <row r="18" spans="1:25" x14ac:dyDescent="0.2">
      <c r="A18" s="557"/>
      <c r="B18" s="557"/>
      <c r="C18" s="557"/>
      <c r="D18" s="557"/>
      <c r="E18" s="557"/>
      <c r="F18" s="557"/>
      <c r="G18" s="557"/>
      <c r="H18" s="557"/>
      <c r="I18" s="557"/>
      <c r="J18" s="557"/>
      <c r="K18" s="557"/>
      <c r="L18" s="557"/>
      <c r="M18" s="557"/>
      <c r="N18" s="557"/>
      <c r="O18" s="557"/>
      <c r="P18" s="557"/>
      <c r="Q18" s="557"/>
      <c r="R18" s="557"/>
      <c r="S18" s="557"/>
      <c r="T18" s="557"/>
      <c r="U18" s="557"/>
      <c r="V18" s="557"/>
      <c r="W18" s="557"/>
      <c r="X18" s="557"/>
      <c r="Y18" s="557"/>
    </row>
    <row r="19" spans="1:25" x14ac:dyDescent="0.2">
      <c r="A19" s="557"/>
      <c r="B19" s="557"/>
      <c r="C19" s="557"/>
      <c r="D19" s="557"/>
      <c r="E19" s="557"/>
      <c r="F19" s="557"/>
      <c r="G19" s="557"/>
      <c r="H19" s="557"/>
      <c r="I19" s="557"/>
      <c r="J19" s="557"/>
      <c r="K19" s="557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</row>
    <row r="20" spans="1:25" x14ac:dyDescent="0.2">
      <c r="A20" s="557"/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</row>
    <row r="21" spans="1:25" x14ac:dyDescent="0.2">
      <c r="A21" s="557"/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</row>
    <row r="22" spans="1:25" x14ac:dyDescent="0.2">
      <c r="A22" s="557"/>
      <c r="B22" s="557"/>
      <c r="C22" s="557"/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7"/>
      <c r="Q22" s="557"/>
      <c r="R22" s="557"/>
      <c r="S22" s="557"/>
      <c r="T22" s="557"/>
      <c r="U22" s="557"/>
      <c r="V22" s="557"/>
      <c r="W22" s="557"/>
      <c r="X22" s="557"/>
      <c r="Y22" s="557"/>
    </row>
    <row r="23" spans="1:25" x14ac:dyDescent="0.2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557"/>
      <c r="R23" s="557"/>
      <c r="S23" s="557"/>
      <c r="T23" s="557"/>
      <c r="U23" s="557"/>
      <c r="V23" s="557"/>
      <c r="W23" s="557"/>
      <c r="X23" s="557"/>
      <c r="Y23" s="557"/>
    </row>
    <row r="24" spans="1:25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7"/>
      <c r="P24" s="557"/>
      <c r="Q24" s="557"/>
      <c r="R24" s="557"/>
      <c r="S24" s="557"/>
      <c r="T24" s="557"/>
      <c r="U24" s="557"/>
      <c r="V24" s="557"/>
      <c r="W24" s="557"/>
      <c r="X24" s="557"/>
      <c r="Y24" s="557"/>
    </row>
    <row r="25" spans="1:25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</row>
    <row r="26" spans="1:25" x14ac:dyDescent="0.2">
      <c r="A26" s="557"/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</row>
    <row r="27" spans="1:25" x14ac:dyDescent="0.2">
      <c r="A27" s="557"/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</row>
    <row r="28" spans="1:25" x14ac:dyDescent="0.2">
      <c r="A28" s="557"/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7"/>
      <c r="Q28" s="557"/>
      <c r="R28" s="557"/>
      <c r="S28" s="557"/>
      <c r="T28" s="557"/>
      <c r="U28" s="557"/>
      <c r="V28" s="557"/>
      <c r="W28" s="557"/>
      <c r="X28" s="557"/>
      <c r="Y28" s="557"/>
    </row>
    <row r="29" spans="1:25" x14ac:dyDescent="0.2">
      <c r="A29" s="557"/>
      <c r="B29" s="557"/>
      <c r="C29" s="557"/>
      <c r="D29" s="557"/>
      <c r="E29" s="557"/>
      <c r="F29" s="557"/>
      <c r="G29" s="557"/>
      <c r="H29" s="557"/>
      <c r="I29" s="557"/>
      <c r="J29" s="557"/>
      <c r="K29" s="557"/>
      <c r="L29" s="557"/>
      <c r="M29" s="557"/>
      <c r="N29" s="557"/>
      <c r="O29" s="557"/>
      <c r="P29" s="557"/>
      <c r="Q29" s="557"/>
      <c r="R29" s="557"/>
      <c r="S29" s="557"/>
      <c r="T29" s="557"/>
      <c r="U29" s="557"/>
      <c r="V29" s="557"/>
      <c r="W29" s="557"/>
      <c r="X29" s="557"/>
      <c r="Y29" s="557"/>
    </row>
    <row r="30" spans="1:25" x14ac:dyDescent="0.2">
      <c r="A30" s="557"/>
      <c r="B30" s="557"/>
      <c r="C30" s="557"/>
      <c r="D30" s="557"/>
      <c r="E30" s="557"/>
      <c r="F30" s="557"/>
      <c r="G30" s="557"/>
      <c r="H30" s="557"/>
      <c r="I30" s="557"/>
      <c r="J30" s="557"/>
      <c r="K30" s="557"/>
      <c r="L30" s="557"/>
      <c r="M30" s="557"/>
      <c r="N30" s="557"/>
      <c r="O30" s="557"/>
      <c r="P30" s="557"/>
      <c r="Q30" s="557"/>
      <c r="R30" s="557"/>
      <c r="S30" s="557"/>
      <c r="T30" s="557"/>
      <c r="U30" s="557"/>
      <c r="V30" s="557"/>
      <c r="W30" s="557"/>
      <c r="X30" s="557"/>
      <c r="Y30" s="557"/>
    </row>
    <row r="31" spans="1:25" x14ac:dyDescent="0.2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Q31" s="557"/>
      <c r="R31" s="557"/>
      <c r="S31" s="557"/>
      <c r="T31" s="557"/>
      <c r="U31" s="557"/>
      <c r="V31" s="557"/>
      <c r="W31" s="557"/>
      <c r="X31" s="557"/>
      <c r="Y31" s="557"/>
    </row>
    <row r="32" spans="1:25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7"/>
      <c r="P32" s="557"/>
      <c r="Q32" s="557"/>
      <c r="R32" s="557"/>
      <c r="S32" s="557"/>
      <c r="T32" s="557"/>
      <c r="U32" s="557"/>
      <c r="V32" s="557"/>
      <c r="W32" s="557"/>
      <c r="X32" s="557"/>
      <c r="Y32" s="557"/>
    </row>
    <row r="33" spans="1:25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</row>
    <row r="34" spans="1:25" x14ac:dyDescent="0.2">
      <c r="A34" s="557"/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</row>
    <row r="35" spans="1:25" x14ac:dyDescent="0.2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</row>
    <row r="36" spans="1:25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  <c r="S36" s="557"/>
      <c r="T36" s="557"/>
      <c r="U36" s="557"/>
      <c r="V36" s="557"/>
      <c r="W36" s="557"/>
      <c r="X36" s="557"/>
      <c r="Y36" s="557"/>
    </row>
    <row r="37" spans="1:25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7"/>
      <c r="P37" s="557"/>
      <c r="Q37" s="557"/>
      <c r="R37" s="557"/>
      <c r="S37" s="557"/>
      <c r="T37" s="557"/>
      <c r="U37" s="557"/>
      <c r="V37" s="557"/>
      <c r="W37" s="557"/>
      <c r="X37" s="557"/>
      <c r="Y37" s="557"/>
    </row>
    <row r="38" spans="1:25" x14ac:dyDescent="0.2">
      <c r="A38" s="557"/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</row>
    <row r="39" spans="1:25" x14ac:dyDescent="0.2">
      <c r="A39" s="557"/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</row>
    <row r="40" spans="1:25" x14ac:dyDescent="0.2">
      <c r="A40" s="557"/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</row>
    <row r="41" spans="1:25" x14ac:dyDescent="0.2">
      <c r="A41" s="557"/>
      <c r="B41" s="557"/>
      <c r="C41" s="557"/>
      <c r="D41" s="557"/>
      <c r="E41" s="557"/>
      <c r="F41" s="557"/>
      <c r="G41" s="557"/>
      <c r="H41" s="557"/>
      <c r="I41" s="557"/>
      <c r="J41" s="557"/>
      <c r="K41" s="557"/>
      <c r="L41" s="557"/>
      <c r="M41" s="557"/>
      <c r="N41" s="557"/>
      <c r="O41" s="557"/>
      <c r="P41" s="557"/>
      <c r="Q41" s="557"/>
      <c r="R41" s="557"/>
      <c r="S41" s="557"/>
      <c r="T41" s="557"/>
      <c r="U41" s="557"/>
      <c r="V41" s="557"/>
      <c r="W41" s="557"/>
      <c r="X41" s="557"/>
      <c r="Y41" s="557"/>
    </row>
    <row r="42" spans="1:25" x14ac:dyDescent="0.2">
      <c r="A42" s="557"/>
      <c r="B42" s="557"/>
      <c r="C42" s="557"/>
      <c r="D42" s="557"/>
      <c r="E42" s="557"/>
      <c r="F42" s="557"/>
      <c r="G42" s="557"/>
      <c r="H42" s="557"/>
      <c r="I42" s="557"/>
      <c r="J42" s="557"/>
      <c r="K42" s="557"/>
      <c r="L42" s="557"/>
      <c r="M42" s="557"/>
      <c r="N42" s="557"/>
      <c r="O42" s="557"/>
      <c r="P42" s="557"/>
      <c r="Q42" s="557"/>
      <c r="R42" s="557"/>
      <c r="S42" s="557"/>
      <c r="T42" s="557"/>
      <c r="U42" s="557"/>
      <c r="V42" s="557"/>
      <c r="W42" s="557"/>
      <c r="X42" s="557"/>
      <c r="Y42" s="557"/>
    </row>
    <row r="43" spans="1:25" x14ac:dyDescent="0.2">
      <c r="A43" s="557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7"/>
      <c r="P43" s="557"/>
      <c r="Q43" s="557"/>
      <c r="R43" s="557"/>
      <c r="S43" s="557"/>
      <c r="T43" s="557"/>
      <c r="U43" s="557"/>
      <c r="V43" s="557"/>
      <c r="W43" s="557"/>
      <c r="X43" s="557"/>
      <c r="Y43" s="557"/>
    </row>
    <row r="44" spans="1:25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7"/>
      <c r="P44" s="557"/>
      <c r="Q44" s="557"/>
      <c r="R44" s="557"/>
      <c r="S44" s="557"/>
      <c r="T44" s="557"/>
      <c r="U44" s="557"/>
      <c r="V44" s="557"/>
      <c r="W44" s="557"/>
      <c r="X44" s="557"/>
      <c r="Y44" s="557"/>
    </row>
    <row r="45" spans="1:25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</row>
    <row r="46" spans="1:25" x14ac:dyDescent="0.2">
      <c r="A46" s="557"/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</row>
    <row r="47" spans="1:25" x14ac:dyDescent="0.2">
      <c r="A47" s="557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7"/>
      <c r="P47" s="557"/>
      <c r="Q47" s="557"/>
      <c r="R47" s="557"/>
      <c r="S47" s="557"/>
      <c r="T47" s="557"/>
      <c r="U47" s="557"/>
      <c r="V47" s="557"/>
      <c r="W47" s="557"/>
      <c r="X47" s="557"/>
      <c r="Y47" s="557"/>
    </row>
    <row r="48" spans="1:25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7"/>
      <c r="P48" s="557"/>
      <c r="Q48" s="557"/>
      <c r="R48" s="557"/>
      <c r="S48" s="557"/>
      <c r="T48" s="557"/>
      <c r="U48" s="557"/>
      <c r="V48" s="557"/>
      <c r="W48" s="557"/>
      <c r="X48" s="557"/>
      <c r="Y48" s="557"/>
    </row>
    <row r="49" spans="1:25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</row>
    <row r="50" spans="1:25" x14ac:dyDescent="0.2">
      <c r="A50" s="557"/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</row>
    <row r="51" spans="1:25" x14ac:dyDescent="0.2">
      <c r="A51" s="557"/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</row>
    <row r="52" spans="1:25" x14ac:dyDescent="0.2">
      <c r="A52" s="557"/>
      <c r="B52" s="557"/>
      <c r="C52" s="557"/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</row>
    <row r="53" spans="1:25" x14ac:dyDescent="0.2">
      <c r="A53" s="557"/>
      <c r="B53" s="557"/>
      <c r="C53" s="557"/>
      <c r="D53" s="557"/>
      <c r="E53" s="557"/>
      <c r="F53" s="557"/>
      <c r="G53" s="557"/>
      <c r="H53" s="557"/>
      <c r="I53" s="557"/>
      <c r="J53" s="557"/>
      <c r="K53" s="557"/>
      <c r="L53" s="557"/>
      <c r="M53" s="557"/>
      <c r="N53" s="557"/>
      <c r="O53" s="557"/>
      <c r="P53" s="557"/>
      <c r="Q53" s="557"/>
      <c r="R53" s="557"/>
      <c r="S53" s="557"/>
      <c r="T53" s="557"/>
      <c r="U53" s="557"/>
      <c r="V53" s="557"/>
      <c r="W53" s="557"/>
      <c r="X53" s="557"/>
      <c r="Y53" s="557"/>
    </row>
    <row r="54" spans="1:25" x14ac:dyDescent="0.2">
      <c r="A54" s="557"/>
      <c r="B54" s="557"/>
      <c r="C54" s="557"/>
      <c r="D54" s="557"/>
      <c r="E54" s="557"/>
      <c r="F54" s="557"/>
      <c r="G54" s="557"/>
      <c r="H54" s="557"/>
      <c r="I54" s="557"/>
      <c r="J54" s="557"/>
      <c r="K54" s="557"/>
      <c r="L54" s="557"/>
      <c r="M54" s="557"/>
      <c r="N54" s="557"/>
      <c r="O54" s="557"/>
      <c r="P54" s="557"/>
      <c r="Q54" s="557"/>
      <c r="R54" s="557"/>
      <c r="S54" s="557"/>
      <c r="T54" s="557"/>
      <c r="U54" s="557"/>
      <c r="V54" s="557"/>
      <c r="W54" s="557"/>
      <c r="X54" s="557"/>
      <c r="Y54" s="557"/>
    </row>
    <row r="55" spans="1:25" x14ac:dyDescent="0.2">
      <c r="A55" s="557"/>
      <c r="B55" s="557"/>
      <c r="C55" s="557"/>
      <c r="D55" s="557"/>
      <c r="E55" s="557"/>
      <c r="F55" s="557"/>
      <c r="G55" s="557"/>
      <c r="H55" s="557"/>
      <c r="I55" s="557"/>
      <c r="J55" s="557"/>
      <c r="K55" s="557"/>
      <c r="L55" s="557"/>
      <c r="M55" s="557"/>
      <c r="N55" s="557"/>
      <c r="O55" s="557"/>
      <c r="P55" s="557"/>
      <c r="Q55" s="557"/>
      <c r="R55" s="557"/>
      <c r="S55" s="557"/>
      <c r="T55" s="557"/>
      <c r="U55" s="557"/>
      <c r="V55" s="557"/>
      <c r="W55" s="557"/>
      <c r="X55" s="557"/>
      <c r="Y55" s="557"/>
    </row>
    <row r="56" spans="1:25" x14ac:dyDescent="0.2">
      <c r="A56" s="557"/>
      <c r="B56" s="557"/>
      <c r="C56" s="557"/>
      <c r="D56" s="557"/>
      <c r="E56" s="557"/>
      <c r="F56" s="557"/>
      <c r="G56" s="557"/>
      <c r="H56" s="557"/>
      <c r="I56" s="557"/>
      <c r="J56" s="557"/>
      <c r="K56" s="557"/>
      <c r="L56" s="557"/>
      <c r="M56" s="557"/>
      <c r="N56" s="557"/>
      <c r="O56" s="557"/>
      <c r="P56" s="557"/>
      <c r="Q56" s="557"/>
      <c r="R56" s="557"/>
      <c r="S56" s="557"/>
      <c r="T56" s="557"/>
      <c r="U56" s="557"/>
      <c r="V56" s="557"/>
      <c r="W56" s="557"/>
      <c r="X56" s="557"/>
      <c r="Y56" s="557"/>
    </row>
    <row r="57" spans="1:25" x14ac:dyDescent="0.2">
      <c r="A57" s="557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7"/>
      <c r="P57" s="557"/>
      <c r="Q57" s="557"/>
      <c r="R57" s="557"/>
      <c r="S57" s="557"/>
      <c r="T57" s="557"/>
      <c r="U57" s="557"/>
      <c r="V57" s="557"/>
      <c r="W57" s="557"/>
      <c r="X57" s="557"/>
      <c r="Y57" s="557"/>
    </row>
    <row r="58" spans="1:25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7"/>
      <c r="P58" s="557"/>
      <c r="Q58" s="557"/>
      <c r="R58" s="557"/>
      <c r="S58" s="557"/>
      <c r="T58" s="557"/>
      <c r="U58" s="557"/>
      <c r="V58" s="557"/>
      <c r="W58" s="557"/>
      <c r="X58" s="557"/>
      <c r="Y58" s="557"/>
    </row>
    <row r="59" spans="1:25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</row>
    <row r="60" spans="1:25" x14ac:dyDescent="0.2">
      <c r="A60" s="557"/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</row>
    <row r="61" spans="1:25" x14ac:dyDescent="0.2">
      <c r="A61" s="557"/>
      <c r="B61" s="557"/>
      <c r="C61" s="557"/>
      <c r="D61" s="557"/>
      <c r="E61" s="557"/>
      <c r="F61" s="557"/>
      <c r="G61" s="557"/>
      <c r="H61" s="557"/>
      <c r="I61" s="557"/>
      <c r="J61" s="557"/>
      <c r="K61" s="557"/>
      <c r="L61" s="557"/>
      <c r="M61" s="557"/>
      <c r="N61" s="557"/>
      <c r="O61" s="557"/>
      <c r="P61" s="557"/>
      <c r="Q61" s="557"/>
      <c r="R61" s="557"/>
      <c r="S61" s="557"/>
      <c r="T61" s="557"/>
      <c r="U61" s="557"/>
      <c r="V61" s="557"/>
      <c r="W61" s="557"/>
      <c r="X61" s="557"/>
      <c r="Y61" s="557"/>
    </row>
    <row r="62" spans="1:25" x14ac:dyDescent="0.2">
      <c r="A62" s="557"/>
      <c r="B62" s="557"/>
      <c r="C62" s="557"/>
      <c r="D62" s="557"/>
      <c r="E62" s="557"/>
      <c r="F62" s="557"/>
      <c r="G62" s="557"/>
      <c r="H62" s="557"/>
      <c r="I62" s="557"/>
      <c r="J62" s="557"/>
      <c r="K62" s="557"/>
      <c r="L62" s="557"/>
      <c r="M62" s="557"/>
      <c r="N62" s="557"/>
      <c r="O62" s="557"/>
      <c r="P62" s="557"/>
      <c r="Q62" s="557"/>
      <c r="R62" s="557"/>
      <c r="S62" s="557"/>
      <c r="T62" s="557"/>
      <c r="U62" s="557"/>
      <c r="V62" s="557"/>
      <c r="W62" s="557"/>
      <c r="X62" s="557"/>
      <c r="Y62" s="557"/>
    </row>
    <row r="63" spans="1:25" x14ac:dyDescent="0.2">
      <c r="A63" s="557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7"/>
      <c r="P63" s="557"/>
      <c r="Q63" s="557"/>
      <c r="R63" s="557"/>
      <c r="S63" s="557"/>
      <c r="T63" s="557"/>
      <c r="U63" s="557"/>
      <c r="V63" s="557"/>
      <c r="W63" s="557"/>
      <c r="X63" s="557"/>
      <c r="Y63" s="557"/>
    </row>
    <row r="64" spans="1:25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7"/>
      <c r="P64" s="557"/>
      <c r="Q64" s="557"/>
      <c r="R64" s="557"/>
      <c r="S64" s="557"/>
      <c r="T64" s="557"/>
      <c r="U64" s="557"/>
      <c r="V64" s="557"/>
      <c r="W64" s="557"/>
      <c r="X64" s="557"/>
      <c r="Y64" s="557"/>
    </row>
    <row r="65" spans="1:25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</row>
    <row r="66" spans="1:25" x14ac:dyDescent="0.2">
      <c r="A66" s="557"/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</row>
    <row r="67" spans="1:25" x14ac:dyDescent="0.2">
      <c r="A67" s="557"/>
      <c r="B67" s="557"/>
      <c r="C67" s="557"/>
      <c r="D67" s="557"/>
      <c r="E67" s="557"/>
      <c r="F67" s="557"/>
      <c r="G67" s="557"/>
      <c r="H67" s="557"/>
      <c r="I67" s="557"/>
      <c r="J67" s="557"/>
      <c r="K67" s="557"/>
      <c r="L67" s="557"/>
      <c r="M67" s="557"/>
      <c r="N67" s="557"/>
      <c r="O67" s="557"/>
      <c r="P67" s="557"/>
      <c r="Q67" s="557"/>
      <c r="R67" s="557"/>
      <c r="S67" s="557"/>
      <c r="T67" s="557"/>
      <c r="U67" s="557"/>
      <c r="V67" s="557"/>
      <c r="W67" s="557"/>
      <c r="X67" s="557"/>
      <c r="Y67" s="557"/>
    </row>
    <row r="68" spans="1:25" x14ac:dyDescent="0.2">
      <c r="A68" s="557"/>
      <c r="B68" s="557"/>
      <c r="C68" s="557"/>
      <c r="D68" s="557"/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7"/>
      <c r="P68" s="557"/>
      <c r="Q68" s="557"/>
      <c r="R68" s="557"/>
      <c r="S68" s="557"/>
      <c r="T68" s="557"/>
      <c r="U68" s="557"/>
      <c r="V68" s="557"/>
      <c r="W68" s="557"/>
      <c r="X68" s="557"/>
      <c r="Y68" s="557"/>
    </row>
    <row r="69" spans="1:25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7"/>
      <c r="P69" s="557"/>
      <c r="Q69" s="557"/>
      <c r="R69" s="557"/>
      <c r="S69" s="557"/>
      <c r="T69" s="557"/>
      <c r="U69" s="557"/>
      <c r="V69" s="557"/>
      <c r="W69" s="557"/>
      <c r="X69" s="557"/>
      <c r="Y69" s="557"/>
    </row>
    <row r="70" spans="1:25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</row>
    <row r="71" spans="1:25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</row>
    <row r="72" spans="1:25" x14ac:dyDescent="0.2">
      <c r="A72" s="557"/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</row>
    <row r="73" spans="1:25" x14ac:dyDescent="0.2">
      <c r="A73" s="557"/>
      <c r="B73" s="557"/>
      <c r="C73" s="557"/>
      <c r="D73" s="557"/>
      <c r="E73" s="557"/>
      <c r="F73" s="557"/>
      <c r="G73" s="557"/>
      <c r="H73" s="557"/>
      <c r="I73" s="557"/>
      <c r="J73" s="557"/>
      <c r="K73" s="557"/>
      <c r="L73" s="557"/>
      <c r="M73" s="557"/>
      <c r="N73" s="557"/>
      <c r="O73" s="557"/>
      <c r="P73" s="557"/>
      <c r="Q73" s="557"/>
      <c r="R73" s="557"/>
      <c r="S73" s="557"/>
      <c r="T73" s="557"/>
      <c r="U73" s="557"/>
      <c r="V73" s="557"/>
      <c r="W73" s="557"/>
      <c r="X73" s="557"/>
      <c r="Y73" s="557"/>
    </row>
    <row r="74" spans="1:25" x14ac:dyDescent="0.2">
      <c r="A74" s="557"/>
      <c r="B74" s="557"/>
      <c r="C74" s="557"/>
      <c r="D74" s="557"/>
      <c r="E74" s="557"/>
      <c r="F74" s="557"/>
      <c r="G74" s="557"/>
      <c r="H74" s="557"/>
      <c r="I74" s="557"/>
      <c r="J74" s="557"/>
      <c r="K74" s="557"/>
      <c r="L74" s="557"/>
      <c r="M74" s="557"/>
      <c r="N74" s="557"/>
      <c r="O74" s="557"/>
      <c r="P74" s="557"/>
      <c r="Q74" s="557"/>
      <c r="R74" s="557"/>
      <c r="S74" s="557"/>
      <c r="T74" s="557"/>
      <c r="U74" s="557"/>
      <c r="V74" s="557"/>
      <c r="W74" s="557"/>
      <c r="X74" s="557"/>
      <c r="Y74" s="557"/>
    </row>
    <row r="75" spans="1:25" x14ac:dyDescent="0.2">
      <c r="A75" s="557"/>
      <c r="B75" s="557"/>
      <c r="C75" s="557"/>
      <c r="D75" s="557"/>
      <c r="E75" s="557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</row>
    <row r="76" spans="1:25" x14ac:dyDescent="0.2">
      <c r="A76" s="557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7"/>
      <c r="P76" s="557"/>
      <c r="Q76" s="557"/>
      <c r="R76" s="557"/>
      <c r="S76" s="557"/>
      <c r="T76" s="557"/>
      <c r="U76" s="557"/>
      <c r="V76" s="557"/>
      <c r="W76" s="557"/>
      <c r="X76" s="557"/>
      <c r="Y76" s="557"/>
    </row>
    <row r="77" spans="1:25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</row>
    <row r="78" spans="1:25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</row>
    <row r="79" spans="1:25" x14ac:dyDescent="0.2">
      <c r="A79" s="557"/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</row>
    <row r="80" spans="1:25" ht="63.75" x14ac:dyDescent="0.2">
      <c r="A80" s="557"/>
      <c r="B80" s="557"/>
      <c r="C80" s="557"/>
      <c r="D80" s="557"/>
      <c r="E80" s="557"/>
      <c r="F80" s="557"/>
      <c r="G80" s="557"/>
      <c r="H80" s="557"/>
      <c r="I80" s="557"/>
      <c r="J80" s="557"/>
      <c r="K80" s="557"/>
      <c r="L80" s="557"/>
      <c r="M80" s="557"/>
      <c r="N80" s="557"/>
      <c r="O80" s="558" t="s">
        <v>574</v>
      </c>
      <c r="P80" s="557">
        <f>20.53+38.68+59.03+79.05+97.7+104.07+135.54+136.84+140.61+142.34+194.98+168.58+138.41+113.51+115.26+112.05+104.84+104+102.86+101.67+89.93+87.87+85.79+83.91+82.58+81.38+80.15+78.65+76.21+82.2+24.93+53.64+15.21+51.32</f>
        <v>3184.3199999999997</v>
      </c>
      <c r="Q80" s="557"/>
      <c r="R80" s="557"/>
      <c r="S80" s="557"/>
      <c r="T80" s="557"/>
      <c r="U80" s="557"/>
      <c r="V80" s="557"/>
      <c r="W80" s="557"/>
      <c r="X80" s="557"/>
      <c r="Y80" s="557"/>
    </row>
    <row r="81" spans="1:25" x14ac:dyDescent="0.2">
      <c r="A81" s="557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7"/>
      <c r="P81" s="557"/>
      <c r="Q81" s="557"/>
      <c r="R81" s="557"/>
      <c r="S81" s="557"/>
      <c r="T81" s="557"/>
      <c r="U81" s="557"/>
      <c r="V81" s="557"/>
      <c r="W81" s="557"/>
      <c r="X81" s="557"/>
      <c r="Y81" s="557"/>
    </row>
    <row r="82" spans="1:25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7"/>
      <c r="P82" s="557"/>
      <c r="Q82" s="557"/>
      <c r="R82" s="557"/>
      <c r="S82" s="557"/>
      <c r="T82" s="557"/>
      <c r="U82" s="557"/>
      <c r="V82" s="557"/>
      <c r="W82" s="557"/>
      <c r="X82" s="557"/>
      <c r="Y82" s="557"/>
    </row>
    <row r="83" spans="1:25" ht="25.5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8" t="s">
        <v>575</v>
      </c>
      <c r="P83" s="557">
        <f>(0.5*P80*100)/5312</f>
        <v>29.972891566265059</v>
      </c>
      <c r="Q83" s="557"/>
      <c r="R83" s="557"/>
      <c r="S83" s="557"/>
      <c r="T83" s="557"/>
      <c r="U83" s="557"/>
      <c r="V83" s="557"/>
      <c r="W83" s="557"/>
      <c r="X83" s="557"/>
      <c r="Y83" s="557"/>
    </row>
    <row r="84" spans="1:25" x14ac:dyDescent="0.2">
      <c r="A84" s="557"/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</row>
    <row r="85" spans="1:25" x14ac:dyDescent="0.2">
      <c r="A85" s="557"/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</row>
    <row r="86" spans="1:25" x14ac:dyDescent="0.2">
      <c r="A86" s="557"/>
      <c r="B86" s="557"/>
      <c r="C86" s="557"/>
      <c r="D86" s="557"/>
      <c r="E86" s="557"/>
      <c r="F86" s="557"/>
      <c r="G86" s="557"/>
      <c r="H86" s="557"/>
      <c r="I86" s="557"/>
      <c r="J86" s="557"/>
      <c r="K86" s="557"/>
      <c r="L86" s="557"/>
      <c r="M86" s="557"/>
      <c r="N86" s="557"/>
      <c r="O86" s="557"/>
      <c r="P86" s="557"/>
      <c r="Q86" s="557"/>
      <c r="R86" s="557"/>
      <c r="S86" s="557"/>
      <c r="T86" s="557"/>
      <c r="U86" s="557"/>
      <c r="V86" s="557"/>
      <c r="W86" s="557"/>
      <c r="X86" s="557"/>
      <c r="Y86" s="557"/>
    </row>
    <row r="87" spans="1:25" x14ac:dyDescent="0.2">
      <c r="A87" s="557"/>
      <c r="B87" s="557"/>
      <c r="C87" s="557"/>
      <c r="D87" s="557"/>
      <c r="E87" s="557"/>
      <c r="F87" s="557"/>
      <c r="G87" s="557"/>
      <c r="H87" s="557"/>
      <c r="I87" s="557"/>
      <c r="J87" s="557"/>
      <c r="K87" s="557"/>
      <c r="L87" s="557"/>
      <c r="M87" s="557"/>
      <c r="N87" s="557"/>
      <c r="O87" s="557"/>
      <c r="P87" s="557"/>
      <c r="Q87" s="557"/>
      <c r="R87" s="557"/>
      <c r="S87" s="557"/>
      <c r="T87" s="557"/>
      <c r="U87" s="557"/>
      <c r="V87" s="557"/>
      <c r="W87" s="557"/>
      <c r="X87" s="557"/>
      <c r="Y87" s="557"/>
    </row>
    <row r="88" spans="1:25" x14ac:dyDescent="0.2">
      <c r="A88" s="557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7"/>
      <c r="P88" s="557"/>
      <c r="Q88" s="557"/>
      <c r="R88" s="557"/>
      <c r="S88" s="557"/>
      <c r="T88" s="557"/>
      <c r="U88" s="557"/>
      <c r="V88" s="557"/>
      <c r="W88" s="557"/>
      <c r="X88" s="557"/>
      <c r="Y88" s="557"/>
    </row>
    <row r="89" spans="1:25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7"/>
      <c r="P89" s="557"/>
      <c r="Q89" s="557"/>
      <c r="R89" s="557"/>
      <c r="S89" s="557"/>
      <c r="T89" s="557"/>
      <c r="U89" s="557"/>
      <c r="V89" s="557"/>
      <c r="W89" s="557"/>
      <c r="X89" s="557"/>
      <c r="Y89" s="557"/>
    </row>
    <row r="90" spans="1:25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</row>
    <row r="91" spans="1:25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</row>
    <row r="92" spans="1:25" x14ac:dyDescent="0.2">
      <c r="A92" s="557"/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</row>
    <row r="93" spans="1:25" x14ac:dyDescent="0.2">
      <c r="A93" s="557"/>
      <c r="B93" s="557"/>
      <c r="C93" s="557"/>
      <c r="D93" s="557"/>
      <c r="E93" s="557"/>
      <c r="F93" s="557"/>
      <c r="G93" s="557"/>
      <c r="H93" s="557"/>
      <c r="I93" s="557"/>
      <c r="J93" s="557"/>
      <c r="K93" s="557"/>
      <c r="L93" s="557"/>
      <c r="M93" s="557"/>
      <c r="N93" s="557"/>
      <c r="O93" s="557"/>
      <c r="P93" s="557"/>
      <c r="Q93" s="557"/>
      <c r="R93" s="557"/>
      <c r="S93" s="557"/>
      <c r="T93" s="557"/>
      <c r="U93" s="557"/>
      <c r="V93" s="557"/>
      <c r="W93" s="557"/>
      <c r="X93" s="557"/>
      <c r="Y93" s="557"/>
    </row>
    <row r="94" spans="1:25" x14ac:dyDescent="0.2">
      <c r="A94" s="557"/>
      <c r="B94" s="557"/>
      <c r="C94" s="557"/>
      <c r="D94" s="557"/>
      <c r="E94" s="557"/>
      <c r="F94" s="557"/>
      <c r="G94" s="557"/>
      <c r="H94" s="557"/>
      <c r="I94" s="557"/>
      <c r="J94" s="557"/>
      <c r="K94" s="557"/>
      <c r="L94" s="557"/>
      <c r="M94" s="557"/>
      <c r="N94" s="557"/>
      <c r="O94" s="557"/>
      <c r="P94" s="557"/>
      <c r="Q94" s="557"/>
      <c r="R94" s="557"/>
      <c r="S94" s="557"/>
      <c r="T94" s="557"/>
      <c r="U94" s="557"/>
      <c r="V94" s="557"/>
      <c r="W94" s="557"/>
      <c r="X94" s="557"/>
      <c r="Y94" s="557"/>
    </row>
    <row r="95" spans="1:25" x14ac:dyDescent="0.2">
      <c r="A95" s="557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7"/>
      <c r="P95" s="557"/>
      <c r="Q95" s="557"/>
      <c r="R95" s="557"/>
      <c r="S95" s="557"/>
      <c r="T95" s="557"/>
      <c r="U95" s="557"/>
      <c r="V95" s="557"/>
      <c r="W95" s="557"/>
      <c r="X95" s="557"/>
      <c r="Y95" s="557"/>
    </row>
    <row r="96" spans="1:25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7"/>
      <c r="P96" s="557"/>
      <c r="Q96" s="557"/>
      <c r="R96" s="557"/>
      <c r="S96" s="557"/>
      <c r="T96" s="557"/>
      <c r="U96" s="557"/>
      <c r="V96" s="557"/>
      <c r="W96" s="557"/>
      <c r="X96" s="557"/>
      <c r="Y96" s="557"/>
    </row>
    <row r="97" spans="1:25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</row>
    <row r="98" spans="1:25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</row>
    <row r="99" spans="1:25" x14ac:dyDescent="0.2">
      <c r="A99" s="557"/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</row>
    <row r="100" spans="1:25" x14ac:dyDescent="0.2">
      <c r="A100" s="557"/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</row>
    <row r="101" spans="1:25" x14ac:dyDescent="0.2">
      <c r="A101" s="557"/>
      <c r="B101" s="557"/>
      <c r="C101" s="557"/>
      <c r="D101" s="557"/>
      <c r="E101" s="557"/>
      <c r="F101" s="557"/>
      <c r="G101" s="557"/>
      <c r="H101" s="557"/>
      <c r="I101" s="557"/>
      <c r="J101" s="557"/>
      <c r="K101" s="557"/>
      <c r="L101" s="557"/>
      <c r="M101" s="557"/>
      <c r="N101" s="557"/>
      <c r="O101" s="557"/>
      <c r="P101" s="557"/>
      <c r="Q101" s="557"/>
      <c r="R101" s="557"/>
      <c r="S101" s="557"/>
      <c r="T101" s="557"/>
      <c r="U101" s="557"/>
      <c r="V101" s="557"/>
      <c r="W101" s="557"/>
      <c r="X101" s="557"/>
      <c r="Y101" s="557"/>
    </row>
    <row r="102" spans="1:25" x14ac:dyDescent="0.2">
      <c r="A102" s="557"/>
      <c r="B102" s="557"/>
      <c r="C102" s="557"/>
      <c r="D102" s="557"/>
      <c r="E102" s="557"/>
      <c r="F102" s="557"/>
      <c r="G102" s="557"/>
      <c r="H102" s="557"/>
      <c r="I102" s="557"/>
      <c r="J102" s="557"/>
      <c r="K102" s="557"/>
      <c r="L102" s="557"/>
      <c r="M102" s="557"/>
      <c r="N102" s="557"/>
      <c r="O102" s="557"/>
      <c r="P102" s="557"/>
      <c r="Q102" s="557"/>
      <c r="R102" s="557"/>
      <c r="S102" s="557"/>
      <c r="T102" s="557"/>
      <c r="U102" s="557"/>
      <c r="V102" s="557"/>
      <c r="W102" s="557"/>
      <c r="X102" s="557"/>
      <c r="Y102" s="557"/>
    </row>
    <row r="103" spans="1:25" x14ac:dyDescent="0.2">
      <c r="A103" s="557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57"/>
      <c r="P103" s="557"/>
      <c r="Q103" s="557"/>
      <c r="R103" s="557"/>
      <c r="S103" s="557"/>
      <c r="T103" s="557"/>
      <c r="U103" s="557"/>
      <c r="V103" s="557"/>
      <c r="W103" s="557"/>
      <c r="X103" s="557"/>
      <c r="Y103" s="557"/>
    </row>
    <row r="104" spans="1:25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7"/>
      <c r="P104" s="557"/>
      <c r="Q104" s="557"/>
      <c r="R104" s="557"/>
      <c r="S104" s="557"/>
      <c r="T104" s="557"/>
      <c r="U104" s="557"/>
      <c r="V104" s="557"/>
      <c r="W104" s="557"/>
      <c r="X104" s="557"/>
      <c r="Y104" s="557"/>
    </row>
    <row r="105" spans="1:25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</row>
    <row r="106" spans="1:25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</row>
    <row r="107" spans="1:25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</row>
    <row r="108" spans="1:25" x14ac:dyDescent="0.2">
      <c r="A108" s="557"/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</row>
    <row r="109" spans="1:25" x14ac:dyDescent="0.2">
      <c r="A109" s="557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57"/>
      <c r="P109" s="557"/>
      <c r="Q109" s="557"/>
      <c r="R109" s="557"/>
      <c r="S109" s="557"/>
      <c r="T109" s="557"/>
      <c r="U109" s="557"/>
      <c r="V109" s="557"/>
      <c r="W109" s="557"/>
      <c r="X109" s="557"/>
      <c r="Y109" s="557"/>
    </row>
    <row r="110" spans="1:25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7"/>
      <c r="P110" s="557"/>
      <c r="Q110" s="557"/>
      <c r="R110" s="557"/>
      <c r="S110" s="557"/>
      <c r="T110" s="557"/>
      <c r="U110" s="557"/>
      <c r="V110" s="557"/>
      <c r="W110" s="557"/>
      <c r="X110" s="557"/>
      <c r="Y110" s="557"/>
    </row>
    <row r="111" spans="1:25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</row>
    <row r="112" spans="1:25" x14ac:dyDescent="0.2">
      <c r="A112" s="557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</row>
    <row r="113" spans="1:25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7"/>
      <c r="P113" s="557"/>
      <c r="Q113" s="557"/>
      <c r="R113" s="557"/>
      <c r="S113" s="557"/>
      <c r="T113" s="557"/>
      <c r="U113" s="557"/>
      <c r="V113" s="557"/>
      <c r="W113" s="557"/>
      <c r="X113" s="557"/>
      <c r="Y113" s="557"/>
    </row>
    <row r="114" spans="1:25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</row>
    <row r="115" spans="1:25" x14ac:dyDescent="0.2">
      <c r="A115" s="557"/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</row>
    <row r="116" spans="1:25" x14ac:dyDescent="0.2">
      <c r="A116" s="557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57"/>
      <c r="P116" s="557"/>
      <c r="Q116" s="557"/>
      <c r="R116" s="557"/>
      <c r="S116" s="557"/>
      <c r="T116" s="557"/>
      <c r="U116" s="557"/>
      <c r="V116" s="557"/>
      <c r="W116" s="557"/>
      <c r="X116" s="557"/>
      <c r="Y116" s="557"/>
    </row>
    <row r="117" spans="1:25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7"/>
      <c r="P117" s="557"/>
      <c r="Q117" s="557"/>
      <c r="R117" s="557"/>
      <c r="S117" s="557"/>
      <c r="T117" s="557"/>
      <c r="U117" s="557"/>
      <c r="V117" s="557"/>
      <c r="W117" s="557"/>
      <c r="X117" s="557"/>
      <c r="Y117" s="557"/>
    </row>
    <row r="118" spans="1:25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</row>
    <row r="119" spans="1:25" x14ac:dyDescent="0.2">
      <c r="A119" s="557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</row>
    <row r="120" spans="1:25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7"/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</row>
    <row r="121" spans="1:25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</row>
    <row r="122" spans="1:25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</row>
    <row r="123" spans="1:25" x14ac:dyDescent="0.2">
      <c r="A123" s="557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</row>
    <row r="124" spans="1:25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</row>
    <row r="125" spans="1:25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</row>
    <row r="126" spans="1:25" x14ac:dyDescent="0.2">
      <c r="A126" s="557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</row>
    <row r="127" spans="1:25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</row>
    <row r="128" spans="1:25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</row>
    <row r="129" spans="1:25" x14ac:dyDescent="0.2">
      <c r="A129" s="557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</row>
    <row r="130" spans="1:25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7"/>
      <c r="P130" s="557"/>
      <c r="Q130" s="557"/>
      <c r="R130" s="557"/>
      <c r="S130" s="557"/>
      <c r="T130" s="557"/>
      <c r="U130" s="557"/>
      <c r="V130" s="557"/>
      <c r="W130" s="557"/>
      <c r="X130" s="557"/>
      <c r="Y130" s="557"/>
    </row>
    <row r="131" spans="1:25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</row>
    <row r="132" spans="1:25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</row>
    <row r="133" spans="1:25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</row>
    <row r="134" spans="1:25" x14ac:dyDescent="0.2">
      <c r="A134" s="557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</row>
    <row r="135" spans="1:25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7"/>
      <c r="P135" s="557"/>
      <c r="Q135" s="557"/>
      <c r="R135" s="557"/>
      <c r="S135" s="557"/>
      <c r="T135" s="557"/>
      <c r="U135" s="557"/>
      <c r="V135" s="557"/>
      <c r="W135" s="557"/>
      <c r="X135" s="557"/>
      <c r="Y135" s="557"/>
    </row>
    <row r="136" spans="1:25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</row>
    <row r="137" spans="1:25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</row>
    <row r="138" spans="1:25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</row>
    <row r="139" spans="1:25" x14ac:dyDescent="0.2">
      <c r="A139" s="557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</row>
    <row r="140" spans="1:25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</row>
    <row r="141" spans="1:25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</row>
    <row r="142" spans="1:25" x14ac:dyDescent="0.2">
      <c r="A142" s="557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</row>
    <row r="143" spans="1:25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</row>
    <row r="144" spans="1:25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</row>
    <row r="145" spans="1:25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</row>
    <row r="146" spans="1:25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7"/>
      <c r="P146" s="557"/>
      <c r="Q146" s="557"/>
      <c r="R146" s="557"/>
      <c r="S146" s="557"/>
      <c r="T146" s="557"/>
      <c r="U146" s="557"/>
      <c r="V146" s="557"/>
      <c r="W146" s="557"/>
      <c r="X146" s="557"/>
      <c r="Y146" s="557"/>
    </row>
    <row r="147" spans="1:25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</row>
    <row r="148" spans="1:25" x14ac:dyDescent="0.2">
      <c r="A148" s="557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</row>
    <row r="149" spans="1:25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57"/>
      <c r="P149" s="557"/>
      <c r="Q149" s="557"/>
      <c r="R149" s="557"/>
      <c r="S149" s="557"/>
      <c r="T149" s="557"/>
      <c r="U149" s="557"/>
      <c r="V149" s="557"/>
      <c r="W149" s="557"/>
      <c r="X149" s="557"/>
      <c r="Y149" s="557"/>
    </row>
    <row r="150" spans="1:25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</row>
    <row r="151" spans="1:25" x14ac:dyDescent="0.2">
      <c r="A151" s="557"/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</row>
    <row r="152" spans="1:25" x14ac:dyDescent="0.2">
      <c r="A152" s="55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7"/>
      <c r="P152" s="557"/>
      <c r="Q152" s="557"/>
      <c r="R152" s="557"/>
      <c r="S152" s="557"/>
      <c r="T152" s="557"/>
      <c r="U152" s="557"/>
      <c r="V152" s="557"/>
      <c r="W152" s="557"/>
      <c r="X152" s="557"/>
      <c r="Y152" s="557"/>
    </row>
    <row r="153" spans="1:25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7"/>
      <c r="P153" s="557"/>
      <c r="Q153" s="557"/>
      <c r="R153" s="557"/>
      <c r="S153" s="557"/>
      <c r="T153" s="557"/>
      <c r="U153" s="557"/>
      <c r="V153" s="557"/>
      <c r="W153" s="557"/>
      <c r="X153" s="557"/>
      <c r="Y153" s="557"/>
    </row>
    <row r="154" spans="1:25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</row>
    <row r="155" spans="1:25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</row>
    <row r="156" spans="1:25" x14ac:dyDescent="0.2">
      <c r="A156" s="55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</row>
    <row r="157" spans="1:25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</row>
    <row r="158" spans="1:25" x14ac:dyDescent="0.2">
      <c r="A158" s="557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7"/>
      <c r="P158" s="557"/>
      <c r="Q158" s="557"/>
      <c r="R158" s="557"/>
      <c r="S158" s="557"/>
      <c r="T158" s="557"/>
      <c r="U158" s="557"/>
      <c r="V158" s="557"/>
      <c r="W158" s="557"/>
      <c r="X158" s="557"/>
      <c r="Y158" s="557"/>
    </row>
    <row r="159" spans="1:25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</row>
    <row r="160" spans="1:25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</row>
    <row r="161" spans="1:25" x14ac:dyDescent="0.2">
      <c r="A161" s="557"/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</row>
    <row r="162" spans="1:25" x14ac:dyDescent="0.2">
      <c r="A162" s="55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</row>
    <row r="163" spans="1:25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7"/>
      <c r="P163" s="557"/>
      <c r="Q163" s="557"/>
      <c r="R163" s="557"/>
      <c r="S163" s="557"/>
      <c r="T163" s="557"/>
      <c r="U163" s="557"/>
      <c r="V163" s="557"/>
      <c r="W163" s="557"/>
      <c r="X163" s="557"/>
      <c r="Y163" s="557"/>
    </row>
    <row r="164" spans="1:25" x14ac:dyDescent="0.2">
      <c r="A164" s="557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</row>
    <row r="165" spans="1:25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57"/>
      <c r="P165" s="557"/>
      <c r="Q165" s="557"/>
      <c r="R165" s="557"/>
      <c r="S165" s="557"/>
      <c r="T165" s="557"/>
      <c r="U165" s="557"/>
      <c r="V165" s="557"/>
      <c r="W165" s="557"/>
      <c r="X165" s="557"/>
      <c r="Y165" s="557"/>
    </row>
    <row r="166" spans="1:25" x14ac:dyDescent="0.2">
      <c r="A166" s="557"/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</row>
    <row r="167" spans="1:25" x14ac:dyDescent="0.2">
      <c r="A167" s="557"/>
      <c r="B167" s="557"/>
      <c r="C167" s="557"/>
      <c r="D167" s="557"/>
      <c r="E167" s="557"/>
      <c r="F167" s="557"/>
      <c r="G167" s="557"/>
      <c r="H167" s="557"/>
      <c r="I167" s="557"/>
      <c r="J167" s="557"/>
      <c r="K167" s="557"/>
      <c r="L167" s="557"/>
      <c r="M167" s="557"/>
      <c r="N167" s="557"/>
      <c r="O167" s="557"/>
      <c r="P167" s="557"/>
      <c r="Q167" s="557"/>
      <c r="R167" s="557"/>
      <c r="S167" s="557"/>
      <c r="T167" s="557"/>
      <c r="U167" s="557"/>
      <c r="V167" s="557"/>
      <c r="W167" s="557"/>
      <c r="X167" s="557"/>
      <c r="Y167" s="557"/>
    </row>
    <row r="168" spans="1:25" x14ac:dyDescent="0.2">
      <c r="A168" s="557"/>
      <c r="B168" s="557"/>
      <c r="C168" s="557"/>
      <c r="D168" s="557"/>
      <c r="E168" s="557"/>
      <c r="F168" s="557"/>
      <c r="G168" s="557"/>
      <c r="H168" s="557"/>
      <c r="I168" s="557"/>
      <c r="J168" s="557"/>
      <c r="K168" s="557"/>
      <c r="L168" s="557"/>
      <c r="M168" s="557"/>
      <c r="N168" s="557"/>
      <c r="O168" s="557"/>
      <c r="P168" s="557"/>
      <c r="Q168" s="557"/>
      <c r="R168" s="557"/>
      <c r="S168" s="557"/>
      <c r="T168" s="557"/>
      <c r="U168" s="557"/>
      <c r="V168" s="557"/>
      <c r="W168" s="557"/>
      <c r="X168" s="557"/>
      <c r="Y168" s="557"/>
    </row>
    <row r="169" spans="1:25" x14ac:dyDescent="0.2">
      <c r="A169" s="557"/>
      <c r="B169" s="557"/>
      <c r="C169" s="557"/>
      <c r="D169" s="557"/>
      <c r="E169" s="557"/>
      <c r="F169" s="557"/>
      <c r="G169" s="557"/>
      <c r="H169" s="557"/>
      <c r="I169" s="557"/>
      <c r="J169" s="557"/>
      <c r="K169" s="557"/>
      <c r="L169" s="557"/>
      <c r="M169" s="557"/>
      <c r="N169" s="557"/>
      <c r="O169" s="557"/>
      <c r="P169" s="557"/>
      <c r="Q169" s="557"/>
      <c r="R169" s="557"/>
      <c r="S169" s="557"/>
      <c r="T169" s="557"/>
      <c r="U169" s="557"/>
      <c r="V169" s="557"/>
      <c r="W169" s="557"/>
      <c r="X169" s="557"/>
      <c r="Y169" s="557"/>
    </row>
    <row r="170" spans="1:25" x14ac:dyDescent="0.2">
      <c r="A170" s="557"/>
      <c r="B170" s="557"/>
      <c r="C170" s="557"/>
      <c r="D170" s="557"/>
      <c r="E170" s="557"/>
      <c r="F170" s="557"/>
      <c r="G170" s="557"/>
      <c r="H170" s="557"/>
      <c r="I170" s="557"/>
      <c r="J170" s="557"/>
      <c r="K170" s="557"/>
      <c r="L170" s="557"/>
      <c r="M170" s="557"/>
      <c r="N170" s="557"/>
      <c r="O170" s="557"/>
      <c r="P170" s="557"/>
      <c r="Q170" s="557"/>
      <c r="R170" s="557"/>
      <c r="S170" s="557"/>
      <c r="T170" s="557"/>
      <c r="U170" s="557"/>
      <c r="V170" s="557"/>
      <c r="W170" s="557"/>
      <c r="X170" s="557"/>
      <c r="Y170" s="557"/>
    </row>
    <row r="171" spans="1:25" x14ac:dyDescent="0.2">
      <c r="A171" s="557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57"/>
      <c r="P171" s="557"/>
      <c r="Q171" s="557"/>
      <c r="R171" s="557"/>
      <c r="S171" s="557"/>
      <c r="T171" s="557"/>
      <c r="U171" s="557"/>
      <c r="V171" s="557"/>
      <c r="W171" s="557"/>
      <c r="X171" s="557"/>
      <c r="Y171" s="557"/>
    </row>
    <row r="172" spans="1:25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7"/>
      <c r="P172" s="557"/>
      <c r="Q172" s="557"/>
      <c r="R172" s="557"/>
      <c r="S172" s="557"/>
      <c r="T172" s="557"/>
      <c r="U172" s="557"/>
      <c r="V172" s="557"/>
      <c r="W172" s="557"/>
      <c r="X172" s="557"/>
      <c r="Y172" s="557"/>
    </row>
    <row r="173" spans="1:25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</row>
    <row r="174" spans="1:25" x14ac:dyDescent="0.2">
      <c r="A174" s="557"/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</row>
    <row r="175" spans="1:25" x14ac:dyDescent="0.2">
      <c r="A175" s="557"/>
      <c r="B175" s="557"/>
      <c r="C175" s="557"/>
      <c r="D175" s="557"/>
      <c r="E175" s="557"/>
      <c r="F175" s="557"/>
      <c r="G175" s="557"/>
      <c r="H175" s="557"/>
      <c r="I175" s="557"/>
      <c r="J175" s="557"/>
      <c r="K175" s="557"/>
      <c r="L175" s="557"/>
      <c r="M175" s="557"/>
      <c r="N175" s="557"/>
      <c r="O175" s="557"/>
      <c r="P175" s="557"/>
      <c r="Q175" s="557"/>
      <c r="R175" s="557"/>
      <c r="S175" s="557"/>
      <c r="T175" s="557"/>
      <c r="U175" s="557"/>
      <c r="V175" s="557"/>
      <c r="W175" s="557"/>
      <c r="X175" s="557"/>
      <c r="Y175" s="557"/>
    </row>
    <row r="176" spans="1:25" x14ac:dyDescent="0.2">
      <c r="A176" s="557"/>
      <c r="B176" s="557"/>
      <c r="C176" s="557"/>
      <c r="D176" s="557"/>
      <c r="E176" s="557"/>
      <c r="F176" s="557"/>
      <c r="G176" s="557"/>
      <c r="H176" s="557"/>
      <c r="I176" s="557"/>
      <c r="J176" s="557"/>
      <c r="K176" s="557"/>
      <c r="L176" s="557"/>
      <c r="M176" s="557"/>
      <c r="N176" s="557"/>
      <c r="O176" s="557"/>
      <c r="P176" s="557"/>
      <c r="Q176" s="557"/>
      <c r="R176" s="557"/>
      <c r="S176" s="557"/>
      <c r="T176" s="557"/>
      <c r="U176" s="557"/>
      <c r="V176" s="557"/>
      <c r="W176" s="557"/>
      <c r="X176" s="557"/>
      <c r="Y176" s="557"/>
    </row>
    <row r="177" spans="1:25" x14ac:dyDescent="0.2">
      <c r="A177" s="55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7"/>
      <c r="P177" s="557"/>
      <c r="Q177" s="557"/>
      <c r="R177" s="557"/>
      <c r="S177" s="557"/>
      <c r="T177" s="557"/>
      <c r="U177" s="557"/>
      <c r="V177" s="557"/>
      <c r="W177" s="557"/>
      <c r="X177" s="557"/>
      <c r="Y177" s="557"/>
    </row>
    <row r="178" spans="1:25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7"/>
      <c r="P178" s="557"/>
      <c r="Q178" s="557"/>
      <c r="R178" s="557"/>
      <c r="S178" s="557"/>
      <c r="T178" s="557"/>
      <c r="U178" s="557"/>
      <c r="V178" s="557"/>
      <c r="W178" s="557"/>
      <c r="X178" s="557"/>
      <c r="Y178" s="557"/>
    </row>
    <row r="179" spans="1:25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</row>
    <row r="180" spans="1:25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</row>
    <row r="181" spans="1:25" x14ac:dyDescent="0.2">
      <c r="A181" s="557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</row>
    <row r="182" spans="1:25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7"/>
      <c r="P182" s="557"/>
      <c r="Q182" s="557"/>
      <c r="R182" s="557"/>
      <c r="S182" s="557"/>
      <c r="T182" s="557"/>
      <c r="U182" s="557"/>
      <c r="V182" s="557"/>
      <c r="W182" s="557"/>
      <c r="X182" s="557"/>
      <c r="Y182" s="557"/>
    </row>
    <row r="183" spans="1:25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</row>
    <row r="184" spans="1:25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</row>
    <row r="185" spans="1:25" x14ac:dyDescent="0.2">
      <c r="A185" s="557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</row>
    <row r="186" spans="1:25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57"/>
      <c r="P186" s="557"/>
      <c r="Q186" s="557"/>
      <c r="R186" s="557"/>
      <c r="S186" s="557"/>
      <c r="T186" s="557"/>
      <c r="U186" s="557"/>
      <c r="V186" s="557"/>
      <c r="W186" s="557"/>
      <c r="X186" s="557"/>
      <c r="Y186" s="557"/>
    </row>
    <row r="187" spans="1:25" x14ac:dyDescent="0.2">
      <c r="A187" s="55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</row>
    <row r="188" spans="1:25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7"/>
      <c r="P188" s="557"/>
      <c r="Q188" s="557"/>
      <c r="R188" s="557"/>
      <c r="S188" s="557"/>
      <c r="T188" s="557"/>
      <c r="U188" s="557"/>
      <c r="V188" s="557"/>
      <c r="W188" s="557"/>
      <c r="X188" s="557"/>
      <c r="Y188" s="557"/>
    </row>
    <row r="189" spans="1:25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</row>
    <row r="190" spans="1:25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</row>
    <row r="191" spans="1:25" x14ac:dyDescent="0.2">
      <c r="A191" s="557"/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</row>
    <row r="192" spans="1:25" x14ac:dyDescent="0.2">
      <c r="A192" s="557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</row>
    <row r="193" spans="1:25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7"/>
      <c r="P193" s="557"/>
      <c r="Q193" s="557"/>
      <c r="R193" s="557"/>
      <c r="S193" s="557"/>
      <c r="T193" s="557"/>
      <c r="U193" s="557"/>
      <c r="V193" s="557"/>
      <c r="W193" s="557"/>
      <c r="X193" s="557"/>
      <c r="Y193" s="557"/>
    </row>
    <row r="194" spans="1:25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</row>
    <row r="195" spans="1:25" x14ac:dyDescent="0.2">
      <c r="A195" s="557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</row>
    <row r="196" spans="1:25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57"/>
      <c r="P196" s="557"/>
      <c r="Q196" s="557"/>
      <c r="R196" s="557"/>
      <c r="S196" s="557"/>
      <c r="T196" s="557"/>
      <c r="U196" s="557"/>
      <c r="V196" s="557"/>
      <c r="W196" s="557"/>
      <c r="X196" s="557"/>
      <c r="Y196" s="557"/>
    </row>
    <row r="197" spans="1:25" x14ac:dyDescent="0.2">
      <c r="A197" s="557"/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</row>
    <row r="198" spans="1:25" x14ac:dyDescent="0.2">
      <c r="A198" s="55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7"/>
      <c r="P198" s="557"/>
      <c r="Q198" s="557"/>
      <c r="R198" s="557"/>
      <c r="S198" s="557"/>
      <c r="T198" s="557"/>
      <c r="U198" s="557"/>
      <c r="V198" s="557"/>
      <c r="W198" s="557"/>
      <c r="X198" s="557"/>
      <c r="Y198" s="557"/>
    </row>
    <row r="199" spans="1:25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7"/>
      <c r="P199" s="557"/>
      <c r="Q199" s="557"/>
      <c r="R199" s="557"/>
      <c r="S199" s="557"/>
      <c r="T199" s="557"/>
      <c r="U199" s="557"/>
      <c r="V199" s="557"/>
      <c r="W199" s="557"/>
      <c r="X199" s="557"/>
      <c r="Y199" s="557"/>
    </row>
    <row r="200" spans="1:25" x14ac:dyDescent="0.2">
      <c r="A200" s="557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</row>
    <row r="201" spans="1:25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57"/>
      <c r="P201" s="557"/>
      <c r="Q201" s="557"/>
      <c r="R201" s="557"/>
      <c r="S201" s="557"/>
      <c r="T201" s="557"/>
      <c r="U201" s="557"/>
      <c r="V201" s="557"/>
      <c r="W201" s="557"/>
      <c r="X201" s="557"/>
      <c r="Y201" s="557"/>
    </row>
    <row r="202" spans="1:25" x14ac:dyDescent="0.2">
      <c r="A202" s="557"/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</row>
    <row r="203" spans="1:25" x14ac:dyDescent="0.2">
      <c r="A203" s="557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7"/>
      <c r="P203" s="557"/>
      <c r="Q203" s="557"/>
      <c r="R203" s="557"/>
      <c r="S203" s="557"/>
      <c r="T203" s="557"/>
      <c r="U203" s="557"/>
      <c r="V203" s="557"/>
      <c r="W203" s="557"/>
      <c r="X203" s="557"/>
      <c r="Y203" s="557"/>
    </row>
    <row r="204" spans="1:25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7"/>
      <c r="P204" s="557"/>
      <c r="Q204" s="557"/>
      <c r="R204" s="557"/>
      <c r="S204" s="557"/>
      <c r="T204" s="557"/>
      <c r="U204" s="557"/>
      <c r="V204" s="557"/>
      <c r="W204" s="557"/>
      <c r="X204" s="557"/>
      <c r="Y204" s="557"/>
    </row>
    <row r="205" spans="1:25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</row>
    <row r="206" spans="1:25" x14ac:dyDescent="0.2">
      <c r="A206" s="557"/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</row>
    <row r="207" spans="1:25" x14ac:dyDescent="0.2">
      <c r="A207" s="557"/>
      <c r="B207" s="557"/>
      <c r="C207" s="557"/>
      <c r="D207" s="557"/>
      <c r="E207" s="557"/>
      <c r="F207" s="557"/>
      <c r="G207" s="557"/>
      <c r="H207" s="557"/>
      <c r="I207" s="557"/>
      <c r="J207" s="557"/>
      <c r="K207" s="557"/>
      <c r="L207" s="557"/>
      <c r="M207" s="557"/>
      <c r="N207" s="557"/>
      <c r="O207" s="557"/>
      <c r="P207" s="557"/>
      <c r="Q207" s="557"/>
      <c r="R207" s="557"/>
      <c r="S207" s="557"/>
      <c r="T207" s="557"/>
      <c r="U207" s="557"/>
      <c r="V207" s="557"/>
      <c r="W207" s="557"/>
      <c r="X207" s="557"/>
      <c r="Y207" s="557"/>
    </row>
    <row r="208" spans="1:25" x14ac:dyDescent="0.2">
      <c r="A208" s="557"/>
      <c r="B208" s="557"/>
      <c r="C208" s="557"/>
      <c r="D208" s="557"/>
      <c r="E208" s="557"/>
      <c r="F208" s="557"/>
      <c r="G208" s="557"/>
      <c r="H208" s="557"/>
      <c r="I208" s="557"/>
      <c r="J208" s="557"/>
      <c r="K208" s="557"/>
      <c r="L208" s="557"/>
      <c r="M208" s="557"/>
      <c r="N208" s="557"/>
      <c r="O208" s="557"/>
      <c r="P208" s="557"/>
      <c r="Q208" s="557"/>
      <c r="R208" s="557"/>
      <c r="S208" s="557"/>
      <c r="T208" s="557"/>
      <c r="U208" s="557"/>
      <c r="V208" s="557"/>
      <c r="W208" s="557"/>
      <c r="X208" s="557"/>
      <c r="Y208" s="557"/>
    </row>
    <row r="209" spans="1:25" x14ac:dyDescent="0.2">
      <c r="A209" s="55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7"/>
      <c r="P209" s="557"/>
      <c r="Q209" s="557"/>
      <c r="R209" s="557"/>
      <c r="S209" s="557"/>
      <c r="T209" s="557"/>
      <c r="U209" s="557"/>
      <c r="V209" s="557"/>
      <c r="W209" s="557"/>
      <c r="X209" s="557"/>
      <c r="Y209" s="557"/>
    </row>
    <row r="210" spans="1:25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7"/>
      <c r="P210" s="557"/>
      <c r="Q210" s="557"/>
      <c r="R210" s="557"/>
      <c r="S210" s="557"/>
      <c r="T210" s="557"/>
      <c r="U210" s="557"/>
      <c r="V210" s="557"/>
      <c r="W210" s="557"/>
      <c r="X210" s="557"/>
      <c r="Y210" s="557"/>
    </row>
    <row r="211" spans="1:25" x14ac:dyDescent="0.2">
      <c r="A211" s="557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</row>
    <row r="212" spans="1:25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57"/>
      <c r="P212" s="557"/>
      <c r="Q212" s="557"/>
      <c r="R212" s="557"/>
      <c r="S212" s="557"/>
      <c r="T212" s="557"/>
      <c r="U212" s="557"/>
      <c r="V212" s="557"/>
      <c r="W212" s="557"/>
      <c r="X212" s="557"/>
      <c r="Y212" s="557"/>
    </row>
    <row r="213" spans="1:25" x14ac:dyDescent="0.2">
      <c r="A213" s="557"/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</row>
    <row r="214" spans="1:25" x14ac:dyDescent="0.2">
      <c r="A214" s="557"/>
      <c r="B214" s="557"/>
      <c r="C214" s="557"/>
      <c r="D214" s="557"/>
      <c r="E214" s="557"/>
      <c r="F214" s="557"/>
      <c r="G214" s="557"/>
      <c r="H214" s="557"/>
      <c r="I214" s="557"/>
      <c r="J214" s="557"/>
      <c r="K214" s="557"/>
      <c r="L214" s="557"/>
      <c r="M214" s="557"/>
      <c r="N214" s="557"/>
      <c r="O214" s="557"/>
      <c r="P214" s="557"/>
      <c r="Q214" s="557"/>
      <c r="R214" s="557"/>
      <c r="S214" s="557"/>
      <c r="T214" s="557"/>
      <c r="U214" s="557"/>
      <c r="V214" s="557"/>
      <c r="W214" s="557"/>
      <c r="X214" s="557"/>
      <c r="Y214" s="557"/>
    </row>
    <row r="215" spans="1:25" x14ac:dyDescent="0.2">
      <c r="A215" s="557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57"/>
      <c r="P215" s="557"/>
      <c r="Q215" s="557"/>
      <c r="R215" s="557"/>
      <c r="S215" s="557"/>
      <c r="T215" s="557"/>
      <c r="U215" s="557"/>
      <c r="V215" s="557"/>
      <c r="W215" s="557"/>
      <c r="X215" s="557"/>
      <c r="Y215" s="557"/>
    </row>
    <row r="216" spans="1:25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7"/>
      <c r="P216" s="557"/>
      <c r="Q216" s="557"/>
      <c r="R216" s="557"/>
      <c r="S216" s="557"/>
      <c r="T216" s="557"/>
      <c r="U216" s="557"/>
      <c r="V216" s="557"/>
      <c r="W216" s="557"/>
      <c r="X216" s="557"/>
      <c r="Y216" s="557"/>
    </row>
    <row r="217" spans="1:25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</row>
    <row r="218" spans="1:25" x14ac:dyDescent="0.2">
      <c r="A218" s="557"/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</row>
    <row r="219" spans="1:25" x14ac:dyDescent="0.2">
      <c r="A219" s="557"/>
      <c r="B219" s="557"/>
      <c r="C219" s="557"/>
      <c r="D219" s="557"/>
      <c r="E219" s="557"/>
      <c r="F219" s="557"/>
      <c r="G219" s="557"/>
      <c r="H219" s="557"/>
      <c r="I219" s="557"/>
      <c r="J219" s="557"/>
      <c r="K219" s="557"/>
      <c r="L219" s="557"/>
      <c r="M219" s="557"/>
      <c r="N219" s="557"/>
      <c r="O219" s="557"/>
      <c r="P219" s="557"/>
      <c r="Q219" s="557"/>
      <c r="R219" s="557"/>
      <c r="S219" s="557"/>
      <c r="T219" s="557"/>
      <c r="U219" s="557"/>
      <c r="V219" s="557"/>
      <c r="W219" s="557"/>
      <c r="X219" s="557"/>
      <c r="Y219" s="557"/>
    </row>
    <row r="220" spans="1:25" x14ac:dyDescent="0.2">
      <c r="A220" s="557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57"/>
      <c r="P220" s="557"/>
      <c r="Q220" s="557"/>
      <c r="R220" s="557"/>
      <c r="S220" s="557"/>
      <c r="T220" s="557"/>
      <c r="U220" s="557"/>
      <c r="V220" s="557"/>
      <c r="W220" s="557"/>
      <c r="X220" s="557"/>
      <c r="Y220" s="557"/>
    </row>
    <row r="221" spans="1:25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7"/>
      <c r="P221" s="557"/>
      <c r="Q221" s="557"/>
      <c r="R221" s="557"/>
      <c r="S221" s="557"/>
      <c r="T221" s="557"/>
      <c r="U221" s="557"/>
      <c r="V221" s="557"/>
      <c r="W221" s="557"/>
      <c r="X221" s="557"/>
      <c r="Y221" s="557"/>
    </row>
    <row r="222" spans="1:25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</row>
    <row r="223" spans="1:25" x14ac:dyDescent="0.2">
      <c r="A223" s="557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</row>
    <row r="224" spans="1:25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</row>
    <row r="225" spans="1:25" x14ac:dyDescent="0.2">
      <c r="A225" s="557"/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</row>
    <row r="226" spans="1:25" x14ac:dyDescent="0.2">
      <c r="A226" s="55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7"/>
      <c r="P226" s="557"/>
      <c r="Q226" s="557"/>
      <c r="R226" s="557"/>
      <c r="S226" s="557"/>
      <c r="T226" s="557"/>
      <c r="U226" s="557"/>
      <c r="V226" s="557"/>
      <c r="W226" s="557"/>
      <c r="X226" s="557"/>
      <c r="Y226" s="557"/>
    </row>
    <row r="227" spans="1:25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7"/>
      <c r="P227" s="557"/>
      <c r="Q227" s="557"/>
      <c r="R227" s="557"/>
      <c r="S227" s="557"/>
      <c r="T227" s="557"/>
      <c r="U227" s="557"/>
      <c r="V227" s="557"/>
      <c r="W227" s="557"/>
      <c r="X227" s="557"/>
      <c r="Y227" s="557"/>
    </row>
    <row r="228" spans="1:25" x14ac:dyDescent="0.2">
      <c r="A228" s="557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</row>
    <row r="229" spans="1:25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</row>
    <row r="230" spans="1:25" x14ac:dyDescent="0.2">
      <c r="A230" s="557"/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</row>
    <row r="231" spans="1:25" x14ac:dyDescent="0.2">
      <c r="A231" s="557"/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</row>
    <row r="232" spans="1:25" x14ac:dyDescent="0.2">
      <c r="A232" s="557"/>
      <c r="B232" s="557"/>
      <c r="C232" s="557"/>
      <c r="D232" s="557"/>
      <c r="E232" s="557"/>
      <c r="F232" s="557"/>
      <c r="G232" s="557"/>
      <c r="H232" s="557"/>
      <c r="I232" s="557"/>
      <c r="J232" s="557"/>
      <c r="K232" s="557"/>
      <c r="L232" s="557"/>
      <c r="M232" s="557"/>
      <c r="N232" s="557"/>
      <c r="O232" s="557"/>
      <c r="P232" s="557"/>
      <c r="Q232" s="557"/>
      <c r="R232" s="557"/>
      <c r="S232" s="557"/>
      <c r="T232" s="557"/>
      <c r="U232" s="557"/>
      <c r="V232" s="557"/>
      <c r="W232" s="557"/>
      <c r="X232" s="557"/>
      <c r="Y232" s="557"/>
    </row>
    <row r="233" spans="1:25" x14ac:dyDescent="0.2">
      <c r="A233" s="557"/>
      <c r="B233" s="557"/>
      <c r="C233" s="557"/>
      <c r="D233" s="557"/>
      <c r="E233" s="557"/>
      <c r="F233" s="557"/>
      <c r="G233" s="557"/>
      <c r="H233" s="557"/>
      <c r="I233" s="557"/>
      <c r="J233" s="557"/>
      <c r="K233" s="557"/>
      <c r="L233" s="557"/>
      <c r="M233" s="557"/>
      <c r="N233" s="557"/>
      <c r="O233" s="557"/>
      <c r="P233" s="557"/>
      <c r="Q233" s="557"/>
      <c r="R233" s="557"/>
      <c r="S233" s="557"/>
      <c r="T233" s="557"/>
      <c r="U233" s="557"/>
      <c r="V233" s="557"/>
      <c r="W233" s="557"/>
      <c r="X233" s="557"/>
      <c r="Y233" s="557"/>
    </row>
    <row r="234" spans="1:25" x14ac:dyDescent="0.2">
      <c r="A234" s="557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57"/>
      <c r="P234" s="557"/>
      <c r="Q234" s="557"/>
      <c r="R234" s="557"/>
      <c r="S234" s="557"/>
      <c r="T234" s="557"/>
      <c r="U234" s="557"/>
      <c r="V234" s="557"/>
      <c r="W234" s="557"/>
      <c r="X234" s="557"/>
      <c r="Y234" s="557"/>
    </row>
    <row r="235" spans="1:25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7"/>
      <c r="P235" s="557"/>
      <c r="Q235" s="557"/>
      <c r="R235" s="557"/>
      <c r="S235" s="557"/>
      <c r="T235" s="557"/>
      <c r="U235" s="557"/>
      <c r="V235" s="557"/>
      <c r="W235" s="557"/>
      <c r="X235" s="557"/>
      <c r="Y235" s="557"/>
    </row>
    <row r="236" spans="1:25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</row>
    <row r="237" spans="1:25" x14ac:dyDescent="0.2">
      <c r="A237" s="557"/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</row>
    <row r="238" spans="1:25" x14ac:dyDescent="0.2">
      <c r="A238" s="557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57"/>
      <c r="P238" s="557"/>
      <c r="Q238" s="557"/>
      <c r="R238" s="557"/>
      <c r="S238" s="557"/>
      <c r="T238" s="557"/>
      <c r="U238" s="557"/>
      <c r="V238" s="557"/>
      <c r="W238" s="557"/>
      <c r="X238" s="557"/>
      <c r="Y238" s="557"/>
    </row>
    <row r="239" spans="1:25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7"/>
      <c r="P239" s="557"/>
      <c r="Q239" s="557"/>
      <c r="R239" s="557"/>
      <c r="S239" s="557"/>
      <c r="T239" s="557"/>
      <c r="U239" s="557"/>
      <c r="V239" s="557"/>
      <c r="W239" s="557"/>
      <c r="X239" s="557"/>
      <c r="Y239" s="557"/>
    </row>
    <row r="240" spans="1:25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</row>
    <row r="241" spans="1:25" x14ac:dyDescent="0.2">
      <c r="A241" s="557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</row>
    <row r="242" spans="1:25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7"/>
      <c r="P242" s="557"/>
      <c r="Q242" s="557"/>
      <c r="R242" s="557"/>
      <c r="S242" s="557"/>
      <c r="T242" s="557"/>
      <c r="U242" s="557"/>
      <c r="V242" s="557"/>
      <c r="W242" s="557"/>
      <c r="X242" s="557"/>
      <c r="Y242" s="557"/>
    </row>
    <row r="243" spans="1:25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</row>
    <row r="244" spans="1:25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</row>
    <row r="245" spans="1:25" x14ac:dyDescent="0.2">
      <c r="A245" s="557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</row>
    <row r="246" spans="1:25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57"/>
      <c r="P246" s="557"/>
      <c r="Q246" s="557"/>
      <c r="R246" s="557"/>
      <c r="S246" s="557"/>
      <c r="T246" s="557"/>
      <c r="U246" s="557"/>
      <c r="V246" s="557"/>
      <c r="W246" s="557"/>
      <c r="X246" s="557"/>
      <c r="Y246" s="557"/>
    </row>
    <row r="247" spans="1:25" x14ac:dyDescent="0.2">
      <c r="A247" s="55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</row>
    <row r="248" spans="1:25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7"/>
      <c r="P248" s="557"/>
      <c r="Q248" s="557"/>
      <c r="R248" s="557"/>
      <c r="S248" s="557"/>
      <c r="T248" s="557"/>
      <c r="U248" s="557"/>
      <c r="V248" s="557"/>
      <c r="W248" s="557"/>
      <c r="X248" s="557"/>
      <c r="Y248" s="557"/>
    </row>
    <row r="249" spans="1:25" x14ac:dyDescent="0.2">
      <c r="A249" s="557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</row>
    <row r="250" spans="1:25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7"/>
      <c r="P250" s="557"/>
      <c r="Q250" s="557"/>
      <c r="R250" s="557"/>
      <c r="S250" s="557"/>
      <c r="T250" s="557"/>
      <c r="U250" s="557"/>
      <c r="V250" s="557"/>
      <c r="W250" s="557"/>
      <c r="X250" s="557"/>
      <c r="Y250" s="557"/>
    </row>
    <row r="251" spans="1:25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</row>
    <row r="252" spans="1:25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</row>
    <row r="253" spans="1:25" x14ac:dyDescent="0.2">
      <c r="A253" s="557"/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</row>
    <row r="254" spans="1:25" x14ac:dyDescent="0.2">
      <c r="A254" s="557"/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</row>
    <row r="255" spans="1:25" x14ac:dyDescent="0.2">
      <c r="A255" s="55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7"/>
      <c r="P255" s="557"/>
      <c r="Q255" s="557"/>
      <c r="R255" s="557"/>
      <c r="S255" s="557"/>
      <c r="T255" s="557"/>
      <c r="U255" s="557"/>
      <c r="V255" s="557"/>
      <c r="W255" s="557"/>
      <c r="X255" s="557"/>
      <c r="Y255" s="557"/>
    </row>
    <row r="256" spans="1:25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7"/>
      <c r="P256" s="557"/>
      <c r="Q256" s="557"/>
      <c r="R256" s="557"/>
      <c r="S256" s="557"/>
      <c r="T256" s="557"/>
      <c r="U256" s="557"/>
      <c r="V256" s="557"/>
      <c r="W256" s="557"/>
      <c r="X256" s="557"/>
      <c r="Y256" s="557"/>
    </row>
    <row r="257" spans="1:25" x14ac:dyDescent="0.2">
      <c r="A257" s="557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1:25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1:25" x14ac:dyDescent="0.2">
      <c r="A259" s="557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1:25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1:25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1:25" x14ac:dyDescent="0.2">
      <c r="A262" s="557"/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1:25" x14ac:dyDescent="0.2">
      <c r="A263" s="557"/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1:25" x14ac:dyDescent="0.2">
      <c r="A264" s="55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1:25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1:25" x14ac:dyDescent="0.2">
      <c r="A266" s="557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1:25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1:25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1:25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1:25" x14ac:dyDescent="0.2">
      <c r="A270" s="557"/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1:25" x14ac:dyDescent="0.2">
      <c r="A271" s="557"/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1:25" x14ac:dyDescent="0.2">
      <c r="A272" s="55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1:25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1:25" x14ac:dyDescent="0.2">
      <c r="A274" s="557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1:25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1:25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1:25" x14ac:dyDescent="0.2">
      <c r="A277" s="557"/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1:25" x14ac:dyDescent="0.2">
      <c r="A278" s="557"/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1:25" x14ac:dyDescent="0.2">
      <c r="A279" s="55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1:25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1:25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1:25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1:25" x14ac:dyDescent="0.2">
      <c r="A283" s="557"/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1:25" x14ac:dyDescent="0.2">
      <c r="A284" s="557"/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1:25" x14ac:dyDescent="0.2">
      <c r="A285" s="55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1:25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1:25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1:25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1:25" x14ac:dyDescent="0.2">
      <c r="A289" s="557"/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1:25" x14ac:dyDescent="0.2">
      <c r="A290" s="55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1:25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1:25" x14ac:dyDescent="0.2">
      <c r="A292" s="557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1:25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1:25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1:25" x14ac:dyDescent="0.2">
      <c r="A295" s="55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1:25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1:25" x14ac:dyDescent="0.2">
      <c r="A297" s="557"/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1:25" x14ac:dyDescent="0.2">
      <c r="A298" s="557"/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1:25" x14ac:dyDescent="0.2">
      <c r="A299" s="55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1:25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1:25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1:25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1:25" x14ac:dyDescent="0.2">
      <c r="A303" s="557"/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1:25" x14ac:dyDescent="0.2">
      <c r="A304" s="55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1:25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1:25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1:25" x14ac:dyDescent="0.2">
      <c r="A307" s="557"/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1:25" x14ac:dyDescent="0.2">
      <c r="A308" s="55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1:25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1:25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1:25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1:25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1:25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1:25" x14ac:dyDescent="0.2">
      <c r="A314" s="557"/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1:25" x14ac:dyDescent="0.2">
      <c r="A315" s="55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1:25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1:25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1:25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1:25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1:25" x14ac:dyDescent="0.2">
      <c r="A320" s="557"/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1:25" x14ac:dyDescent="0.2">
      <c r="A321" s="55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1:25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1:25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1:25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1:25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1:25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1:25" x14ac:dyDescent="0.2">
      <c r="A327" s="557"/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1:25" x14ac:dyDescent="0.2">
      <c r="A328" s="55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1:25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1:25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1:25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1:25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1:25" x14ac:dyDescent="0.2">
      <c r="A333" s="557"/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1:25" x14ac:dyDescent="0.2">
      <c r="A334" s="55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1:25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1:25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1:25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1:25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1:25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1:25" x14ac:dyDescent="0.2">
      <c r="A340" s="557"/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1:25" x14ac:dyDescent="0.2">
      <c r="A341" s="55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1:25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1:25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1:25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1:25" x14ac:dyDescent="0.2">
      <c r="A345" s="557"/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1:25" x14ac:dyDescent="0.2">
      <c r="A346" s="557"/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1:25" x14ac:dyDescent="0.2">
      <c r="A347" s="557"/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1:25" x14ac:dyDescent="0.2">
      <c r="A348" s="557"/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1:25" x14ac:dyDescent="0.2">
      <c r="A349" s="55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1:25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1:25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1:25" x14ac:dyDescent="0.2">
      <c r="A352" s="557"/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1:25" x14ac:dyDescent="0.2">
      <c r="A353" s="55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1:25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1:25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1:25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1:25" x14ac:dyDescent="0.2">
      <c r="A357" s="557"/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1:25" x14ac:dyDescent="0.2">
      <c r="A358" s="55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1:25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1:25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1:25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1:25" x14ac:dyDescent="0.2">
      <c r="A362" s="557"/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1:25" x14ac:dyDescent="0.2">
      <c r="A363" s="55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1:25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1:25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1:25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1:25" x14ac:dyDescent="0.2">
      <c r="A367" s="55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1:25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1:25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1:25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1:25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1:25" x14ac:dyDescent="0.2">
      <c r="A372" s="557"/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1:25" x14ac:dyDescent="0.2">
      <c r="A373" s="55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1:25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1:25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1:25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1:25" x14ac:dyDescent="0.2">
      <c r="A377" s="557"/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1:25" x14ac:dyDescent="0.2">
      <c r="A378" s="55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1:25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1:25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1:25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1:25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1:25" x14ac:dyDescent="0.2">
      <c r="A383" s="557"/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1:25" x14ac:dyDescent="0.2">
      <c r="A384" s="55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1:25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1:25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1:25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1:25" x14ac:dyDescent="0.2">
      <c r="A388" s="557"/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1:25" x14ac:dyDescent="0.2">
      <c r="A389" s="557"/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1:25" x14ac:dyDescent="0.2">
      <c r="A390" s="557"/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1:25" x14ac:dyDescent="0.2">
      <c r="A391" s="557"/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1:25" x14ac:dyDescent="0.2">
      <c r="A392" s="557"/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1:25" x14ac:dyDescent="0.2">
      <c r="A393" s="557"/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1:25" x14ac:dyDescent="0.2">
      <c r="A394" s="55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1:25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1:25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1:25" x14ac:dyDescent="0.2">
      <c r="A397" s="557"/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1:25" x14ac:dyDescent="0.2">
      <c r="A398" s="55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1:25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1:25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1:25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1:25" x14ac:dyDescent="0.2">
      <c r="A402" s="557"/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1:25" x14ac:dyDescent="0.2">
      <c r="A403" s="55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1:25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1:25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1:25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1:25" x14ac:dyDescent="0.2">
      <c r="A407" s="557"/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1:25" x14ac:dyDescent="0.2">
      <c r="A408" s="55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1:25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1:25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1:25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1:25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1:25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1:25" x14ac:dyDescent="0.2">
      <c r="A414" s="557"/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1:25" x14ac:dyDescent="0.2">
      <c r="A415" s="55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1:25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1:25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1:25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1:25" x14ac:dyDescent="0.2">
      <c r="A419" s="557"/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1:25" x14ac:dyDescent="0.2">
      <c r="A420" s="55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1:25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1:25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1:25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1:25" x14ac:dyDescent="0.2">
      <c r="A424" s="557"/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1:25" x14ac:dyDescent="0.2">
      <c r="A425" s="557"/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1:25" x14ac:dyDescent="0.2">
      <c r="A426" s="557"/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1:25" x14ac:dyDescent="0.2">
      <c r="A427" s="557"/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1:25" x14ac:dyDescent="0.2">
      <c r="A428" s="557"/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1:25" x14ac:dyDescent="0.2">
      <c r="A429" s="557"/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1:25" x14ac:dyDescent="0.2">
      <c r="A430" s="557"/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1:25" x14ac:dyDescent="0.2">
      <c r="A431" s="557"/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1:25" x14ac:dyDescent="0.2">
      <c r="A432" s="557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1:25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1:25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1:25" x14ac:dyDescent="0.2">
      <c r="A435" s="557"/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1:25" x14ac:dyDescent="0.2">
      <c r="A436" s="557"/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1:25" x14ac:dyDescent="0.2">
      <c r="A437" s="55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1:25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1:25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1:25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1:25" x14ac:dyDescent="0.2">
      <c r="A441" s="557"/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1:25" x14ac:dyDescent="0.2">
      <c r="A442" s="557"/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1:25" x14ac:dyDescent="0.2">
      <c r="A443" s="55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1:25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1:25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1:25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1:25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1:25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1:25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1:25" x14ac:dyDescent="0.2">
      <c r="A450" s="557"/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1:25" x14ac:dyDescent="0.2">
      <c r="A451" s="557"/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1:25" x14ac:dyDescent="0.2">
      <c r="A452" s="55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1:25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1:25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1:25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1:25" x14ac:dyDescent="0.2">
      <c r="A456" s="55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1:25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1:25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1:25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1:25" x14ac:dyDescent="0.2">
      <c r="A460" s="557"/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1:25" x14ac:dyDescent="0.2">
      <c r="A461" s="557"/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1:25" x14ac:dyDescent="0.2">
      <c r="A462" s="557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1:25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1:25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1:25" x14ac:dyDescent="0.2">
      <c r="A465" s="55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1:25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1:25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1:25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1:25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1:25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1:25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1:25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1:25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1:25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1:25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1:25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1:25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1:25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1:25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1:25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1:25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1:25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1:25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1:25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1:25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1:25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1:25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1:25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1:25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1:25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1:25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1:25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1:25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1:25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1:25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1:25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1:25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1:25" x14ac:dyDescent="0.2">
      <c r="A498" s="557"/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1:25" x14ac:dyDescent="0.2">
      <c r="A499" s="557"/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1:25" x14ac:dyDescent="0.2">
      <c r="A500" s="557"/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1:25" x14ac:dyDescent="0.2">
      <c r="A501" s="557"/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1:25" x14ac:dyDescent="0.2">
      <c r="A502" s="557"/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1:25" x14ac:dyDescent="0.2">
      <c r="A503" s="557"/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1:25" x14ac:dyDescent="0.2">
      <c r="A504" s="557"/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1:25" x14ac:dyDescent="0.2">
      <c r="A505" s="557"/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1:25" x14ac:dyDescent="0.2">
      <c r="A506" s="557"/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1:25" x14ac:dyDescent="0.2">
      <c r="A507" s="557"/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1:25" x14ac:dyDescent="0.2">
      <c r="A508" s="557"/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1:25" x14ac:dyDescent="0.2">
      <c r="A509" s="557"/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1:25" x14ac:dyDescent="0.2">
      <c r="A510" s="557"/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1:25" x14ac:dyDescent="0.2">
      <c r="A511" s="557"/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1:25" x14ac:dyDescent="0.2">
      <c r="A512" s="557"/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1:25" x14ac:dyDescent="0.2">
      <c r="A513" s="557"/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1:25" x14ac:dyDescent="0.2">
      <c r="A514" s="557"/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1:25" x14ac:dyDescent="0.2">
      <c r="A515" s="557"/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1:25" x14ac:dyDescent="0.2">
      <c r="A516" s="557"/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1:25" x14ac:dyDescent="0.2">
      <c r="A517" s="557"/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1:25" x14ac:dyDescent="0.2">
      <c r="A518" s="557"/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1:25" x14ac:dyDescent="0.2">
      <c r="A519" s="557"/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1:25" x14ac:dyDescent="0.2">
      <c r="A520" s="557"/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2:U37"/>
  <sheetViews>
    <sheetView topLeftCell="A46" workbookViewId="0">
      <selection activeCell="V17" sqref="V17"/>
    </sheetView>
  </sheetViews>
  <sheetFormatPr baseColWidth="10" defaultColWidth="10.85546875" defaultRowHeight="12.75" x14ac:dyDescent="0.2"/>
  <sheetData>
    <row r="12" spans="18:18" x14ac:dyDescent="0.2">
      <c r="R12" s="335"/>
    </row>
    <row r="23" spans="20:20" x14ac:dyDescent="0.2">
      <c r="T23">
        <v>237.32</v>
      </c>
    </row>
    <row r="24" spans="20:20" x14ac:dyDescent="0.2">
      <c r="T24">
        <v>277.58999999999997</v>
      </c>
    </row>
    <row r="25" spans="20:20" x14ac:dyDescent="0.2">
      <c r="T25">
        <v>0</v>
      </c>
    </row>
    <row r="32" spans="20:20" x14ac:dyDescent="0.2">
      <c r="T32">
        <f>SUM(T23:T31)</f>
        <v>514.91</v>
      </c>
    </row>
    <row r="35" spans="18:21" x14ac:dyDescent="0.2">
      <c r="R35" s="3" t="s">
        <v>576</v>
      </c>
      <c r="T35">
        <f>T32/50</f>
        <v>10.2982</v>
      </c>
      <c r="U35" s="564">
        <f>T35</f>
        <v>10.2982</v>
      </c>
    </row>
    <row r="36" spans="18:21" x14ac:dyDescent="0.2">
      <c r="U36" s="564"/>
    </row>
    <row r="37" spans="18:21" x14ac:dyDescent="0.2">
      <c r="R37" s="3" t="s">
        <v>577</v>
      </c>
      <c r="T37">
        <f>T32/100</f>
        <v>5.1490999999999998</v>
      </c>
      <c r="U37" s="564">
        <f t="shared" ref="U37" si="0">T37</f>
        <v>5.1490999999999998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tabSelected="1" workbookViewId="0">
      <selection activeCell="G37" sqref="G37"/>
    </sheetView>
  </sheetViews>
  <sheetFormatPr baseColWidth="10" defaultRowHeight="12.75" x14ac:dyDescent="0.2"/>
  <cols>
    <col min="2" max="2" width="29" bestFit="1" customWidth="1"/>
    <col min="3" max="3" width="11.42578125" customWidth="1"/>
    <col min="4" max="4" width="8.5703125" bestFit="1" customWidth="1"/>
    <col min="7" max="7" width="22" bestFit="1" customWidth="1"/>
    <col min="9" max="10" width="16.28515625" bestFit="1" customWidth="1"/>
    <col min="11" max="11" width="9.140625" bestFit="1" customWidth="1"/>
  </cols>
  <sheetData>
    <row r="1" spans="2:8" ht="13.5" thickBot="1" x14ac:dyDescent="0.25"/>
    <row r="2" spans="2:8" x14ac:dyDescent="0.2">
      <c r="B2" s="400" t="s">
        <v>42</v>
      </c>
      <c r="C2" s="401"/>
      <c r="D2" s="410">
        <v>5312</v>
      </c>
      <c r="E2" s="411" t="s">
        <v>43</v>
      </c>
      <c r="G2" s="725" t="s">
        <v>33</v>
      </c>
      <c r="H2" s="725"/>
    </row>
    <row r="3" spans="2:8" x14ac:dyDescent="0.2">
      <c r="B3" s="402" t="s">
        <v>148</v>
      </c>
      <c r="C3" s="403"/>
      <c r="D3" s="412">
        <v>0</v>
      </c>
      <c r="E3" s="413" t="s">
        <v>43</v>
      </c>
      <c r="G3" s="616" t="s">
        <v>34</v>
      </c>
      <c r="H3" s="616">
        <v>22</v>
      </c>
    </row>
    <row r="4" spans="2:8" x14ac:dyDescent="0.2">
      <c r="B4" s="402" t="s">
        <v>152</v>
      </c>
      <c r="C4" s="403"/>
      <c r="D4" s="412">
        <v>5312</v>
      </c>
      <c r="E4" s="413" t="s">
        <v>43</v>
      </c>
      <c r="G4" s="616" t="s">
        <v>36</v>
      </c>
      <c r="H4" s="616">
        <v>2.52</v>
      </c>
    </row>
    <row r="5" spans="2:8" x14ac:dyDescent="0.2">
      <c r="B5" s="404" t="s">
        <v>45</v>
      </c>
      <c r="C5" s="405"/>
      <c r="D5" s="414">
        <v>13811.2</v>
      </c>
      <c r="E5" s="415" t="s">
        <v>43</v>
      </c>
      <c r="G5" s="616" t="s">
        <v>37</v>
      </c>
      <c r="H5" s="616">
        <v>2.52</v>
      </c>
    </row>
    <row r="6" spans="2:8" x14ac:dyDescent="0.2">
      <c r="B6" s="402" t="s">
        <v>153</v>
      </c>
      <c r="C6" s="406"/>
      <c r="D6" s="416">
        <v>2657.02</v>
      </c>
      <c r="E6" s="413" t="s">
        <v>43</v>
      </c>
      <c r="G6" s="616" t="s">
        <v>40</v>
      </c>
      <c r="H6" s="616">
        <v>2.88</v>
      </c>
    </row>
    <row r="7" spans="2:8" x14ac:dyDescent="0.2">
      <c r="B7" s="402" t="s">
        <v>154</v>
      </c>
      <c r="C7" s="406"/>
      <c r="D7" s="416">
        <v>7969.02</v>
      </c>
      <c r="E7" s="413" t="s">
        <v>43</v>
      </c>
      <c r="G7" s="616" t="s">
        <v>41</v>
      </c>
      <c r="H7" s="616"/>
    </row>
    <row r="8" spans="2:8" x14ac:dyDescent="0.2">
      <c r="B8" s="407" t="s">
        <v>48</v>
      </c>
      <c r="C8" s="406"/>
      <c r="D8" s="412">
        <v>195.24099000000001</v>
      </c>
      <c r="E8" s="417" t="s">
        <v>155</v>
      </c>
      <c r="G8" s="616" t="s">
        <v>44</v>
      </c>
      <c r="H8" s="616" t="s">
        <v>39</v>
      </c>
    </row>
    <row r="9" spans="2:8" ht="13.5" thickBot="1" x14ac:dyDescent="0.25">
      <c r="B9" s="408" t="s">
        <v>50</v>
      </c>
      <c r="C9" s="409"/>
      <c r="D9" s="418">
        <v>70.739243844235787</v>
      </c>
      <c r="E9" s="419" t="s">
        <v>43</v>
      </c>
      <c r="G9" s="616" t="s">
        <v>46</v>
      </c>
      <c r="H9" s="616">
        <v>0.15</v>
      </c>
    </row>
    <row r="10" spans="2:8" x14ac:dyDescent="0.2">
      <c r="G10" s="616" t="s">
        <v>47</v>
      </c>
      <c r="H10" s="616">
        <v>55.44</v>
      </c>
    </row>
    <row r="11" spans="2:8" x14ac:dyDescent="0.2">
      <c r="G11" s="616" t="s">
        <v>49</v>
      </c>
      <c r="H11" s="616">
        <v>1.44</v>
      </c>
    </row>
    <row r="12" spans="2:8" x14ac:dyDescent="0.2">
      <c r="B12" s="617" t="s">
        <v>680</v>
      </c>
      <c r="G12" s="616" t="s">
        <v>51</v>
      </c>
      <c r="H12" s="616">
        <v>55</v>
      </c>
    </row>
    <row r="14" spans="2:8" x14ac:dyDescent="0.2">
      <c r="B14" s="617" t="s">
        <v>669</v>
      </c>
      <c r="C14" s="618">
        <v>12346.830000000005</v>
      </c>
      <c r="D14" s="617" t="s">
        <v>43</v>
      </c>
    </row>
    <row r="15" spans="2:8" x14ac:dyDescent="0.2">
      <c r="B15" s="617" t="s">
        <v>670</v>
      </c>
      <c r="C15">
        <v>22</v>
      </c>
      <c r="D15" s="617" t="s">
        <v>671</v>
      </c>
      <c r="G15" s="617" t="s">
        <v>681</v>
      </c>
    </row>
    <row r="16" spans="2:8" x14ac:dyDescent="0.2">
      <c r="B16" s="617" t="s">
        <v>672</v>
      </c>
      <c r="C16" s="619">
        <f>C14*C15</f>
        <v>271630.26000000013</v>
      </c>
      <c r="D16" s="617" t="s">
        <v>671</v>
      </c>
      <c r="E16" s="617" t="s">
        <v>673</v>
      </c>
    </row>
    <row r="17" spans="2:13" x14ac:dyDescent="0.2">
      <c r="G17" s="616" t="s">
        <v>579</v>
      </c>
      <c r="H17" s="616" t="s">
        <v>633</v>
      </c>
      <c r="I17" s="616" t="s">
        <v>631</v>
      </c>
      <c r="J17" s="616" t="s">
        <v>632</v>
      </c>
      <c r="K17" s="616" t="s">
        <v>581</v>
      </c>
      <c r="L17" s="616" t="s">
        <v>582</v>
      </c>
      <c r="M17" s="616" t="s">
        <v>630</v>
      </c>
    </row>
    <row r="18" spans="2:13" x14ac:dyDescent="0.2">
      <c r="B18" s="617" t="s">
        <v>674</v>
      </c>
      <c r="C18">
        <v>10000</v>
      </c>
      <c r="D18" s="617" t="s">
        <v>671</v>
      </c>
      <c r="E18" s="617" t="s">
        <v>673</v>
      </c>
      <c r="G18" s="210">
        <v>38</v>
      </c>
      <c r="H18" s="616">
        <v>40</v>
      </c>
      <c r="I18" s="616">
        <v>19</v>
      </c>
      <c r="J18" s="616">
        <v>20</v>
      </c>
      <c r="K18" s="616">
        <v>39</v>
      </c>
      <c r="L18" s="616">
        <v>19</v>
      </c>
      <c r="M18" s="616">
        <v>20</v>
      </c>
    </row>
    <row r="19" spans="2:13" x14ac:dyDescent="0.2">
      <c r="G19" s="621" t="s">
        <v>492</v>
      </c>
      <c r="H19" s="621" t="s">
        <v>493</v>
      </c>
      <c r="I19" s="621" t="s">
        <v>494</v>
      </c>
      <c r="J19" s="621" t="s">
        <v>494</v>
      </c>
      <c r="K19" s="621" t="s">
        <v>493</v>
      </c>
      <c r="L19" s="621" t="s">
        <v>495</v>
      </c>
      <c r="M19" s="621" t="s">
        <v>493</v>
      </c>
    </row>
    <row r="20" spans="2:13" x14ac:dyDescent="0.2">
      <c r="B20" s="617" t="s">
        <v>675</v>
      </c>
      <c r="C20">
        <v>8000</v>
      </c>
      <c r="D20" s="617" t="s">
        <v>671</v>
      </c>
      <c r="E20" s="617" t="s">
        <v>673</v>
      </c>
      <c r="G20" s="620">
        <v>33.24</v>
      </c>
      <c r="H20" s="620">
        <v>50.18</v>
      </c>
      <c r="I20" s="620">
        <v>50.18</v>
      </c>
      <c r="J20" s="620">
        <v>50.28</v>
      </c>
      <c r="K20" s="620">
        <v>57.67</v>
      </c>
      <c r="L20" s="620">
        <v>71.180000000000007</v>
      </c>
      <c r="M20" s="620">
        <v>60.68</v>
      </c>
    </row>
    <row r="21" spans="2:13" x14ac:dyDescent="0.2">
      <c r="G21">
        <v>2500</v>
      </c>
      <c r="H21">
        <v>4100</v>
      </c>
      <c r="I21">
        <v>4500</v>
      </c>
      <c r="J21">
        <v>4700</v>
      </c>
      <c r="K21">
        <v>5000</v>
      </c>
      <c r="L21">
        <v>6000</v>
      </c>
      <c r="M21">
        <v>5100</v>
      </c>
    </row>
    <row r="22" spans="2:13" x14ac:dyDescent="0.2">
      <c r="B22" s="617" t="s">
        <v>676</v>
      </c>
      <c r="C22">
        <v>10000</v>
      </c>
      <c r="D22" s="617" t="s">
        <v>671</v>
      </c>
      <c r="E22" s="617" t="s">
        <v>673</v>
      </c>
      <c r="G22">
        <f>G18*G21</f>
        <v>95000</v>
      </c>
      <c r="H22" s="3">
        <f t="shared" ref="H22:M22" si="0">H18*H21</f>
        <v>164000</v>
      </c>
      <c r="I22" s="3">
        <f t="shared" si="0"/>
        <v>85500</v>
      </c>
      <c r="J22" s="3">
        <f t="shared" si="0"/>
        <v>94000</v>
      </c>
      <c r="K22" s="3">
        <f t="shared" si="0"/>
        <v>195000</v>
      </c>
      <c r="L22" s="3">
        <f t="shared" si="0"/>
        <v>114000</v>
      </c>
      <c r="M22" s="3">
        <f t="shared" si="0"/>
        <v>102000</v>
      </c>
    </row>
    <row r="24" spans="2:13" x14ac:dyDescent="0.2">
      <c r="B24" s="617" t="s">
        <v>78</v>
      </c>
      <c r="C24" s="619">
        <f>C16+C18+C20+C22</f>
        <v>299630.26000000013</v>
      </c>
      <c r="G24" s="617" t="s">
        <v>682</v>
      </c>
      <c r="H24">
        <f>G22+H22+I22+J22+K22+L22+M22</f>
        <v>849500</v>
      </c>
    </row>
    <row r="26" spans="2:13" x14ac:dyDescent="0.2">
      <c r="B26" s="617" t="s">
        <v>112</v>
      </c>
      <c r="C26">
        <v>5312</v>
      </c>
      <c r="G26" s="617" t="s">
        <v>683</v>
      </c>
      <c r="H26" s="619">
        <f>H24-C30</f>
        <v>406445.73999999987</v>
      </c>
    </row>
    <row r="27" spans="2:13" x14ac:dyDescent="0.2">
      <c r="B27" s="617" t="s">
        <v>677</v>
      </c>
      <c r="C27">
        <v>27</v>
      </c>
      <c r="H27" s="619"/>
    </row>
    <row r="28" spans="2:13" x14ac:dyDescent="0.2">
      <c r="B28" s="617" t="s">
        <v>678</v>
      </c>
      <c r="C28">
        <f>C26*C27</f>
        <v>143424</v>
      </c>
    </row>
    <row r="29" spans="2:13" x14ac:dyDescent="0.2">
      <c r="G29" s="619"/>
    </row>
    <row r="30" spans="2:13" x14ac:dyDescent="0.2">
      <c r="B30" s="617" t="s">
        <v>679</v>
      </c>
      <c r="C30" s="619">
        <f>C24+C28</f>
        <v>443054.26000000013</v>
      </c>
      <c r="G30" s="619"/>
    </row>
  </sheetData>
  <mergeCells count="1">
    <mergeCell ref="G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RESUMEN SUPERFICIES</vt:lpstr>
      <vt:lpstr>SUP. DEPARTAMENTOS</vt:lpstr>
      <vt:lpstr>PRODUCTOS SECUNDARIOS</vt:lpstr>
      <vt:lpstr>INFO CONCON</vt:lpstr>
      <vt:lpstr>INFO COMERCIAL</vt:lpstr>
      <vt:lpstr>Evaluación V0</vt:lpstr>
      <vt:lpstr>'RESUMEN SUPERFICIES'!Área_de_impresión</vt:lpstr>
    </vt:vector>
  </TitlesOfParts>
  <Company>SV ARQ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Área Técnica</cp:lastModifiedBy>
  <cp:lastPrinted>2019-10-11T10:54:54Z</cp:lastPrinted>
  <dcterms:created xsi:type="dcterms:W3CDTF">2004-11-24T13:25:06Z</dcterms:created>
  <dcterms:modified xsi:type="dcterms:W3CDTF">2026-02-13T17:42:28Z</dcterms:modified>
</cp:coreProperties>
</file>