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segundo\gestion\"/>
    </mc:Choice>
  </mc:AlternateContent>
  <xr:revisionPtr revIDLastSave="0" documentId="13_ncr:1_{829FCA63-761B-465B-AD9E-6DA9BEB7D60B}" xr6:coauthVersionLast="47" xr6:coauthVersionMax="47" xr10:uidLastSave="{00000000-0000-0000-0000-000000000000}"/>
  <bookViews>
    <workbookView xWindow="-108" yWindow="-108" windowWidth="23256" windowHeight="13176" firstSheet="1" activeTab="7" xr2:uid="{340967FD-790C-4F51-B108-6173DBD85FBC}"/>
  </bookViews>
  <sheets>
    <sheet name="Estructura FC" sheetId="2" r:id="rId1"/>
    <sheet name="Enunciado" sheetId="1" r:id="rId2"/>
    <sheet name="Resumen del escenario" sheetId="8" r:id="rId3"/>
    <sheet name="Esc. más probable" sheetId="3" r:id="rId4"/>
    <sheet name="NC" sheetId="5" r:id="rId5"/>
    <sheet name="AS1" sheetId="9" r:id="rId6"/>
    <sheet name="AS2" sheetId="10" r:id="rId7"/>
    <sheet name="AS3" sheetId="11" r:id="rId8"/>
    <sheet name="Pesimista" sheetId="6" r:id="rId9"/>
    <sheet name="Hoja1" sheetId="4" r:id="rId10"/>
  </sheets>
  <definedNames>
    <definedName name="TIR">'Esc. más probable'!$K$22</definedName>
    <definedName name="VAN">'Esc. más probable'!$K$20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9" l="1"/>
  <c r="C16" i="9"/>
  <c r="C18" i="9" s="1"/>
  <c r="C19" i="9" s="1"/>
  <c r="L13" i="9" s="1"/>
  <c r="Q14" i="9"/>
  <c r="K14" i="9"/>
  <c r="K15" i="9" s="1"/>
  <c r="M7" i="9"/>
  <c r="N7" i="9" s="1"/>
  <c r="L7" i="9"/>
  <c r="L11" i="9" s="1"/>
  <c r="P6" i="9"/>
  <c r="L6" i="9"/>
  <c r="L8" i="9" s="1"/>
  <c r="P5" i="9"/>
  <c r="O5" i="9"/>
  <c r="N5" i="9"/>
  <c r="M5" i="9"/>
  <c r="L5" i="9"/>
  <c r="J5" i="9"/>
  <c r="P4" i="9"/>
  <c r="G17" i="9" s="1"/>
  <c r="O4" i="9"/>
  <c r="F17" i="9" s="1"/>
  <c r="N4" i="9"/>
  <c r="E17" i="9" s="1"/>
  <c r="M4" i="9"/>
  <c r="D17" i="9" s="1"/>
  <c r="L4" i="9"/>
  <c r="C17" i="9" s="1"/>
  <c r="J4" i="9"/>
  <c r="P3" i="9"/>
  <c r="O3" i="9"/>
  <c r="N3" i="9"/>
  <c r="M3" i="9"/>
  <c r="L3" i="9"/>
  <c r="J3" i="9"/>
  <c r="P2" i="9"/>
  <c r="O2" i="9"/>
  <c r="F16" i="9" s="1"/>
  <c r="F18" i="9" s="1"/>
  <c r="N2" i="9"/>
  <c r="N6" i="9" s="1"/>
  <c r="M2" i="9"/>
  <c r="M6" i="9" s="1"/>
  <c r="M8" i="9" s="1"/>
  <c r="L2" i="9"/>
  <c r="J2" i="9"/>
  <c r="G17" i="11"/>
  <c r="D17" i="11"/>
  <c r="C17" i="11"/>
  <c r="D16" i="11"/>
  <c r="D18" i="11" s="1"/>
  <c r="K15" i="11"/>
  <c r="K17" i="11" s="1"/>
  <c r="Q14" i="11"/>
  <c r="K14" i="11"/>
  <c r="L7" i="11"/>
  <c r="M7" i="11" s="1"/>
  <c r="O6" i="11"/>
  <c r="P5" i="11"/>
  <c r="O5" i="11"/>
  <c r="N5" i="11"/>
  <c r="M5" i="11"/>
  <c r="L5" i="11"/>
  <c r="J5" i="11"/>
  <c r="P4" i="11"/>
  <c r="O4" i="11"/>
  <c r="F17" i="11" s="1"/>
  <c r="N4" i="11"/>
  <c r="E17" i="11" s="1"/>
  <c r="M4" i="11"/>
  <c r="L4" i="11"/>
  <c r="J4" i="11"/>
  <c r="P3" i="11"/>
  <c r="P6" i="11" s="1"/>
  <c r="O3" i="11"/>
  <c r="N3" i="11"/>
  <c r="M3" i="11"/>
  <c r="L3" i="11"/>
  <c r="J3" i="11"/>
  <c r="P2" i="11"/>
  <c r="G16" i="11" s="1"/>
  <c r="G18" i="11" s="1"/>
  <c r="O2" i="11"/>
  <c r="F16" i="11" s="1"/>
  <c r="F18" i="11" s="1"/>
  <c r="N2" i="11"/>
  <c r="N6" i="11" s="1"/>
  <c r="M2" i="11"/>
  <c r="M6" i="11" s="1"/>
  <c r="L2" i="11"/>
  <c r="C16" i="11" s="1"/>
  <c r="C18" i="11" s="1"/>
  <c r="C19" i="11" s="1"/>
  <c r="L13" i="11" s="1"/>
  <c r="J2" i="11"/>
  <c r="G17" i="10"/>
  <c r="D17" i="10"/>
  <c r="C17" i="10"/>
  <c r="D16" i="10"/>
  <c r="D18" i="10" s="1"/>
  <c r="K15" i="10"/>
  <c r="Q14" i="10"/>
  <c r="K14" i="10"/>
  <c r="L7" i="10"/>
  <c r="M7" i="10" s="1"/>
  <c r="O6" i="10"/>
  <c r="P5" i="10"/>
  <c r="O5" i="10"/>
  <c r="N5" i="10"/>
  <c r="M5" i="10"/>
  <c r="L5" i="10"/>
  <c r="J5" i="10"/>
  <c r="P4" i="10"/>
  <c r="O4" i="10"/>
  <c r="F17" i="10" s="1"/>
  <c r="N4" i="10"/>
  <c r="E17" i="10" s="1"/>
  <c r="M4" i="10"/>
  <c r="L4" i="10"/>
  <c r="J4" i="10"/>
  <c r="P3" i="10"/>
  <c r="P6" i="10" s="1"/>
  <c r="O3" i="10"/>
  <c r="N3" i="10"/>
  <c r="M3" i="10"/>
  <c r="M6" i="10" s="1"/>
  <c r="L3" i="10"/>
  <c r="L6" i="10" s="1"/>
  <c r="L8" i="10" s="1"/>
  <c r="J3" i="10"/>
  <c r="P2" i="10"/>
  <c r="G16" i="10" s="1"/>
  <c r="G18" i="10" s="1"/>
  <c r="O2" i="10"/>
  <c r="F16" i="10" s="1"/>
  <c r="F18" i="10" s="1"/>
  <c r="N2" i="10"/>
  <c r="N6" i="10" s="1"/>
  <c r="M2" i="10"/>
  <c r="L2" i="10"/>
  <c r="C16" i="10" s="1"/>
  <c r="C18" i="10" s="1"/>
  <c r="C19" i="10" s="1"/>
  <c r="L13" i="10" s="1"/>
  <c r="J2" i="10"/>
  <c r="N9" i="5"/>
  <c r="G17" i="6"/>
  <c r="D17" i="6"/>
  <c r="C17" i="6"/>
  <c r="K15" i="6"/>
  <c r="Q14" i="6"/>
  <c r="K14" i="6"/>
  <c r="L7" i="6"/>
  <c r="M7" i="6" s="1"/>
  <c r="P5" i="6"/>
  <c r="O5" i="6"/>
  <c r="N5" i="6"/>
  <c r="M5" i="6"/>
  <c r="L5" i="6"/>
  <c r="J5" i="6"/>
  <c r="P4" i="6"/>
  <c r="O4" i="6"/>
  <c r="F17" i="6" s="1"/>
  <c r="N4" i="6"/>
  <c r="E17" i="6" s="1"/>
  <c r="M4" i="6"/>
  <c r="L4" i="6"/>
  <c r="J4" i="6"/>
  <c r="P3" i="6"/>
  <c r="O3" i="6"/>
  <c r="N3" i="6"/>
  <c r="M3" i="6"/>
  <c r="L3" i="6"/>
  <c r="J3" i="6"/>
  <c r="P2" i="6"/>
  <c r="G16" i="6" s="1"/>
  <c r="G18" i="6" s="1"/>
  <c r="O2" i="6"/>
  <c r="F16" i="6" s="1"/>
  <c r="F18" i="6" s="1"/>
  <c r="N2" i="6"/>
  <c r="N6" i="6" s="1"/>
  <c r="M2" i="6"/>
  <c r="D16" i="6" s="1"/>
  <c r="D18" i="6" s="1"/>
  <c r="L2" i="6"/>
  <c r="C16" i="6" s="1"/>
  <c r="C18" i="6" s="1"/>
  <c r="C19" i="6" s="1"/>
  <c r="L13" i="6" s="1"/>
  <c r="J2" i="6"/>
  <c r="G17" i="5"/>
  <c r="D17" i="5"/>
  <c r="C17" i="5"/>
  <c r="D16" i="5"/>
  <c r="D18" i="5" s="1"/>
  <c r="K15" i="5"/>
  <c r="Q14" i="5"/>
  <c r="K14" i="5"/>
  <c r="L7" i="5"/>
  <c r="M7" i="5" s="1"/>
  <c r="O6" i="5"/>
  <c r="P5" i="5"/>
  <c r="O5" i="5"/>
  <c r="N5" i="5"/>
  <c r="M5" i="5"/>
  <c r="L5" i="5"/>
  <c r="J5" i="5"/>
  <c r="P4" i="5"/>
  <c r="O4" i="5"/>
  <c r="F17" i="5" s="1"/>
  <c r="N4" i="5"/>
  <c r="E17" i="5" s="1"/>
  <c r="M4" i="5"/>
  <c r="L4" i="5"/>
  <c r="J4" i="5"/>
  <c r="P3" i="5"/>
  <c r="P6" i="5" s="1"/>
  <c r="O3" i="5"/>
  <c r="N3" i="5"/>
  <c r="M3" i="5"/>
  <c r="M6" i="5" s="1"/>
  <c r="L3" i="5"/>
  <c r="L6" i="5" s="1"/>
  <c r="L8" i="5" s="1"/>
  <c r="J3" i="5"/>
  <c r="P2" i="5"/>
  <c r="G16" i="5" s="1"/>
  <c r="G18" i="5" s="1"/>
  <c r="O2" i="5"/>
  <c r="F16" i="5" s="1"/>
  <c r="F18" i="5" s="1"/>
  <c r="N2" i="5"/>
  <c r="N6" i="5" s="1"/>
  <c r="M2" i="5"/>
  <c r="L2" i="5"/>
  <c r="C16" i="5" s="1"/>
  <c r="C18" i="5" s="1"/>
  <c r="C19" i="5" s="1"/>
  <c r="L13" i="5" s="1"/>
  <c r="J2" i="5"/>
  <c r="K15" i="3"/>
  <c r="M11" i="3"/>
  <c r="N11" i="3"/>
  <c r="O11" i="3"/>
  <c r="P11" i="3"/>
  <c r="L11" i="3"/>
  <c r="K17" i="3"/>
  <c r="D17" i="3"/>
  <c r="E17" i="3"/>
  <c r="F17" i="3"/>
  <c r="G17" i="3"/>
  <c r="C17" i="3"/>
  <c r="Q14" i="3"/>
  <c r="K14" i="3"/>
  <c r="M7" i="3"/>
  <c r="N7" i="3"/>
  <c r="O7" i="3"/>
  <c r="P7" i="3" s="1"/>
  <c r="L7" i="3"/>
  <c r="L3" i="3"/>
  <c r="M3" i="3"/>
  <c r="N3" i="3"/>
  <c r="O3" i="3"/>
  <c r="P3" i="3"/>
  <c r="L4" i="3"/>
  <c r="M4" i="3"/>
  <c r="N4" i="3"/>
  <c r="O4" i="3"/>
  <c r="P4" i="3"/>
  <c r="L5" i="3"/>
  <c r="M5" i="3"/>
  <c r="N5" i="3"/>
  <c r="O5" i="3"/>
  <c r="P5" i="3"/>
  <c r="M2" i="3"/>
  <c r="D16" i="3" s="1"/>
  <c r="D18" i="3" s="1"/>
  <c r="N2" i="3"/>
  <c r="E16" i="3" s="1"/>
  <c r="E18" i="3" s="1"/>
  <c r="O2" i="3"/>
  <c r="O6" i="3" s="1"/>
  <c r="O8" i="3" s="1"/>
  <c r="P2" i="3"/>
  <c r="P6" i="3" s="1"/>
  <c r="P8" i="3" s="1"/>
  <c r="L2" i="3"/>
  <c r="L6" i="3" s="1"/>
  <c r="L8" i="3" s="1"/>
  <c r="J3" i="3"/>
  <c r="J4" i="3"/>
  <c r="J5" i="3"/>
  <c r="J2" i="3"/>
  <c r="L6" i="11" l="1"/>
  <c r="L8" i="11" s="1"/>
  <c r="E16" i="9"/>
  <c r="M9" i="9"/>
  <c r="M10" i="9" s="1"/>
  <c r="M12" i="9" s="1"/>
  <c r="M15" i="9" s="1"/>
  <c r="L10" i="9"/>
  <c r="L12" i="9" s="1"/>
  <c r="L15" i="9" s="1"/>
  <c r="L9" i="9"/>
  <c r="O7" i="9"/>
  <c r="N11" i="9"/>
  <c r="E18" i="9"/>
  <c r="N8" i="9"/>
  <c r="K17" i="9"/>
  <c r="G18" i="9"/>
  <c r="M11" i="9"/>
  <c r="O6" i="9"/>
  <c r="O8" i="9" s="1"/>
  <c r="D16" i="9"/>
  <c r="D18" i="9" s="1"/>
  <c r="D19" i="9" s="1"/>
  <c r="M13" i="9" s="1"/>
  <c r="G19" i="11"/>
  <c r="P13" i="11" s="1"/>
  <c r="H19" i="11"/>
  <c r="Q13" i="11" s="1"/>
  <c r="Q15" i="11" s="1"/>
  <c r="M11" i="11"/>
  <c r="N7" i="11"/>
  <c r="D19" i="11"/>
  <c r="M13" i="11" s="1"/>
  <c r="M8" i="11"/>
  <c r="L9" i="11"/>
  <c r="L10" i="11" s="1"/>
  <c r="L12" i="11" s="1"/>
  <c r="L15" i="11" s="1"/>
  <c r="L17" i="11" s="1"/>
  <c r="F19" i="11"/>
  <c r="O13" i="11" s="1"/>
  <c r="L11" i="11"/>
  <c r="E16" i="11"/>
  <c r="E18" i="11" s="1"/>
  <c r="E19" i="11" s="1"/>
  <c r="N13" i="11" s="1"/>
  <c r="H19" i="10"/>
  <c r="Q13" i="10" s="1"/>
  <c r="Q15" i="10" s="1"/>
  <c r="G19" i="10"/>
  <c r="P13" i="10" s="1"/>
  <c r="M11" i="10"/>
  <c r="N7" i="10"/>
  <c r="L9" i="10"/>
  <c r="L10" i="10" s="1"/>
  <c r="L12" i="10" s="1"/>
  <c r="L15" i="10" s="1"/>
  <c r="D19" i="10"/>
  <c r="M13" i="10" s="1"/>
  <c r="M8" i="10"/>
  <c r="E16" i="10"/>
  <c r="E18" i="10" s="1"/>
  <c r="E19" i="10" s="1"/>
  <c r="N13" i="10" s="1"/>
  <c r="K17" i="10"/>
  <c r="L11" i="10"/>
  <c r="N6" i="3"/>
  <c r="N8" i="3" s="1"/>
  <c r="N9" i="3" s="1"/>
  <c r="N10" i="3" s="1"/>
  <c r="N12" i="3" s="1"/>
  <c r="C16" i="3"/>
  <c r="C18" i="3" s="1"/>
  <c r="C19" i="3" s="1"/>
  <c r="L13" i="3" s="1"/>
  <c r="M6" i="3"/>
  <c r="M8" i="3" s="1"/>
  <c r="M9" i="3" s="1"/>
  <c r="M10" i="3" s="1"/>
  <c r="M12" i="3" s="1"/>
  <c r="G16" i="3"/>
  <c r="G18" i="3" s="1"/>
  <c r="H19" i="3" s="1"/>
  <c r="Q13" i="3" s="1"/>
  <c r="Q15" i="3" s="1"/>
  <c r="L9" i="3"/>
  <c r="L10" i="3" s="1"/>
  <c r="L12" i="3" s="1"/>
  <c r="P9" i="3"/>
  <c r="P10" i="3" s="1"/>
  <c r="P12" i="3" s="1"/>
  <c r="O9" i="3"/>
  <c r="O10" i="3" s="1"/>
  <c r="O12" i="3" s="1"/>
  <c r="E19" i="3"/>
  <c r="N13" i="3" s="1"/>
  <c r="F16" i="3"/>
  <c r="F18" i="3" s="1"/>
  <c r="F19" i="3" s="1"/>
  <c r="O13" i="3" s="1"/>
  <c r="L6" i="6"/>
  <c r="L8" i="6" s="1"/>
  <c r="P6" i="6"/>
  <c r="M6" i="6"/>
  <c r="O6" i="6"/>
  <c r="H19" i="6"/>
  <c r="Q13" i="6" s="1"/>
  <c r="Q15" i="6" s="1"/>
  <c r="G19" i="6"/>
  <c r="P13" i="6" s="1"/>
  <c r="M11" i="6"/>
  <c r="N7" i="6"/>
  <c r="D19" i="6"/>
  <c r="M13" i="6" s="1"/>
  <c r="L9" i="6"/>
  <c r="L10" i="6" s="1"/>
  <c r="L12" i="6" s="1"/>
  <c r="L15" i="6" s="1"/>
  <c r="M8" i="6"/>
  <c r="E16" i="6"/>
  <c r="E18" i="6" s="1"/>
  <c r="E19" i="6" s="1"/>
  <c r="N13" i="6" s="1"/>
  <c r="K17" i="6"/>
  <c r="L11" i="6"/>
  <c r="H19" i="5"/>
  <c r="Q13" i="5" s="1"/>
  <c r="Q15" i="5" s="1"/>
  <c r="G19" i="5"/>
  <c r="P13" i="5" s="1"/>
  <c r="M11" i="5"/>
  <c r="N7" i="5"/>
  <c r="D19" i="5"/>
  <c r="M13" i="5" s="1"/>
  <c r="L10" i="5"/>
  <c r="M8" i="5"/>
  <c r="E16" i="5"/>
  <c r="E18" i="5" s="1"/>
  <c r="E19" i="5" s="1"/>
  <c r="N13" i="5" s="1"/>
  <c r="K17" i="5"/>
  <c r="L11" i="5"/>
  <c r="E19" i="9" l="1"/>
  <c r="N13" i="9" s="1"/>
  <c r="O10" i="9"/>
  <c r="O12" i="9" s="1"/>
  <c r="O15" i="9" s="1"/>
  <c r="O9" i="9"/>
  <c r="L17" i="9"/>
  <c r="M17" i="9" s="1"/>
  <c r="F19" i="9"/>
  <c r="O13" i="9" s="1"/>
  <c r="P7" i="9"/>
  <c r="O11" i="9"/>
  <c r="H19" i="9"/>
  <c r="Q13" i="9" s="1"/>
  <c r="Q15" i="9" s="1"/>
  <c r="G19" i="9"/>
  <c r="P13" i="9" s="1"/>
  <c r="N9" i="9"/>
  <c r="N10" i="9" s="1"/>
  <c r="N12" i="9" s="1"/>
  <c r="N15" i="9" s="1"/>
  <c r="N11" i="11"/>
  <c r="O7" i="11"/>
  <c r="N8" i="11"/>
  <c r="M9" i="11"/>
  <c r="M10" i="11" s="1"/>
  <c r="M12" i="11" s="1"/>
  <c r="M15" i="11" s="1"/>
  <c r="O7" i="10"/>
  <c r="N11" i="10"/>
  <c r="M9" i="10"/>
  <c r="M10" i="10" s="1"/>
  <c r="M12" i="10" s="1"/>
  <c r="M15" i="10" s="1"/>
  <c r="F19" i="10"/>
  <c r="O13" i="10" s="1"/>
  <c r="L17" i="10"/>
  <c r="N8" i="10"/>
  <c r="O15" i="3"/>
  <c r="L15" i="3"/>
  <c r="D19" i="3"/>
  <c r="M13" i="3" s="1"/>
  <c r="M15" i="3" s="1"/>
  <c r="N15" i="3"/>
  <c r="G19" i="3"/>
  <c r="P13" i="3" s="1"/>
  <c r="P15" i="3" s="1"/>
  <c r="L17" i="6"/>
  <c r="O7" i="6"/>
  <c r="N11" i="6"/>
  <c r="M9" i="6"/>
  <c r="M10" i="6" s="1"/>
  <c r="M12" i="6" s="1"/>
  <c r="M15" i="6" s="1"/>
  <c r="F19" i="6"/>
  <c r="O13" i="6" s="1"/>
  <c r="N8" i="6"/>
  <c r="L12" i="5"/>
  <c r="L15" i="5" s="1"/>
  <c r="O7" i="5"/>
  <c r="N11" i="5"/>
  <c r="L17" i="5"/>
  <c r="M10" i="5"/>
  <c r="M12" i="5" s="1"/>
  <c r="M15" i="5" s="1"/>
  <c r="F19" i="5"/>
  <c r="O13" i="5" s="1"/>
  <c r="N8" i="5"/>
  <c r="P11" i="9" l="1"/>
  <c r="P8" i="9"/>
  <c r="N17" i="9"/>
  <c r="O17" i="9" s="1"/>
  <c r="M17" i="11"/>
  <c r="O11" i="11"/>
  <c r="P7" i="11"/>
  <c r="O8" i="11"/>
  <c r="N9" i="11"/>
  <c r="N10" i="11" s="1"/>
  <c r="N12" i="11" s="1"/>
  <c r="N15" i="11" s="1"/>
  <c r="M17" i="10"/>
  <c r="P7" i="10"/>
  <c r="O11" i="10"/>
  <c r="O8" i="10"/>
  <c r="N9" i="10"/>
  <c r="N10" i="10" s="1"/>
  <c r="N12" i="10" s="1"/>
  <c r="N15" i="10" s="1"/>
  <c r="L17" i="3"/>
  <c r="K20" i="3"/>
  <c r="L20" i="3" s="1"/>
  <c r="K21" i="3"/>
  <c r="L21" i="3" s="1"/>
  <c r="M17" i="3"/>
  <c r="N17" i="3" s="1"/>
  <c r="O17" i="3" s="1"/>
  <c r="P17" i="3" s="1"/>
  <c r="Q17" i="3" s="1"/>
  <c r="M17" i="5"/>
  <c r="P7" i="6"/>
  <c r="O11" i="6"/>
  <c r="O8" i="6"/>
  <c r="M17" i="6"/>
  <c r="N9" i="6"/>
  <c r="N10" i="6" s="1"/>
  <c r="N12" i="6" s="1"/>
  <c r="N15" i="6" s="1"/>
  <c r="N10" i="5"/>
  <c r="N12" i="5" s="1"/>
  <c r="N15" i="5" s="1"/>
  <c r="P7" i="5"/>
  <c r="O11" i="5"/>
  <c r="O8" i="5"/>
  <c r="P9" i="9" l="1"/>
  <c r="P10" i="9" s="1"/>
  <c r="P12" i="9" s="1"/>
  <c r="P15" i="9" s="1"/>
  <c r="O9" i="11"/>
  <c r="O10" i="11"/>
  <c r="O12" i="11" s="1"/>
  <c r="O15" i="11" s="1"/>
  <c r="N17" i="11"/>
  <c r="P11" i="11"/>
  <c r="P8" i="11"/>
  <c r="P11" i="10"/>
  <c r="P8" i="10"/>
  <c r="N17" i="10"/>
  <c r="O9" i="10"/>
  <c r="O10" i="10"/>
  <c r="O12" i="10" s="1"/>
  <c r="O15" i="10" s="1"/>
  <c r="K19" i="3"/>
  <c r="P11" i="6"/>
  <c r="P8" i="6"/>
  <c r="N17" i="6"/>
  <c r="O9" i="6"/>
  <c r="O10" i="6" s="1"/>
  <c r="O12" i="6" s="1"/>
  <c r="O15" i="6" s="1"/>
  <c r="N17" i="5"/>
  <c r="P11" i="5"/>
  <c r="P8" i="5"/>
  <c r="O9" i="5"/>
  <c r="O10" i="5"/>
  <c r="O12" i="5" s="1"/>
  <c r="O15" i="5" s="1"/>
  <c r="K21" i="9" l="1"/>
  <c r="L21" i="9" s="1"/>
  <c r="K20" i="9"/>
  <c r="L20" i="9" s="1"/>
  <c r="P17" i="9"/>
  <c r="Q17" i="9" s="1"/>
  <c r="K19" i="9"/>
  <c r="P9" i="11"/>
  <c r="P10" i="11"/>
  <c r="P12" i="11" s="1"/>
  <c r="P15" i="11" s="1"/>
  <c r="K21" i="11" s="1"/>
  <c r="L21" i="11" s="1"/>
  <c r="O17" i="11"/>
  <c r="P9" i="10"/>
  <c r="P10" i="10" s="1"/>
  <c r="P12" i="10" s="1"/>
  <c r="P15" i="10" s="1"/>
  <c r="O17" i="10"/>
  <c r="P9" i="6"/>
  <c r="P10" i="6" s="1"/>
  <c r="P12" i="6" s="1"/>
  <c r="P15" i="6" s="1"/>
  <c r="O17" i="6"/>
  <c r="P9" i="5"/>
  <c r="P10" i="5" s="1"/>
  <c r="P12" i="5" s="1"/>
  <c r="P15" i="5" s="1"/>
  <c r="O17" i="5"/>
  <c r="K20" i="11" l="1"/>
  <c r="K19" i="11"/>
  <c r="P17" i="11"/>
  <c r="Q17" i="11" s="1"/>
  <c r="K21" i="10"/>
  <c r="L21" i="10" s="1"/>
  <c r="K20" i="10"/>
  <c r="L20" i="10" s="1"/>
  <c r="K19" i="10"/>
  <c r="P17" i="10"/>
  <c r="Q17" i="10" s="1"/>
  <c r="K21" i="6"/>
  <c r="L21" i="6" s="1"/>
  <c r="K20" i="6"/>
  <c r="L20" i="6" s="1"/>
  <c r="K19" i="6"/>
  <c r="P17" i="6"/>
  <c r="Q17" i="6" s="1"/>
  <c r="K20" i="5"/>
  <c r="L20" i="5" s="1"/>
  <c r="K21" i="5"/>
  <c r="L21" i="5" s="1"/>
  <c r="K19" i="5"/>
  <c r="P17" i="5"/>
  <c r="Q17" i="5" s="1"/>
  <c r="L20" i="11" l="1"/>
  <c r="K24" i="11"/>
</calcChain>
</file>

<file path=xl/sharedStrings.xml><?xml version="1.0" encoding="utf-8"?>
<sst xmlns="http://schemas.openxmlformats.org/spreadsheetml/2006/main" count="532" uniqueCount="102">
  <si>
    <t>Un proyecto de inversión a 5 años presenta los siguientes datos (en Millones de €):</t>
  </si>
  <si>
    <t>Año 1</t>
  </si>
  <si>
    <t>Año 2</t>
  </si>
  <si>
    <t>Año 3</t>
  </si>
  <si>
    <t>Año 4</t>
  </si>
  <si>
    <t>Año 5</t>
  </si>
  <si>
    <t>(+) INGRESOS</t>
  </si>
  <si>
    <t>(-) MANO DE OBRA</t>
  </si>
  <si>
    <t>(-) MATERIALES</t>
  </si>
  <si>
    <t>(-) ALQUILER</t>
  </si>
  <si>
    <t>La inversión inicial ascenderá a 540M€. con una vida útil de 5 años (en este caso la misma que la inversión) y un valor residual igual a 140M€. No obstante, se estima que pueda venderse al finalizar el proyecto por 220 M€.</t>
  </si>
  <si>
    <t xml:space="preserve">Paga a sus proveedores a 60 días y cobra a sus clientes a 90 días. </t>
  </si>
  <si>
    <t>Tipo impositivo: 25%</t>
  </si>
  <si>
    <t>Coste Financiación: 9%</t>
  </si>
  <si>
    <t>Determinar:</t>
  </si>
  <si>
    <t>1.      La viabilidad del proyecto (Plazo de Recuperación, VAN y TIR) (Escenario más Probable)</t>
  </si>
  <si>
    <t>2.      Realizar un análisis de escenarios sobre los ingresos:</t>
  </si>
  <si>
    <t>MÁS PROBABLE</t>
  </si>
  <si>
    <t>Ingresos</t>
  </si>
  <si>
    <t>PESIMISTA</t>
  </si>
  <si>
    <t>OPTIMISTA</t>
  </si>
  <si>
    <t>4.      Realizar un análisis de sensibilidad sobre la mano de obra el año 2 para ver cuando el plazo de recuperación sea igual a 4,3</t>
  </si>
  <si>
    <t xml:space="preserve">5.      Realizar un análisis de sensibilidad sobre los ingresos del año 1 (desde 40 a 90M con crecimientos de 5M€) y sobre la mano de obra (desde 20 a 140M con incrementos de 20M€) </t>
  </si>
  <si>
    <t>+</t>
  </si>
  <si>
    <t>-</t>
  </si>
  <si>
    <t>Gastos Operativos</t>
  </si>
  <si>
    <t>=</t>
  </si>
  <si>
    <t>EBITDA</t>
  </si>
  <si>
    <t>Earnings Before Interest, Taxes, Depreciation and Amortization</t>
  </si>
  <si>
    <t>Amortización</t>
  </si>
  <si>
    <t>amortización= (Valor adquisición - valor residual)/vida útil</t>
  </si>
  <si>
    <t>EBIT = BAII</t>
  </si>
  <si>
    <t>Beneficio Antes de Intereses e Impuestos</t>
  </si>
  <si>
    <t>Impuesto s/Beneficio</t>
  </si>
  <si>
    <t>BDI (NOPLAT)</t>
  </si>
  <si>
    <t>Net Operating Profit Less Ajusted Taxes: Beneficio Operativo Neto menos impuestos ajustados</t>
  </si>
  <si>
    <t>FCO</t>
  </si>
  <si>
    <t>Flujo de caja operativo</t>
  </si>
  <si>
    <t>(+/-)</t>
  </si>
  <si>
    <t>Necesidades Operativas de Fondos (NOF)</t>
  </si>
  <si>
    <t>Inversión (CAPEX)</t>
  </si>
  <si>
    <t>Capital Expenditures: Inversión en inmovilizado</t>
  </si>
  <si>
    <t>Flujo de caja libre = Free Cash Flow</t>
  </si>
  <si>
    <t>Duración</t>
  </si>
  <si>
    <t>años</t>
  </si>
  <si>
    <t>Inversión inicial</t>
  </si>
  <si>
    <t>M€</t>
  </si>
  <si>
    <t>Valor residual</t>
  </si>
  <si>
    <t>Valor venta inversión</t>
  </si>
  <si>
    <t>Pdo. Pago Proveedores</t>
  </si>
  <si>
    <t>días</t>
  </si>
  <si>
    <t>Pdo. Cobro clientes</t>
  </si>
  <si>
    <t>Tipo impositivo</t>
  </si>
  <si>
    <t>Coste Financiación (k)</t>
  </si>
  <si>
    <t>Concepto/año</t>
  </si>
  <si>
    <t>Año 0</t>
  </si>
  <si>
    <t>Año 6</t>
  </si>
  <si>
    <t>Mano de Obra</t>
  </si>
  <si>
    <t>Materiales</t>
  </si>
  <si>
    <t>Alquiler</t>
  </si>
  <si>
    <t>BAII</t>
  </si>
  <si>
    <t>Imp. s/Beneficio</t>
  </si>
  <si>
    <t>NOPLAT</t>
  </si>
  <si>
    <t>NOF</t>
  </si>
  <si>
    <t>Inversión/CAPEX</t>
  </si>
  <si>
    <t>FCL</t>
  </si>
  <si>
    <t>Clientes</t>
  </si>
  <si>
    <t>Proveedores</t>
  </si>
  <si>
    <t>ANC</t>
  </si>
  <si>
    <t>AC</t>
  </si>
  <si>
    <t>NETO</t>
  </si>
  <si>
    <t>PNC</t>
  </si>
  <si>
    <t>PC</t>
  </si>
  <si>
    <t>Existencias</t>
  </si>
  <si>
    <t>Tesorería</t>
  </si>
  <si>
    <t>Deudas a c/p</t>
  </si>
  <si>
    <t>FONDO DE MANIOBRA</t>
  </si>
  <si>
    <t>Necesidades Fondo Maniobra</t>
  </si>
  <si>
    <t>Incremento FM = NOF</t>
  </si>
  <si>
    <t>FC Acumulado</t>
  </si>
  <si>
    <t>Plazo Recuperación</t>
  </si>
  <si>
    <t>FC Operativo</t>
  </si>
  <si>
    <t>VAN</t>
  </si>
  <si>
    <t>TIR</t>
  </si>
  <si>
    <t>Más probable</t>
  </si>
  <si>
    <t>Creado por FRANCISCO JAVIER DEL ARCO JUAN el 30/04/2025</t>
  </si>
  <si>
    <t>Efectuable</t>
  </si>
  <si>
    <t>Pesimista</t>
  </si>
  <si>
    <t>No efectuable</t>
  </si>
  <si>
    <t>Optimista</t>
  </si>
  <si>
    <t>Resumen del escenario</t>
  </si>
  <si>
    <t>Celdas cambiantes:</t>
  </si>
  <si>
    <t>Celdas de resultado:</t>
  </si>
  <si>
    <t>Ingresos año 1</t>
  </si>
  <si>
    <t>Ingresos año 2</t>
  </si>
  <si>
    <t>Ingresos año 3</t>
  </si>
  <si>
    <t>Ingresos año 4</t>
  </si>
  <si>
    <t>Ingresos año 5</t>
  </si>
  <si>
    <t>Efectuabilidad</t>
  </si>
  <si>
    <t>3.      Realizar un análisis de sensibilidad sobre las VENTAS en el año 3 viendo hasta que nivel pueden llegar para que el proyecto siga siendo efectuable.</t>
  </si>
  <si>
    <t>(Variación fondo de Maniobra)</t>
  </si>
  <si>
    <t>Mano de obra año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</si>
</sst>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;[Red]\-#,##0.00\ &quot;€&quot;"/>
    <numFmt numFmtId="165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8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2" fontId="2" fillId="7" borderId="0" xfId="0" applyNumberFormat="1" applyFont="1" applyFill="1"/>
    <xf numFmtId="164" fontId="2" fillId="7" borderId="0" xfId="0" applyNumberFormat="1" applyFont="1" applyFill="1"/>
    <xf numFmtId="10" fontId="2" fillId="7" borderId="0" xfId="0" applyNumberFormat="1" applyFont="1" applyFill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3" xfId="0" applyBorder="1"/>
    <xf numFmtId="0" fontId="3" fillId="8" borderId="4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0" fillId="0" borderId="5" xfId="0" applyBorder="1"/>
    <xf numFmtId="0" fontId="4" fillId="9" borderId="0" xfId="0" applyFont="1" applyFill="1" applyAlignment="1">
      <alignment horizontal="left"/>
    </xf>
    <xf numFmtId="0" fontId="5" fillId="9" borderId="5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right"/>
    </xf>
    <xf numFmtId="0" fontId="6" fillId="8" borderId="4" xfId="0" applyFont="1" applyFill="1" applyBorder="1" applyAlignment="1">
      <alignment horizontal="right"/>
    </xf>
    <xf numFmtId="0" fontId="0" fillId="10" borderId="0" xfId="0" applyFill="1"/>
    <xf numFmtId="0" fontId="7" fillId="0" borderId="0" xfId="0" applyFont="1" applyAlignment="1">
      <alignment vertical="top" wrapText="1"/>
    </xf>
    <xf numFmtId="0" fontId="7" fillId="0" borderId="0" xfId="0" applyFont="1"/>
    <xf numFmtId="0" fontId="0" fillId="11" borderId="0" xfId="0" applyFill="1"/>
    <xf numFmtId="164" fontId="2" fillId="7" borderId="6" xfId="0" applyNumberFormat="1" applyFont="1" applyFill="1" applyBorder="1"/>
    <xf numFmtId="0" fontId="0" fillId="0" borderId="16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11" borderId="23" xfId="0" applyFill="1" applyBorder="1"/>
    <xf numFmtId="0" fontId="0" fillId="0" borderId="24" xfId="0" applyBorder="1"/>
    <xf numFmtId="165" fontId="0" fillId="0" borderId="19" xfId="1" applyFont="1" applyBorder="1"/>
    <xf numFmtId="165" fontId="0" fillId="0" borderId="14" xfId="1" applyFont="1" applyBorder="1"/>
    <xf numFmtId="165" fontId="0" fillId="0" borderId="15" xfId="1" applyFont="1" applyBorder="1"/>
    <xf numFmtId="165" fontId="0" fillId="0" borderId="20" xfId="1" applyFont="1" applyBorder="1"/>
    <xf numFmtId="165" fontId="0" fillId="0" borderId="1" xfId="1" applyFont="1" applyBorder="1"/>
    <xf numFmtId="165" fontId="0" fillId="0" borderId="11" xfId="1" applyFont="1" applyBorder="1"/>
    <xf numFmtId="165" fontId="0" fillId="0" borderId="21" xfId="1" applyFont="1" applyBorder="1"/>
    <xf numFmtId="165" fontId="0" fillId="0" borderId="12" xfId="1" applyFont="1" applyBorder="1"/>
    <xf numFmtId="165" fontId="0" fillId="0" borderId="13" xfId="1" applyFont="1" applyBorder="1"/>
    <xf numFmtId="165" fontId="2" fillId="12" borderId="1" xfId="1" applyFont="1" applyFill="1" applyBorder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11" borderId="7" xfId="0" applyFill="1" applyBorder="1" applyAlignment="1">
      <alignment horizontal="center" vertical="center" textRotation="90"/>
    </xf>
    <xf numFmtId="0" fontId="0" fillId="11" borderId="8" xfId="0" applyFill="1" applyBorder="1" applyAlignment="1">
      <alignment horizontal="center" vertical="center" textRotation="90"/>
    </xf>
    <xf numFmtId="0" fontId="0" fillId="11" borderId="9" xfId="0" applyFill="1" applyBorder="1" applyAlignment="1">
      <alignment horizontal="center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4000-F775-49CD-9617-9280CB28AF30}">
  <dimension ref="A2:C13"/>
  <sheetViews>
    <sheetView zoomScale="120" zoomScaleNormal="120" workbookViewId="0">
      <selection activeCell="C16" sqref="C16"/>
    </sheetView>
  </sheetViews>
  <sheetFormatPr defaultColWidth="11.5546875" defaultRowHeight="14.4" x14ac:dyDescent="0.3"/>
  <cols>
    <col min="1" max="1" width="4.21875" customWidth="1"/>
    <col min="2" max="2" width="35.33203125" bestFit="1" customWidth="1"/>
  </cols>
  <sheetData>
    <row r="2" spans="1:3" x14ac:dyDescent="0.3">
      <c r="A2" t="s">
        <v>23</v>
      </c>
      <c r="B2" t="s">
        <v>18</v>
      </c>
    </row>
    <row r="3" spans="1:3" x14ac:dyDescent="0.3">
      <c r="A3" t="s">
        <v>24</v>
      </c>
      <c r="B3" t="s">
        <v>25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24</v>
      </c>
      <c r="B5" t="s">
        <v>29</v>
      </c>
      <c r="C5" t="s">
        <v>30</v>
      </c>
    </row>
    <row r="6" spans="1:3" x14ac:dyDescent="0.3">
      <c r="A6" t="s">
        <v>26</v>
      </c>
      <c r="B6" t="s">
        <v>31</v>
      </c>
      <c r="C6" t="s">
        <v>32</v>
      </c>
    </row>
    <row r="7" spans="1:3" x14ac:dyDescent="0.3">
      <c r="A7" t="s">
        <v>24</v>
      </c>
      <c r="B7" t="s">
        <v>33</v>
      </c>
      <c r="C7" s="2">
        <v>0.25</v>
      </c>
    </row>
    <row r="8" spans="1:3" x14ac:dyDescent="0.3">
      <c r="A8" t="s">
        <v>26</v>
      </c>
      <c r="B8" t="s">
        <v>34</v>
      </c>
      <c r="C8" t="s">
        <v>35</v>
      </c>
    </row>
    <row r="9" spans="1:3" x14ac:dyDescent="0.3">
      <c r="A9" t="s">
        <v>23</v>
      </c>
      <c r="B9" t="s">
        <v>29</v>
      </c>
    </row>
    <row r="10" spans="1:3" x14ac:dyDescent="0.3">
      <c r="A10" t="s">
        <v>26</v>
      </c>
      <c r="B10" t="s">
        <v>36</v>
      </c>
      <c r="C10" t="s">
        <v>37</v>
      </c>
    </row>
    <row r="11" spans="1:3" x14ac:dyDescent="0.3">
      <c r="A11" t="s">
        <v>38</v>
      </c>
      <c r="B11" t="s">
        <v>39</v>
      </c>
      <c r="C11" t="s">
        <v>100</v>
      </c>
    </row>
    <row r="12" spans="1:3" x14ac:dyDescent="0.3">
      <c r="A12" t="s">
        <v>38</v>
      </c>
      <c r="B12" t="s">
        <v>40</v>
      </c>
      <c r="C12" t="s">
        <v>41</v>
      </c>
    </row>
    <row r="13" spans="1:3" x14ac:dyDescent="0.3">
      <c r="A13" t="s">
        <v>26</v>
      </c>
      <c r="B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F44-0EF5-4BFF-8E00-9F1497ADBDAC}">
  <dimension ref="A1:F22"/>
  <sheetViews>
    <sheetView zoomScale="80" zoomScaleNormal="80" workbookViewId="0">
      <selection activeCell="A22" sqref="A22"/>
    </sheetView>
  </sheetViews>
  <sheetFormatPr defaultColWidth="11.5546875" defaultRowHeight="14.4" x14ac:dyDescent="0.3"/>
  <cols>
    <col min="1" max="1" width="17.6640625" customWidth="1"/>
  </cols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60</v>
      </c>
      <c r="C3">
        <v>240</v>
      </c>
      <c r="D3">
        <v>420</v>
      </c>
      <c r="E3">
        <v>460</v>
      </c>
      <c r="F3">
        <v>420</v>
      </c>
    </row>
    <row r="4" spans="1:6" x14ac:dyDescent="0.3">
      <c r="A4" t="s">
        <v>7</v>
      </c>
      <c r="B4">
        <v>60</v>
      </c>
      <c r="C4">
        <v>70</v>
      </c>
      <c r="D4">
        <v>84</v>
      </c>
      <c r="E4">
        <v>88</v>
      </c>
      <c r="F4">
        <v>88</v>
      </c>
    </row>
    <row r="5" spans="1:6" x14ac:dyDescent="0.3">
      <c r="A5" t="s">
        <v>8</v>
      </c>
      <c r="B5">
        <v>30</v>
      </c>
      <c r="C5">
        <v>60</v>
      </c>
      <c r="D5">
        <v>72</v>
      </c>
      <c r="E5">
        <v>78</v>
      </c>
      <c r="F5">
        <v>72</v>
      </c>
    </row>
    <row r="6" spans="1:6" x14ac:dyDescent="0.3">
      <c r="A6" t="s">
        <v>9</v>
      </c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3">
      <c r="A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  <row r="12" spans="1:6" x14ac:dyDescent="0.3">
      <c r="A12" t="s">
        <v>15</v>
      </c>
    </row>
    <row r="13" spans="1:6" x14ac:dyDescent="0.3">
      <c r="A13" t="s">
        <v>16</v>
      </c>
    </row>
    <row r="14" spans="1:6" x14ac:dyDescent="0.3">
      <c r="A14" s="1" t="s">
        <v>17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x14ac:dyDescent="0.3">
      <c r="A15" s="1" t="s">
        <v>18</v>
      </c>
      <c r="B15" s="1">
        <v>60</v>
      </c>
      <c r="C15" s="1">
        <v>240</v>
      </c>
      <c r="D15" s="1">
        <v>420</v>
      </c>
      <c r="E15" s="1">
        <v>460</v>
      </c>
      <c r="F15" s="1">
        <v>420</v>
      </c>
    </row>
    <row r="16" spans="1:6" x14ac:dyDescent="0.3">
      <c r="A16" s="1" t="s">
        <v>19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x14ac:dyDescent="0.3">
      <c r="A17" s="1" t="s">
        <v>18</v>
      </c>
      <c r="B17" s="1">
        <v>30</v>
      </c>
      <c r="C17" s="1">
        <v>200</v>
      </c>
      <c r="D17" s="1">
        <v>300</v>
      </c>
      <c r="E17" s="1">
        <v>320</v>
      </c>
      <c r="F17" s="1">
        <v>350</v>
      </c>
    </row>
    <row r="18" spans="1:6" x14ac:dyDescent="0.3">
      <c r="A18" s="1" t="s">
        <v>20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3">
      <c r="A19" s="1" t="s">
        <v>18</v>
      </c>
      <c r="B19" s="1">
        <v>80</v>
      </c>
      <c r="C19" s="1">
        <v>300</v>
      </c>
      <c r="D19" s="1">
        <v>450</v>
      </c>
      <c r="E19" s="1">
        <v>500</v>
      </c>
      <c r="F19" s="1">
        <v>600</v>
      </c>
    </row>
    <row r="20" spans="1:6" x14ac:dyDescent="0.3">
      <c r="A20" t="s">
        <v>99</v>
      </c>
    </row>
    <row r="21" spans="1:6" x14ac:dyDescent="0.3">
      <c r="A21" t="s">
        <v>21</v>
      </c>
    </row>
    <row r="22" spans="1:6" x14ac:dyDescent="0.3">
      <c r="A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EEC5-B99B-4EBB-83AA-F8A10364F555}">
  <sheetPr>
    <outlinePr summaryBelow="0"/>
  </sheetPr>
  <dimension ref="B1:F15"/>
  <sheetViews>
    <sheetView showGridLines="0" workbookViewId="0">
      <selection activeCell="B16" sqref="B16:B18"/>
    </sheetView>
  </sheetViews>
  <sheetFormatPr defaultColWidth="11.5546875" defaultRowHeight="14.4" outlineLevelRow="1" outlineLevelCol="1" x14ac:dyDescent="0.3"/>
  <cols>
    <col min="3" max="3" width="17.109375" bestFit="1" customWidth="1"/>
    <col min="4" max="6" width="13.6640625" bestFit="1" customWidth="1" outlineLevel="1"/>
  </cols>
  <sheetData>
    <row r="1" spans="2:6" ht="15" thickBot="1" x14ac:dyDescent="0.35"/>
    <row r="2" spans="2:6" ht="15.6" x14ac:dyDescent="0.3">
      <c r="B2" s="17" t="s">
        <v>90</v>
      </c>
      <c r="C2" s="17"/>
      <c r="D2" s="22"/>
      <c r="E2" s="22"/>
      <c r="F2" s="22"/>
    </row>
    <row r="3" spans="2:6" ht="15.6" collapsed="1" x14ac:dyDescent="0.3">
      <c r="B3" s="16"/>
      <c r="C3" s="16"/>
      <c r="D3" s="23" t="s">
        <v>84</v>
      </c>
      <c r="E3" s="23" t="s">
        <v>87</v>
      </c>
      <c r="F3" s="23" t="s">
        <v>89</v>
      </c>
    </row>
    <row r="4" spans="2:6" ht="40.799999999999997" hidden="1" outlineLevel="1" x14ac:dyDescent="0.3">
      <c r="B4" s="19"/>
      <c r="C4" s="19"/>
      <c r="D4" s="25" t="s">
        <v>85</v>
      </c>
      <c r="E4" s="25" t="s">
        <v>85</v>
      </c>
      <c r="F4" s="25" t="s">
        <v>85</v>
      </c>
    </row>
    <row r="5" spans="2:6" x14ac:dyDescent="0.3">
      <c r="B5" s="20" t="s">
        <v>91</v>
      </c>
      <c r="C5" s="20"/>
      <c r="D5" s="18"/>
      <c r="E5" s="18"/>
      <c r="F5" s="18"/>
    </row>
    <row r="6" spans="2:6" outlineLevel="1" x14ac:dyDescent="0.3">
      <c r="B6" s="19"/>
      <c r="C6" s="19" t="s">
        <v>93</v>
      </c>
      <c r="D6" s="24">
        <v>60</v>
      </c>
      <c r="E6" s="24">
        <v>30</v>
      </c>
      <c r="F6" s="24">
        <v>80</v>
      </c>
    </row>
    <row r="7" spans="2:6" outlineLevel="1" x14ac:dyDescent="0.3">
      <c r="B7" s="19"/>
      <c r="C7" s="19" t="s">
        <v>94</v>
      </c>
      <c r="D7" s="24">
        <v>240</v>
      </c>
      <c r="E7" s="24">
        <v>200</v>
      </c>
      <c r="F7" s="24">
        <v>300</v>
      </c>
    </row>
    <row r="8" spans="2:6" outlineLevel="1" x14ac:dyDescent="0.3">
      <c r="B8" s="19"/>
      <c r="C8" s="19" t="s">
        <v>95</v>
      </c>
      <c r="D8" s="24">
        <v>420</v>
      </c>
      <c r="E8" s="24">
        <v>300</v>
      </c>
      <c r="F8" s="24">
        <v>450</v>
      </c>
    </row>
    <row r="9" spans="2:6" outlineLevel="1" x14ac:dyDescent="0.3">
      <c r="B9" s="19"/>
      <c r="C9" s="19" t="s">
        <v>96</v>
      </c>
      <c r="D9" s="24">
        <v>460</v>
      </c>
      <c r="E9" s="24">
        <v>320</v>
      </c>
      <c r="F9" s="24">
        <v>500</v>
      </c>
    </row>
    <row r="10" spans="2:6" outlineLevel="1" x14ac:dyDescent="0.3">
      <c r="B10" s="19"/>
      <c r="C10" s="19" t="s">
        <v>97</v>
      </c>
      <c r="D10" s="24">
        <v>420</v>
      </c>
      <c r="E10" s="24">
        <v>350</v>
      </c>
      <c r="F10" s="24">
        <v>600</v>
      </c>
    </row>
    <row r="11" spans="2:6" x14ac:dyDescent="0.3">
      <c r="B11" s="20" t="s">
        <v>92</v>
      </c>
      <c r="C11" s="20"/>
      <c r="D11" s="18"/>
      <c r="E11" s="18"/>
      <c r="F11" s="18"/>
    </row>
    <row r="12" spans="2:6" outlineLevel="1" x14ac:dyDescent="0.3">
      <c r="B12" s="19"/>
      <c r="C12" s="19" t="s">
        <v>80</v>
      </c>
      <c r="D12" s="12">
        <v>4.5242494226327903</v>
      </c>
      <c r="E12" s="12">
        <v>6.2252559726962504</v>
      </c>
      <c r="F12" s="12">
        <v>4.0347551342812</v>
      </c>
    </row>
    <row r="13" spans="2:6" outlineLevel="1" x14ac:dyDescent="0.3">
      <c r="B13" s="19"/>
      <c r="C13" s="19" t="s">
        <v>82</v>
      </c>
      <c r="D13" s="13">
        <v>91.388227874484002</v>
      </c>
      <c r="E13" s="13">
        <v>-126.34467980231901</v>
      </c>
      <c r="F13" s="13">
        <v>264.49370561094298</v>
      </c>
    </row>
    <row r="14" spans="2:6" outlineLevel="1" x14ac:dyDescent="0.3">
      <c r="B14" s="19"/>
      <c r="C14" s="19" t="s">
        <v>83</v>
      </c>
      <c r="D14" s="14">
        <v>0.128630841379412</v>
      </c>
      <c r="E14" s="14">
        <v>3.3199634256567197E-2</v>
      </c>
      <c r="F14" s="14">
        <v>0.194826109015174</v>
      </c>
    </row>
    <row r="15" spans="2:6" ht="15" outlineLevel="1" thickBot="1" x14ac:dyDescent="0.35">
      <c r="B15" s="21"/>
      <c r="C15" s="21" t="s">
        <v>98</v>
      </c>
      <c r="D15" s="15" t="s">
        <v>86</v>
      </c>
      <c r="E15" s="15" t="s">
        <v>88</v>
      </c>
      <c r="F15" s="15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4706-9E6B-441C-9A21-18A84045AFB8}">
  <dimension ref="A1:Q21"/>
  <sheetViews>
    <sheetView zoomScale="80" zoomScaleNormal="80" workbookViewId="0">
      <selection sqref="A1:XFD1048576"/>
    </sheetView>
  </sheetViews>
  <sheetFormatPr defaultColWidth="11.5546875" defaultRowHeight="14.4" x14ac:dyDescent="0.3"/>
  <cols>
    <col min="1" max="1" width="24.21875" customWidth="1"/>
    <col min="2" max="6" width="5.6640625" bestFit="1" customWidth="1"/>
    <col min="7" max="7" width="5" customWidth="1"/>
    <col min="8" max="8" width="5.6640625" bestFit="1" customWidth="1"/>
    <col min="9" max="9" width="1.77734375" bestFit="1" customWidth="1"/>
    <col min="10" max="10" width="17" bestFit="1" customWidth="1"/>
    <col min="11" max="11" width="8.109375" customWidth="1"/>
    <col min="12" max="12" width="9.6640625" bestFit="1" customWidth="1"/>
    <col min="13" max="17" width="8.109375" customWidth="1"/>
  </cols>
  <sheetData>
    <row r="1" spans="1:17" x14ac:dyDescent="0.3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2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18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ref="M3:M5" si="3">C4</f>
        <v>70</v>
      </c>
      <c r="N3">
        <f t="shared" ref="N3:N5" si="4">D4</f>
        <v>84</v>
      </c>
      <c r="O3">
        <f t="shared" ref="O3:O5" si="5">E4</f>
        <v>88</v>
      </c>
      <c r="P3">
        <f t="shared" ref="P3:P5" si="6">F4</f>
        <v>88</v>
      </c>
    </row>
    <row r="4" spans="1:17" x14ac:dyDescent="0.3">
      <c r="A4" t="s">
        <v>57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3"/>
        <v>60</v>
      </c>
      <c r="N4">
        <f t="shared" si="4"/>
        <v>72</v>
      </c>
      <c r="O4">
        <f t="shared" si="5"/>
        <v>78</v>
      </c>
      <c r="P4">
        <f t="shared" si="6"/>
        <v>72</v>
      </c>
    </row>
    <row r="5" spans="1:17" x14ac:dyDescent="0.3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3"/>
        <v>10</v>
      </c>
      <c r="N5">
        <f t="shared" si="4"/>
        <v>10</v>
      </c>
      <c r="O5">
        <f t="shared" si="5"/>
        <v>10</v>
      </c>
      <c r="P5">
        <f t="shared" si="6"/>
        <v>10</v>
      </c>
    </row>
    <row r="6" spans="1:17" x14ac:dyDescent="0.3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7">M2-M3-M4-M5</f>
        <v>100</v>
      </c>
      <c r="N6" s="5">
        <f t="shared" si="7"/>
        <v>254</v>
      </c>
      <c r="O6" s="5">
        <f t="shared" si="7"/>
        <v>284</v>
      </c>
      <c r="P6" s="5">
        <f t="shared" si="7"/>
        <v>250</v>
      </c>
    </row>
    <row r="7" spans="1:17" x14ac:dyDescent="0.3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8">M7</f>
        <v>80</v>
      </c>
      <c r="O7">
        <f t="shared" si="8"/>
        <v>80</v>
      </c>
      <c r="P7">
        <f t="shared" si="8"/>
        <v>80</v>
      </c>
    </row>
    <row r="8" spans="1:17" x14ac:dyDescent="0.3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-120</v>
      </c>
      <c r="M8" s="5">
        <f t="shared" ref="M8:P8" si="9">M6-M7</f>
        <v>20</v>
      </c>
      <c r="N8" s="5">
        <f t="shared" si="9"/>
        <v>174</v>
      </c>
      <c r="O8" s="5">
        <f t="shared" si="9"/>
        <v>204</v>
      </c>
      <c r="P8" s="5">
        <f t="shared" si="9"/>
        <v>170</v>
      </c>
    </row>
    <row r="9" spans="1:17" x14ac:dyDescent="0.3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-30</v>
      </c>
      <c r="M9">
        <f t="shared" ref="M9:P9" si="10">M8*$B$12</f>
        <v>5</v>
      </c>
      <c r="N9">
        <f t="shared" si="10"/>
        <v>43.5</v>
      </c>
      <c r="O9">
        <f t="shared" si="10"/>
        <v>51</v>
      </c>
      <c r="P9">
        <f t="shared" si="10"/>
        <v>42.5</v>
      </c>
    </row>
    <row r="10" spans="1:17" x14ac:dyDescent="0.3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-90</v>
      </c>
      <c r="M10" s="5">
        <f t="shared" ref="M10:P10" si="11">M8-M9</f>
        <v>15</v>
      </c>
      <c r="N10" s="5">
        <f t="shared" si="11"/>
        <v>130.5</v>
      </c>
      <c r="O10" s="5">
        <f t="shared" si="11"/>
        <v>153</v>
      </c>
      <c r="P10" s="5">
        <f t="shared" si="11"/>
        <v>127.5</v>
      </c>
    </row>
    <row r="11" spans="1:17" x14ac:dyDescent="0.3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12">M7</f>
        <v>80</v>
      </c>
      <c r="N11">
        <f t="shared" si="12"/>
        <v>80</v>
      </c>
      <c r="O11">
        <f t="shared" si="12"/>
        <v>80</v>
      </c>
      <c r="P11">
        <f t="shared" si="12"/>
        <v>80</v>
      </c>
    </row>
    <row r="12" spans="1:17" x14ac:dyDescent="0.3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-10</v>
      </c>
      <c r="M12" s="5">
        <f t="shared" ref="M12:P12" si="13">M10+M11</f>
        <v>95</v>
      </c>
      <c r="N12" s="5">
        <f t="shared" si="13"/>
        <v>210.5</v>
      </c>
      <c r="O12" s="5">
        <f t="shared" si="13"/>
        <v>233</v>
      </c>
      <c r="P12" s="5">
        <f t="shared" si="13"/>
        <v>207.5</v>
      </c>
    </row>
    <row r="13" spans="1:17" x14ac:dyDescent="0.3">
      <c r="A13" t="s">
        <v>53</v>
      </c>
      <c r="B13" s="2">
        <v>0.09</v>
      </c>
      <c r="I13" t="s">
        <v>24</v>
      </c>
      <c r="J13" t="s">
        <v>63</v>
      </c>
      <c r="L13">
        <f t="shared" ref="L13:Q13" si="14">C19</f>
        <v>10</v>
      </c>
      <c r="M13">
        <f t="shared" si="14"/>
        <v>40</v>
      </c>
      <c r="N13">
        <f t="shared" si="14"/>
        <v>43</v>
      </c>
      <c r="O13">
        <f t="shared" si="14"/>
        <v>9</v>
      </c>
      <c r="P13">
        <f t="shared" si="14"/>
        <v>-9</v>
      </c>
      <c r="Q13">
        <f t="shared" si="14"/>
        <v>-93</v>
      </c>
    </row>
    <row r="14" spans="1:17" x14ac:dyDescent="0.3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5">L12-L13+L14</f>
        <v>-20</v>
      </c>
      <c r="M15" s="6">
        <f t="shared" si="15"/>
        <v>55</v>
      </c>
      <c r="N15" s="6">
        <f t="shared" si="15"/>
        <v>167.5</v>
      </c>
      <c r="O15" s="6">
        <f t="shared" si="15"/>
        <v>224</v>
      </c>
      <c r="P15" s="6">
        <f t="shared" si="15"/>
        <v>216.5</v>
      </c>
      <c r="Q15" s="6">
        <f t="shared" si="15"/>
        <v>293</v>
      </c>
    </row>
    <row r="16" spans="1:17" x14ac:dyDescent="0.3">
      <c r="A16" t="s">
        <v>66</v>
      </c>
      <c r="C16">
        <f>L2*$B$11/360</f>
        <v>15</v>
      </c>
      <c r="D16">
        <f t="shared" ref="D16:G16" si="16">M2*$B$11/360</f>
        <v>60</v>
      </c>
      <c r="E16">
        <f t="shared" si="16"/>
        <v>105</v>
      </c>
      <c r="F16">
        <f t="shared" si="16"/>
        <v>115</v>
      </c>
      <c r="G16">
        <f t="shared" si="16"/>
        <v>105</v>
      </c>
    </row>
    <row r="17" spans="1:17" x14ac:dyDescent="0.3">
      <c r="A17" t="s">
        <v>67</v>
      </c>
      <c r="C17">
        <f>L4*$B$10/360</f>
        <v>5</v>
      </c>
      <c r="D17">
        <f t="shared" ref="D17:G17" si="17">M4*$B$10/360</f>
        <v>10</v>
      </c>
      <c r="E17">
        <f t="shared" si="17"/>
        <v>12</v>
      </c>
      <c r="F17">
        <f t="shared" si="17"/>
        <v>13</v>
      </c>
      <c r="G17">
        <f t="shared" si="17"/>
        <v>12</v>
      </c>
      <c r="J17" t="s">
        <v>79</v>
      </c>
      <c r="K17">
        <f>K15</f>
        <v>-540</v>
      </c>
      <c r="L17">
        <f>K17+L15</f>
        <v>-560</v>
      </c>
      <c r="M17">
        <f t="shared" ref="M17:Q17" si="18">L17+M15</f>
        <v>-505</v>
      </c>
      <c r="N17">
        <f t="shared" si="18"/>
        <v>-337.5</v>
      </c>
      <c r="O17" s="7">
        <f t="shared" si="18"/>
        <v>-113.5</v>
      </c>
      <c r="P17">
        <f t="shared" si="18"/>
        <v>103</v>
      </c>
      <c r="Q17">
        <f t="shared" si="18"/>
        <v>396</v>
      </c>
    </row>
    <row r="18" spans="1:17" x14ac:dyDescent="0.3">
      <c r="A18" t="s">
        <v>77</v>
      </c>
      <c r="C18">
        <f>C16-C17</f>
        <v>10</v>
      </c>
      <c r="D18">
        <f t="shared" ref="D18:G18" si="19">D16-D17</f>
        <v>50</v>
      </c>
      <c r="E18">
        <f t="shared" si="19"/>
        <v>93</v>
      </c>
      <c r="F18">
        <f t="shared" si="19"/>
        <v>102</v>
      </c>
      <c r="G18">
        <f t="shared" si="19"/>
        <v>93</v>
      </c>
    </row>
    <row r="19" spans="1:17" x14ac:dyDescent="0.3">
      <c r="A19" t="s">
        <v>78</v>
      </c>
      <c r="C19">
        <f>C18-B18</f>
        <v>10</v>
      </c>
      <c r="D19">
        <f t="shared" ref="D19:H19" si="20">D18-C18</f>
        <v>40</v>
      </c>
      <c r="E19">
        <f t="shared" si="20"/>
        <v>43</v>
      </c>
      <c r="F19">
        <f t="shared" si="20"/>
        <v>9</v>
      </c>
      <c r="G19">
        <f t="shared" si="20"/>
        <v>-9</v>
      </c>
      <c r="H19">
        <f t="shared" si="20"/>
        <v>-93</v>
      </c>
      <c r="J19" s="8" t="s">
        <v>80</v>
      </c>
      <c r="K19" s="9">
        <f>4+(-O17/P15)</f>
        <v>4.5242494226327947</v>
      </c>
      <c r="L19" s="8" t="s">
        <v>44</v>
      </c>
    </row>
    <row r="20" spans="1:17" x14ac:dyDescent="0.3">
      <c r="J20" s="8" t="s">
        <v>82</v>
      </c>
      <c r="K20" s="10">
        <f>NPV(B13,L15:Q15)+K15</f>
        <v>91.38822787448396</v>
      </c>
      <c r="L20" s="8" t="str">
        <f>IF(K20&gt;0,"Efectuable","No efectuable")</f>
        <v>Efectuable</v>
      </c>
    </row>
    <row r="21" spans="1:17" x14ac:dyDescent="0.3">
      <c r="J21" s="8" t="s">
        <v>83</v>
      </c>
      <c r="K21" s="11">
        <f>IRR(K15:Q15)</f>
        <v>0.12863084137941239</v>
      </c>
      <c r="L21" s="8" t="str">
        <f>IF(K21&gt;B13,"Efectuable","No efectuable")</f>
        <v>Efectuable</v>
      </c>
    </row>
  </sheetData>
  <scenarios current="0" show="0" sqref="K19:K21 L20">
    <scenario name="Más probable" locked="1" count="5" user="FRANCISCO JAVIER DEL ARCO JUAN" comment="Creado por FRANCISCO JAVIER DEL ARCO JUAN el 30/04/2025">
      <inputCells r="B3" val="60"/>
      <inputCells r="C3" val="240"/>
      <inputCells r="D3" val="420"/>
      <inputCells r="E3" val="460"/>
      <inputCells r="F3" val="420"/>
    </scenario>
    <scenario name="Pesimista" locked="1" count="5" user="FRANCISCO JAVIER DEL ARCO JUAN" comment="Creado por FRANCISCO JAVIER DEL ARCO JUAN el 30/04/2025">
      <inputCells r="B3" val="30"/>
      <inputCells r="C3" val="200"/>
      <inputCells r="D3" val="300"/>
      <inputCells r="E3" val="320"/>
      <inputCells r="F3" val="350"/>
    </scenario>
    <scenario name="Optimista" locked="1" count="5" user="FRANCISCO JAVIER DEL ARCO JUAN" comment="Creado por FRANCISCO JAVIER DEL ARCO JUAN el 30/04/2025">
      <inputCells r="B3" val="80"/>
      <inputCells r="C3" val="300"/>
      <inputCells r="D3" val="450"/>
      <inputCells r="E3" val="500"/>
      <inputCells r="F3" val="600"/>
    </scenario>
  </scenario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71EB-2B13-4075-B102-4FA58015EE3F}">
  <dimension ref="A1:Q21"/>
  <sheetViews>
    <sheetView topLeftCell="B7" zoomScale="130" zoomScaleNormal="130" workbookViewId="0">
      <selection activeCell="N9" sqref="N9:P9"/>
    </sheetView>
  </sheetViews>
  <sheetFormatPr defaultColWidth="11.5546875" defaultRowHeight="14.4" x14ac:dyDescent="0.3"/>
  <cols>
    <col min="1" max="1" width="24.21875" customWidth="1"/>
    <col min="2" max="6" width="5.6640625" bestFit="1" customWidth="1"/>
    <col min="7" max="7" width="5" customWidth="1"/>
    <col min="8" max="8" width="5.6640625" bestFit="1" customWidth="1"/>
    <col min="9" max="9" width="1.77734375" bestFit="1" customWidth="1"/>
    <col min="10" max="10" width="17" bestFit="1" customWidth="1"/>
    <col min="11" max="11" width="8.109375" customWidth="1"/>
    <col min="12" max="12" width="9.6640625" bestFit="1" customWidth="1"/>
    <col min="13" max="17" width="8.109375" customWidth="1"/>
  </cols>
  <sheetData>
    <row r="1" spans="1:17" x14ac:dyDescent="0.3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18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57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3">M2-M3-M4-M5</f>
        <v>100</v>
      </c>
      <c r="N6" s="5">
        <f t="shared" si="3"/>
        <v>254</v>
      </c>
      <c r="O6" s="5">
        <f t="shared" si="3"/>
        <v>284</v>
      </c>
      <c r="P6" s="5">
        <f t="shared" si="3"/>
        <v>250</v>
      </c>
    </row>
    <row r="7" spans="1:17" x14ac:dyDescent="0.3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3">
        <f>L6-L7</f>
        <v>-120</v>
      </c>
      <c r="M8" s="5">
        <f t="shared" ref="M8:P8" si="5">M6-M7</f>
        <v>20</v>
      </c>
      <c r="N8" s="5">
        <f t="shared" si="5"/>
        <v>174</v>
      </c>
      <c r="O8" s="5">
        <f t="shared" si="5"/>
        <v>204</v>
      </c>
      <c r="P8" s="5">
        <f t="shared" si="5"/>
        <v>170</v>
      </c>
    </row>
    <row r="9" spans="1:17" x14ac:dyDescent="0.3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v>0</v>
      </c>
      <c r="M9">
        <v>0</v>
      </c>
      <c r="N9">
        <f>(N8+L8+M8)*$B$12</f>
        <v>18.5</v>
      </c>
      <c r="O9">
        <f t="shared" ref="O9:P9" si="6">O8*$B$12</f>
        <v>51</v>
      </c>
      <c r="P9">
        <f t="shared" si="6"/>
        <v>42.5</v>
      </c>
    </row>
    <row r="10" spans="1:17" x14ac:dyDescent="0.3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-120</v>
      </c>
      <c r="M10" s="5">
        <f t="shared" ref="M10:P10" si="7">M8-M9</f>
        <v>20</v>
      </c>
      <c r="N10" s="5">
        <f t="shared" si="7"/>
        <v>155.5</v>
      </c>
      <c r="O10" s="5">
        <f t="shared" si="7"/>
        <v>153</v>
      </c>
      <c r="P10" s="5">
        <f t="shared" si="7"/>
        <v>127.5</v>
      </c>
    </row>
    <row r="11" spans="1:17" x14ac:dyDescent="0.3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-40</v>
      </c>
      <c r="M12" s="5">
        <f t="shared" ref="M12:P12" si="9">M10+M11</f>
        <v>100</v>
      </c>
      <c r="N12" s="5">
        <f t="shared" si="9"/>
        <v>235.5</v>
      </c>
      <c r="O12" s="5">
        <f t="shared" si="9"/>
        <v>233</v>
      </c>
      <c r="P12" s="5">
        <f t="shared" si="9"/>
        <v>207.5</v>
      </c>
    </row>
    <row r="13" spans="1:17" x14ac:dyDescent="0.3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10</v>
      </c>
      <c r="M13">
        <f t="shared" si="10"/>
        <v>40</v>
      </c>
      <c r="N13">
        <f t="shared" si="10"/>
        <v>43</v>
      </c>
      <c r="O13">
        <f t="shared" si="10"/>
        <v>9</v>
      </c>
      <c r="P13">
        <f t="shared" si="10"/>
        <v>-9</v>
      </c>
      <c r="Q13">
        <f t="shared" si="10"/>
        <v>-93</v>
      </c>
    </row>
    <row r="14" spans="1:17" x14ac:dyDescent="0.3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-50</v>
      </c>
      <c r="M15" s="6">
        <f t="shared" si="11"/>
        <v>60</v>
      </c>
      <c r="N15" s="6">
        <f t="shared" si="11"/>
        <v>192.5</v>
      </c>
      <c r="O15" s="6">
        <f t="shared" si="11"/>
        <v>224</v>
      </c>
      <c r="P15" s="6">
        <f t="shared" si="11"/>
        <v>216.5</v>
      </c>
      <c r="Q15" s="6">
        <f t="shared" si="11"/>
        <v>293</v>
      </c>
    </row>
    <row r="16" spans="1:17" x14ac:dyDescent="0.3">
      <c r="A16" t="s">
        <v>66</v>
      </c>
      <c r="C16">
        <f>L2*$B$11/360</f>
        <v>15</v>
      </c>
      <c r="D16">
        <f t="shared" ref="D16:G16" si="12">M2*$B$11/360</f>
        <v>60</v>
      </c>
      <c r="E16">
        <f t="shared" si="12"/>
        <v>105</v>
      </c>
      <c r="F16">
        <f t="shared" si="12"/>
        <v>115</v>
      </c>
      <c r="G16">
        <f t="shared" si="12"/>
        <v>105</v>
      </c>
    </row>
    <row r="17" spans="1:17" x14ac:dyDescent="0.3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-590</v>
      </c>
      <c r="M17">
        <f t="shared" ref="M17:Q17" si="14">L17+M15</f>
        <v>-530</v>
      </c>
      <c r="N17">
        <f t="shared" si="14"/>
        <v>-337.5</v>
      </c>
      <c r="O17" s="7">
        <f t="shared" si="14"/>
        <v>-113.5</v>
      </c>
      <c r="P17">
        <f t="shared" si="14"/>
        <v>103</v>
      </c>
      <c r="Q17">
        <f t="shared" si="14"/>
        <v>396</v>
      </c>
    </row>
    <row r="18" spans="1:17" x14ac:dyDescent="0.3">
      <c r="A18" t="s">
        <v>77</v>
      </c>
      <c r="C18">
        <f>C16-C17</f>
        <v>10</v>
      </c>
      <c r="D18">
        <f t="shared" ref="D18:G18" si="15">D16-D17</f>
        <v>50</v>
      </c>
      <c r="E18">
        <f t="shared" si="15"/>
        <v>93</v>
      </c>
      <c r="F18">
        <f t="shared" si="15"/>
        <v>102</v>
      </c>
      <c r="G18">
        <f t="shared" si="15"/>
        <v>93</v>
      </c>
    </row>
    <row r="19" spans="1:17" x14ac:dyDescent="0.3">
      <c r="A19" t="s">
        <v>78</v>
      </c>
      <c r="C19">
        <f>C18-B18</f>
        <v>10</v>
      </c>
      <c r="D19">
        <f t="shared" ref="D19:H19" si="16">D18-C18</f>
        <v>40</v>
      </c>
      <c r="E19">
        <f t="shared" si="16"/>
        <v>43</v>
      </c>
      <c r="F19">
        <f t="shared" si="16"/>
        <v>9</v>
      </c>
      <c r="G19">
        <f t="shared" si="16"/>
        <v>-9</v>
      </c>
      <c r="H19">
        <f t="shared" si="16"/>
        <v>-93</v>
      </c>
      <c r="J19" s="8" t="s">
        <v>80</v>
      </c>
      <c r="K19" s="9">
        <f>4+(-O17/P15)</f>
        <v>4.5242494226327947</v>
      </c>
      <c r="L19" s="8" t="s">
        <v>44</v>
      </c>
    </row>
    <row r="20" spans="1:17" x14ac:dyDescent="0.3">
      <c r="J20" s="8" t="s">
        <v>82</v>
      </c>
      <c r="K20" s="10">
        <f>NPV(B13,L15:Q15)+K15</f>
        <v>87.378279062526872</v>
      </c>
      <c r="L20" s="8" t="str">
        <f>IF(K20&gt;0,"Efectuable","No efectuable")</f>
        <v>Efectuable</v>
      </c>
    </row>
    <row r="21" spans="1:17" x14ac:dyDescent="0.3">
      <c r="J21" s="8" t="s">
        <v>83</v>
      </c>
      <c r="K21" s="11">
        <f>IRR(K15:Q15)</f>
        <v>0.12621531290950938</v>
      </c>
      <c r="L21" s="8" t="str">
        <f>IF(K21&gt;B13,"Efectuable","No efectuable")</f>
        <v>Efectuable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3DEE-D12C-4C04-8C2C-CE5CF9C638C7}">
  <dimension ref="A1:Q21"/>
  <sheetViews>
    <sheetView workbookViewId="0">
      <selection activeCell="C4" sqref="C4"/>
    </sheetView>
  </sheetViews>
  <sheetFormatPr defaultColWidth="11.5546875" defaultRowHeight="14.4" x14ac:dyDescent="0.3"/>
  <cols>
    <col min="1" max="1" width="24.21875" customWidth="1"/>
    <col min="2" max="6" width="5.6640625" bestFit="1" customWidth="1"/>
    <col min="7" max="7" width="5" customWidth="1"/>
    <col min="8" max="8" width="5.6640625" bestFit="1" customWidth="1"/>
    <col min="9" max="9" width="1.77734375" bestFit="1" customWidth="1"/>
    <col min="10" max="10" width="17" bestFit="1" customWidth="1"/>
    <col min="11" max="11" width="8.109375" customWidth="1"/>
    <col min="12" max="12" width="9.6640625" bestFit="1" customWidth="1"/>
    <col min="13" max="17" width="8.109375" customWidth="1"/>
  </cols>
  <sheetData>
    <row r="1" spans="1:17" x14ac:dyDescent="0.3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257.73340649294204</v>
      </c>
      <c r="O2">
        <f t="shared" si="0"/>
        <v>460</v>
      </c>
      <c r="P2">
        <f t="shared" si="0"/>
        <v>420</v>
      </c>
    </row>
    <row r="3" spans="1:17" x14ac:dyDescent="0.3">
      <c r="A3" t="s">
        <v>18</v>
      </c>
      <c r="B3">
        <v>60</v>
      </c>
      <c r="C3">
        <v>240</v>
      </c>
      <c r="D3" s="3">
        <v>257.73340649294204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57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3">M2-M3-M4-M5</f>
        <v>100</v>
      </c>
      <c r="N6" s="5">
        <f t="shared" si="3"/>
        <v>91.733406492942038</v>
      </c>
      <c r="O6" s="5">
        <f t="shared" si="3"/>
        <v>284</v>
      </c>
      <c r="P6" s="5">
        <f t="shared" si="3"/>
        <v>250</v>
      </c>
    </row>
    <row r="7" spans="1:17" x14ac:dyDescent="0.3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-120</v>
      </c>
      <c r="M8" s="5">
        <f t="shared" ref="M8:P8" si="5">M6-M7</f>
        <v>20</v>
      </c>
      <c r="N8" s="5">
        <f t="shared" si="5"/>
        <v>11.733406492942038</v>
      </c>
      <c r="O8" s="5">
        <f t="shared" si="5"/>
        <v>204</v>
      </c>
      <c r="P8" s="5">
        <f t="shared" si="5"/>
        <v>170</v>
      </c>
    </row>
    <row r="9" spans="1:17" x14ac:dyDescent="0.3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-30</v>
      </c>
      <c r="M9">
        <f t="shared" ref="M9:P9" si="6">M8*$B$12</f>
        <v>5</v>
      </c>
      <c r="N9">
        <f t="shared" si="6"/>
        <v>2.9333516232355095</v>
      </c>
      <c r="O9">
        <f t="shared" si="6"/>
        <v>51</v>
      </c>
      <c r="P9">
        <f t="shared" si="6"/>
        <v>42.5</v>
      </c>
    </row>
    <row r="10" spans="1:17" x14ac:dyDescent="0.3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-90</v>
      </c>
      <c r="M10" s="5">
        <f t="shared" ref="M10:P10" si="7">M8-M9</f>
        <v>15</v>
      </c>
      <c r="N10" s="5">
        <f t="shared" si="7"/>
        <v>8.8000548697065284</v>
      </c>
      <c r="O10" s="5">
        <f t="shared" si="7"/>
        <v>153</v>
      </c>
      <c r="P10" s="5">
        <f t="shared" si="7"/>
        <v>127.5</v>
      </c>
    </row>
    <row r="11" spans="1:17" x14ac:dyDescent="0.3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-10</v>
      </c>
      <c r="M12" s="5">
        <f t="shared" ref="M12:P12" si="9">M10+M11</f>
        <v>95</v>
      </c>
      <c r="N12" s="5">
        <f t="shared" si="9"/>
        <v>88.800054869706528</v>
      </c>
      <c r="O12" s="5">
        <f t="shared" si="9"/>
        <v>233</v>
      </c>
      <c r="P12" s="5">
        <f t="shared" si="9"/>
        <v>207.5</v>
      </c>
    </row>
    <row r="13" spans="1:17" x14ac:dyDescent="0.3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10</v>
      </c>
      <c r="M13">
        <f t="shared" si="10"/>
        <v>40</v>
      </c>
      <c r="N13">
        <f t="shared" si="10"/>
        <v>2.4333516232355095</v>
      </c>
      <c r="O13">
        <f t="shared" si="10"/>
        <v>49.566648376764491</v>
      </c>
      <c r="P13">
        <f t="shared" si="10"/>
        <v>-9</v>
      </c>
      <c r="Q13">
        <f t="shared" si="10"/>
        <v>-93</v>
      </c>
    </row>
    <row r="14" spans="1:17" x14ac:dyDescent="0.3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-20</v>
      </c>
      <c r="M15" s="6">
        <f t="shared" si="11"/>
        <v>55</v>
      </c>
      <c r="N15" s="6">
        <f t="shared" si="11"/>
        <v>86.366703246471019</v>
      </c>
      <c r="O15" s="6">
        <f t="shared" si="11"/>
        <v>183.43335162323552</v>
      </c>
      <c r="P15" s="6">
        <f t="shared" si="11"/>
        <v>216.5</v>
      </c>
      <c r="Q15" s="6">
        <f t="shared" si="11"/>
        <v>293</v>
      </c>
    </row>
    <row r="16" spans="1:17" x14ac:dyDescent="0.3">
      <c r="A16" t="s">
        <v>66</v>
      </c>
      <c r="C16">
        <f>L2*$B$11/360</f>
        <v>15</v>
      </c>
      <c r="D16">
        <f t="shared" ref="D16:G16" si="12">M2*$B$11/360</f>
        <v>60</v>
      </c>
      <c r="E16">
        <f t="shared" si="12"/>
        <v>64.433351623235509</v>
      </c>
      <c r="F16">
        <f t="shared" si="12"/>
        <v>115</v>
      </c>
      <c r="G16">
        <f t="shared" si="12"/>
        <v>105</v>
      </c>
    </row>
    <row r="17" spans="1:17" x14ac:dyDescent="0.3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-560</v>
      </c>
      <c r="M17">
        <f t="shared" ref="M17:Q17" si="14">L17+M15</f>
        <v>-505</v>
      </c>
      <c r="N17">
        <f t="shared" si="14"/>
        <v>-418.63329675352895</v>
      </c>
      <c r="O17" s="7">
        <f t="shared" si="14"/>
        <v>-235.19994513029343</v>
      </c>
      <c r="P17">
        <f t="shared" si="14"/>
        <v>-18.699945130293429</v>
      </c>
      <c r="Q17">
        <f t="shared" si="14"/>
        <v>274.30005486970657</v>
      </c>
    </row>
    <row r="18" spans="1:17" x14ac:dyDescent="0.3">
      <c r="A18" t="s">
        <v>77</v>
      </c>
      <c r="C18">
        <f>C16-C17</f>
        <v>10</v>
      </c>
      <c r="D18">
        <f t="shared" ref="D18:G18" si="15">D16-D17</f>
        <v>50</v>
      </c>
      <c r="E18">
        <f t="shared" si="15"/>
        <v>52.433351623235509</v>
      </c>
      <c r="F18">
        <f t="shared" si="15"/>
        <v>102</v>
      </c>
      <c r="G18">
        <f t="shared" si="15"/>
        <v>93</v>
      </c>
    </row>
    <row r="19" spans="1:17" x14ac:dyDescent="0.3">
      <c r="A19" t="s">
        <v>78</v>
      </c>
      <c r="C19">
        <f>C18-B18</f>
        <v>10</v>
      </c>
      <c r="D19">
        <f t="shared" ref="D19:H19" si="16">D18-C18</f>
        <v>40</v>
      </c>
      <c r="E19">
        <f t="shared" si="16"/>
        <v>2.4333516232355095</v>
      </c>
      <c r="F19">
        <f t="shared" si="16"/>
        <v>49.566648376764491</v>
      </c>
      <c r="G19">
        <f t="shared" si="16"/>
        <v>-9</v>
      </c>
      <c r="H19">
        <f t="shared" si="16"/>
        <v>-93</v>
      </c>
      <c r="J19" s="8" t="s">
        <v>80</v>
      </c>
      <c r="K19" s="9">
        <f>4+(-O17/P15)</f>
        <v>5.0863738805094387</v>
      </c>
      <c r="L19" s="8" t="s">
        <v>44</v>
      </c>
    </row>
    <row r="20" spans="1:17" x14ac:dyDescent="0.3">
      <c r="J20" s="8" t="s">
        <v>82</v>
      </c>
      <c r="K20" s="10">
        <f>NPV(B13,L15:Q15)+K15</f>
        <v>0</v>
      </c>
      <c r="L20" s="8" t="str">
        <f>IF(K20&gt;0,"Efectuable","No efectuable")</f>
        <v>No efectuable</v>
      </c>
    </row>
    <row r="21" spans="1:17" x14ac:dyDescent="0.3">
      <c r="J21" s="8" t="s">
        <v>83</v>
      </c>
      <c r="K21" s="11">
        <f>IRR(K15:Q15)</f>
        <v>8.9999999999988534E-2</v>
      </c>
      <c r="L21" s="8" t="str">
        <f>IF(K21&gt;B13,"Efectuable","No efectuable")</f>
        <v>No efectuable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5858-05F5-42C1-BA6A-0A0D54FCB8F7}">
  <dimension ref="A1:Q21"/>
  <sheetViews>
    <sheetView workbookViewId="0">
      <selection activeCell="C5" sqref="C5"/>
    </sheetView>
  </sheetViews>
  <sheetFormatPr defaultColWidth="11.5546875" defaultRowHeight="14.4" x14ac:dyDescent="0.3"/>
  <cols>
    <col min="1" max="1" width="24.21875" customWidth="1"/>
    <col min="2" max="6" width="5.6640625" bestFit="1" customWidth="1"/>
    <col min="7" max="7" width="5" customWidth="1"/>
    <col min="8" max="8" width="5.6640625" bestFit="1" customWidth="1"/>
    <col min="9" max="9" width="1.77734375" bestFit="1" customWidth="1"/>
    <col min="10" max="10" width="17" bestFit="1" customWidth="1"/>
    <col min="11" max="11" width="8.109375" customWidth="1"/>
    <col min="12" max="12" width="9.6640625" bestFit="1" customWidth="1"/>
    <col min="13" max="17" width="8.109375" customWidth="1"/>
  </cols>
  <sheetData>
    <row r="1" spans="1:17" x14ac:dyDescent="0.3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18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5.2666666666665769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57</v>
      </c>
      <c r="B4">
        <v>60</v>
      </c>
      <c r="C4" s="3">
        <v>5.2666666666665769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3">M2-M3-M4-M5</f>
        <v>164.73333333333343</v>
      </c>
      <c r="N6" s="5">
        <f t="shared" si="3"/>
        <v>254</v>
      </c>
      <c r="O6" s="5">
        <f t="shared" si="3"/>
        <v>284</v>
      </c>
      <c r="P6" s="5">
        <f t="shared" si="3"/>
        <v>250</v>
      </c>
    </row>
    <row r="7" spans="1:17" x14ac:dyDescent="0.3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-120</v>
      </c>
      <c r="M8" s="5">
        <f t="shared" ref="M8:P8" si="5">M6-M7</f>
        <v>84.733333333333434</v>
      </c>
      <c r="N8" s="5">
        <f t="shared" si="5"/>
        <v>174</v>
      </c>
      <c r="O8" s="5">
        <f t="shared" si="5"/>
        <v>204</v>
      </c>
      <c r="P8" s="5">
        <f t="shared" si="5"/>
        <v>170</v>
      </c>
    </row>
    <row r="9" spans="1:17" x14ac:dyDescent="0.3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-30</v>
      </c>
      <c r="M9">
        <f t="shared" ref="M9:P9" si="6">M8*$B$12</f>
        <v>21.183333333333358</v>
      </c>
      <c r="N9">
        <f t="shared" si="6"/>
        <v>43.5</v>
      </c>
      <c r="O9">
        <f t="shared" si="6"/>
        <v>51</v>
      </c>
      <c r="P9">
        <f t="shared" si="6"/>
        <v>42.5</v>
      </c>
    </row>
    <row r="10" spans="1:17" x14ac:dyDescent="0.3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-90</v>
      </c>
      <c r="M10" s="5">
        <f t="shared" ref="M10:P10" si="7">M8-M9</f>
        <v>63.550000000000075</v>
      </c>
      <c r="N10" s="5">
        <f t="shared" si="7"/>
        <v>130.5</v>
      </c>
      <c r="O10" s="5">
        <f t="shared" si="7"/>
        <v>153</v>
      </c>
      <c r="P10" s="5">
        <f t="shared" si="7"/>
        <v>127.5</v>
      </c>
    </row>
    <row r="11" spans="1:17" x14ac:dyDescent="0.3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-10</v>
      </c>
      <c r="M12" s="5">
        <f t="shared" ref="M12:P12" si="9">M10+M11</f>
        <v>143.55000000000007</v>
      </c>
      <c r="N12" s="5">
        <f t="shared" si="9"/>
        <v>210.5</v>
      </c>
      <c r="O12" s="5">
        <f t="shared" si="9"/>
        <v>233</v>
      </c>
      <c r="P12" s="5">
        <f t="shared" si="9"/>
        <v>207.5</v>
      </c>
    </row>
    <row r="13" spans="1:17" x14ac:dyDescent="0.3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10</v>
      </c>
      <c r="M13">
        <f t="shared" si="10"/>
        <v>40</v>
      </c>
      <c r="N13">
        <f t="shared" si="10"/>
        <v>43</v>
      </c>
      <c r="O13">
        <f t="shared" si="10"/>
        <v>9</v>
      </c>
      <c r="P13">
        <f t="shared" si="10"/>
        <v>-9</v>
      </c>
      <c r="Q13">
        <f t="shared" si="10"/>
        <v>-93</v>
      </c>
    </row>
    <row r="14" spans="1:17" x14ac:dyDescent="0.3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-20</v>
      </c>
      <c r="M15" s="6">
        <f t="shared" si="11"/>
        <v>103.55000000000007</v>
      </c>
      <c r="N15" s="6">
        <f t="shared" si="11"/>
        <v>167.5</v>
      </c>
      <c r="O15" s="6">
        <f t="shared" si="11"/>
        <v>224</v>
      </c>
      <c r="P15" s="6">
        <f t="shared" si="11"/>
        <v>216.5</v>
      </c>
      <c r="Q15" s="6">
        <f t="shared" si="11"/>
        <v>293</v>
      </c>
    </row>
    <row r="16" spans="1:17" x14ac:dyDescent="0.3">
      <c r="A16" t="s">
        <v>66</v>
      </c>
      <c r="C16">
        <f>L2*$B$11/360</f>
        <v>15</v>
      </c>
      <c r="D16">
        <f t="shared" ref="D16:G16" si="12">M2*$B$11/360</f>
        <v>60</v>
      </c>
      <c r="E16">
        <f t="shared" si="12"/>
        <v>105</v>
      </c>
      <c r="F16">
        <f t="shared" si="12"/>
        <v>115</v>
      </c>
      <c r="G16">
        <f t="shared" si="12"/>
        <v>105</v>
      </c>
    </row>
    <row r="17" spans="1:17" x14ac:dyDescent="0.3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-560</v>
      </c>
      <c r="M17">
        <f t="shared" ref="M17:Q17" si="14">L17+M15</f>
        <v>-456.44999999999993</v>
      </c>
      <c r="N17">
        <f t="shared" si="14"/>
        <v>-288.94999999999993</v>
      </c>
      <c r="O17" s="7">
        <f t="shared" si="14"/>
        <v>-64.949999999999932</v>
      </c>
      <c r="P17">
        <f t="shared" si="14"/>
        <v>151.55000000000007</v>
      </c>
      <c r="Q17">
        <f t="shared" si="14"/>
        <v>444.55000000000007</v>
      </c>
    </row>
    <row r="18" spans="1:17" x14ac:dyDescent="0.3">
      <c r="A18" t="s">
        <v>77</v>
      </c>
      <c r="C18">
        <f>C16-C17</f>
        <v>10</v>
      </c>
      <c r="D18">
        <f t="shared" ref="D18:G18" si="15">D16-D17</f>
        <v>50</v>
      </c>
      <c r="E18">
        <f t="shared" si="15"/>
        <v>93</v>
      </c>
      <c r="F18">
        <f t="shared" si="15"/>
        <v>102</v>
      </c>
      <c r="G18">
        <f t="shared" si="15"/>
        <v>93</v>
      </c>
    </row>
    <row r="19" spans="1:17" x14ac:dyDescent="0.3">
      <c r="A19" t="s">
        <v>78</v>
      </c>
      <c r="C19">
        <f>C18-B18</f>
        <v>10</v>
      </c>
      <c r="D19">
        <f t="shared" ref="D19:H19" si="16">D18-C18</f>
        <v>40</v>
      </c>
      <c r="E19">
        <f t="shared" si="16"/>
        <v>43</v>
      </c>
      <c r="F19">
        <f t="shared" si="16"/>
        <v>9</v>
      </c>
      <c r="G19">
        <f t="shared" si="16"/>
        <v>-9</v>
      </c>
      <c r="H19">
        <f t="shared" si="16"/>
        <v>-93</v>
      </c>
      <c r="J19" s="8" t="s">
        <v>80</v>
      </c>
      <c r="K19" s="9">
        <f>4+(-O17/P15)</f>
        <v>4.3</v>
      </c>
      <c r="L19" s="8" t="s">
        <v>44</v>
      </c>
    </row>
    <row r="20" spans="1:17" x14ac:dyDescent="0.3">
      <c r="J20" s="8" t="s">
        <v>82</v>
      </c>
      <c r="K20" s="10">
        <f>NPV(B13,L15:Q15)+K15</f>
        <v>132.25179154757552</v>
      </c>
      <c r="L20" s="8" t="str">
        <f>IF(K20&gt;0,"Efectuable","No efectuable")</f>
        <v>Efectuable</v>
      </c>
    </row>
    <row r="21" spans="1:17" x14ac:dyDescent="0.3">
      <c r="J21" s="8" t="s">
        <v>83</v>
      </c>
      <c r="K21" s="11">
        <f>IRR(K15:Q15)</f>
        <v>0.14671047768233758</v>
      </c>
      <c r="L21" s="8" t="str">
        <f>IF(K21&gt;B13,"Efectuable","No efectuable")</f>
        <v>Efectuable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E890-8F30-4A98-A9FD-D65DC4C2F386}">
  <dimension ref="A1:V31"/>
  <sheetViews>
    <sheetView tabSelected="1" topLeftCell="A4" zoomScale="80" zoomScaleNormal="80" workbookViewId="0">
      <selection activeCell="A22" sqref="A22"/>
    </sheetView>
  </sheetViews>
  <sheetFormatPr defaultColWidth="11.5546875" defaultRowHeight="14.4" x14ac:dyDescent="0.3"/>
  <cols>
    <col min="1" max="1" width="24.21875" customWidth="1"/>
    <col min="2" max="6" width="5.6640625" bestFit="1" customWidth="1"/>
    <col min="7" max="7" width="5" customWidth="1"/>
    <col min="8" max="8" width="5.6640625" bestFit="1" customWidth="1"/>
    <col min="9" max="9" width="1.77734375" bestFit="1" customWidth="1"/>
    <col min="10" max="10" width="17" bestFit="1" customWidth="1"/>
    <col min="11" max="11" width="8.109375" customWidth="1"/>
    <col min="12" max="12" width="10.109375" bestFit="1" customWidth="1"/>
    <col min="13" max="22" width="9.44140625" bestFit="1" customWidth="1"/>
  </cols>
  <sheetData>
    <row r="1" spans="1:17" x14ac:dyDescent="0.3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18</v>
      </c>
      <c r="B3" s="3">
        <v>60</v>
      </c>
      <c r="C3">
        <v>240</v>
      </c>
      <c r="D3">
        <v>420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57</v>
      </c>
      <c r="B4" s="27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3">M2-M3-M4-M5</f>
        <v>100</v>
      </c>
      <c r="N6" s="5">
        <f t="shared" si="3"/>
        <v>254</v>
      </c>
      <c r="O6" s="5">
        <f t="shared" si="3"/>
        <v>284</v>
      </c>
      <c r="P6" s="5">
        <f t="shared" si="3"/>
        <v>250</v>
      </c>
    </row>
    <row r="7" spans="1:17" x14ac:dyDescent="0.3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-120</v>
      </c>
      <c r="M8" s="5">
        <f t="shared" ref="M8:P8" si="5">M6-M7</f>
        <v>20</v>
      </c>
      <c r="N8" s="5">
        <f t="shared" si="5"/>
        <v>174</v>
      </c>
      <c r="O8" s="5">
        <f t="shared" si="5"/>
        <v>204</v>
      </c>
      <c r="P8" s="5">
        <f t="shared" si="5"/>
        <v>170</v>
      </c>
    </row>
    <row r="9" spans="1:17" x14ac:dyDescent="0.3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-30</v>
      </c>
      <c r="M9">
        <f t="shared" ref="M9:P9" si="6">M8*$B$12</f>
        <v>5</v>
      </c>
      <c r="N9">
        <f t="shared" si="6"/>
        <v>43.5</v>
      </c>
      <c r="O9">
        <f t="shared" si="6"/>
        <v>51</v>
      </c>
      <c r="P9">
        <f t="shared" si="6"/>
        <v>42.5</v>
      </c>
    </row>
    <row r="10" spans="1:17" x14ac:dyDescent="0.3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-90</v>
      </c>
      <c r="M10" s="5">
        <f t="shared" ref="M10:P10" si="7">M8-M9</f>
        <v>15</v>
      </c>
      <c r="N10" s="5">
        <f t="shared" si="7"/>
        <v>130.5</v>
      </c>
      <c r="O10" s="5">
        <f t="shared" si="7"/>
        <v>153</v>
      </c>
      <c r="P10" s="5">
        <f t="shared" si="7"/>
        <v>127.5</v>
      </c>
    </row>
    <row r="11" spans="1:17" x14ac:dyDescent="0.3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-10</v>
      </c>
      <c r="M12" s="5">
        <f t="shared" ref="M12:P12" si="9">M10+M11</f>
        <v>95</v>
      </c>
      <c r="N12" s="5">
        <f t="shared" si="9"/>
        <v>210.5</v>
      </c>
      <c r="O12" s="5">
        <f t="shared" si="9"/>
        <v>233</v>
      </c>
      <c r="P12" s="5">
        <f t="shared" si="9"/>
        <v>207.5</v>
      </c>
    </row>
    <row r="13" spans="1:17" x14ac:dyDescent="0.3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10</v>
      </c>
      <c r="M13">
        <f t="shared" si="10"/>
        <v>40</v>
      </c>
      <c r="N13">
        <f t="shared" si="10"/>
        <v>43</v>
      </c>
      <c r="O13">
        <f t="shared" si="10"/>
        <v>9</v>
      </c>
      <c r="P13">
        <f t="shared" si="10"/>
        <v>-9</v>
      </c>
      <c r="Q13">
        <f t="shared" si="10"/>
        <v>-93</v>
      </c>
    </row>
    <row r="14" spans="1:17" x14ac:dyDescent="0.3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-20</v>
      </c>
      <c r="M15" s="6">
        <f t="shared" si="11"/>
        <v>55</v>
      </c>
      <c r="N15" s="6">
        <f t="shared" si="11"/>
        <v>167.5</v>
      </c>
      <c r="O15" s="6">
        <f t="shared" si="11"/>
        <v>224</v>
      </c>
      <c r="P15" s="6">
        <f t="shared" si="11"/>
        <v>216.5</v>
      </c>
      <c r="Q15" s="6">
        <f t="shared" si="11"/>
        <v>293</v>
      </c>
    </row>
    <row r="16" spans="1:17" x14ac:dyDescent="0.3">
      <c r="A16" t="s">
        <v>66</v>
      </c>
      <c r="C16">
        <f>L2*$B$11/360</f>
        <v>15</v>
      </c>
      <c r="D16">
        <f t="shared" ref="D16:G16" si="12">M2*$B$11/360</f>
        <v>60</v>
      </c>
      <c r="E16">
        <f t="shared" si="12"/>
        <v>105</v>
      </c>
      <c r="F16">
        <f t="shared" si="12"/>
        <v>115</v>
      </c>
      <c r="G16">
        <f t="shared" si="12"/>
        <v>105</v>
      </c>
    </row>
    <row r="17" spans="1:22" x14ac:dyDescent="0.3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-560</v>
      </c>
      <c r="M17">
        <f t="shared" ref="M17:Q17" si="14">L17+M15</f>
        <v>-505</v>
      </c>
      <c r="N17">
        <f t="shared" si="14"/>
        <v>-337.5</v>
      </c>
      <c r="O17" s="7">
        <f t="shared" si="14"/>
        <v>-113.5</v>
      </c>
      <c r="P17">
        <f t="shared" si="14"/>
        <v>103</v>
      </c>
      <c r="Q17">
        <f t="shared" si="14"/>
        <v>396</v>
      </c>
    </row>
    <row r="18" spans="1:22" x14ac:dyDescent="0.3">
      <c r="A18" t="s">
        <v>77</v>
      </c>
      <c r="C18">
        <f>C16-C17</f>
        <v>10</v>
      </c>
      <c r="D18">
        <f t="shared" ref="D18:G18" si="15">D16-D17</f>
        <v>50</v>
      </c>
      <c r="E18">
        <f t="shared" si="15"/>
        <v>93</v>
      </c>
      <c r="F18">
        <f t="shared" si="15"/>
        <v>102</v>
      </c>
      <c r="G18">
        <f t="shared" si="15"/>
        <v>93</v>
      </c>
      <c r="J18" s="26"/>
    </row>
    <row r="19" spans="1:22" x14ac:dyDescent="0.3">
      <c r="A19" t="s">
        <v>78</v>
      </c>
      <c r="C19">
        <f>C18-B18</f>
        <v>10</v>
      </c>
      <c r="D19">
        <f t="shared" ref="D19:H19" si="16">D18-C18</f>
        <v>40</v>
      </c>
      <c r="E19">
        <f t="shared" si="16"/>
        <v>43</v>
      </c>
      <c r="F19">
        <f t="shared" si="16"/>
        <v>9</v>
      </c>
      <c r="G19">
        <f t="shared" si="16"/>
        <v>-9</v>
      </c>
      <c r="H19">
        <f t="shared" si="16"/>
        <v>-93</v>
      </c>
      <c r="J19" s="8" t="s">
        <v>80</v>
      </c>
      <c r="K19" s="9">
        <f>4+(-O17/P15)</f>
        <v>4.5242494226327947</v>
      </c>
      <c r="L19" s="8" t="s">
        <v>44</v>
      </c>
    </row>
    <row r="20" spans="1:22" x14ac:dyDescent="0.3">
      <c r="J20" s="8" t="s">
        <v>82</v>
      </c>
      <c r="K20" s="10">
        <f>NPV(B13,L15:Q15)+K15</f>
        <v>91.38822787448396</v>
      </c>
      <c r="L20" s="8" t="str">
        <f>IF(K20&gt;0,"Efectuable","No efectuable")</f>
        <v>Efectuable</v>
      </c>
    </row>
    <row r="21" spans="1:22" x14ac:dyDescent="0.3">
      <c r="J21" s="8" t="s">
        <v>83</v>
      </c>
      <c r="K21" s="11">
        <f>IRR(K15:Q15)</f>
        <v>0.12863084137941239</v>
      </c>
      <c r="L21" s="8" t="str">
        <f>IF(K21&gt;B13,"Efectuable","No efectuable")</f>
        <v>Efectuable</v>
      </c>
    </row>
    <row r="22" spans="1:22" ht="15" thickBot="1" x14ac:dyDescent="0.35"/>
    <row r="23" spans="1:22" ht="15" thickBot="1" x14ac:dyDescent="0.35">
      <c r="L23" s="47" t="s">
        <v>93</v>
      </c>
      <c r="M23" s="48"/>
      <c r="N23" s="48"/>
      <c r="O23" s="48"/>
      <c r="P23" s="48"/>
      <c r="Q23" s="48"/>
      <c r="R23" s="48"/>
      <c r="S23" s="48"/>
      <c r="T23" s="48"/>
      <c r="U23" s="48"/>
      <c r="V23" s="49"/>
    </row>
    <row r="24" spans="1:22" ht="15" thickBot="1" x14ac:dyDescent="0.35">
      <c r="K24" s="28">
        <f>K20</f>
        <v>91.38822787448396</v>
      </c>
      <c r="L24" s="32">
        <v>40</v>
      </c>
      <c r="M24" s="29">
        <v>45</v>
      </c>
      <c r="N24" s="29">
        <v>50</v>
      </c>
      <c r="O24" s="29">
        <v>55</v>
      </c>
      <c r="P24" s="30">
        <v>60</v>
      </c>
      <c r="Q24" s="29">
        <v>65</v>
      </c>
      <c r="R24" s="29">
        <v>70</v>
      </c>
      <c r="S24" s="29">
        <v>75</v>
      </c>
      <c r="T24" s="29">
        <v>80</v>
      </c>
      <c r="U24" s="29">
        <v>85</v>
      </c>
      <c r="V24" s="31">
        <v>90</v>
      </c>
    </row>
    <row r="25" spans="1:22" x14ac:dyDescent="0.3">
      <c r="J25" s="50" t="s">
        <v>101</v>
      </c>
      <c r="K25" s="33">
        <v>20</v>
      </c>
      <c r="L25" s="37">
        <f t="dataTable" ref="L25:V31" dt2D="1" dtr="1" r1="B3" r2="B4"/>
        <v>105.52845176136213</v>
      </c>
      <c r="M25" s="38">
        <v>108.87412973459675</v>
      </c>
      <c r="N25" s="38">
        <v>112.21980770783136</v>
      </c>
      <c r="O25" s="38">
        <v>115.56548568106598</v>
      </c>
      <c r="P25" s="38">
        <v>118.91116365430048</v>
      </c>
      <c r="Q25" s="38">
        <v>122.25684162753498</v>
      </c>
      <c r="R25" s="38">
        <v>125.6025196007696</v>
      </c>
      <c r="S25" s="38">
        <v>128.94819757400421</v>
      </c>
      <c r="T25" s="38">
        <v>132.29387554723883</v>
      </c>
      <c r="U25" s="38">
        <v>135.63955352047344</v>
      </c>
      <c r="V25" s="39">
        <v>138.98523149370794</v>
      </c>
    </row>
    <row r="26" spans="1:22" x14ac:dyDescent="0.3">
      <c r="J26" s="51"/>
      <c r="K26" s="34">
        <v>40</v>
      </c>
      <c r="L26" s="40">
        <v>91.766983871453931</v>
      </c>
      <c r="M26" s="41">
        <v>95.112661844688432</v>
      </c>
      <c r="N26" s="41">
        <v>98.458339817923047</v>
      </c>
      <c r="O26" s="41">
        <v>101.80401779115766</v>
      </c>
      <c r="P26" s="41">
        <v>105.14969576439228</v>
      </c>
      <c r="Q26" s="41">
        <v>108.49537373762678</v>
      </c>
      <c r="R26" s="41">
        <v>111.84105171086139</v>
      </c>
      <c r="S26" s="41">
        <v>115.18672968409601</v>
      </c>
      <c r="T26" s="41">
        <v>118.53240765733051</v>
      </c>
      <c r="U26" s="41">
        <v>121.87808563056512</v>
      </c>
      <c r="V26" s="42">
        <v>125.22376360379963</v>
      </c>
    </row>
    <row r="27" spans="1:22" x14ac:dyDescent="0.3">
      <c r="J27" s="51"/>
      <c r="K27" s="35">
        <v>60</v>
      </c>
      <c r="L27" s="40">
        <v>78.005515981545727</v>
      </c>
      <c r="M27" s="41">
        <v>81.351193954780229</v>
      </c>
      <c r="N27" s="41">
        <v>84.696871928014843</v>
      </c>
      <c r="O27" s="41">
        <v>88.042549901249458</v>
      </c>
      <c r="P27" s="46">
        <v>91.38822787448396</v>
      </c>
      <c r="Q27" s="41">
        <v>94.733905847718574</v>
      </c>
      <c r="R27" s="41">
        <v>98.079583820953076</v>
      </c>
      <c r="S27" s="41">
        <v>101.42526179418769</v>
      </c>
      <c r="T27" s="41">
        <v>104.77093976742231</v>
      </c>
      <c r="U27" s="41">
        <v>108.11661774065692</v>
      </c>
      <c r="V27" s="42">
        <v>111.46229571389142</v>
      </c>
    </row>
    <row r="28" spans="1:22" x14ac:dyDescent="0.3">
      <c r="J28" s="51"/>
      <c r="K28" s="34">
        <v>80</v>
      </c>
      <c r="L28" s="40">
        <v>64.244048091637524</v>
      </c>
      <c r="M28" s="41">
        <v>67.589726064871911</v>
      </c>
      <c r="N28" s="41">
        <v>70.935404038106526</v>
      </c>
      <c r="O28" s="41">
        <v>74.281082011341141</v>
      </c>
      <c r="P28" s="41">
        <v>77.626759984575756</v>
      </c>
      <c r="Q28" s="41">
        <v>80.972437957810371</v>
      </c>
      <c r="R28" s="41">
        <v>84.318115931044872</v>
      </c>
      <c r="S28" s="41">
        <v>87.663793904279487</v>
      </c>
      <c r="T28" s="41">
        <v>91.009471877513988</v>
      </c>
      <c r="U28" s="41">
        <v>94.355149850748603</v>
      </c>
      <c r="V28" s="42">
        <v>97.700827823983218</v>
      </c>
    </row>
    <row r="29" spans="1:22" x14ac:dyDescent="0.3">
      <c r="J29" s="51"/>
      <c r="K29" s="34">
        <v>100</v>
      </c>
      <c r="L29" s="40">
        <v>50.482580201729206</v>
      </c>
      <c r="M29" s="41">
        <v>53.828258174963707</v>
      </c>
      <c r="N29" s="41">
        <v>57.173936148198322</v>
      </c>
      <c r="O29" s="41">
        <v>60.519614121432937</v>
      </c>
      <c r="P29" s="41">
        <v>63.865292094667552</v>
      </c>
      <c r="Q29" s="41">
        <v>67.210970067902053</v>
      </c>
      <c r="R29" s="41">
        <v>70.556648041136555</v>
      </c>
      <c r="S29" s="41">
        <v>73.90232601437117</v>
      </c>
      <c r="T29" s="41">
        <v>77.248003987605784</v>
      </c>
      <c r="U29" s="41">
        <v>80.593681960840399</v>
      </c>
      <c r="V29" s="42">
        <v>83.939359934075014</v>
      </c>
    </row>
    <row r="30" spans="1:22" x14ac:dyDescent="0.3">
      <c r="J30" s="51"/>
      <c r="K30" s="34">
        <v>120</v>
      </c>
      <c r="L30" s="40">
        <v>36.721112311821003</v>
      </c>
      <c r="M30" s="41">
        <v>40.066790285055504</v>
      </c>
      <c r="N30" s="41">
        <v>43.412468258290005</v>
      </c>
      <c r="O30" s="41">
        <v>46.75814623152462</v>
      </c>
      <c r="P30" s="41">
        <v>50.103824204759235</v>
      </c>
      <c r="Q30" s="41">
        <v>53.44950217799385</v>
      </c>
      <c r="R30" s="41">
        <v>56.795180151228351</v>
      </c>
      <c r="S30" s="41">
        <v>60.140858124462966</v>
      </c>
      <c r="T30" s="41">
        <v>63.486536097697581</v>
      </c>
      <c r="U30" s="41">
        <v>66.832214070932082</v>
      </c>
      <c r="V30" s="42">
        <v>70.177892044166697</v>
      </c>
    </row>
    <row r="31" spans="1:22" ht="15" thickBot="1" x14ac:dyDescent="0.35">
      <c r="J31" s="52"/>
      <c r="K31" s="36">
        <v>140</v>
      </c>
      <c r="L31" s="43">
        <v>22.959644421912685</v>
      </c>
      <c r="M31" s="44">
        <v>26.305322395147186</v>
      </c>
      <c r="N31" s="44">
        <v>29.651000368381801</v>
      </c>
      <c r="O31" s="44">
        <v>32.996678341616416</v>
      </c>
      <c r="P31" s="44">
        <v>36.342356314851031</v>
      </c>
      <c r="Q31" s="44">
        <v>39.688034288085532</v>
      </c>
      <c r="R31" s="44">
        <v>43.033712261320034</v>
      </c>
      <c r="S31" s="44">
        <v>46.379390234554648</v>
      </c>
      <c r="T31" s="44">
        <v>49.725068207789263</v>
      </c>
      <c r="U31" s="44">
        <v>53.070746181023878</v>
      </c>
      <c r="V31" s="45">
        <v>56.416424154258493</v>
      </c>
    </row>
  </sheetData>
  <mergeCells count="2">
    <mergeCell ref="L23:V23"/>
    <mergeCell ref="J25:J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B8FC-62A0-4E3E-B325-72122FBB1A0F}">
  <dimension ref="A1:Q21"/>
  <sheetViews>
    <sheetView topLeftCell="A2" zoomScaleNormal="100" workbookViewId="0">
      <selection activeCell="E10" sqref="E10"/>
    </sheetView>
  </sheetViews>
  <sheetFormatPr defaultColWidth="11.5546875" defaultRowHeight="14.4" x14ac:dyDescent="0.3"/>
  <cols>
    <col min="1" max="1" width="24.21875" customWidth="1"/>
    <col min="2" max="6" width="5.6640625" bestFit="1" customWidth="1"/>
    <col min="7" max="7" width="5" customWidth="1"/>
    <col min="8" max="8" width="5.6640625" bestFit="1" customWidth="1"/>
    <col min="9" max="9" width="1.77734375" bestFit="1" customWidth="1"/>
    <col min="10" max="10" width="17" bestFit="1" customWidth="1"/>
    <col min="11" max="11" width="8.44140625" bestFit="1" customWidth="1"/>
    <col min="12" max="12" width="9.6640625" bestFit="1" customWidth="1"/>
    <col min="13" max="17" width="8.109375" customWidth="1"/>
  </cols>
  <sheetData>
    <row r="1" spans="1:17" x14ac:dyDescent="0.3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30</v>
      </c>
      <c r="M2">
        <f t="shared" ref="M2:P5" si="0">C3</f>
        <v>200</v>
      </c>
      <c r="N2">
        <f t="shared" si="0"/>
        <v>300</v>
      </c>
      <c r="O2">
        <f t="shared" si="0"/>
        <v>320</v>
      </c>
      <c r="P2">
        <f t="shared" si="0"/>
        <v>350</v>
      </c>
    </row>
    <row r="3" spans="1:17" x14ac:dyDescent="0.3">
      <c r="A3" t="s">
        <v>18</v>
      </c>
      <c r="B3">
        <v>30</v>
      </c>
      <c r="C3">
        <v>200</v>
      </c>
      <c r="D3">
        <v>300</v>
      </c>
      <c r="E3">
        <v>320</v>
      </c>
      <c r="F3">
        <v>350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57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-70</v>
      </c>
      <c r="M6" s="5">
        <f t="shared" ref="M6:P6" si="3">M2-M3-M4-M5</f>
        <v>60</v>
      </c>
      <c r="N6" s="5">
        <f t="shared" si="3"/>
        <v>134</v>
      </c>
      <c r="O6" s="5">
        <f t="shared" si="3"/>
        <v>144</v>
      </c>
      <c r="P6" s="5">
        <f t="shared" si="3"/>
        <v>180</v>
      </c>
    </row>
    <row r="7" spans="1:17" x14ac:dyDescent="0.3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-150</v>
      </c>
      <c r="M8" s="5">
        <f t="shared" ref="M8:P8" si="5">M6-M7</f>
        <v>-20</v>
      </c>
      <c r="N8" s="5">
        <f t="shared" si="5"/>
        <v>54</v>
      </c>
      <c r="O8" s="5">
        <f t="shared" si="5"/>
        <v>64</v>
      </c>
      <c r="P8" s="5">
        <f t="shared" si="5"/>
        <v>100</v>
      </c>
    </row>
    <row r="9" spans="1:17" x14ac:dyDescent="0.3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-37.5</v>
      </c>
      <c r="M9">
        <f t="shared" ref="M9:P9" si="6">M8*$B$12</f>
        <v>-5</v>
      </c>
      <c r="N9">
        <f t="shared" si="6"/>
        <v>13.5</v>
      </c>
      <c r="O9">
        <f t="shared" si="6"/>
        <v>16</v>
      </c>
      <c r="P9">
        <f t="shared" si="6"/>
        <v>25</v>
      </c>
    </row>
    <row r="10" spans="1:17" x14ac:dyDescent="0.3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-112.5</v>
      </c>
      <c r="M10" s="5">
        <f t="shared" ref="M10:P10" si="7">M8-M9</f>
        <v>-15</v>
      </c>
      <c r="N10" s="5">
        <f t="shared" si="7"/>
        <v>40.5</v>
      </c>
      <c r="O10" s="5">
        <f t="shared" si="7"/>
        <v>48</v>
      </c>
      <c r="P10" s="5">
        <f t="shared" si="7"/>
        <v>75</v>
      </c>
    </row>
    <row r="11" spans="1:17" x14ac:dyDescent="0.3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-32.5</v>
      </c>
      <c r="M12" s="5">
        <f t="shared" ref="M12:P12" si="9">M10+M11</f>
        <v>65</v>
      </c>
      <c r="N12" s="5">
        <f t="shared" si="9"/>
        <v>120.5</v>
      </c>
      <c r="O12" s="5">
        <f t="shared" si="9"/>
        <v>128</v>
      </c>
      <c r="P12" s="5">
        <f t="shared" si="9"/>
        <v>155</v>
      </c>
    </row>
    <row r="13" spans="1:17" x14ac:dyDescent="0.3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2.5</v>
      </c>
      <c r="M13">
        <f t="shared" si="10"/>
        <v>37.5</v>
      </c>
      <c r="N13">
        <f t="shared" si="10"/>
        <v>23</v>
      </c>
      <c r="O13">
        <f t="shared" si="10"/>
        <v>4</v>
      </c>
      <c r="P13">
        <f t="shared" si="10"/>
        <v>8.5</v>
      </c>
      <c r="Q13">
        <f t="shared" si="10"/>
        <v>-75.5</v>
      </c>
    </row>
    <row r="14" spans="1:17" x14ac:dyDescent="0.3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-35</v>
      </c>
      <c r="M15" s="6">
        <f t="shared" si="11"/>
        <v>27.5</v>
      </c>
      <c r="N15" s="6">
        <f t="shared" si="11"/>
        <v>97.5</v>
      </c>
      <c r="O15" s="6">
        <f t="shared" si="11"/>
        <v>124</v>
      </c>
      <c r="P15" s="6">
        <f t="shared" si="11"/>
        <v>146.5</v>
      </c>
      <c r="Q15" s="6">
        <f t="shared" si="11"/>
        <v>275.5</v>
      </c>
    </row>
    <row r="16" spans="1:17" x14ac:dyDescent="0.3">
      <c r="A16" t="s">
        <v>66</v>
      </c>
      <c r="C16">
        <f>L2*$B$11/360</f>
        <v>7.5</v>
      </c>
      <c r="D16">
        <f t="shared" ref="D16:G16" si="12">M2*$B$11/360</f>
        <v>50</v>
      </c>
      <c r="E16">
        <f t="shared" si="12"/>
        <v>75</v>
      </c>
      <c r="F16">
        <f t="shared" si="12"/>
        <v>80</v>
      </c>
      <c r="G16">
        <f t="shared" si="12"/>
        <v>87.5</v>
      </c>
    </row>
    <row r="17" spans="1:17" x14ac:dyDescent="0.3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-575</v>
      </c>
      <c r="M17">
        <f t="shared" ref="M17:Q17" si="14">L17+M15</f>
        <v>-547.5</v>
      </c>
      <c r="N17">
        <f t="shared" si="14"/>
        <v>-450</v>
      </c>
      <c r="O17" s="7">
        <f t="shared" si="14"/>
        <v>-326</v>
      </c>
      <c r="P17">
        <f t="shared" si="14"/>
        <v>-179.5</v>
      </c>
      <c r="Q17">
        <f t="shared" si="14"/>
        <v>96</v>
      </c>
    </row>
    <row r="18" spans="1:17" x14ac:dyDescent="0.3">
      <c r="A18" t="s">
        <v>77</v>
      </c>
      <c r="C18">
        <f>C16-C17</f>
        <v>2.5</v>
      </c>
      <c r="D18">
        <f t="shared" ref="D18:G18" si="15">D16-D17</f>
        <v>40</v>
      </c>
      <c r="E18">
        <f t="shared" si="15"/>
        <v>63</v>
      </c>
      <c r="F18">
        <f t="shared" si="15"/>
        <v>67</v>
      </c>
      <c r="G18">
        <f t="shared" si="15"/>
        <v>75.5</v>
      </c>
    </row>
    <row r="19" spans="1:17" x14ac:dyDescent="0.3">
      <c r="A19" t="s">
        <v>78</v>
      </c>
      <c r="C19">
        <f>C18-B18</f>
        <v>2.5</v>
      </c>
      <c r="D19">
        <f t="shared" ref="D19:H19" si="16">D18-C18</f>
        <v>37.5</v>
      </c>
      <c r="E19">
        <f t="shared" si="16"/>
        <v>23</v>
      </c>
      <c r="F19">
        <f t="shared" si="16"/>
        <v>4</v>
      </c>
      <c r="G19">
        <f t="shared" si="16"/>
        <v>8.5</v>
      </c>
      <c r="H19">
        <f t="shared" si="16"/>
        <v>-75.5</v>
      </c>
      <c r="J19" s="8" t="s">
        <v>80</v>
      </c>
      <c r="K19" s="9">
        <f>4+(-O17/P15)</f>
        <v>6.225255972696246</v>
      </c>
      <c r="L19" s="8" t="s">
        <v>44</v>
      </c>
    </row>
    <row r="20" spans="1:17" x14ac:dyDescent="0.3">
      <c r="J20" s="8" t="s">
        <v>82</v>
      </c>
      <c r="K20" s="10">
        <f>NPV(B13,L15:Q15)+K15</f>
        <v>-126.34467980231926</v>
      </c>
      <c r="L20" s="8" t="str">
        <f>IF(K20&gt;0,"Efectuable","No efectuable")</f>
        <v>No efectuable</v>
      </c>
    </row>
    <row r="21" spans="1:17" x14ac:dyDescent="0.3">
      <c r="J21" s="8" t="s">
        <v>83</v>
      </c>
      <c r="K21" s="11">
        <f>IRR(K15:Q15)</f>
        <v>3.3199634256567245E-2</v>
      </c>
      <c r="L21" s="8" t="str">
        <f>IF(K21&gt;B13,"Efectuable","No efectuable")</f>
        <v>No efectuable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27E6-733D-427B-97AD-D1D334668966}">
  <dimension ref="C5:H10"/>
  <sheetViews>
    <sheetView workbookViewId="0">
      <selection activeCell="D5" sqref="D5"/>
    </sheetView>
  </sheetViews>
  <sheetFormatPr defaultColWidth="11.5546875" defaultRowHeight="14.4" x14ac:dyDescent="0.3"/>
  <sheetData>
    <row r="5" spans="3:8" x14ac:dyDescent="0.3">
      <c r="E5" t="s">
        <v>68</v>
      </c>
      <c r="G5" t="s">
        <v>70</v>
      </c>
    </row>
    <row r="6" spans="3:8" x14ac:dyDescent="0.3">
      <c r="G6" t="s">
        <v>71</v>
      </c>
    </row>
    <row r="7" spans="3:8" x14ac:dyDescent="0.3">
      <c r="C7" t="s">
        <v>73</v>
      </c>
      <c r="E7" s="3" t="s">
        <v>69</v>
      </c>
      <c r="G7" s="4" t="s">
        <v>72</v>
      </c>
      <c r="H7" t="s">
        <v>75</v>
      </c>
    </row>
    <row r="8" spans="3:8" x14ac:dyDescent="0.3">
      <c r="C8" t="s">
        <v>66</v>
      </c>
      <c r="H8" t="s">
        <v>67</v>
      </c>
    </row>
    <row r="9" spans="3:8" x14ac:dyDescent="0.3">
      <c r="C9" t="s">
        <v>74</v>
      </c>
    </row>
    <row r="10" spans="3:8" x14ac:dyDescent="0.3">
      <c r="F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Estructura FC</vt:lpstr>
      <vt:lpstr>Enunciado</vt:lpstr>
      <vt:lpstr>Resumen del escenario</vt:lpstr>
      <vt:lpstr>Esc. más probable</vt:lpstr>
      <vt:lpstr>NC</vt:lpstr>
      <vt:lpstr>AS1</vt:lpstr>
      <vt:lpstr>AS2</vt:lpstr>
      <vt:lpstr>AS3</vt:lpstr>
      <vt:lpstr>Pesimista</vt:lpstr>
      <vt:lpstr>Hoja1</vt:lpstr>
      <vt:lpstr>TIR</vt:lpstr>
      <vt:lpstr>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DEL ARCO JUAN</dc:creator>
  <cp:lastModifiedBy>Pablo Corzo Corella</cp:lastModifiedBy>
  <dcterms:created xsi:type="dcterms:W3CDTF">2022-05-10T16:49:32Z</dcterms:created>
  <dcterms:modified xsi:type="dcterms:W3CDTF">2025-05-20T16:57:47Z</dcterms:modified>
</cp:coreProperties>
</file>