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segundo\gestion\"/>
    </mc:Choice>
  </mc:AlternateContent>
  <xr:revisionPtr revIDLastSave="0" documentId="13_ncr:1_{2D55BE3D-CBA6-445E-BE41-F9A172153EEE}" xr6:coauthVersionLast="47" xr6:coauthVersionMax="47" xr10:uidLastSave="{00000000-0000-0000-0000-000000000000}"/>
  <bookViews>
    <workbookView xWindow="-108" yWindow="-108" windowWidth="23256" windowHeight="13176" activeTab="5" xr2:uid="{CEE3724D-AB51-4A5D-9679-678BDBBADFED}"/>
  </bookViews>
  <sheets>
    <sheet name="Enunciado" sheetId="1" r:id="rId1"/>
    <sheet name="Scenario Summary" sheetId="8" r:id="rId2"/>
    <sheet name="Mas probable" sheetId="2" r:id="rId3"/>
    <sheet name="Nueva creación" sheetId="3" r:id="rId4"/>
    <sheet name="AS1" sheetId="4" r:id="rId5"/>
    <sheet name="AS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3" l="1"/>
  <c r="E16" i="5"/>
  <c r="D16" i="5"/>
  <c r="M13" i="5"/>
  <c r="I13" i="5"/>
  <c r="I14" i="5" s="1"/>
  <c r="K6" i="5"/>
  <c r="L6" i="5" s="1"/>
  <c r="L10" i="5" s="1"/>
  <c r="J6" i="5"/>
  <c r="J10" i="5" s="1"/>
  <c r="L4" i="5"/>
  <c r="E17" i="5" s="1"/>
  <c r="E18" i="5" s="1"/>
  <c r="K4" i="5"/>
  <c r="D17" i="5" s="1"/>
  <c r="D18" i="5" s="1"/>
  <c r="J4" i="5"/>
  <c r="C17" i="5" s="1"/>
  <c r="L3" i="5"/>
  <c r="K3" i="5"/>
  <c r="J3" i="5"/>
  <c r="L2" i="5"/>
  <c r="L5" i="5" s="1"/>
  <c r="K2" i="5"/>
  <c r="K5" i="5" s="1"/>
  <c r="K7" i="5" s="1"/>
  <c r="J2" i="5"/>
  <c r="C16" i="5" s="1"/>
  <c r="E16" i="4"/>
  <c r="C16" i="4"/>
  <c r="M13" i="4"/>
  <c r="I13" i="4"/>
  <c r="I14" i="4" s="1"/>
  <c r="J6" i="4"/>
  <c r="K6" i="4" s="1"/>
  <c r="L4" i="4"/>
  <c r="E17" i="4" s="1"/>
  <c r="E18" i="4" s="1"/>
  <c r="K4" i="4"/>
  <c r="D17" i="4" s="1"/>
  <c r="J4" i="4"/>
  <c r="C17" i="4" s="1"/>
  <c r="C18" i="4" s="1"/>
  <c r="C19" i="4" s="1"/>
  <c r="J12" i="4" s="1"/>
  <c r="L3" i="4"/>
  <c r="L5" i="4" s="1"/>
  <c r="K3" i="4"/>
  <c r="J3" i="4"/>
  <c r="L2" i="4"/>
  <c r="K2" i="4"/>
  <c r="D16" i="4" s="1"/>
  <c r="J2" i="4"/>
  <c r="E16" i="3"/>
  <c r="D16" i="3"/>
  <c r="C16" i="3"/>
  <c r="M13" i="3"/>
  <c r="I13" i="3"/>
  <c r="I14" i="3" s="1"/>
  <c r="K6" i="3"/>
  <c r="L6" i="3" s="1"/>
  <c r="L10" i="3" s="1"/>
  <c r="J6" i="3"/>
  <c r="J10" i="3" s="1"/>
  <c r="L4" i="3"/>
  <c r="E17" i="3" s="1"/>
  <c r="E18" i="3" s="1"/>
  <c r="K4" i="3"/>
  <c r="D17" i="3" s="1"/>
  <c r="D18" i="3" s="1"/>
  <c r="J4" i="3"/>
  <c r="C17" i="3" s="1"/>
  <c r="C18" i="3" s="1"/>
  <c r="C19" i="3" s="1"/>
  <c r="J12" i="3" s="1"/>
  <c r="L3" i="3"/>
  <c r="K3" i="3"/>
  <c r="J3" i="3"/>
  <c r="L2" i="3"/>
  <c r="L5" i="3" s="1"/>
  <c r="L7" i="3" s="1"/>
  <c r="K2" i="3"/>
  <c r="K5" i="3" s="1"/>
  <c r="K7" i="3" s="1"/>
  <c r="J2" i="3"/>
  <c r="I14" i="2"/>
  <c r="I16" i="2"/>
  <c r="M13" i="2"/>
  <c r="I13" i="2"/>
  <c r="E17" i="2"/>
  <c r="D17" i="2"/>
  <c r="C17" i="2"/>
  <c r="L10" i="2"/>
  <c r="K10" i="2"/>
  <c r="J10" i="2"/>
  <c r="L6" i="2"/>
  <c r="K6" i="2"/>
  <c r="J6" i="2"/>
  <c r="J4" i="2"/>
  <c r="K4" i="2"/>
  <c r="L4" i="2"/>
  <c r="J3" i="2"/>
  <c r="L3" i="2"/>
  <c r="K3" i="2"/>
  <c r="L2" i="2"/>
  <c r="L5" i="2" s="1"/>
  <c r="L7" i="2" s="1"/>
  <c r="K2" i="2"/>
  <c r="D16" i="2" s="1"/>
  <c r="J2" i="2"/>
  <c r="J5" i="2" s="1"/>
  <c r="J7" i="2" s="1"/>
  <c r="C18" i="5" l="1"/>
  <c r="C19" i="5" s="1"/>
  <c r="J12" i="5" s="1"/>
  <c r="K5" i="4"/>
  <c r="K7" i="4" s="1"/>
  <c r="D18" i="4"/>
  <c r="K5" i="2"/>
  <c r="K7" i="2" s="1"/>
  <c r="K8" i="2" s="1"/>
  <c r="K9" i="2" s="1"/>
  <c r="K11" i="2" s="1"/>
  <c r="E16" i="2"/>
  <c r="E18" i="2" s="1"/>
  <c r="F19" i="2" s="1"/>
  <c r="M12" i="2" s="1"/>
  <c r="M14" i="2" s="1"/>
  <c r="D18" i="2"/>
  <c r="C16" i="2"/>
  <c r="C18" i="2" s="1"/>
  <c r="C19" i="2" s="1"/>
  <c r="J12" i="2" s="1"/>
  <c r="J8" i="2"/>
  <c r="J9" i="2" s="1"/>
  <c r="J11" i="2" s="1"/>
  <c r="L8" i="2"/>
  <c r="L9" i="2" s="1"/>
  <c r="L11" i="2" s="1"/>
  <c r="F19" i="5"/>
  <c r="M12" i="5" s="1"/>
  <c r="M14" i="5" s="1"/>
  <c r="E19" i="5"/>
  <c r="L12" i="5" s="1"/>
  <c r="I16" i="5"/>
  <c r="K8" i="5"/>
  <c r="K9" i="5" s="1"/>
  <c r="K11" i="5" s="1"/>
  <c r="L7" i="5"/>
  <c r="J5" i="5"/>
  <c r="J7" i="5" s="1"/>
  <c r="K10" i="5"/>
  <c r="K8" i="4"/>
  <c r="K9" i="4" s="1"/>
  <c r="K11" i="4" s="1"/>
  <c r="D19" i="4"/>
  <c r="K12" i="4" s="1"/>
  <c r="E19" i="4"/>
  <c r="L12" i="4" s="1"/>
  <c r="F19" i="4"/>
  <c r="M12" i="4" s="1"/>
  <c r="M14" i="4" s="1"/>
  <c r="L6" i="4"/>
  <c r="L10" i="4" s="1"/>
  <c r="K10" i="4"/>
  <c r="I16" i="4"/>
  <c r="J5" i="4"/>
  <c r="J7" i="4" s="1"/>
  <c r="J10" i="4"/>
  <c r="D19" i="3"/>
  <c r="K12" i="3" s="1"/>
  <c r="F19" i="3"/>
  <c r="M12" i="3" s="1"/>
  <c r="M14" i="3" s="1"/>
  <c r="E19" i="3"/>
  <c r="L12" i="3" s="1"/>
  <c r="I16" i="3"/>
  <c r="K9" i="3"/>
  <c r="K11" i="3" s="1"/>
  <c r="K14" i="3" s="1"/>
  <c r="L9" i="3"/>
  <c r="L11" i="3" s="1"/>
  <c r="L14" i="3" s="1"/>
  <c r="J5" i="3"/>
  <c r="J7" i="3" s="1"/>
  <c r="K10" i="3"/>
  <c r="D19" i="5" l="1"/>
  <c r="K12" i="5" s="1"/>
  <c r="K14" i="5"/>
  <c r="K14" i="4"/>
  <c r="E19" i="2"/>
  <c r="L12" i="2" s="1"/>
  <c r="L14" i="2" s="1"/>
  <c r="J14" i="2"/>
  <c r="J16" i="2" s="1"/>
  <c r="D19" i="2"/>
  <c r="K12" i="2" s="1"/>
  <c r="K14" i="2" s="1"/>
  <c r="J8" i="5"/>
  <c r="J9" i="5" s="1"/>
  <c r="J11" i="5" s="1"/>
  <c r="J14" i="5" s="1"/>
  <c r="L8" i="5"/>
  <c r="L9" i="5" s="1"/>
  <c r="L11" i="5" s="1"/>
  <c r="L14" i="5" s="1"/>
  <c r="J8" i="4"/>
  <c r="J9" i="4" s="1"/>
  <c r="J11" i="4" s="1"/>
  <c r="J14" i="4" s="1"/>
  <c r="L7" i="4"/>
  <c r="J9" i="3"/>
  <c r="J11" i="3" s="1"/>
  <c r="J14" i="3" s="1"/>
  <c r="I20" i="2" l="1"/>
  <c r="J20" i="2" s="1"/>
  <c r="I19" i="2"/>
  <c r="J19" i="2" s="1"/>
  <c r="K16" i="2"/>
  <c r="L16" i="2" s="1"/>
  <c r="I18" i="2" s="1"/>
  <c r="I20" i="5"/>
  <c r="J20" i="5" s="1"/>
  <c r="I19" i="5"/>
  <c r="J16" i="5"/>
  <c r="K16" i="5" s="1"/>
  <c r="L16" i="5" s="1"/>
  <c r="J16" i="4"/>
  <c r="K16" i="4" s="1"/>
  <c r="L9" i="4"/>
  <c r="L11" i="4" s="1"/>
  <c r="L14" i="4" s="1"/>
  <c r="I20" i="4" s="1"/>
  <c r="J20" i="4" s="1"/>
  <c r="L8" i="4"/>
  <c r="I20" i="3"/>
  <c r="J20" i="3" s="1"/>
  <c r="I19" i="3"/>
  <c r="J19" i="3" s="1"/>
  <c r="J16" i="3"/>
  <c r="K16" i="3" s="1"/>
  <c r="L16" i="3" s="1"/>
  <c r="J19" i="5" l="1"/>
  <c r="F23" i="5"/>
  <c r="L16" i="4"/>
  <c r="I19" i="4"/>
  <c r="J19" i="4" s="1"/>
  <c r="M16" i="2"/>
  <c r="M16" i="5"/>
  <c r="I18" i="5"/>
  <c r="M16" i="4"/>
  <c r="I18" i="4"/>
  <c r="M16" i="3"/>
  <c r="I18" i="3"/>
</calcChain>
</file>

<file path=xl/sharedStrings.xml><?xml version="1.0" encoding="utf-8"?>
<sst xmlns="http://schemas.openxmlformats.org/spreadsheetml/2006/main" count="376" uniqueCount="96">
  <si>
    <t>Año 1</t>
  </si>
  <si>
    <t>Año 2</t>
  </si>
  <si>
    <t>Año 3</t>
  </si>
  <si>
    <t>Unidades vendidas</t>
  </si>
  <si>
    <t>Precio unitario (millones de u.m.)</t>
  </si>
  <si>
    <t>Mano de Obra (millones de u.m.)</t>
  </si>
  <si>
    <t>Además, el período de cobro a clientes es de 180 días. El período de pago a proveedores es de 90 días. El impuesto sobre el beneficio el 20% y el coste de la financiación el 8%</t>
  </si>
  <si>
    <t>Determinar:</t>
  </si>
  <si>
    <t>1.      La viabilidad del proyecto (VAN y TIR) (Escenario más Probable)</t>
  </si>
  <si>
    <t>2.      Establecer los escenarios pesimista y optimista con los siguientes datos</t>
  </si>
  <si>
    <t>PESIMISTA</t>
  </si>
  <si>
    <t>OPTIMISTA</t>
  </si>
  <si>
    <t>Precio unitario (millones u.m.)</t>
  </si>
  <si>
    <t>Precio unitario</t>
  </si>
  <si>
    <t>Cobro a Clientes</t>
  </si>
  <si>
    <t>210 días</t>
  </si>
  <si>
    <t>150 días</t>
  </si>
  <si>
    <t>Pago a proveedores</t>
  </si>
  <si>
    <t>60 días</t>
  </si>
  <si>
    <t>Pago proveedores</t>
  </si>
  <si>
    <t>120 días</t>
  </si>
  <si>
    <t>3.      Realizar sobre el escenario más probable un análisis de sensibilidad viendo hasta que valor de las unidades vendidas podríamos llegar en el año 2 para que proyecto fuese efectuable.</t>
  </si>
  <si>
    <t>4.      Realizar sobre el escenario más probable un análisis de sensibilidad con las unidades vendidas en el año 1 (valores entre 2 y 11 con crecimiento de 1) y el precio unitario en el año 1 (valores entre 6 y 15 con crecimiento de 0,5).</t>
  </si>
  <si>
    <t xml:space="preserve">Una empresa en funcionamiento y con sólidos beneficios se plantea el lanzamiento de un nuevo producto a 3 años. Inicialmente requeriría una inversión de 600 millones de u.m. en Activo No Corriente con un valor residual de 90 millones, </t>
  </si>
  <si>
    <t>aunque se espera vender por 200 millones. Los datos del proyecto se recogen en la siguiente tabla:</t>
  </si>
  <si>
    <t>Materiales (millones de u.m.)</t>
  </si>
  <si>
    <t>1.1 Establecer la viabilidad para una empresa de nueva creación</t>
  </si>
  <si>
    <t>Duracion</t>
  </si>
  <si>
    <t>inversion(capex)</t>
  </si>
  <si>
    <t>años</t>
  </si>
  <si>
    <t>Valor residual</t>
  </si>
  <si>
    <t>Valor venta inversión</t>
  </si>
  <si>
    <t>M€</t>
  </si>
  <si>
    <t>Período cobro clientes</t>
  </si>
  <si>
    <t>Período pago proveedores</t>
  </si>
  <si>
    <t>Impuesto sobre beneficio (tipo impositivo)</t>
  </si>
  <si>
    <t>Coste Financiación</t>
  </si>
  <si>
    <t>días</t>
  </si>
  <si>
    <t>Viene dado</t>
  </si>
  <si>
    <t>Concepto/año</t>
  </si>
  <si>
    <t>Año 0</t>
  </si>
  <si>
    <t>Año 4</t>
  </si>
  <si>
    <t>Ingresos</t>
  </si>
  <si>
    <t>+</t>
  </si>
  <si>
    <t>Mano de obra</t>
  </si>
  <si>
    <t>-</t>
  </si>
  <si>
    <t>Materiales</t>
  </si>
  <si>
    <t>OPEX</t>
  </si>
  <si>
    <t>COGS</t>
  </si>
  <si>
    <t>SG&amp;A</t>
  </si>
  <si>
    <t>selling general and . Expenses</t>
  </si>
  <si>
    <t>Cost of goods</t>
  </si>
  <si>
    <t>Operating expenses</t>
  </si>
  <si>
    <t>=</t>
  </si>
  <si>
    <t>EBITDA</t>
  </si>
  <si>
    <t>Amortizaciones</t>
  </si>
  <si>
    <t>BAII(EBIT)</t>
  </si>
  <si>
    <t>Impuestos s/Bº</t>
  </si>
  <si>
    <t>NOPLAT</t>
  </si>
  <si>
    <t>Amortización</t>
  </si>
  <si>
    <t>FCO</t>
  </si>
  <si>
    <t>Variación FM (NOF)</t>
  </si>
  <si>
    <t>Inversión (CAPEX)</t>
  </si>
  <si>
    <t>FCL</t>
  </si>
  <si>
    <t>Clientes</t>
  </si>
  <si>
    <t>Proveedores</t>
  </si>
  <si>
    <t>Necesidades de Fondo de Maniobra</t>
  </si>
  <si>
    <t>Variación del Fondo de Maniobra (NOF)</t>
  </si>
  <si>
    <t>FC Acumulado</t>
  </si>
  <si>
    <t>Plazo de recuperacion</t>
  </si>
  <si>
    <t>VAN</t>
  </si>
  <si>
    <t>TIR</t>
  </si>
  <si>
    <t>$B$6</t>
  </si>
  <si>
    <t>$C$6</t>
  </si>
  <si>
    <t>$D$6</t>
  </si>
  <si>
    <t>$B$7</t>
  </si>
  <si>
    <t>$C$7</t>
  </si>
  <si>
    <t>$D$7</t>
  </si>
  <si>
    <t>$B$10</t>
  </si>
  <si>
    <t>$B$11</t>
  </si>
  <si>
    <t>Más probable</t>
  </si>
  <si>
    <t>Created by s d on 5/20/2025</t>
  </si>
  <si>
    <t>Pesimista</t>
  </si>
  <si>
    <t>Created by s d on 5/20/2025
Modified by s d on 5/20/2025</t>
  </si>
  <si>
    <t>Optimista</t>
  </si>
  <si>
    <t>Scenario Summary</t>
  </si>
  <si>
    <t>Changing Cells:</t>
  </si>
  <si>
    <t>Result Cells:</t>
  </si>
  <si>
    <t>$I$18</t>
  </si>
  <si>
    <t>$I$19</t>
  </si>
  <si>
    <t>$I$20</t>
  </si>
  <si>
    <t>$J$19</t>
  </si>
  <si>
    <t>Efectuable</t>
  </si>
  <si>
    <t>No efectuable</t>
  </si>
  <si>
    <t>Unidades Vendidas año 1</t>
  </si>
  <si>
    <t>Precio unitario año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</si>
</sst>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9" fontId="0" fillId="2" borderId="0" xfId="0" applyNumberFormat="1" applyFill="1"/>
    <xf numFmtId="0" fontId="0" fillId="0" borderId="0" xfId="0" applyFill="1" applyBorder="1"/>
    <xf numFmtId="0" fontId="0" fillId="0" borderId="0" xfId="0" applyNumberFormat="1"/>
    <xf numFmtId="0" fontId="0" fillId="0" borderId="0" xfId="0" applyFill="1"/>
    <xf numFmtId="0" fontId="0" fillId="3" borderId="0" xfId="0" applyFill="1" applyBorder="1"/>
    <xf numFmtId="0" fontId="0" fillId="3" borderId="0" xfId="0" applyFill="1"/>
    <xf numFmtId="10" fontId="0" fillId="0" borderId="0" xfId="0" applyNumberFormat="1"/>
    <xf numFmtId="2" fontId="0" fillId="0" borderId="0" xfId="0" applyNumberFormat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2" fillId="5" borderId="6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0" fillId="0" borderId="7" xfId="0" applyFill="1" applyBorder="1" applyAlignment="1"/>
    <xf numFmtId="0" fontId="3" fillId="6" borderId="0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  <xf numFmtId="0" fontId="0" fillId="7" borderId="0" xfId="0" applyFill="1" applyBorder="1" applyAlignment="1"/>
    <xf numFmtId="0" fontId="6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8" borderId="1" xfId="0" applyFill="1" applyBorder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textRotation="90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D85D-F528-461D-95B7-46F993294D21}">
  <dimension ref="A1:H19"/>
  <sheetViews>
    <sheetView workbookViewId="0">
      <selection activeCell="A19" sqref="A19"/>
    </sheetView>
  </sheetViews>
  <sheetFormatPr defaultColWidth="11.5546875" defaultRowHeight="14.4" x14ac:dyDescent="0.3"/>
  <cols>
    <col min="1" max="1" width="27.77734375" customWidth="1"/>
    <col min="5" max="5" width="16.21875" bestFit="1" customWidth="1"/>
  </cols>
  <sheetData>
    <row r="1" spans="1:8" x14ac:dyDescent="0.3">
      <c r="A1" t="s">
        <v>23</v>
      </c>
    </row>
    <row r="2" spans="1:8" x14ac:dyDescent="0.3">
      <c r="A2" t="s">
        <v>24</v>
      </c>
    </row>
    <row r="3" spans="1:8" x14ac:dyDescent="0.3">
      <c r="B3" s="1" t="s">
        <v>0</v>
      </c>
      <c r="C3" s="1" t="s">
        <v>1</v>
      </c>
      <c r="D3" s="1" t="s">
        <v>2</v>
      </c>
    </row>
    <row r="4" spans="1:8" x14ac:dyDescent="0.3">
      <c r="A4" s="1" t="s">
        <v>3</v>
      </c>
      <c r="B4" s="1">
        <v>7</v>
      </c>
      <c r="C4" s="1">
        <v>40</v>
      </c>
      <c r="D4" s="1">
        <v>60</v>
      </c>
    </row>
    <row r="5" spans="1:8" x14ac:dyDescent="0.3">
      <c r="A5" s="1" t="s">
        <v>4</v>
      </c>
      <c r="B5" s="1">
        <v>10</v>
      </c>
      <c r="C5" s="1">
        <v>10.5</v>
      </c>
      <c r="D5" s="1">
        <v>11</v>
      </c>
    </row>
    <row r="6" spans="1:8" x14ac:dyDescent="0.3">
      <c r="A6" s="1" t="s">
        <v>5</v>
      </c>
      <c r="B6" s="1">
        <v>58</v>
      </c>
      <c r="C6" s="1">
        <v>84</v>
      </c>
      <c r="D6" s="1">
        <v>88</v>
      </c>
    </row>
    <row r="7" spans="1:8" x14ac:dyDescent="0.3">
      <c r="A7" s="1" t="s">
        <v>25</v>
      </c>
      <c r="B7" s="1">
        <v>32</v>
      </c>
      <c r="C7" s="1">
        <v>56</v>
      </c>
      <c r="D7" s="1">
        <v>52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26</v>
      </c>
    </row>
    <row r="12" spans="1:8" x14ac:dyDescent="0.3">
      <c r="A12" t="s">
        <v>9</v>
      </c>
    </row>
    <row r="13" spans="1:8" x14ac:dyDescent="0.3">
      <c r="A13" s="1" t="s">
        <v>10</v>
      </c>
      <c r="B13" s="1" t="s">
        <v>0</v>
      </c>
      <c r="C13" s="1" t="s">
        <v>1</v>
      </c>
      <c r="D13" s="1" t="s">
        <v>2</v>
      </c>
      <c r="E13" s="1" t="s">
        <v>11</v>
      </c>
      <c r="F13" s="1" t="s">
        <v>0</v>
      </c>
      <c r="G13" s="1" t="s">
        <v>1</v>
      </c>
      <c r="H13" s="1" t="s">
        <v>2</v>
      </c>
    </row>
    <row r="14" spans="1:8" x14ac:dyDescent="0.3">
      <c r="A14" s="1" t="s">
        <v>3</v>
      </c>
      <c r="B14" s="1">
        <v>7</v>
      </c>
      <c r="C14" s="1">
        <v>25</v>
      </c>
      <c r="D14" s="1">
        <v>55</v>
      </c>
      <c r="E14" s="1" t="s">
        <v>3</v>
      </c>
      <c r="F14" s="1">
        <v>8</v>
      </c>
      <c r="G14" s="1">
        <v>50</v>
      </c>
      <c r="H14" s="1">
        <v>70</v>
      </c>
    </row>
    <row r="15" spans="1:8" x14ac:dyDescent="0.3">
      <c r="A15" s="1" t="s">
        <v>12</v>
      </c>
      <c r="B15" s="1">
        <v>10</v>
      </c>
      <c r="C15" s="1">
        <v>10</v>
      </c>
      <c r="D15" s="1">
        <v>10</v>
      </c>
      <c r="E15" s="1" t="s">
        <v>13</v>
      </c>
      <c r="F15" s="1">
        <v>10</v>
      </c>
      <c r="G15" s="1">
        <v>11</v>
      </c>
      <c r="H15" s="1">
        <v>12</v>
      </c>
    </row>
    <row r="16" spans="1:8" x14ac:dyDescent="0.3">
      <c r="A16" s="1" t="s">
        <v>14</v>
      </c>
      <c r="B16" s="1" t="s">
        <v>15</v>
      </c>
      <c r="E16" s="1" t="s">
        <v>14</v>
      </c>
      <c r="F16" s="1" t="s">
        <v>16</v>
      </c>
    </row>
    <row r="17" spans="1:6" x14ac:dyDescent="0.3">
      <c r="A17" s="1" t="s">
        <v>17</v>
      </c>
      <c r="B17" s="1" t="s">
        <v>18</v>
      </c>
      <c r="E17" s="1" t="s">
        <v>19</v>
      </c>
      <c r="F17" s="1" t="s">
        <v>20</v>
      </c>
    </row>
    <row r="18" spans="1:6" x14ac:dyDescent="0.3">
      <c r="A18" t="s">
        <v>21</v>
      </c>
    </row>
    <row r="19" spans="1:6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23BB-D612-4B9B-8B69-35638DF73BDB}">
  <sheetPr>
    <outlinePr summaryBelow="0"/>
  </sheetPr>
  <dimension ref="B1:F18"/>
  <sheetViews>
    <sheetView showGridLines="0" workbookViewId="0">
      <selection activeCell="D22" sqref="B19:D22"/>
    </sheetView>
  </sheetViews>
  <sheetFormatPr defaultRowHeight="14.4" outlineLevelRow="1" outlineLevelCol="1" x14ac:dyDescent="0.3"/>
  <cols>
    <col min="3" max="3" width="6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19" t="s">
        <v>85</v>
      </c>
      <c r="C2" s="19"/>
      <c r="D2" s="24"/>
      <c r="E2" s="24"/>
      <c r="F2" s="24"/>
    </row>
    <row r="3" spans="2:6" ht="15.6" collapsed="1" x14ac:dyDescent="0.3">
      <c r="B3" s="18"/>
      <c r="C3" s="18"/>
      <c r="D3" s="25" t="s">
        <v>80</v>
      </c>
      <c r="E3" s="25" t="s">
        <v>82</v>
      </c>
      <c r="F3" s="25" t="s">
        <v>84</v>
      </c>
    </row>
    <row r="4" spans="2:6" ht="40.799999999999997" hidden="1" outlineLevel="1" x14ac:dyDescent="0.3">
      <c r="B4" s="21"/>
      <c r="C4" s="21"/>
      <c r="D4" s="27" t="s">
        <v>81</v>
      </c>
      <c r="E4" s="27" t="s">
        <v>83</v>
      </c>
      <c r="F4" s="27" t="s">
        <v>81</v>
      </c>
    </row>
    <row r="5" spans="2:6" x14ac:dyDescent="0.3">
      <c r="B5" s="22" t="s">
        <v>86</v>
      </c>
      <c r="C5" s="22"/>
      <c r="D5" s="20"/>
      <c r="E5" s="20"/>
      <c r="F5" s="20"/>
    </row>
    <row r="6" spans="2:6" outlineLevel="1" x14ac:dyDescent="0.3">
      <c r="B6" s="21"/>
      <c r="C6" s="21" t="s">
        <v>72</v>
      </c>
      <c r="D6" s="26">
        <v>7</v>
      </c>
      <c r="E6" s="26">
        <v>7</v>
      </c>
      <c r="F6" s="26">
        <v>8</v>
      </c>
    </row>
    <row r="7" spans="2:6" outlineLevel="1" x14ac:dyDescent="0.3">
      <c r="B7" s="21"/>
      <c r="C7" s="21" t="s">
        <v>73</v>
      </c>
      <c r="D7" s="26">
        <v>40</v>
      </c>
      <c r="E7" s="26">
        <v>25</v>
      </c>
      <c r="F7" s="26">
        <v>50</v>
      </c>
    </row>
    <row r="8" spans="2:6" outlineLevel="1" x14ac:dyDescent="0.3">
      <c r="B8" s="21"/>
      <c r="C8" s="21" t="s">
        <v>74</v>
      </c>
      <c r="D8" s="26">
        <v>60</v>
      </c>
      <c r="E8" s="26">
        <v>55</v>
      </c>
      <c r="F8" s="26">
        <v>70</v>
      </c>
    </row>
    <row r="9" spans="2:6" outlineLevel="1" x14ac:dyDescent="0.3">
      <c r="B9" s="21"/>
      <c r="C9" s="21" t="s">
        <v>75</v>
      </c>
      <c r="D9" s="26">
        <v>10</v>
      </c>
      <c r="E9" s="26">
        <v>10</v>
      </c>
      <c r="F9" s="26">
        <v>10</v>
      </c>
    </row>
    <row r="10" spans="2:6" outlineLevel="1" x14ac:dyDescent="0.3">
      <c r="B10" s="21"/>
      <c r="C10" s="21" t="s">
        <v>76</v>
      </c>
      <c r="D10" s="26">
        <v>10.5</v>
      </c>
      <c r="E10" s="26">
        <v>10</v>
      </c>
      <c r="F10" s="26">
        <v>11</v>
      </c>
    </row>
    <row r="11" spans="2:6" outlineLevel="1" x14ac:dyDescent="0.3">
      <c r="B11" s="21"/>
      <c r="C11" s="21" t="s">
        <v>77</v>
      </c>
      <c r="D11" s="26">
        <v>11</v>
      </c>
      <c r="E11" s="26">
        <v>10</v>
      </c>
      <c r="F11" s="26">
        <v>12</v>
      </c>
    </row>
    <row r="12" spans="2:6" outlineLevel="1" x14ac:dyDescent="0.3">
      <c r="B12" s="21"/>
      <c r="C12" s="21" t="s">
        <v>78</v>
      </c>
      <c r="D12" s="26">
        <v>180</v>
      </c>
      <c r="E12" s="26">
        <v>210</v>
      </c>
      <c r="F12" s="26">
        <v>150</v>
      </c>
    </row>
    <row r="13" spans="2:6" outlineLevel="1" x14ac:dyDescent="0.3">
      <c r="B13" s="21"/>
      <c r="C13" s="21" t="s">
        <v>79</v>
      </c>
      <c r="D13" s="26">
        <v>90</v>
      </c>
      <c r="E13" s="26">
        <v>60</v>
      </c>
      <c r="F13" s="26">
        <v>120</v>
      </c>
    </row>
    <row r="14" spans="2:6" x14ac:dyDescent="0.3">
      <c r="B14" s="22" t="s">
        <v>87</v>
      </c>
      <c r="C14" s="22"/>
      <c r="D14" s="20"/>
      <c r="E14" s="20"/>
      <c r="F14" s="20"/>
    </row>
    <row r="15" spans="2:6" outlineLevel="1" x14ac:dyDescent="0.3">
      <c r="B15" s="21"/>
      <c r="C15" s="21" t="s">
        <v>88</v>
      </c>
      <c r="D15" s="28">
        <v>3.3858585858585899</v>
      </c>
      <c r="E15" s="28">
        <v>3.8367902074124398</v>
      </c>
      <c r="F15" s="28">
        <v>2.9033942558746699</v>
      </c>
    </row>
    <row r="16" spans="2:6" outlineLevel="1" x14ac:dyDescent="0.3">
      <c r="B16" s="21"/>
      <c r="C16" s="21" t="s">
        <v>89</v>
      </c>
      <c r="D16" s="16">
        <v>92.9804061034055</v>
      </c>
      <c r="E16" s="16">
        <v>-89.995048054879803</v>
      </c>
      <c r="F16" s="16">
        <v>302.318021505052</v>
      </c>
    </row>
    <row r="17" spans="2:6" outlineLevel="1" x14ac:dyDescent="0.3">
      <c r="B17" s="21"/>
      <c r="C17" s="21" t="s">
        <v>90</v>
      </c>
      <c r="D17" s="29">
        <v>0.12632073627411999</v>
      </c>
      <c r="E17" s="29">
        <v>3.4034076484290597E-2</v>
      </c>
      <c r="F17" s="29">
        <v>0.22643297255942099</v>
      </c>
    </row>
    <row r="18" spans="2:6" ht="15" outlineLevel="1" thickBot="1" x14ac:dyDescent="0.35">
      <c r="B18" s="23"/>
      <c r="C18" s="23" t="s">
        <v>91</v>
      </c>
      <c r="D18" s="17" t="s">
        <v>92</v>
      </c>
      <c r="E18" s="17" t="s">
        <v>93</v>
      </c>
      <c r="F18" s="1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67A1-3CE0-4C58-BCCD-86722606BEE8}">
  <dimension ref="A1:Q26"/>
  <sheetViews>
    <sheetView workbookViewId="0">
      <selection activeCell="L16" sqref="L16"/>
    </sheetView>
  </sheetViews>
  <sheetFormatPr defaultRowHeight="14.4" x14ac:dyDescent="0.3"/>
  <cols>
    <col min="1" max="1" width="36" customWidth="1"/>
    <col min="2" max="2" width="10.77734375" customWidth="1"/>
    <col min="8" max="8" width="20" customWidth="1"/>
    <col min="9" max="9" width="20.21875" bestFit="1" customWidth="1"/>
  </cols>
  <sheetData>
    <row r="1" spans="1:17" x14ac:dyDescent="0.3">
      <c r="A1" s="2" t="s">
        <v>27</v>
      </c>
      <c r="B1" s="2">
        <v>3</v>
      </c>
      <c r="C1" s="2" t="s">
        <v>29</v>
      </c>
      <c r="D1" s="2"/>
      <c r="E1" s="2" t="s">
        <v>38</v>
      </c>
      <c r="H1" t="s">
        <v>39</v>
      </c>
      <c r="I1" t="s">
        <v>40</v>
      </c>
      <c r="J1" t="s">
        <v>0</v>
      </c>
      <c r="K1" t="s">
        <v>1</v>
      </c>
      <c r="L1" t="s">
        <v>2</v>
      </c>
      <c r="M1" t="s">
        <v>41</v>
      </c>
      <c r="P1" t="s">
        <v>47</v>
      </c>
      <c r="Q1" t="s">
        <v>52</v>
      </c>
    </row>
    <row r="2" spans="1:17" x14ac:dyDescent="0.3">
      <c r="A2" s="2" t="s">
        <v>28</v>
      </c>
      <c r="B2" s="2">
        <v>600</v>
      </c>
      <c r="C2" s="2" t="s">
        <v>32</v>
      </c>
      <c r="D2" s="2"/>
      <c r="E2" s="2"/>
      <c r="G2" t="s">
        <v>43</v>
      </c>
      <c r="H2" t="s">
        <v>42</v>
      </c>
      <c r="J2">
        <f>B6*B7</f>
        <v>70</v>
      </c>
      <c r="K2">
        <f>C6*C7</f>
        <v>250</v>
      </c>
      <c r="L2">
        <f>D6*D7</f>
        <v>550</v>
      </c>
      <c r="P2" t="s">
        <v>48</v>
      </c>
      <c r="Q2" t="s">
        <v>51</v>
      </c>
    </row>
    <row r="3" spans="1:17" x14ac:dyDescent="0.3">
      <c r="A3" s="2" t="s">
        <v>30</v>
      </c>
      <c r="B3" s="2">
        <v>90</v>
      </c>
      <c r="C3" s="2" t="s">
        <v>32</v>
      </c>
      <c r="D3" s="2"/>
      <c r="E3" s="2"/>
      <c r="G3" t="s">
        <v>45</v>
      </c>
      <c r="H3" t="s">
        <v>44</v>
      </c>
      <c r="J3">
        <f>B8</f>
        <v>58</v>
      </c>
      <c r="K3">
        <f>C8</f>
        <v>84</v>
      </c>
      <c r="L3">
        <f>D8</f>
        <v>88</v>
      </c>
      <c r="P3" t="s">
        <v>49</v>
      </c>
      <c r="Q3" t="s">
        <v>50</v>
      </c>
    </row>
    <row r="4" spans="1:17" x14ac:dyDescent="0.3">
      <c r="A4" s="2" t="s">
        <v>31</v>
      </c>
      <c r="B4" s="2">
        <v>200</v>
      </c>
      <c r="C4" s="2" t="s">
        <v>32</v>
      </c>
      <c r="D4" s="2"/>
      <c r="E4" s="2"/>
      <c r="G4" t="s">
        <v>45</v>
      </c>
      <c r="H4" t="s">
        <v>46</v>
      </c>
      <c r="J4">
        <f>B9</f>
        <v>32</v>
      </c>
      <c r="K4">
        <f>C9</f>
        <v>56</v>
      </c>
      <c r="L4">
        <f>D9</f>
        <v>52</v>
      </c>
    </row>
    <row r="5" spans="1:17" x14ac:dyDescent="0.3">
      <c r="A5" s="2"/>
      <c r="B5" s="3" t="s">
        <v>0</v>
      </c>
      <c r="C5" s="3" t="s">
        <v>1</v>
      </c>
      <c r="D5" s="3" t="s">
        <v>2</v>
      </c>
      <c r="E5" s="2"/>
      <c r="G5" s="7" t="s">
        <v>53</v>
      </c>
      <c r="H5" s="7" t="s">
        <v>54</v>
      </c>
      <c r="J5">
        <f>J2-J3-J4</f>
        <v>-20</v>
      </c>
      <c r="K5">
        <f>K2-K3-K4</f>
        <v>110</v>
      </c>
      <c r="L5">
        <f>L2-L3-L4</f>
        <v>410</v>
      </c>
    </row>
    <row r="6" spans="1:17" x14ac:dyDescent="0.3">
      <c r="A6" s="3" t="s">
        <v>3</v>
      </c>
      <c r="B6" s="14">
        <v>7</v>
      </c>
      <c r="C6" s="14">
        <v>25</v>
      </c>
      <c r="D6" s="14">
        <v>55</v>
      </c>
      <c r="E6" s="2"/>
      <c r="G6" s="7" t="s">
        <v>45</v>
      </c>
      <c r="H6" s="7" t="s">
        <v>55</v>
      </c>
      <c r="J6">
        <f>(B2-B3)/B1</f>
        <v>170</v>
      </c>
      <c r="K6">
        <f>J6</f>
        <v>170</v>
      </c>
      <c r="L6">
        <f>K6</f>
        <v>170</v>
      </c>
    </row>
    <row r="7" spans="1:17" x14ac:dyDescent="0.3">
      <c r="A7" s="3" t="s">
        <v>4</v>
      </c>
      <c r="B7" s="14">
        <v>10</v>
      </c>
      <c r="C7" s="14">
        <v>10</v>
      </c>
      <c r="D7" s="14">
        <v>10</v>
      </c>
      <c r="E7" s="2"/>
      <c r="G7" s="7" t="s">
        <v>53</v>
      </c>
      <c r="H7" s="7" t="s">
        <v>56</v>
      </c>
      <c r="J7">
        <f>J5-J6</f>
        <v>-190</v>
      </c>
      <c r="K7">
        <f>K5-K6</f>
        <v>-60</v>
      </c>
      <c r="L7">
        <f>L5-L6</f>
        <v>240</v>
      </c>
    </row>
    <row r="8" spans="1:17" x14ac:dyDescent="0.3">
      <c r="A8" s="3" t="s">
        <v>5</v>
      </c>
      <c r="B8" s="3">
        <v>58</v>
      </c>
      <c r="C8" s="3">
        <v>84</v>
      </c>
      <c r="D8" s="3">
        <v>88</v>
      </c>
      <c r="E8" s="2"/>
      <c r="G8" s="7" t="s">
        <v>45</v>
      </c>
      <c r="H8" s="7" t="s">
        <v>57</v>
      </c>
      <c r="J8" s="8">
        <f>J7*$B$12</f>
        <v>-38</v>
      </c>
      <c r="K8" s="8">
        <f>K7*$B$12</f>
        <v>-12</v>
      </c>
      <c r="L8" s="8">
        <f>L7*$B$12</f>
        <v>48</v>
      </c>
    </row>
    <row r="9" spans="1:17" x14ac:dyDescent="0.3">
      <c r="A9" s="3" t="s">
        <v>25</v>
      </c>
      <c r="B9" s="3">
        <v>32</v>
      </c>
      <c r="C9" s="3">
        <v>56</v>
      </c>
      <c r="D9" s="3">
        <v>52</v>
      </c>
      <c r="E9" s="2"/>
      <c r="G9" s="7" t="s">
        <v>53</v>
      </c>
      <c r="H9" s="7" t="s">
        <v>58</v>
      </c>
      <c r="J9">
        <f>J7-J8</f>
        <v>-152</v>
      </c>
      <c r="K9">
        <f>K7-K8</f>
        <v>-48</v>
      </c>
      <c r="L9">
        <f>L7-L8</f>
        <v>192</v>
      </c>
    </row>
    <row r="10" spans="1:17" x14ac:dyDescent="0.3">
      <c r="A10" s="4" t="s">
        <v>33</v>
      </c>
      <c r="B10" s="15">
        <v>210</v>
      </c>
      <c r="C10" s="2" t="s">
        <v>37</v>
      </c>
      <c r="D10" s="2"/>
      <c r="E10" s="2"/>
      <c r="G10" s="7" t="s">
        <v>43</v>
      </c>
      <c r="H10" s="7" t="s">
        <v>59</v>
      </c>
      <c r="J10">
        <f>J6</f>
        <v>170</v>
      </c>
      <c r="K10">
        <f>K6</f>
        <v>170</v>
      </c>
      <c r="L10">
        <f>L6</f>
        <v>170</v>
      </c>
    </row>
    <row r="11" spans="1:17" x14ac:dyDescent="0.3">
      <c r="A11" s="4" t="s">
        <v>34</v>
      </c>
      <c r="B11" s="15">
        <v>60</v>
      </c>
      <c r="C11" s="2" t="s">
        <v>37</v>
      </c>
      <c r="D11" s="2"/>
      <c r="E11" s="2"/>
      <c r="G11" s="7" t="s">
        <v>53</v>
      </c>
      <c r="H11" s="7" t="s">
        <v>60</v>
      </c>
      <c r="J11">
        <f>J9+J10</f>
        <v>18</v>
      </c>
      <c r="K11">
        <f>K9+K10</f>
        <v>122</v>
      </c>
      <c r="L11">
        <f>L9+L10</f>
        <v>362</v>
      </c>
    </row>
    <row r="12" spans="1:17" x14ac:dyDescent="0.3">
      <c r="A12" s="4" t="s">
        <v>35</v>
      </c>
      <c r="B12" s="6">
        <v>0.2</v>
      </c>
      <c r="C12" s="2"/>
      <c r="D12" s="2"/>
      <c r="E12" s="2"/>
      <c r="G12" s="7" t="s">
        <v>45</v>
      </c>
      <c r="H12" s="7" t="s">
        <v>61</v>
      </c>
      <c r="J12">
        <f>C19</f>
        <v>35.5</v>
      </c>
      <c r="K12">
        <f>D19</f>
        <v>101</v>
      </c>
      <c r="L12">
        <f>E19</f>
        <v>175.66666666666663</v>
      </c>
      <c r="M12">
        <f>F19</f>
        <v>-312.16666666666663</v>
      </c>
    </row>
    <row r="13" spans="1:17" x14ac:dyDescent="0.3">
      <c r="A13" s="4" t="s">
        <v>36</v>
      </c>
      <c r="B13" s="6">
        <v>0.08</v>
      </c>
      <c r="C13" s="2"/>
      <c r="D13" s="2"/>
      <c r="E13" s="2"/>
      <c r="G13" s="7" t="s">
        <v>43</v>
      </c>
      <c r="H13" s="7" t="s">
        <v>62</v>
      </c>
      <c r="I13">
        <f>-B2</f>
        <v>-600</v>
      </c>
      <c r="M13">
        <f>B4-B12*(B4-B3)</f>
        <v>178</v>
      </c>
    </row>
    <row r="14" spans="1:17" x14ac:dyDescent="0.3">
      <c r="A14" s="2"/>
      <c r="B14" s="2"/>
      <c r="C14" s="2"/>
      <c r="D14" s="2"/>
      <c r="E14" s="2"/>
      <c r="G14" s="7" t="s">
        <v>53</v>
      </c>
      <c r="H14" s="10" t="s">
        <v>63</v>
      </c>
      <c r="I14" s="11">
        <f>I11-I12+I13</f>
        <v>-600</v>
      </c>
      <c r="J14" s="11">
        <f>J11-J12+J13</f>
        <v>-17.5</v>
      </c>
      <c r="K14" s="11">
        <f>K11-K12+K13</f>
        <v>21</v>
      </c>
      <c r="L14" s="11">
        <f>L11-L12+L13</f>
        <v>186.33333333333337</v>
      </c>
      <c r="M14" s="11">
        <f>M11-M12+M13</f>
        <v>490.16666666666663</v>
      </c>
    </row>
    <row r="15" spans="1:17" x14ac:dyDescent="0.3">
      <c r="A15" s="2"/>
      <c r="B15" s="9" t="s">
        <v>40</v>
      </c>
      <c r="C15" s="9" t="s">
        <v>0</v>
      </c>
      <c r="D15" s="9" t="s">
        <v>1</v>
      </c>
      <c r="E15" s="9" t="s">
        <v>2</v>
      </c>
      <c r="F15" s="9" t="s">
        <v>41</v>
      </c>
    </row>
    <row r="16" spans="1:17" x14ac:dyDescent="0.3">
      <c r="A16" s="7" t="s">
        <v>64</v>
      </c>
      <c r="B16" s="9"/>
      <c r="C16">
        <f>J2*$B$10/360</f>
        <v>40.833333333333336</v>
      </c>
      <c r="D16">
        <f>K2*$B$10/360</f>
        <v>145.83333333333334</v>
      </c>
      <c r="E16">
        <f>L2*$B$10/360</f>
        <v>320.83333333333331</v>
      </c>
      <c r="H16" t="s">
        <v>68</v>
      </c>
      <c r="I16">
        <f>I14</f>
        <v>-600</v>
      </c>
      <c r="J16">
        <f>I16+J14</f>
        <v>-617.5</v>
      </c>
      <c r="K16">
        <f>J16+K14</f>
        <v>-596.5</v>
      </c>
      <c r="L16">
        <f>K16+L14</f>
        <v>-410.16666666666663</v>
      </c>
      <c r="M16">
        <f>L16+M14</f>
        <v>80</v>
      </c>
    </row>
    <row r="17" spans="1:10" x14ac:dyDescent="0.3">
      <c r="A17" s="7" t="s">
        <v>65</v>
      </c>
      <c r="B17" s="9"/>
      <c r="C17">
        <f>(J4)*$B$11/360</f>
        <v>5.333333333333333</v>
      </c>
      <c r="D17">
        <f>(K4)*$B$11/360</f>
        <v>9.3333333333333339</v>
      </c>
      <c r="E17">
        <f>(L4)*$B$11/360</f>
        <v>8.6666666666666661</v>
      </c>
    </row>
    <row r="18" spans="1:10" x14ac:dyDescent="0.3">
      <c r="A18" s="7" t="s">
        <v>66</v>
      </c>
      <c r="C18">
        <f>C16-C17</f>
        <v>35.5</v>
      </c>
      <c r="D18">
        <f>D16-D17</f>
        <v>136.5</v>
      </c>
      <c r="E18">
        <f>E16-E17</f>
        <v>312.16666666666663</v>
      </c>
      <c r="H18" t="s">
        <v>69</v>
      </c>
      <c r="I18" s="13">
        <f>3+(-L16/M14)</f>
        <v>3.8367902074124447</v>
      </c>
    </row>
    <row r="19" spans="1:10" x14ac:dyDescent="0.3">
      <c r="A19" s="7" t="s">
        <v>67</v>
      </c>
      <c r="C19">
        <f>C18-B18</f>
        <v>35.5</v>
      </c>
      <c r="D19">
        <f>D18-C18</f>
        <v>101</v>
      </c>
      <c r="E19">
        <f>E18-D18</f>
        <v>175.66666666666663</v>
      </c>
      <c r="F19">
        <f>F18-E18</f>
        <v>-312.16666666666663</v>
      </c>
      <c r="H19" t="s">
        <v>70</v>
      </c>
      <c r="I19" s="8">
        <f>NPV(B13,J14:M14)+I14</f>
        <v>-89.995048054879817</v>
      </c>
      <c r="J19" t="str">
        <f>IF(I19&gt;0,"Efectuable","No efectuable")</f>
        <v>No efectuable</v>
      </c>
    </row>
    <row r="20" spans="1:10" x14ac:dyDescent="0.3">
      <c r="H20" t="s">
        <v>71</v>
      </c>
      <c r="I20" s="12">
        <f>IRR(I14:M14)</f>
        <v>3.4034076484290576E-2</v>
      </c>
      <c r="J20" t="str">
        <f>IF(I20&gt;B13,"Efectuable","No efectuable")</f>
        <v>No efectuable</v>
      </c>
    </row>
    <row r="22" spans="1:10" x14ac:dyDescent="0.3">
      <c r="C22" s="1" t="s">
        <v>10</v>
      </c>
      <c r="D22" s="1" t="s">
        <v>0</v>
      </c>
      <c r="E22" s="1" t="s">
        <v>1</v>
      </c>
      <c r="F22" s="1" t="s">
        <v>2</v>
      </c>
      <c r="G22" s="1" t="s">
        <v>11</v>
      </c>
      <c r="H22" s="1" t="s">
        <v>0</v>
      </c>
      <c r="I22" s="1" t="s">
        <v>1</v>
      </c>
      <c r="J22" s="1" t="s">
        <v>2</v>
      </c>
    </row>
    <row r="23" spans="1:10" x14ac:dyDescent="0.3">
      <c r="C23" s="1" t="s">
        <v>3</v>
      </c>
      <c r="D23" s="1">
        <v>7</v>
      </c>
      <c r="E23" s="1">
        <v>25</v>
      </c>
      <c r="F23" s="1">
        <v>55</v>
      </c>
      <c r="G23" s="1" t="s">
        <v>3</v>
      </c>
      <c r="H23" s="1">
        <v>8</v>
      </c>
      <c r="I23" s="1">
        <v>50</v>
      </c>
      <c r="J23" s="1">
        <v>70</v>
      </c>
    </row>
    <row r="24" spans="1:10" x14ac:dyDescent="0.3">
      <c r="C24" s="1" t="s">
        <v>12</v>
      </c>
      <c r="D24" s="1">
        <v>10</v>
      </c>
      <c r="E24" s="1">
        <v>10</v>
      </c>
      <c r="F24" s="1">
        <v>10</v>
      </c>
      <c r="G24" s="1" t="s">
        <v>13</v>
      </c>
      <c r="H24" s="1">
        <v>10</v>
      </c>
      <c r="I24" s="1">
        <v>11</v>
      </c>
      <c r="J24" s="1">
        <v>12</v>
      </c>
    </row>
    <row r="25" spans="1:10" x14ac:dyDescent="0.3">
      <c r="C25" s="1" t="s">
        <v>14</v>
      </c>
      <c r="D25" s="1" t="s">
        <v>15</v>
      </c>
      <c r="G25" s="1" t="s">
        <v>14</v>
      </c>
      <c r="H25" s="1" t="s">
        <v>16</v>
      </c>
    </row>
    <row r="26" spans="1:10" x14ac:dyDescent="0.3">
      <c r="C26" s="1" t="s">
        <v>17</v>
      </c>
      <c r="D26" s="1" t="s">
        <v>18</v>
      </c>
      <c r="G26" s="1" t="s">
        <v>19</v>
      </c>
      <c r="H26" s="1" t="s">
        <v>20</v>
      </c>
    </row>
  </sheetData>
  <scenarios current="0" show="1" sqref="I18:I20 J19">
    <scenario name="Más probable" locked="1" count="8" user="s d" comment="Created by s d on 5/20/2025">
      <inputCells r="B6" val="7"/>
      <inputCells r="C6" val="40"/>
      <inputCells r="D6" val="60"/>
      <inputCells r="B7" val="10"/>
      <inputCells r="C7" val="10.5"/>
      <inputCells r="D7" val="11"/>
      <inputCells r="B10" val="180"/>
      <inputCells r="B11" val="90"/>
    </scenario>
    <scenario name="Pesimista" locked="1" count="8" user="s d" comment="Created by s d on 5/20/2025_x000a_Modified by s d on 5/20/2025">
      <inputCells r="B6" val="7"/>
      <inputCells r="C6" val="25"/>
      <inputCells r="D6" val="55"/>
      <inputCells r="B7" val="10"/>
      <inputCells r="C7" val="10"/>
      <inputCells r="D7" val="10"/>
      <inputCells r="B10" val="210"/>
      <inputCells r="B11" val="60"/>
    </scenario>
    <scenario name="Optimista" locked="1" count="8" user="s d" comment="Created by s d on 5/20/2025">
      <inputCells r="B6" val="8"/>
      <inputCells r="C6" val="50"/>
      <inputCells r="D6" val="70"/>
      <inputCells r="B7" val="10"/>
      <inputCells r="C7" val="11"/>
      <inputCells r="D7" val="12"/>
      <inputCells r="B10" val="150"/>
      <inputCells r="B11" val="120"/>
    </scenario>
  </scenario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F0C-06B5-4A5A-BD8A-2D1854F3D652}">
  <dimension ref="A1:Q20"/>
  <sheetViews>
    <sheetView workbookViewId="0">
      <selection activeCell="J10" sqref="J10"/>
    </sheetView>
  </sheetViews>
  <sheetFormatPr defaultRowHeight="14.4" x14ac:dyDescent="0.3"/>
  <cols>
    <col min="1" max="1" width="36" customWidth="1"/>
    <col min="2" max="2" width="10.77734375" customWidth="1"/>
    <col min="8" max="8" width="20" customWidth="1"/>
    <col min="9" max="9" width="20.21875" bestFit="1" customWidth="1"/>
  </cols>
  <sheetData>
    <row r="1" spans="1:17" x14ac:dyDescent="0.3">
      <c r="A1" s="2" t="s">
        <v>27</v>
      </c>
      <c r="B1" s="2">
        <v>3</v>
      </c>
      <c r="C1" s="2" t="s">
        <v>29</v>
      </c>
      <c r="D1" s="2"/>
      <c r="E1" s="2" t="s">
        <v>38</v>
      </c>
      <c r="H1" t="s">
        <v>39</v>
      </c>
      <c r="I1" t="s">
        <v>40</v>
      </c>
      <c r="J1" t="s">
        <v>0</v>
      </c>
      <c r="K1" t="s">
        <v>1</v>
      </c>
      <c r="L1" t="s">
        <v>2</v>
      </c>
      <c r="M1" t="s">
        <v>41</v>
      </c>
      <c r="P1" t="s">
        <v>47</v>
      </c>
      <c r="Q1" t="s">
        <v>52</v>
      </c>
    </row>
    <row r="2" spans="1:17" x14ac:dyDescent="0.3">
      <c r="A2" s="2" t="s">
        <v>28</v>
      </c>
      <c r="B2" s="2">
        <v>600</v>
      </c>
      <c r="C2" s="2" t="s">
        <v>32</v>
      </c>
      <c r="D2" s="2"/>
      <c r="E2" s="2"/>
      <c r="G2" t="s">
        <v>43</v>
      </c>
      <c r="H2" t="s">
        <v>42</v>
      </c>
      <c r="J2">
        <f>B6*B7</f>
        <v>70</v>
      </c>
      <c r="K2">
        <f>C6*C7</f>
        <v>420</v>
      </c>
      <c r="L2">
        <f>D6*D7</f>
        <v>660</v>
      </c>
      <c r="P2" t="s">
        <v>48</v>
      </c>
      <c r="Q2" t="s">
        <v>51</v>
      </c>
    </row>
    <row r="3" spans="1:17" x14ac:dyDescent="0.3">
      <c r="A3" s="2" t="s">
        <v>30</v>
      </c>
      <c r="B3" s="2">
        <v>90</v>
      </c>
      <c r="C3" s="2" t="s">
        <v>32</v>
      </c>
      <c r="D3" s="2"/>
      <c r="E3" s="2"/>
      <c r="G3" t="s">
        <v>45</v>
      </c>
      <c r="H3" t="s">
        <v>44</v>
      </c>
      <c r="J3">
        <f>B8</f>
        <v>58</v>
      </c>
      <c r="K3">
        <f>C8</f>
        <v>84</v>
      </c>
      <c r="L3">
        <f>D8</f>
        <v>88</v>
      </c>
      <c r="P3" t="s">
        <v>49</v>
      </c>
      <c r="Q3" t="s">
        <v>50</v>
      </c>
    </row>
    <row r="4" spans="1:17" x14ac:dyDescent="0.3">
      <c r="A4" s="2" t="s">
        <v>31</v>
      </c>
      <c r="B4" s="2">
        <v>200</v>
      </c>
      <c r="C4" s="2" t="s">
        <v>32</v>
      </c>
      <c r="D4" s="2"/>
      <c r="E4" s="2"/>
      <c r="G4" t="s">
        <v>45</v>
      </c>
      <c r="H4" t="s">
        <v>46</v>
      </c>
      <c r="J4">
        <f>B9</f>
        <v>32</v>
      </c>
      <c r="K4">
        <f>C9</f>
        <v>56</v>
      </c>
      <c r="L4">
        <f>D9</f>
        <v>52</v>
      </c>
    </row>
    <row r="5" spans="1:17" x14ac:dyDescent="0.3">
      <c r="A5" s="2"/>
      <c r="B5" s="3" t="s">
        <v>0</v>
      </c>
      <c r="C5" s="3" t="s">
        <v>1</v>
      </c>
      <c r="D5" s="3" t="s">
        <v>2</v>
      </c>
      <c r="E5" s="2"/>
      <c r="G5" s="7" t="s">
        <v>53</v>
      </c>
      <c r="H5" s="7" t="s">
        <v>54</v>
      </c>
      <c r="J5">
        <f>J2-J3-J4</f>
        <v>-20</v>
      </c>
      <c r="K5">
        <f>K2-K3-K4</f>
        <v>280</v>
      </c>
      <c r="L5">
        <f>L2-L3-L4</f>
        <v>520</v>
      </c>
    </row>
    <row r="6" spans="1:17" x14ac:dyDescent="0.3">
      <c r="A6" s="3" t="s">
        <v>3</v>
      </c>
      <c r="B6" s="3">
        <v>7</v>
      </c>
      <c r="C6" s="3">
        <v>40</v>
      </c>
      <c r="D6" s="3">
        <v>60</v>
      </c>
      <c r="E6" s="2"/>
      <c r="G6" s="7" t="s">
        <v>45</v>
      </c>
      <c r="H6" s="7" t="s">
        <v>55</v>
      </c>
      <c r="J6">
        <f>(B2-B3)/B1</f>
        <v>170</v>
      </c>
      <c r="K6">
        <f>J6</f>
        <v>170</v>
      </c>
      <c r="L6">
        <f>K6</f>
        <v>170</v>
      </c>
    </row>
    <row r="7" spans="1:17" x14ac:dyDescent="0.3">
      <c r="A7" s="3" t="s">
        <v>4</v>
      </c>
      <c r="B7" s="3">
        <v>10</v>
      </c>
      <c r="C7" s="3">
        <v>10.5</v>
      </c>
      <c r="D7" s="3">
        <v>11</v>
      </c>
      <c r="E7" s="2"/>
      <c r="G7" s="7" t="s">
        <v>53</v>
      </c>
      <c r="H7" s="7" t="s">
        <v>56</v>
      </c>
      <c r="J7">
        <f>J5-J6</f>
        <v>-190</v>
      </c>
      <c r="K7">
        <f>K5-K6</f>
        <v>110</v>
      </c>
      <c r="L7">
        <f>L5-L6</f>
        <v>350</v>
      </c>
    </row>
    <row r="8" spans="1:17" x14ac:dyDescent="0.3">
      <c r="A8" s="3" t="s">
        <v>5</v>
      </c>
      <c r="B8" s="3">
        <v>58</v>
      </c>
      <c r="C8" s="3">
        <v>84</v>
      </c>
      <c r="D8" s="3">
        <v>88</v>
      </c>
      <c r="E8" s="2"/>
      <c r="G8" s="7" t="s">
        <v>45</v>
      </c>
      <c r="H8" s="7" t="s">
        <v>57</v>
      </c>
      <c r="J8" s="8">
        <v>0</v>
      </c>
      <c r="K8" s="8">
        <v>0</v>
      </c>
      <c r="L8" s="8">
        <f>(L7+J7+K7)*$B$12</f>
        <v>54</v>
      </c>
    </row>
    <row r="9" spans="1:17" x14ac:dyDescent="0.3">
      <c r="A9" s="3" t="s">
        <v>25</v>
      </c>
      <c r="B9" s="3">
        <v>32</v>
      </c>
      <c r="C9" s="3">
        <v>56</v>
      </c>
      <c r="D9" s="3">
        <v>52</v>
      </c>
      <c r="E9" s="2"/>
      <c r="G9" s="7" t="s">
        <v>53</v>
      </c>
      <c r="H9" s="7" t="s">
        <v>58</v>
      </c>
      <c r="J9">
        <f>J7-J8</f>
        <v>-190</v>
      </c>
      <c r="K9">
        <f>K7-K8</f>
        <v>110</v>
      </c>
      <c r="L9">
        <f>L7-L8</f>
        <v>296</v>
      </c>
    </row>
    <row r="10" spans="1:17" x14ac:dyDescent="0.3">
      <c r="A10" s="4" t="s">
        <v>33</v>
      </c>
      <c r="B10" s="5">
        <v>180</v>
      </c>
      <c r="C10" s="2" t="s">
        <v>37</v>
      </c>
      <c r="D10" s="2"/>
      <c r="E10" s="2"/>
      <c r="G10" s="7" t="s">
        <v>43</v>
      </c>
      <c r="H10" s="7" t="s">
        <v>59</v>
      </c>
      <c r="J10">
        <f>J6</f>
        <v>170</v>
      </c>
      <c r="K10">
        <f>K6</f>
        <v>170</v>
      </c>
      <c r="L10">
        <f>L6</f>
        <v>170</v>
      </c>
    </row>
    <row r="11" spans="1:17" x14ac:dyDescent="0.3">
      <c r="A11" s="4" t="s">
        <v>34</v>
      </c>
      <c r="B11" s="5">
        <v>90</v>
      </c>
      <c r="C11" s="2" t="s">
        <v>37</v>
      </c>
      <c r="D11" s="2"/>
      <c r="E11" s="2"/>
      <c r="G11" s="7" t="s">
        <v>53</v>
      </c>
      <c r="H11" s="7" t="s">
        <v>60</v>
      </c>
      <c r="J11">
        <f>J9+J10</f>
        <v>-20</v>
      </c>
      <c r="K11">
        <f>K9+K10</f>
        <v>280</v>
      </c>
      <c r="L11">
        <f>L9+L10</f>
        <v>466</v>
      </c>
    </row>
    <row r="12" spans="1:17" x14ac:dyDescent="0.3">
      <c r="A12" s="4" t="s">
        <v>35</v>
      </c>
      <c r="B12" s="6">
        <v>0.2</v>
      </c>
      <c r="C12" s="2"/>
      <c r="D12" s="2"/>
      <c r="E12" s="2"/>
      <c r="G12" s="7" t="s">
        <v>45</v>
      </c>
      <c r="H12" s="7" t="s">
        <v>61</v>
      </c>
      <c r="J12">
        <f>C19</f>
        <v>27</v>
      </c>
      <c r="K12">
        <f>D19</f>
        <v>169</v>
      </c>
      <c r="L12">
        <f>E19</f>
        <v>121</v>
      </c>
      <c r="M12">
        <f>F19</f>
        <v>-317</v>
      </c>
    </row>
    <row r="13" spans="1:17" x14ac:dyDescent="0.3">
      <c r="A13" s="4" t="s">
        <v>36</v>
      </c>
      <c r="B13" s="6">
        <v>0.08</v>
      </c>
      <c r="C13" s="2"/>
      <c r="D13" s="2"/>
      <c r="E13" s="2"/>
      <c r="G13" s="7" t="s">
        <v>43</v>
      </c>
      <c r="H13" s="7" t="s">
        <v>62</v>
      </c>
      <c r="I13">
        <f>-B2</f>
        <v>-600</v>
      </c>
      <c r="M13">
        <f>B4-B12*(B4-B3)</f>
        <v>178</v>
      </c>
    </row>
    <row r="14" spans="1:17" x14ac:dyDescent="0.3">
      <c r="A14" s="2"/>
      <c r="B14" s="2"/>
      <c r="C14" s="2"/>
      <c r="D14" s="2"/>
      <c r="E14" s="2"/>
      <c r="G14" s="7" t="s">
        <v>53</v>
      </c>
      <c r="H14" s="10" t="s">
        <v>63</v>
      </c>
      <c r="I14" s="11">
        <f>I11-I12+I13</f>
        <v>-600</v>
      </c>
      <c r="J14" s="11">
        <f>J11-J12+J13</f>
        <v>-47</v>
      </c>
      <c r="K14" s="11">
        <f>K11-K12+K13</f>
        <v>111</v>
      </c>
      <c r="L14" s="11">
        <f>L11-L12+L13</f>
        <v>345</v>
      </c>
      <c r="M14" s="11">
        <f>M11-M12+M13</f>
        <v>495</v>
      </c>
    </row>
    <row r="15" spans="1:17" x14ac:dyDescent="0.3">
      <c r="A15" s="2"/>
      <c r="B15" s="9" t="s">
        <v>40</v>
      </c>
      <c r="C15" s="9" t="s">
        <v>0</v>
      </c>
      <c r="D15" s="9" t="s">
        <v>1</v>
      </c>
      <c r="E15" s="9" t="s">
        <v>2</v>
      </c>
      <c r="F15" s="9" t="s">
        <v>41</v>
      </c>
    </row>
    <row r="16" spans="1:17" x14ac:dyDescent="0.3">
      <c r="A16" s="7" t="s">
        <v>64</v>
      </c>
      <c r="B16" s="9"/>
      <c r="C16">
        <f>J2*$B$10/360</f>
        <v>35</v>
      </c>
      <c r="D16">
        <f>K2*$B$10/360</f>
        <v>210</v>
      </c>
      <c r="E16">
        <f>L2*$B$10/360</f>
        <v>330</v>
      </c>
      <c r="H16" t="s">
        <v>68</v>
      </c>
      <c r="I16">
        <f>I14</f>
        <v>-600</v>
      </c>
      <c r="J16">
        <f>I16+J14</f>
        <v>-647</v>
      </c>
      <c r="K16">
        <f>J16+K14</f>
        <v>-536</v>
      </c>
      <c r="L16">
        <f>K16+L14</f>
        <v>-191</v>
      </c>
      <c r="M16">
        <f>L16+M14</f>
        <v>304</v>
      </c>
    </row>
    <row r="17" spans="1:10" x14ac:dyDescent="0.3">
      <c r="A17" s="7" t="s">
        <v>65</v>
      </c>
      <c r="B17" s="9"/>
      <c r="C17">
        <f>(J4)*$B$11/360</f>
        <v>8</v>
      </c>
      <c r="D17">
        <f>(K4)*$B$11/360</f>
        <v>14</v>
      </c>
      <c r="E17">
        <f>(L4)*$B$11/360</f>
        <v>13</v>
      </c>
    </row>
    <row r="18" spans="1:10" x14ac:dyDescent="0.3">
      <c r="A18" s="7" t="s">
        <v>66</v>
      </c>
      <c r="C18">
        <f>C16-C17</f>
        <v>27</v>
      </c>
      <c r="D18">
        <f>D16-D17</f>
        <v>196</v>
      </c>
      <c r="E18">
        <f>E16-E17</f>
        <v>317</v>
      </c>
      <c r="H18" t="s">
        <v>69</v>
      </c>
      <c r="I18" s="13">
        <f>3+(-L16/M14)</f>
        <v>3.3858585858585859</v>
      </c>
    </row>
    <row r="19" spans="1:10" x14ac:dyDescent="0.3">
      <c r="A19" s="7" t="s">
        <v>67</v>
      </c>
      <c r="C19">
        <f>C18-B18</f>
        <v>27</v>
      </c>
      <c r="D19">
        <f>D18-C18</f>
        <v>169</v>
      </c>
      <c r="E19">
        <f>E18-D18</f>
        <v>121</v>
      </c>
      <c r="F19">
        <f>F18-E18</f>
        <v>-317</v>
      </c>
      <c r="H19" t="s">
        <v>70</v>
      </c>
      <c r="I19" s="8">
        <f>NPV(B13,J14:M14)+I14</f>
        <v>89.35799082118217</v>
      </c>
      <c r="J19" t="str">
        <f>IF(I19&gt;0,"Efectuable","No efectuable")</f>
        <v>Efectuable</v>
      </c>
    </row>
    <row r="20" spans="1:10" x14ac:dyDescent="0.3">
      <c r="H20" t="s">
        <v>71</v>
      </c>
      <c r="I20" s="12">
        <f>IRR(I14:M14)</f>
        <v>0.12353228901892299</v>
      </c>
      <c r="J20" t="str">
        <f>IF(I20&gt;B13,"Efectuable","No efectuable")</f>
        <v>Efectuable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B098-36AC-457E-B848-E69E8B847B17}">
  <dimension ref="A1:Q21"/>
  <sheetViews>
    <sheetView workbookViewId="0">
      <selection activeCell="C6" sqref="C6"/>
    </sheetView>
  </sheetViews>
  <sheetFormatPr defaultRowHeight="14.4" x14ac:dyDescent="0.3"/>
  <cols>
    <col min="1" max="1" width="36" customWidth="1"/>
    <col min="2" max="2" width="10.77734375" customWidth="1"/>
    <col min="8" max="8" width="20" customWidth="1"/>
    <col min="9" max="9" width="20.21875" bestFit="1" customWidth="1"/>
  </cols>
  <sheetData>
    <row r="1" spans="1:17" x14ac:dyDescent="0.3">
      <c r="A1" s="2" t="s">
        <v>27</v>
      </c>
      <c r="B1" s="2">
        <v>3</v>
      </c>
      <c r="C1" s="2" t="s">
        <v>29</v>
      </c>
      <c r="D1" s="2"/>
      <c r="E1" s="2" t="s">
        <v>38</v>
      </c>
      <c r="H1" t="s">
        <v>39</v>
      </c>
      <c r="I1" t="s">
        <v>40</v>
      </c>
      <c r="J1" t="s">
        <v>0</v>
      </c>
      <c r="K1" t="s">
        <v>1</v>
      </c>
      <c r="L1" t="s">
        <v>2</v>
      </c>
      <c r="M1" t="s">
        <v>41</v>
      </c>
      <c r="P1" t="s">
        <v>47</v>
      </c>
      <c r="Q1" t="s">
        <v>52</v>
      </c>
    </row>
    <row r="2" spans="1:17" x14ac:dyDescent="0.3">
      <c r="A2" s="2" t="s">
        <v>28</v>
      </c>
      <c r="B2" s="2">
        <v>600</v>
      </c>
      <c r="C2" s="2" t="s">
        <v>32</v>
      </c>
      <c r="D2" s="2"/>
      <c r="E2" s="2"/>
      <c r="G2" t="s">
        <v>43</v>
      </c>
      <c r="H2" t="s">
        <v>42</v>
      </c>
      <c r="J2">
        <f>B6*B7</f>
        <v>70</v>
      </c>
      <c r="K2">
        <f>C6*C7</f>
        <v>277.85372168284823</v>
      </c>
      <c r="L2">
        <f>D6*D7</f>
        <v>660</v>
      </c>
      <c r="P2" t="s">
        <v>48</v>
      </c>
      <c r="Q2" t="s">
        <v>51</v>
      </c>
    </row>
    <row r="3" spans="1:17" x14ac:dyDescent="0.3">
      <c r="A3" s="2" t="s">
        <v>30</v>
      </c>
      <c r="B3" s="2">
        <v>90</v>
      </c>
      <c r="C3" s="2" t="s">
        <v>32</v>
      </c>
      <c r="D3" s="2"/>
      <c r="E3" s="2"/>
      <c r="G3" t="s">
        <v>45</v>
      </c>
      <c r="H3" t="s">
        <v>44</v>
      </c>
      <c r="J3">
        <f>B8</f>
        <v>58</v>
      </c>
      <c r="K3">
        <f>C8</f>
        <v>84</v>
      </c>
      <c r="L3">
        <f>D8</f>
        <v>88</v>
      </c>
      <c r="P3" t="s">
        <v>49</v>
      </c>
      <c r="Q3" t="s">
        <v>50</v>
      </c>
    </row>
    <row r="4" spans="1:17" x14ac:dyDescent="0.3">
      <c r="A4" s="2" t="s">
        <v>31</v>
      </c>
      <c r="B4" s="2">
        <v>200</v>
      </c>
      <c r="C4" s="2" t="s">
        <v>32</v>
      </c>
      <c r="D4" s="2"/>
      <c r="E4" s="2"/>
      <c r="G4" t="s">
        <v>45</v>
      </c>
      <c r="H4" t="s">
        <v>46</v>
      </c>
      <c r="J4">
        <f>B9</f>
        <v>32</v>
      </c>
      <c r="K4">
        <f>C9</f>
        <v>56</v>
      </c>
      <c r="L4">
        <f>D9</f>
        <v>52</v>
      </c>
    </row>
    <row r="5" spans="1:17" x14ac:dyDescent="0.3">
      <c r="A5" s="2"/>
      <c r="B5" s="3" t="s">
        <v>0</v>
      </c>
      <c r="C5" s="3" t="s">
        <v>1</v>
      </c>
      <c r="D5" s="3" t="s">
        <v>2</v>
      </c>
      <c r="E5" s="2"/>
      <c r="G5" s="7" t="s">
        <v>53</v>
      </c>
      <c r="H5" s="7" t="s">
        <v>54</v>
      </c>
      <c r="J5">
        <f>J2-J3-J4</f>
        <v>-20</v>
      </c>
      <c r="K5">
        <f>K2-K3-K4</f>
        <v>137.85372168284823</v>
      </c>
      <c r="L5">
        <f>L2-L3-L4</f>
        <v>520</v>
      </c>
    </row>
    <row r="6" spans="1:17" x14ac:dyDescent="0.3">
      <c r="A6" s="3" t="s">
        <v>3</v>
      </c>
      <c r="B6" s="3">
        <v>7</v>
      </c>
      <c r="C6" s="30">
        <v>26.462259207890309</v>
      </c>
      <c r="D6" s="3">
        <v>60</v>
      </c>
      <c r="E6" s="2"/>
      <c r="G6" s="7" t="s">
        <v>45</v>
      </c>
      <c r="H6" s="7" t="s">
        <v>55</v>
      </c>
      <c r="J6">
        <f>(B2-B3)/B1</f>
        <v>170</v>
      </c>
      <c r="K6">
        <f>J6</f>
        <v>170</v>
      </c>
      <c r="L6">
        <f>K6</f>
        <v>170</v>
      </c>
    </row>
    <row r="7" spans="1:17" x14ac:dyDescent="0.3">
      <c r="A7" s="3" t="s">
        <v>4</v>
      </c>
      <c r="B7" s="3">
        <v>10</v>
      </c>
      <c r="C7" s="3">
        <v>10.5</v>
      </c>
      <c r="D7" s="3">
        <v>11</v>
      </c>
      <c r="E7" s="2"/>
      <c r="G7" s="7" t="s">
        <v>53</v>
      </c>
      <c r="H7" s="7" t="s">
        <v>56</v>
      </c>
      <c r="J7">
        <f>J5-J6</f>
        <v>-190</v>
      </c>
      <c r="K7">
        <f>K5-K6</f>
        <v>-32.146278317151769</v>
      </c>
      <c r="L7">
        <f>L5-L6</f>
        <v>350</v>
      </c>
    </row>
    <row r="8" spans="1:17" x14ac:dyDescent="0.3">
      <c r="A8" s="3" t="s">
        <v>5</v>
      </c>
      <c r="B8" s="3">
        <v>58</v>
      </c>
      <c r="C8" s="3">
        <v>84</v>
      </c>
      <c r="D8" s="3">
        <v>88</v>
      </c>
      <c r="E8" s="2"/>
      <c r="G8" s="7" t="s">
        <v>45</v>
      </c>
      <c r="H8" s="7" t="s">
        <v>57</v>
      </c>
      <c r="J8" s="8">
        <f>J7*$B$12</f>
        <v>-38</v>
      </c>
      <c r="K8" s="8">
        <f>K7*$B$12</f>
        <v>-6.4292556634303537</v>
      </c>
      <c r="L8" s="8">
        <f>L7*$B$12</f>
        <v>70</v>
      </c>
    </row>
    <row r="9" spans="1:17" x14ac:dyDescent="0.3">
      <c r="A9" s="3" t="s">
        <v>25</v>
      </c>
      <c r="B9" s="3">
        <v>32</v>
      </c>
      <c r="C9" s="3">
        <v>56</v>
      </c>
      <c r="D9" s="3">
        <v>52</v>
      </c>
      <c r="E9" s="2"/>
      <c r="G9" s="7" t="s">
        <v>53</v>
      </c>
      <c r="H9" s="7" t="s">
        <v>58</v>
      </c>
      <c r="J9">
        <f>J7-J8</f>
        <v>-152</v>
      </c>
      <c r="K9">
        <f>K7-K8</f>
        <v>-25.717022653721415</v>
      </c>
      <c r="L9">
        <f>L7-L8</f>
        <v>280</v>
      </c>
    </row>
    <row r="10" spans="1:17" x14ac:dyDescent="0.3">
      <c r="A10" s="4" t="s">
        <v>33</v>
      </c>
      <c r="B10" s="5">
        <v>180</v>
      </c>
      <c r="C10" s="2" t="s">
        <v>37</v>
      </c>
      <c r="D10" s="2"/>
      <c r="E10" s="2"/>
      <c r="G10" s="7" t="s">
        <v>43</v>
      </c>
      <c r="H10" s="7" t="s">
        <v>59</v>
      </c>
      <c r="J10">
        <f>J6</f>
        <v>170</v>
      </c>
      <c r="K10">
        <f>K6</f>
        <v>170</v>
      </c>
      <c r="L10">
        <f>L6</f>
        <v>170</v>
      </c>
    </row>
    <row r="11" spans="1:17" x14ac:dyDescent="0.3">
      <c r="A11" s="4" t="s">
        <v>34</v>
      </c>
      <c r="B11" s="5">
        <v>90</v>
      </c>
      <c r="C11" s="2" t="s">
        <v>37</v>
      </c>
      <c r="D11" s="2"/>
      <c r="E11" s="2"/>
      <c r="G11" s="7" t="s">
        <v>53</v>
      </c>
      <c r="H11" s="7" t="s">
        <v>60</v>
      </c>
      <c r="J11">
        <f>J9+J10</f>
        <v>18</v>
      </c>
      <c r="K11">
        <f>K9+K10</f>
        <v>144.28297734627859</v>
      </c>
      <c r="L11">
        <f>L9+L10</f>
        <v>450</v>
      </c>
    </row>
    <row r="12" spans="1:17" x14ac:dyDescent="0.3">
      <c r="A12" s="4" t="s">
        <v>35</v>
      </c>
      <c r="B12" s="6">
        <v>0.2</v>
      </c>
      <c r="C12" s="2"/>
      <c r="D12" s="2"/>
      <c r="E12" s="2"/>
      <c r="G12" s="7" t="s">
        <v>45</v>
      </c>
      <c r="H12" s="7" t="s">
        <v>61</v>
      </c>
      <c r="J12">
        <f>C19</f>
        <v>27</v>
      </c>
      <c r="K12">
        <f>D19</f>
        <v>97.926860841424116</v>
      </c>
      <c r="L12">
        <f>E19</f>
        <v>192.07313915857588</v>
      </c>
      <c r="M12">
        <f>F19</f>
        <v>-317</v>
      </c>
    </row>
    <row r="13" spans="1:17" x14ac:dyDescent="0.3">
      <c r="A13" s="4" t="s">
        <v>36</v>
      </c>
      <c r="B13" s="6">
        <v>0.08</v>
      </c>
      <c r="C13" s="2"/>
      <c r="D13" s="2"/>
      <c r="E13" s="2"/>
      <c r="G13" s="7" t="s">
        <v>43</v>
      </c>
      <c r="H13" s="7" t="s">
        <v>62</v>
      </c>
      <c r="I13">
        <f>-B2</f>
        <v>-600</v>
      </c>
      <c r="M13">
        <f>B4-B12*(B4-B3)</f>
        <v>178</v>
      </c>
    </row>
    <row r="14" spans="1:17" x14ac:dyDescent="0.3">
      <c r="A14" s="2"/>
      <c r="B14" s="2"/>
      <c r="C14" s="2"/>
      <c r="D14" s="2"/>
      <c r="E14" s="2"/>
      <c r="G14" s="7" t="s">
        <v>53</v>
      </c>
      <c r="H14" s="10" t="s">
        <v>63</v>
      </c>
      <c r="I14" s="11">
        <f>I11-I12+I13</f>
        <v>-600</v>
      </c>
      <c r="J14" s="11">
        <f>J11-J12+J13</f>
        <v>-9</v>
      </c>
      <c r="K14" s="11">
        <f>K11-K12+K13</f>
        <v>46.356116504854469</v>
      </c>
      <c r="L14" s="11">
        <f>L11-L12+L13</f>
        <v>257.92686084142412</v>
      </c>
      <c r="M14" s="11">
        <f>M11-M12+M13</f>
        <v>495</v>
      </c>
    </row>
    <row r="15" spans="1:17" x14ac:dyDescent="0.3">
      <c r="A15" s="2"/>
      <c r="B15" s="9" t="s">
        <v>40</v>
      </c>
      <c r="C15" s="9" t="s">
        <v>0</v>
      </c>
      <c r="D15" s="9" t="s">
        <v>1</v>
      </c>
      <c r="E15" s="9" t="s">
        <v>2</v>
      </c>
      <c r="F15" s="9" t="s">
        <v>41</v>
      </c>
    </row>
    <row r="16" spans="1:17" x14ac:dyDescent="0.3">
      <c r="A16" s="7" t="s">
        <v>64</v>
      </c>
      <c r="B16" s="9"/>
      <c r="C16">
        <f>J2*$B$10/360</f>
        <v>35</v>
      </c>
      <c r="D16">
        <f>K2*$B$10/360</f>
        <v>138.92686084142412</v>
      </c>
      <c r="E16">
        <f>L2*$B$10/360</f>
        <v>330</v>
      </c>
      <c r="H16" t="s">
        <v>68</v>
      </c>
      <c r="I16">
        <f>I14</f>
        <v>-600</v>
      </c>
      <c r="J16">
        <f>I16+J14</f>
        <v>-609</v>
      </c>
      <c r="K16">
        <f>J16+K14</f>
        <v>-562.64388349514547</v>
      </c>
      <c r="L16">
        <f>K16+L14</f>
        <v>-304.71702265372136</v>
      </c>
      <c r="M16">
        <f>L16+M14</f>
        <v>190.28297734627864</v>
      </c>
    </row>
    <row r="17" spans="1:10" x14ac:dyDescent="0.3">
      <c r="A17" s="7" t="s">
        <v>65</v>
      </c>
      <c r="B17" s="9"/>
      <c r="C17">
        <f>(J4)*$B$11/360</f>
        <v>8</v>
      </c>
      <c r="D17">
        <f>(K4)*$B$11/360</f>
        <v>14</v>
      </c>
      <c r="E17">
        <f>(L4)*$B$11/360</f>
        <v>13</v>
      </c>
    </row>
    <row r="18" spans="1:10" x14ac:dyDescent="0.3">
      <c r="A18" s="7" t="s">
        <v>66</v>
      </c>
      <c r="C18">
        <f>C16-C17</f>
        <v>27</v>
      </c>
      <c r="D18">
        <f>D16-D17</f>
        <v>124.92686084142412</v>
      </c>
      <c r="E18">
        <f>E16-E17</f>
        <v>317</v>
      </c>
      <c r="H18" t="s">
        <v>69</v>
      </c>
      <c r="I18" s="13">
        <f>3+(-L16/M14)</f>
        <v>3.6155899447549924</v>
      </c>
    </row>
    <row r="19" spans="1:10" x14ac:dyDescent="0.3">
      <c r="A19" s="7" t="s">
        <v>67</v>
      </c>
      <c r="C19">
        <f>C18-B18</f>
        <v>27</v>
      </c>
      <c r="D19">
        <f>D18-C18</f>
        <v>97.926860841424116</v>
      </c>
      <c r="E19">
        <f>E18-D18</f>
        <v>192.07313915857588</v>
      </c>
      <c r="F19">
        <f>F18-E18</f>
        <v>-317</v>
      </c>
      <c r="H19" t="s">
        <v>70</v>
      </c>
      <c r="I19" s="8">
        <f>NPV(B13,J14:M14)+I14</f>
        <v>0</v>
      </c>
      <c r="J19" t="str">
        <f>IF(I19&gt;0,"Efectuable","No efectuable")</f>
        <v>No efectuable</v>
      </c>
    </row>
    <row r="20" spans="1:10" x14ac:dyDescent="0.3">
      <c r="H20" t="s">
        <v>71</v>
      </c>
      <c r="I20" s="12">
        <f>IRR(I14:M14)</f>
        <v>7.9999999999861737E-2</v>
      </c>
      <c r="J20" t="str">
        <f>IF(I20&gt;B13,"Efectuable","No efectuable")</f>
        <v>No efectuable</v>
      </c>
    </row>
    <row r="21" spans="1:10" x14ac:dyDescent="0.3">
      <c r="A2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449-EEC9-4CAE-BE8C-0255E43181D9}">
  <dimension ref="A1:Q42"/>
  <sheetViews>
    <sheetView tabSelected="1" topLeftCell="B17" workbookViewId="0">
      <selection activeCell="L32" sqref="L32"/>
    </sheetView>
  </sheetViews>
  <sheetFormatPr defaultRowHeight="14.4" x14ac:dyDescent="0.3"/>
  <cols>
    <col min="1" max="1" width="36" customWidth="1"/>
    <col min="2" max="2" width="10.77734375" customWidth="1"/>
    <col min="5" max="5" width="24" customWidth="1"/>
    <col min="8" max="8" width="20" customWidth="1"/>
    <col min="9" max="9" width="20.21875" bestFit="1" customWidth="1"/>
  </cols>
  <sheetData>
    <row r="1" spans="1:17" x14ac:dyDescent="0.3">
      <c r="A1" s="2" t="s">
        <v>27</v>
      </c>
      <c r="B1" s="2">
        <v>3</v>
      </c>
      <c r="C1" s="2" t="s">
        <v>29</v>
      </c>
      <c r="D1" s="2"/>
      <c r="E1" s="2" t="s">
        <v>38</v>
      </c>
      <c r="H1" t="s">
        <v>39</v>
      </c>
      <c r="I1" t="s">
        <v>40</v>
      </c>
      <c r="J1" t="s">
        <v>0</v>
      </c>
      <c r="K1" t="s">
        <v>1</v>
      </c>
      <c r="L1" t="s">
        <v>2</v>
      </c>
      <c r="M1" t="s">
        <v>41</v>
      </c>
      <c r="P1" t="s">
        <v>47</v>
      </c>
      <c r="Q1" t="s">
        <v>52</v>
      </c>
    </row>
    <row r="2" spans="1:17" x14ac:dyDescent="0.3">
      <c r="A2" s="2" t="s">
        <v>28</v>
      </c>
      <c r="B2" s="2">
        <v>600</v>
      </c>
      <c r="C2" s="2" t="s">
        <v>32</v>
      </c>
      <c r="D2" s="2"/>
      <c r="E2" s="2"/>
      <c r="G2" t="s">
        <v>43</v>
      </c>
      <c r="H2" t="s">
        <v>42</v>
      </c>
      <c r="J2">
        <f>B6*B7</f>
        <v>70</v>
      </c>
      <c r="K2">
        <f>C6*C7</f>
        <v>420</v>
      </c>
      <c r="L2">
        <f>D6*D7</f>
        <v>660</v>
      </c>
      <c r="P2" t="s">
        <v>48</v>
      </c>
      <c r="Q2" t="s">
        <v>51</v>
      </c>
    </row>
    <row r="3" spans="1:17" x14ac:dyDescent="0.3">
      <c r="A3" s="2" t="s">
        <v>30</v>
      </c>
      <c r="B3" s="2">
        <v>90</v>
      </c>
      <c r="C3" s="2" t="s">
        <v>32</v>
      </c>
      <c r="D3" s="2"/>
      <c r="E3" s="2"/>
      <c r="G3" t="s">
        <v>45</v>
      </c>
      <c r="H3" t="s">
        <v>44</v>
      </c>
      <c r="J3">
        <f>B8</f>
        <v>58</v>
      </c>
      <c r="K3">
        <f>C8</f>
        <v>84</v>
      </c>
      <c r="L3">
        <f>D8</f>
        <v>88</v>
      </c>
      <c r="P3" t="s">
        <v>49</v>
      </c>
      <c r="Q3" t="s">
        <v>50</v>
      </c>
    </row>
    <row r="4" spans="1:17" x14ac:dyDescent="0.3">
      <c r="A4" s="2" t="s">
        <v>31</v>
      </c>
      <c r="B4" s="2">
        <v>200</v>
      </c>
      <c r="C4" s="2" t="s">
        <v>32</v>
      </c>
      <c r="D4" s="2"/>
      <c r="E4" s="2"/>
      <c r="G4" t="s">
        <v>45</v>
      </c>
      <c r="H4" t="s">
        <v>46</v>
      </c>
      <c r="J4">
        <f>B9</f>
        <v>32</v>
      </c>
      <c r="K4">
        <f>C9</f>
        <v>56</v>
      </c>
      <c r="L4">
        <f>D9</f>
        <v>52</v>
      </c>
    </row>
    <row r="5" spans="1:17" x14ac:dyDescent="0.3">
      <c r="A5" s="2"/>
      <c r="B5" s="3" t="s">
        <v>0</v>
      </c>
      <c r="C5" s="3" t="s">
        <v>1</v>
      </c>
      <c r="D5" s="3" t="s">
        <v>2</v>
      </c>
      <c r="E5" s="2"/>
      <c r="G5" s="7" t="s">
        <v>53</v>
      </c>
      <c r="H5" s="7" t="s">
        <v>54</v>
      </c>
      <c r="J5">
        <f>J2-J3-J4</f>
        <v>-20</v>
      </c>
      <c r="K5">
        <f>K2-K3-K4</f>
        <v>280</v>
      </c>
      <c r="L5">
        <f>L2-L3-L4</f>
        <v>520</v>
      </c>
    </row>
    <row r="6" spans="1:17" x14ac:dyDescent="0.3">
      <c r="A6" s="3" t="s">
        <v>3</v>
      </c>
      <c r="B6" s="3">
        <v>7</v>
      </c>
      <c r="C6" s="3">
        <v>40</v>
      </c>
      <c r="D6" s="3">
        <v>60</v>
      </c>
      <c r="E6" s="2"/>
      <c r="G6" s="7" t="s">
        <v>45</v>
      </c>
      <c r="H6" s="7" t="s">
        <v>55</v>
      </c>
      <c r="J6">
        <f>(B2-B3)/B1</f>
        <v>170</v>
      </c>
      <c r="K6">
        <f>J6</f>
        <v>170</v>
      </c>
      <c r="L6">
        <f>K6</f>
        <v>170</v>
      </c>
    </row>
    <row r="7" spans="1:17" x14ac:dyDescent="0.3">
      <c r="A7" s="3" t="s">
        <v>4</v>
      </c>
      <c r="B7" s="3">
        <v>10</v>
      </c>
      <c r="C7" s="3">
        <v>10.5</v>
      </c>
      <c r="D7" s="3">
        <v>11</v>
      </c>
      <c r="E7" s="2"/>
      <c r="G7" s="7" t="s">
        <v>53</v>
      </c>
      <c r="H7" s="7" t="s">
        <v>56</v>
      </c>
      <c r="J7">
        <f>J5-J6</f>
        <v>-190</v>
      </c>
      <c r="K7">
        <f>K5-K6</f>
        <v>110</v>
      </c>
      <c r="L7">
        <f>L5-L6</f>
        <v>350</v>
      </c>
    </row>
    <row r="8" spans="1:17" x14ac:dyDescent="0.3">
      <c r="A8" s="3" t="s">
        <v>5</v>
      </c>
      <c r="B8" s="3">
        <v>58</v>
      </c>
      <c r="C8" s="3">
        <v>84</v>
      </c>
      <c r="D8" s="3">
        <v>88</v>
      </c>
      <c r="E8" s="2"/>
      <c r="G8" s="7" t="s">
        <v>45</v>
      </c>
      <c r="H8" s="7" t="s">
        <v>57</v>
      </c>
      <c r="J8" s="8">
        <f>J7*$B$12</f>
        <v>-38</v>
      </c>
      <c r="K8" s="8">
        <f>K7*$B$12</f>
        <v>22</v>
      </c>
      <c r="L8" s="8">
        <f>L7*$B$12</f>
        <v>70</v>
      </c>
    </row>
    <row r="9" spans="1:17" x14ac:dyDescent="0.3">
      <c r="A9" s="3" t="s">
        <v>25</v>
      </c>
      <c r="B9" s="3">
        <v>32</v>
      </c>
      <c r="C9" s="3">
        <v>56</v>
      </c>
      <c r="D9" s="3">
        <v>52</v>
      </c>
      <c r="E9" s="2"/>
      <c r="G9" s="7" t="s">
        <v>53</v>
      </c>
      <c r="H9" s="7" t="s">
        <v>58</v>
      </c>
      <c r="J9">
        <f>J7-J8</f>
        <v>-152</v>
      </c>
      <c r="K9">
        <f>K7-K8</f>
        <v>88</v>
      </c>
      <c r="L9">
        <f>L7-L8</f>
        <v>280</v>
      </c>
    </row>
    <row r="10" spans="1:17" x14ac:dyDescent="0.3">
      <c r="A10" s="4" t="s">
        <v>33</v>
      </c>
      <c r="B10" s="5">
        <v>180</v>
      </c>
      <c r="C10" s="2" t="s">
        <v>37</v>
      </c>
      <c r="D10" s="2"/>
      <c r="E10" s="2"/>
      <c r="G10" s="7" t="s">
        <v>43</v>
      </c>
      <c r="H10" s="7" t="s">
        <v>59</v>
      </c>
      <c r="J10">
        <f>J6</f>
        <v>170</v>
      </c>
      <c r="K10">
        <f>K6</f>
        <v>170</v>
      </c>
      <c r="L10">
        <f>L6</f>
        <v>170</v>
      </c>
    </row>
    <row r="11" spans="1:17" x14ac:dyDescent="0.3">
      <c r="A11" s="4" t="s">
        <v>34</v>
      </c>
      <c r="B11" s="5">
        <v>90</v>
      </c>
      <c r="C11" s="2" t="s">
        <v>37</v>
      </c>
      <c r="D11" s="2"/>
      <c r="E11" s="2"/>
      <c r="G11" s="7" t="s">
        <v>53</v>
      </c>
      <c r="H11" s="7" t="s">
        <v>60</v>
      </c>
      <c r="J11">
        <f>J9+J10</f>
        <v>18</v>
      </c>
      <c r="K11">
        <f>K9+K10</f>
        <v>258</v>
      </c>
      <c r="L11">
        <f>L9+L10</f>
        <v>450</v>
      </c>
    </row>
    <row r="12" spans="1:17" x14ac:dyDescent="0.3">
      <c r="A12" s="4" t="s">
        <v>35</v>
      </c>
      <c r="B12" s="6">
        <v>0.2</v>
      </c>
      <c r="C12" s="2"/>
      <c r="D12" s="2"/>
      <c r="E12" s="2"/>
      <c r="G12" s="7" t="s">
        <v>45</v>
      </c>
      <c r="H12" s="7" t="s">
        <v>61</v>
      </c>
      <c r="J12">
        <f>C19</f>
        <v>27</v>
      </c>
      <c r="K12">
        <f>D19</f>
        <v>169</v>
      </c>
      <c r="L12">
        <f>E19</f>
        <v>121</v>
      </c>
      <c r="M12">
        <f>F19</f>
        <v>-317</v>
      </c>
    </row>
    <row r="13" spans="1:17" x14ac:dyDescent="0.3">
      <c r="A13" s="4" t="s">
        <v>36</v>
      </c>
      <c r="B13" s="6">
        <v>0.08</v>
      </c>
      <c r="C13" s="2"/>
      <c r="D13" s="2"/>
      <c r="E13" s="2"/>
      <c r="G13" s="7" t="s">
        <v>43</v>
      </c>
      <c r="H13" s="7" t="s">
        <v>62</v>
      </c>
      <c r="I13">
        <f>-B2</f>
        <v>-600</v>
      </c>
      <c r="M13">
        <f>B4-B12*(B4-B3)</f>
        <v>178</v>
      </c>
    </row>
    <row r="14" spans="1:17" x14ac:dyDescent="0.3">
      <c r="A14" s="2"/>
      <c r="B14" s="2"/>
      <c r="C14" s="2"/>
      <c r="D14" s="2"/>
      <c r="E14" s="2"/>
      <c r="G14" s="7" t="s">
        <v>53</v>
      </c>
      <c r="H14" s="10" t="s">
        <v>63</v>
      </c>
      <c r="I14" s="11">
        <f>I11-I12+I13</f>
        <v>-600</v>
      </c>
      <c r="J14" s="11">
        <f>J11-J12+J13</f>
        <v>-9</v>
      </c>
      <c r="K14" s="11">
        <f>K11-K12+K13</f>
        <v>89</v>
      </c>
      <c r="L14" s="11">
        <f>L11-L12+L13</f>
        <v>329</v>
      </c>
      <c r="M14" s="11">
        <f>M11-M12+M13</f>
        <v>495</v>
      </c>
    </row>
    <row r="15" spans="1:17" x14ac:dyDescent="0.3">
      <c r="A15" s="2"/>
      <c r="B15" s="9" t="s">
        <v>40</v>
      </c>
      <c r="C15" s="9" t="s">
        <v>0</v>
      </c>
      <c r="D15" s="9" t="s">
        <v>1</v>
      </c>
      <c r="E15" s="9" t="s">
        <v>2</v>
      </c>
      <c r="F15" s="9" t="s">
        <v>41</v>
      </c>
    </row>
    <row r="16" spans="1:17" x14ac:dyDescent="0.3">
      <c r="A16" s="7" t="s">
        <v>64</v>
      </c>
      <c r="B16" s="9"/>
      <c r="C16">
        <f>J2*$B$10/360</f>
        <v>35</v>
      </c>
      <c r="D16">
        <f>K2*$B$10/360</f>
        <v>210</v>
      </c>
      <c r="E16">
        <f>L2*$B$10/360</f>
        <v>330</v>
      </c>
      <c r="H16" t="s">
        <v>68</v>
      </c>
      <c r="I16">
        <f>I14</f>
        <v>-600</v>
      </c>
      <c r="J16">
        <f>I16+J14</f>
        <v>-609</v>
      </c>
      <c r="K16">
        <f>J16+K14</f>
        <v>-520</v>
      </c>
      <c r="L16">
        <f>K16+L14</f>
        <v>-191</v>
      </c>
      <c r="M16">
        <f>L16+M14</f>
        <v>304</v>
      </c>
    </row>
    <row r="17" spans="1:16" x14ac:dyDescent="0.3">
      <c r="A17" s="7" t="s">
        <v>65</v>
      </c>
      <c r="B17" s="9"/>
      <c r="C17">
        <f>(J4)*$B$11/360</f>
        <v>8</v>
      </c>
      <c r="D17">
        <f>(K4)*$B$11/360</f>
        <v>14</v>
      </c>
      <c r="E17">
        <f>(L4)*$B$11/360</f>
        <v>13</v>
      </c>
    </row>
    <row r="18" spans="1:16" x14ac:dyDescent="0.3">
      <c r="A18" s="7" t="s">
        <v>66</v>
      </c>
      <c r="C18">
        <f>C16-C17</f>
        <v>27</v>
      </c>
      <c r="D18">
        <f>D16-D17</f>
        <v>196</v>
      </c>
      <c r="E18">
        <f>E16-E17</f>
        <v>317</v>
      </c>
      <c r="H18" t="s">
        <v>69</v>
      </c>
      <c r="I18" s="13">
        <f>3+(-L16/M14)</f>
        <v>3.3858585858585859</v>
      </c>
    </row>
    <row r="19" spans="1:16" x14ac:dyDescent="0.3">
      <c r="A19" s="7" t="s">
        <v>67</v>
      </c>
      <c r="C19">
        <f>C18-B18</f>
        <v>27</v>
      </c>
      <c r="D19">
        <f>D18-C18</f>
        <v>169</v>
      </c>
      <c r="E19">
        <f>E18-D18</f>
        <v>121</v>
      </c>
      <c r="F19">
        <f>F18-E18</f>
        <v>-317</v>
      </c>
      <c r="H19" t="s">
        <v>70</v>
      </c>
      <c r="I19" s="8">
        <f>NPV(B13,J14:M14)+I14</f>
        <v>92.980406103405471</v>
      </c>
      <c r="J19" t="str">
        <f>IF(I19&gt;0,"Efectuable","No efectuable")</f>
        <v>Efectuable</v>
      </c>
    </row>
    <row r="20" spans="1:16" x14ac:dyDescent="0.3">
      <c r="H20" t="s">
        <v>71</v>
      </c>
      <c r="I20" s="12">
        <f>IRR(I14:M14)</f>
        <v>0.12632073627411988</v>
      </c>
      <c r="J20" t="str">
        <f>IF(I20&gt;B13,"Efectuable","No efectuable")</f>
        <v>Efectuable</v>
      </c>
    </row>
    <row r="21" spans="1:16" x14ac:dyDescent="0.3">
      <c r="A21" t="s">
        <v>22</v>
      </c>
    </row>
    <row r="22" spans="1:16" x14ac:dyDescent="0.3">
      <c r="G22" s="31" t="s">
        <v>94</v>
      </c>
      <c r="H22" s="31"/>
      <c r="I22" s="31"/>
      <c r="J22" s="31"/>
      <c r="K22" s="31"/>
      <c r="L22" s="31"/>
      <c r="M22" s="31"/>
      <c r="N22" s="31"/>
      <c r="O22" s="31"/>
      <c r="P22" s="31"/>
    </row>
    <row r="23" spans="1:16" x14ac:dyDescent="0.3">
      <c r="F23">
        <f>I19</f>
        <v>92.980406103405471</v>
      </c>
      <c r="G23">
        <v>2</v>
      </c>
      <c r="H23">
        <v>3</v>
      </c>
      <c r="I23">
        <v>4</v>
      </c>
      <c r="J23">
        <v>5</v>
      </c>
      <c r="K23">
        <v>6</v>
      </c>
      <c r="L23" s="33">
        <v>7</v>
      </c>
      <c r="M23">
        <v>8</v>
      </c>
      <c r="N23">
        <v>9</v>
      </c>
      <c r="O23">
        <v>10</v>
      </c>
      <c r="P23">
        <v>11</v>
      </c>
    </row>
    <row r="24" spans="1:16" ht="14.4" customHeight="1" x14ac:dyDescent="0.3">
      <c r="E24" s="32" t="s">
        <v>95</v>
      </c>
      <c r="F24">
        <v>6</v>
      </c>
      <c r="G24">
        <f t="dataTable" ref="G24:P42" dt2D="1" dtr="1" r1="B6" r2="B7"/>
        <v>52.006469203542679</v>
      </c>
      <c r="H24">
        <v>56.245152331114696</v>
      </c>
      <c r="I24">
        <v>60.483835458686713</v>
      </c>
      <c r="J24">
        <v>64.72251858625873</v>
      </c>
      <c r="K24">
        <v>68.961201713830746</v>
      </c>
      <c r="L24">
        <v>73.199884841402763</v>
      </c>
      <c r="M24">
        <v>77.43856796897478</v>
      </c>
      <c r="N24">
        <v>81.677251096546797</v>
      </c>
      <c r="O24">
        <v>85.915934224118814</v>
      </c>
      <c r="P24">
        <v>90.154617351690831</v>
      </c>
    </row>
    <row r="25" spans="1:16" x14ac:dyDescent="0.3">
      <c r="E25" s="32"/>
      <c r="F25">
        <v>6.5</v>
      </c>
      <c r="G25">
        <v>52.712916391471367</v>
      </c>
      <c r="H25">
        <v>57.304823113007615</v>
      </c>
      <c r="I25">
        <v>61.896729834543976</v>
      </c>
      <c r="J25">
        <v>66.488636556080451</v>
      </c>
      <c r="K25">
        <v>71.080543277616698</v>
      </c>
      <c r="L25">
        <v>75.672449999153173</v>
      </c>
      <c r="M25">
        <v>80.26435672068942</v>
      </c>
      <c r="N25">
        <v>84.856263442225782</v>
      </c>
      <c r="O25">
        <v>89.448170163762143</v>
      </c>
      <c r="P25">
        <v>94.04007688529839</v>
      </c>
    </row>
    <row r="26" spans="1:16" x14ac:dyDescent="0.3">
      <c r="E26" s="32"/>
      <c r="F26">
        <v>7</v>
      </c>
      <c r="G26">
        <v>53.419363579399942</v>
      </c>
      <c r="H26">
        <v>58.364493894900761</v>
      </c>
      <c r="I26">
        <v>63.309624210401353</v>
      </c>
      <c r="J26">
        <v>68.254754525902058</v>
      </c>
      <c r="K26">
        <v>73.199884841402763</v>
      </c>
      <c r="L26">
        <v>78.145015156903355</v>
      </c>
      <c r="M26">
        <v>83.090145472404174</v>
      </c>
      <c r="N26">
        <v>88.035275787904766</v>
      </c>
      <c r="O26">
        <v>92.980406103405471</v>
      </c>
      <c r="P26">
        <v>97.925536418906177</v>
      </c>
    </row>
    <row r="27" spans="1:16" x14ac:dyDescent="0.3">
      <c r="E27" s="32"/>
      <c r="F27">
        <v>7.5</v>
      </c>
      <c r="G27">
        <v>54.125810767328744</v>
      </c>
      <c r="H27">
        <v>59.424164676793794</v>
      </c>
      <c r="I27">
        <v>64.72251858625873</v>
      </c>
      <c r="J27">
        <v>70.020872495723665</v>
      </c>
      <c r="K27">
        <v>75.319226405188715</v>
      </c>
      <c r="L27">
        <v>80.617580314653765</v>
      </c>
      <c r="M27">
        <v>85.915934224118814</v>
      </c>
      <c r="N27">
        <v>91.214288133583864</v>
      </c>
      <c r="O27">
        <v>96.5126420430488</v>
      </c>
      <c r="P27">
        <v>101.81099595251385</v>
      </c>
    </row>
    <row r="28" spans="1:16" x14ac:dyDescent="0.3">
      <c r="E28" s="32"/>
      <c r="F28">
        <v>8</v>
      </c>
      <c r="G28">
        <v>54.832257955257319</v>
      </c>
      <c r="H28">
        <v>60.483835458686713</v>
      </c>
      <c r="I28">
        <v>66.135412962116106</v>
      </c>
      <c r="J28">
        <v>71.786990465545387</v>
      </c>
      <c r="K28">
        <v>77.43856796897478</v>
      </c>
      <c r="L28">
        <v>83.090145472404174</v>
      </c>
      <c r="M28">
        <v>88.741722975833454</v>
      </c>
      <c r="N28">
        <v>94.393300479262848</v>
      </c>
      <c r="O28">
        <v>100.04487798269224</v>
      </c>
      <c r="P28">
        <v>105.69645548612152</v>
      </c>
    </row>
    <row r="29" spans="1:16" x14ac:dyDescent="0.3">
      <c r="E29" s="32"/>
      <c r="F29">
        <v>8.5</v>
      </c>
      <c r="G29">
        <v>55.538705143186007</v>
      </c>
      <c r="H29">
        <v>61.543506240579632</v>
      </c>
      <c r="I29">
        <v>67.54830733797337</v>
      </c>
      <c r="J29">
        <v>73.553108435366994</v>
      </c>
      <c r="K29">
        <v>79.557909532760732</v>
      </c>
      <c r="L29">
        <v>85.562710630154356</v>
      </c>
      <c r="M29">
        <v>91.567511727548208</v>
      </c>
      <c r="N29">
        <v>97.572312824941832</v>
      </c>
      <c r="O29">
        <v>103.57711392233557</v>
      </c>
      <c r="P29">
        <v>109.58191501972919</v>
      </c>
    </row>
    <row r="30" spans="1:16" x14ac:dyDescent="0.3">
      <c r="E30" s="32"/>
      <c r="F30">
        <v>9</v>
      </c>
      <c r="G30">
        <v>56.245152331114696</v>
      </c>
      <c r="H30">
        <v>62.603177022472664</v>
      </c>
      <c r="I30">
        <v>68.961201713830746</v>
      </c>
      <c r="J30">
        <v>75.319226405188715</v>
      </c>
      <c r="K30">
        <v>81.677251096546797</v>
      </c>
      <c r="L30">
        <v>88.035275787904766</v>
      </c>
      <c r="M30">
        <v>94.393300479262848</v>
      </c>
      <c r="N30">
        <v>100.75132517062082</v>
      </c>
      <c r="O30">
        <v>107.1093498619789</v>
      </c>
      <c r="P30">
        <v>113.46737455333687</v>
      </c>
    </row>
    <row r="31" spans="1:16" x14ac:dyDescent="0.3">
      <c r="E31" s="32"/>
      <c r="F31">
        <v>9.5</v>
      </c>
      <c r="G31">
        <v>56.951599519043384</v>
      </c>
      <c r="H31">
        <v>63.662847804365811</v>
      </c>
      <c r="I31">
        <v>70.374096089688123</v>
      </c>
      <c r="J31">
        <v>77.085344375010436</v>
      </c>
      <c r="K31">
        <v>83.796592660332749</v>
      </c>
      <c r="L31">
        <v>90.507840945655062</v>
      </c>
      <c r="M31">
        <v>97.219089230977488</v>
      </c>
      <c r="N31">
        <v>103.93033751629991</v>
      </c>
      <c r="O31">
        <v>110.64158580162223</v>
      </c>
      <c r="P31">
        <v>117.35283408694454</v>
      </c>
    </row>
    <row r="32" spans="1:16" x14ac:dyDescent="0.3">
      <c r="E32" s="32"/>
      <c r="F32" s="33">
        <v>10</v>
      </c>
      <c r="G32">
        <v>57.658046706971959</v>
      </c>
      <c r="H32">
        <v>64.72251858625873</v>
      </c>
      <c r="I32">
        <v>71.786990465545387</v>
      </c>
      <c r="J32">
        <v>78.851462344832157</v>
      </c>
      <c r="K32">
        <v>85.915934224118814</v>
      </c>
      <c r="L32" s="33">
        <v>92.980406103405471</v>
      </c>
      <c r="M32">
        <v>100.04487798269224</v>
      </c>
      <c r="N32">
        <v>107.1093498619789</v>
      </c>
      <c r="O32">
        <v>114.17382174126556</v>
      </c>
      <c r="P32">
        <v>121.23829362055221</v>
      </c>
    </row>
    <row r="33" spans="5:16" x14ac:dyDescent="0.3">
      <c r="E33" s="32"/>
      <c r="F33">
        <v>10.5</v>
      </c>
      <c r="G33">
        <v>58.364493894900761</v>
      </c>
      <c r="H33">
        <v>65.782189368151649</v>
      </c>
      <c r="I33">
        <v>73.199884841402763</v>
      </c>
      <c r="J33">
        <v>80.617580314653765</v>
      </c>
      <c r="K33">
        <v>88.035275787904766</v>
      </c>
      <c r="L33">
        <v>95.452971261155881</v>
      </c>
      <c r="M33">
        <v>102.87066673440688</v>
      </c>
      <c r="N33">
        <v>110.28836220765788</v>
      </c>
      <c r="O33">
        <v>117.70605768090888</v>
      </c>
      <c r="P33">
        <v>125.12375315416</v>
      </c>
    </row>
    <row r="34" spans="5:16" x14ac:dyDescent="0.3">
      <c r="E34" s="32"/>
      <c r="F34">
        <v>11</v>
      </c>
      <c r="G34">
        <v>59.070941082829336</v>
      </c>
      <c r="H34">
        <v>66.841860150044795</v>
      </c>
      <c r="I34">
        <v>74.61277921726014</v>
      </c>
      <c r="J34">
        <v>82.383698284475372</v>
      </c>
      <c r="K34">
        <v>90.154617351690831</v>
      </c>
      <c r="L34">
        <v>97.925536418906177</v>
      </c>
      <c r="M34">
        <v>105.69645548612152</v>
      </c>
      <c r="N34">
        <v>113.46737455333687</v>
      </c>
      <c r="O34">
        <v>121.23829362055221</v>
      </c>
      <c r="P34">
        <v>129.00921268776756</v>
      </c>
    </row>
    <row r="35" spans="5:16" x14ac:dyDescent="0.3">
      <c r="E35" s="32"/>
      <c r="F35">
        <v>11.5</v>
      </c>
      <c r="G35">
        <v>59.777388270758024</v>
      </c>
      <c r="H35">
        <v>67.901530931937714</v>
      </c>
      <c r="I35">
        <v>76.025673593117403</v>
      </c>
      <c r="J35">
        <v>84.149816254297207</v>
      </c>
      <c r="K35">
        <v>92.273958915476783</v>
      </c>
      <c r="L35">
        <v>100.39810157665659</v>
      </c>
      <c r="M35">
        <v>108.52224423783616</v>
      </c>
      <c r="N35">
        <v>116.64638689901597</v>
      </c>
      <c r="O35">
        <v>124.77052956019565</v>
      </c>
      <c r="P35">
        <v>132.89467222137534</v>
      </c>
    </row>
    <row r="36" spans="5:16" x14ac:dyDescent="0.3">
      <c r="E36" s="32"/>
      <c r="F36">
        <v>12</v>
      </c>
      <c r="G36">
        <v>60.483835458686713</v>
      </c>
      <c r="H36">
        <v>68.961201713830746</v>
      </c>
      <c r="I36">
        <v>77.43856796897478</v>
      </c>
      <c r="J36">
        <v>85.915934224118814</v>
      </c>
      <c r="K36">
        <v>94.393300479262848</v>
      </c>
      <c r="L36">
        <v>102.87066673440688</v>
      </c>
      <c r="M36">
        <v>111.34803298955103</v>
      </c>
      <c r="N36">
        <v>119.82539924469495</v>
      </c>
      <c r="O36">
        <v>128.30276549983898</v>
      </c>
      <c r="P36">
        <v>136.78013175498302</v>
      </c>
    </row>
    <row r="37" spans="5:16" x14ac:dyDescent="0.3">
      <c r="E37" s="32"/>
      <c r="F37">
        <v>12.5</v>
      </c>
      <c r="G37">
        <v>61.190282646615401</v>
      </c>
      <c r="H37">
        <v>70.020872495723665</v>
      </c>
      <c r="I37">
        <v>78.851462344832157</v>
      </c>
      <c r="J37">
        <v>87.682052193940535</v>
      </c>
      <c r="K37">
        <v>96.5126420430488</v>
      </c>
      <c r="L37">
        <v>105.34323189215718</v>
      </c>
      <c r="M37">
        <v>114.17382174126556</v>
      </c>
      <c r="N37">
        <v>123.00441159037382</v>
      </c>
      <c r="O37">
        <v>131.83500143948243</v>
      </c>
      <c r="P37">
        <v>140.66559128859069</v>
      </c>
    </row>
    <row r="38" spans="5:16" x14ac:dyDescent="0.3">
      <c r="E38" s="32"/>
      <c r="F38">
        <v>13</v>
      </c>
      <c r="G38">
        <v>61.896729834543976</v>
      </c>
      <c r="H38">
        <v>71.080543277616698</v>
      </c>
      <c r="I38">
        <v>80.26435672068942</v>
      </c>
      <c r="J38">
        <v>89.448170163762143</v>
      </c>
      <c r="K38">
        <v>98.631983606834865</v>
      </c>
      <c r="L38">
        <v>107.81579704990759</v>
      </c>
      <c r="M38">
        <v>116.9996104929802</v>
      </c>
      <c r="N38">
        <v>126.18342393605292</v>
      </c>
      <c r="O38">
        <v>135.36723737912564</v>
      </c>
      <c r="P38">
        <v>144.55105082219836</v>
      </c>
    </row>
    <row r="39" spans="5:16" x14ac:dyDescent="0.3">
      <c r="E39" s="32"/>
      <c r="F39">
        <v>13.5</v>
      </c>
      <c r="G39">
        <v>62.603177022472664</v>
      </c>
      <c r="H39">
        <v>72.140214059509731</v>
      </c>
      <c r="I39">
        <v>81.677251096546797</v>
      </c>
      <c r="J39">
        <v>91.214288133583864</v>
      </c>
      <c r="K39">
        <v>100.75132517062082</v>
      </c>
      <c r="L39">
        <v>110.28836220765788</v>
      </c>
      <c r="M39">
        <v>119.82539924469495</v>
      </c>
      <c r="N39">
        <v>129.36243628173202</v>
      </c>
      <c r="O39">
        <v>138.89947331876897</v>
      </c>
      <c r="P39">
        <v>148.43651035580604</v>
      </c>
    </row>
    <row r="40" spans="5:16" x14ac:dyDescent="0.3">
      <c r="E40" s="32"/>
      <c r="F40">
        <v>14</v>
      </c>
      <c r="G40">
        <v>63.309624210401353</v>
      </c>
      <c r="H40">
        <v>73.199884841402763</v>
      </c>
      <c r="I40">
        <v>83.090145472404174</v>
      </c>
      <c r="J40">
        <v>92.980406103405471</v>
      </c>
      <c r="K40">
        <v>102.87066673440688</v>
      </c>
      <c r="L40">
        <v>112.76092736540818</v>
      </c>
      <c r="M40">
        <v>122.65118799640959</v>
      </c>
      <c r="N40">
        <v>132.541448627411</v>
      </c>
      <c r="O40">
        <v>142.4317092584123</v>
      </c>
      <c r="P40">
        <v>152.32196988941382</v>
      </c>
    </row>
    <row r="41" spans="5:16" x14ac:dyDescent="0.3">
      <c r="E41" s="32"/>
      <c r="F41">
        <v>14.5</v>
      </c>
      <c r="G41">
        <v>64.016071398330041</v>
      </c>
      <c r="H41">
        <v>74.259555623295682</v>
      </c>
      <c r="I41">
        <v>84.503039848261437</v>
      </c>
      <c r="J41">
        <v>94.746524073227192</v>
      </c>
      <c r="K41">
        <v>104.99000829819283</v>
      </c>
      <c r="L41">
        <v>115.23349252315859</v>
      </c>
      <c r="M41">
        <v>125.47697674812423</v>
      </c>
      <c r="N41">
        <v>135.72046097308998</v>
      </c>
      <c r="O41">
        <v>145.96394519805563</v>
      </c>
      <c r="P41">
        <v>156.20742942302138</v>
      </c>
    </row>
    <row r="42" spans="5:16" x14ac:dyDescent="0.3">
      <c r="E42" s="32"/>
      <c r="F42">
        <v>15</v>
      </c>
      <c r="G42">
        <v>64.72251858625873</v>
      </c>
      <c r="H42">
        <v>75.319226405188715</v>
      </c>
      <c r="I42">
        <v>85.915934224118814</v>
      </c>
      <c r="J42">
        <v>96.5126420430488</v>
      </c>
      <c r="K42">
        <v>107.1093498619789</v>
      </c>
      <c r="L42">
        <v>117.70605768090888</v>
      </c>
      <c r="M42">
        <v>128.30276549983898</v>
      </c>
      <c r="N42">
        <v>138.89947331876897</v>
      </c>
      <c r="O42">
        <v>149.49618113769907</v>
      </c>
      <c r="P42">
        <v>160.09288895662905</v>
      </c>
    </row>
  </sheetData>
  <mergeCells count="2">
    <mergeCell ref="G22:P22"/>
    <mergeCell ref="E24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Enunciado</vt:lpstr>
      <vt:lpstr>Scenario Summary</vt:lpstr>
      <vt:lpstr>Mas probable</vt:lpstr>
      <vt:lpstr>Nueva creación</vt:lpstr>
      <vt:lpstr>AS1</vt:lpstr>
      <vt:lpstr>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ARCO JUAN</dc:creator>
  <cp:lastModifiedBy>Pablo Corzo Corella</cp:lastModifiedBy>
  <dcterms:created xsi:type="dcterms:W3CDTF">2022-05-10T16:46:09Z</dcterms:created>
  <dcterms:modified xsi:type="dcterms:W3CDTF">2025-05-20T17:57:47Z</dcterms:modified>
</cp:coreProperties>
</file>