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Barral Pablo\Documents\Pablo Barral\02 - TRABAJOS\10 - 0967 - BIOTERIO\02 - DOCUMENTACIÓN\03 - BALANCE TÉRMICO\FINAL\"/>
    </mc:Choice>
  </mc:AlternateContent>
  <xr:revisionPtr revIDLastSave="0" documentId="13_ncr:1_{418AFA8A-5EDD-44BF-8D91-B5082C204B3F}" xr6:coauthVersionLast="47" xr6:coauthVersionMax="47" xr10:uidLastSave="{00000000-0000-0000-0000-000000000000}"/>
  <bookViews>
    <workbookView xWindow="-120" yWindow="-120" windowWidth="20730" windowHeight="11160" tabRatio="676" firstSheet="1" activeTab="1" xr2:uid="{0D6F317B-FCCF-410F-A385-6F1AE6E7E774}"/>
  </bookViews>
  <sheets>
    <sheet name="Locales" sheetId="3" r:id="rId1"/>
    <sheet name="Infiltración" sheetId="4" r:id="rId2"/>
    <sheet name="Resumen Infiltración" sheetId="7" r:id="rId3"/>
    <sheet name="Aberturas" sheetId="6" r:id="rId4"/>
    <sheet name="CDI-CDE" sheetId="5" r:id="rId5"/>
  </sheets>
  <externalReferences>
    <externalReference r:id="rId6"/>
  </externalReferenc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6" l="1"/>
  <c r="L5" i="6"/>
  <c r="L6" i="6"/>
  <c r="L7" i="6"/>
  <c r="L8" i="6"/>
  <c r="L9" i="6"/>
  <c r="L10" i="6"/>
  <c r="L11" i="6"/>
  <c r="L12" i="6"/>
  <c r="L13" i="6"/>
  <c r="L14" i="6"/>
  <c r="L15" i="6"/>
  <c r="L16" i="6"/>
  <c r="L17" i="6"/>
  <c r="L18" i="6"/>
  <c r="L19" i="6"/>
  <c r="L30" i="4" s="1"/>
  <c r="L20" i="6"/>
  <c r="L21" i="6"/>
  <c r="L22" i="6"/>
  <c r="L23" i="6"/>
  <c r="L41" i="4" s="1"/>
  <c r="L24" i="6"/>
  <c r="L25" i="6"/>
  <c r="L26" i="6"/>
  <c r="L27" i="6"/>
  <c r="L52" i="4" s="1"/>
  <c r="L28" i="6"/>
  <c r="L29" i="6"/>
  <c r="L30" i="6"/>
  <c r="L31" i="6"/>
  <c r="L3" i="6"/>
  <c r="L46" i="4"/>
  <c r="L28" i="4"/>
  <c r="L51" i="4"/>
  <c r="N54" i="4"/>
  <c r="L54" i="4"/>
  <c r="I54" i="4"/>
  <c r="H54" i="4"/>
  <c r="F54" i="4"/>
  <c r="E54" i="4"/>
  <c r="D54" i="4"/>
  <c r="B54" i="4"/>
  <c r="N53" i="4"/>
  <c r="I53" i="4"/>
  <c r="H53" i="4"/>
  <c r="F53" i="4"/>
  <c r="E53" i="4"/>
  <c r="G53" i="4" s="1"/>
  <c r="D53" i="4"/>
  <c r="B53" i="4"/>
  <c r="N52" i="4"/>
  <c r="I52" i="4"/>
  <c r="H52" i="4"/>
  <c r="F52" i="4"/>
  <c r="E52" i="4"/>
  <c r="D52" i="4"/>
  <c r="B52" i="4"/>
  <c r="N51" i="4"/>
  <c r="I51" i="4"/>
  <c r="H51" i="4"/>
  <c r="F51" i="4"/>
  <c r="E51" i="4"/>
  <c r="D51" i="4"/>
  <c r="B51" i="4"/>
  <c r="N50" i="4"/>
  <c r="I50" i="4"/>
  <c r="H50" i="4"/>
  <c r="F50" i="4"/>
  <c r="E50" i="4"/>
  <c r="D50" i="4"/>
  <c r="B50" i="4"/>
  <c r="N49" i="4"/>
  <c r="L49" i="4"/>
  <c r="I49" i="4"/>
  <c r="H49" i="4"/>
  <c r="F49" i="4"/>
  <c r="E49" i="4"/>
  <c r="D49" i="4"/>
  <c r="B49" i="4"/>
  <c r="N48" i="4"/>
  <c r="L48" i="4"/>
  <c r="I48" i="4"/>
  <c r="H48" i="4"/>
  <c r="F48" i="4"/>
  <c r="E48" i="4"/>
  <c r="D48" i="4"/>
  <c r="B48" i="4"/>
  <c r="N47" i="4"/>
  <c r="L47" i="4"/>
  <c r="I47" i="4"/>
  <c r="H47" i="4"/>
  <c r="F47" i="4"/>
  <c r="E47" i="4"/>
  <c r="D47" i="4"/>
  <c r="B47" i="4"/>
  <c r="N46" i="4"/>
  <c r="I46" i="4"/>
  <c r="H46" i="4"/>
  <c r="F46" i="4"/>
  <c r="E46" i="4"/>
  <c r="D46" i="4"/>
  <c r="B46" i="4"/>
  <c r="N45" i="4"/>
  <c r="I45" i="4"/>
  <c r="H45" i="4"/>
  <c r="F45" i="4"/>
  <c r="E45" i="4"/>
  <c r="G45" i="4" s="1"/>
  <c r="D45" i="4"/>
  <c r="B45" i="4"/>
  <c r="N44" i="4"/>
  <c r="L44" i="4"/>
  <c r="I44" i="4"/>
  <c r="H44" i="4"/>
  <c r="F44" i="4"/>
  <c r="E44" i="4"/>
  <c r="D44" i="4"/>
  <c r="B44" i="4"/>
  <c r="N43" i="4"/>
  <c r="L43" i="4"/>
  <c r="I43" i="4"/>
  <c r="H43" i="4"/>
  <c r="F43" i="4"/>
  <c r="E43" i="4"/>
  <c r="D43" i="4"/>
  <c r="B43" i="4"/>
  <c r="N42" i="4"/>
  <c r="I42" i="4"/>
  <c r="H42" i="4"/>
  <c r="F42" i="4"/>
  <c r="E42" i="4"/>
  <c r="D42" i="4"/>
  <c r="B42" i="4"/>
  <c r="N41" i="4"/>
  <c r="I41" i="4"/>
  <c r="H41" i="4"/>
  <c r="F41" i="4"/>
  <c r="E41" i="4"/>
  <c r="D41" i="4"/>
  <c r="B41" i="4"/>
  <c r="N40" i="4"/>
  <c r="I40" i="4"/>
  <c r="H40" i="4"/>
  <c r="F40" i="4"/>
  <c r="E40" i="4"/>
  <c r="D40" i="4"/>
  <c r="B40" i="4"/>
  <c r="N39" i="4"/>
  <c r="L39" i="4"/>
  <c r="I39" i="4"/>
  <c r="H39" i="4"/>
  <c r="F39" i="4"/>
  <c r="E39" i="4"/>
  <c r="D39" i="4"/>
  <c r="B39" i="4"/>
  <c r="N38" i="4"/>
  <c r="I38" i="4"/>
  <c r="H38" i="4"/>
  <c r="F38" i="4"/>
  <c r="E38" i="4"/>
  <c r="D38" i="4"/>
  <c r="B38" i="4"/>
  <c r="N37" i="4"/>
  <c r="L37" i="4"/>
  <c r="I37" i="4"/>
  <c r="H37" i="4"/>
  <c r="F37" i="4"/>
  <c r="E37" i="4"/>
  <c r="D37" i="4"/>
  <c r="B37" i="4"/>
  <c r="N36" i="4"/>
  <c r="L36" i="4"/>
  <c r="I36" i="4"/>
  <c r="H36" i="4"/>
  <c r="F36" i="4"/>
  <c r="E36" i="4"/>
  <c r="G36" i="4" s="1"/>
  <c r="D36" i="4"/>
  <c r="B36" i="4"/>
  <c r="N35" i="4"/>
  <c r="L35" i="4"/>
  <c r="I35" i="4"/>
  <c r="H35" i="4"/>
  <c r="F35" i="4"/>
  <c r="E35" i="4"/>
  <c r="G35" i="4" s="1"/>
  <c r="D35" i="4"/>
  <c r="B35" i="4"/>
  <c r="N34" i="4"/>
  <c r="L34" i="4"/>
  <c r="I34" i="4"/>
  <c r="H34" i="4"/>
  <c r="F34" i="4"/>
  <c r="E34" i="4"/>
  <c r="D34" i="4"/>
  <c r="B34" i="4"/>
  <c r="N33" i="4"/>
  <c r="L33" i="4"/>
  <c r="I33" i="4"/>
  <c r="H33" i="4"/>
  <c r="F33" i="4"/>
  <c r="E33" i="4"/>
  <c r="D33" i="4"/>
  <c r="B33" i="4"/>
  <c r="N32" i="4"/>
  <c r="L32" i="4"/>
  <c r="I32" i="4"/>
  <c r="H32" i="4"/>
  <c r="F32" i="4"/>
  <c r="E32" i="4"/>
  <c r="D32" i="4"/>
  <c r="B32" i="4"/>
  <c r="N31" i="4"/>
  <c r="L31" i="4"/>
  <c r="I31" i="4"/>
  <c r="H31" i="4"/>
  <c r="F31" i="4"/>
  <c r="E31" i="4"/>
  <c r="D31" i="4"/>
  <c r="B31" i="4"/>
  <c r="N30" i="4"/>
  <c r="I30" i="4"/>
  <c r="H30" i="4"/>
  <c r="F30" i="4"/>
  <c r="E30" i="4"/>
  <c r="D30" i="4"/>
  <c r="B30" i="4"/>
  <c r="N29" i="4"/>
  <c r="I29" i="4"/>
  <c r="H29" i="4"/>
  <c r="F29" i="4"/>
  <c r="E29" i="4"/>
  <c r="D29" i="4"/>
  <c r="B29" i="4"/>
  <c r="N28" i="4"/>
  <c r="I28" i="4"/>
  <c r="H28" i="4"/>
  <c r="F28" i="4"/>
  <c r="E28" i="4"/>
  <c r="D28" i="4"/>
  <c r="B28" i="4"/>
  <c r="D27" i="7"/>
  <c r="D29" i="7"/>
  <c r="D31" i="7"/>
  <c r="C40" i="7"/>
  <c r="C42" i="7"/>
  <c r="C46" i="7"/>
  <c r="B26" i="7"/>
  <c r="B27" i="7"/>
  <c r="B28" i="7"/>
  <c r="B29" i="7"/>
  <c r="B30" i="7"/>
  <c r="B31" i="7"/>
  <c r="B32" i="7"/>
  <c r="B33" i="7"/>
  <c r="B34" i="7"/>
  <c r="B35" i="7"/>
  <c r="B36" i="7"/>
  <c r="B37" i="7"/>
  <c r="B38" i="7"/>
  <c r="B39" i="7"/>
  <c r="B40" i="7"/>
  <c r="B41" i="7"/>
  <c r="B42" i="7"/>
  <c r="B43" i="7"/>
  <c r="B44" i="7"/>
  <c r="B45" i="7"/>
  <c r="B46" i="7"/>
  <c r="B47" i="7"/>
  <c r="A41" i="7"/>
  <c r="C41" i="7" s="1"/>
  <c r="A42" i="7"/>
  <c r="D42" i="7" s="1"/>
  <c r="A43" i="7"/>
  <c r="C43" i="7" s="1"/>
  <c r="A44" i="7"/>
  <c r="D44" i="7" s="1"/>
  <c r="A45" i="7"/>
  <c r="A46" i="7"/>
  <c r="D46" i="7" s="1"/>
  <c r="A47" i="7"/>
  <c r="C47" i="7" s="1"/>
  <c r="A30" i="7"/>
  <c r="A31" i="7"/>
  <c r="A32" i="7"/>
  <c r="A33" i="7"/>
  <c r="A34" i="7"/>
  <c r="A35" i="7"/>
  <c r="C35" i="7" s="1"/>
  <c r="A36" i="7"/>
  <c r="D36" i="7" s="1"/>
  <c r="A37" i="7"/>
  <c r="A38" i="7"/>
  <c r="D38" i="7" s="1"/>
  <c r="A39" i="7"/>
  <c r="C39" i="7" s="1"/>
  <c r="A40" i="7"/>
  <c r="D40" i="7" s="1"/>
  <c r="A26" i="7"/>
  <c r="C26" i="7" s="1"/>
  <c r="A27" i="7"/>
  <c r="C27" i="7" s="1"/>
  <c r="A28" i="7"/>
  <c r="C28" i="7" s="1"/>
  <c r="A29" i="7"/>
  <c r="C29" i="7" s="1"/>
  <c r="E14" i="3"/>
  <c r="E22" i="3"/>
  <c r="E13" i="3"/>
  <c r="E12" i="3"/>
  <c r="E11" i="3"/>
  <c r="E10" i="3"/>
  <c r="E9" i="3"/>
  <c r="E8" i="3"/>
  <c r="E7" i="3"/>
  <c r="E6" i="3"/>
  <c r="E5" i="3"/>
  <c r="E4" i="3"/>
  <c r="E3" i="3"/>
  <c r="E25" i="3"/>
  <c r="E24" i="3"/>
  <c r="E23" i="3"/>
  <c r="E21" i="3"/>
  <c r="E20" i="3"/>
  <c r="E19" i="3"/>
  <c r="E18" i="3"/>
  <c r="E16" i="3"/>
  <c r="E15" i="3"/>
  <c r="P22" i="4"/>
  <c r="P21" i="4"/>
  <c r="C44" i="7" s="1"/>
  <c r="O44" i="4" l="1"/>
  <c r="O52" i="4"/>
  <c r="O30" i="4"/>
  <c r="L29" i="4"/>
  <c r="O36" i="4"/>
  <c r="L53" i="4"/>
  <c r="O53" i="4" s="1"/>
  <c r="O46" i="4"/>
  <c r="L38" i="4"/>
  <c r="L40" i="4"/>
  <c r="L42" i="4"/>
  <c r="O42" i="4" s="1"/>
  <c r="L45" i="4"/>
  <c r="O45" i="4" s="1"/>
  <c r="L50" i="4"/>
  <c r="O50" i="4" s="1"/>
  <c r="O49" i="4"/>
  <c r="G54" i="4"/>
  <c r="O54" i="4"/>
  <c r="O47" i="4"/>
  <c r="O41" i="4"/>
  <c r="O38" i="4"/>
  <c r="O34" i="4"/>
  <c r="O33" i="4"/>
  <c r="O31" i="4"/>
  <c r="O35" i="4"/>
  <c r="O37" i="4"/>
  <c r="O40" i="4"/>
  <c r="O51" i="4"/>
  <c r="C45" i="7"/>
  <c r="O39" i="4"/>
  <c r="O29" i="4"/>
  <c r="O32" i="4"/>
  <c r="O43" i="4"/>
  <c r="O48" i="4"/>
  <c r="G52" i="4"/>
  <c r="G51" i="4"/>
  <c r="G49" i="4"/>
  <c r="G48" i="4"/>
  <c r="G47" i="4"/>
  <c r="G46" i="4"/>
  <c r="G44" i="4"/>
  <c r="G43" i="4"/>
  <c r="G41" i="4"/>
  <c r="G40" i="4"/>
  <c r="G39" i="4"/>
  <c r="G38" i="4"/>
  <c r="G37" i="4"/>
  <c r="G33" i="4"/>
  <c r="G32" i="4"/>
  <c r="G31" i="4"/>
  <c r="G30" i="4"/>
  <c r="G29" i="4"/>
  <c r="D47" i="7"/>
  <c r="D45" i="7"/>
  <c r="D43" i="7"/>
  <c r="D41" i="7"/>
  <c r="D39" i="7"/>
  <c r="D37" i="7"/>
  <c r="D35" i="7"/>
  <c r="D28" i="7"/>
  <c r="D26" i="7"/>
  <c r="G34" i="4"/>
  <c r="G42" i="4"/>
  <c r="G50" i="4"/>
  <c r="O28" i="4"/>
  <c r="G28" i="4"/>
  <c r="N12" i="4"/>
  <c r="L12" i="4"/>
  <c r="I12" i="4"/>
  <c r="H12" i="4"/>
  <c r="F12" i="4"/>
  <c r="E12" i="4"/>
  <c r="D12" i="4"/>
  <c r="B12" i="4"/>
  <c r="I3" i="4"/>
  <c r="I4" i="4"/>
  <c r="I5" i="4"/>
  <c r="I6" i="4"/>
  <c r="I7" i="4"/>
  <c r="I8" i="4"/>
  <c r="I9" i="4"/>
  <c r="I10" i="4"/>
  <c r="I11" i="4"/>
  <c r="I13" i="4"/>
  <c r="I14" i="4"/>
  <c r="I15" i="4"/>
  <c r="I16" i="4"/>
  <c r="I17" i="4"/>
  <c r="I18" i="4"/>
  <c r="I19" i="4"/>
  <c r="I20" i="4"/>
  <c r="I21" i="4"/>
  <c r="I22" i="4"/>
  <c r="I2" i="4"/>
  <c r="O12" i="4" l="1"/>
  <c r="G12" i="4"/>
  <c r="N4" i="4" l="1"/>
  <c r="L4" i="4"/>
  <c r="O4" i="4" s="1"/>
  <c r="H4" i="4"/>
  <c r="F4" i="4"/>
  <c r="E4" i="4"/>
  <c r="D4" i="4"/>
  <c r="B4" i="4"/>
  <c r="N3" i="4"/>
  <c r="L3" i="4"/>
  <c r="H3" i="4"/>
  <c r="F3" i="4"/>
  <c r="E3" i="4"/>
  <c r="D3" i="4"/>
  <c r="B3" i="4"/>
  <c r="N2" i="4"/>
  <c r="L2" i="4"/>
  <c r="H2" i="4"/>
  <c r="F2" i="4"/>
  <c r="E2" i="4"/>
  <c r="D2" i="4"/>
  <c r="B2" i="4"/>
  <c r="B6" i="5" a="1"/>
  <c r="B6" i="5" l="1"/>
  <c r="G4" i="4"/>
  <c r="O2" i="4"/>
  <c r="O3" i="4"/>
  <c r="G3" i="4"/>
  <c r="G2" i="4"/>
  <c r="J12" i="4" a="1"/>
  <c r="J12" i="4" l="1"/>
  <c r="N5" i="4"/>
  <c r="N6" i="4"/>
  <c r="N7" i="4"/>
  <c r="N8" i="4"/>
  <c r="N9" i="4"/>
  <c r="N10" i="4"/>
  <c r="N11" i="4"/>
  <c r="N13" i="4"/>
  <c r="N14" i="4"/>
  <c r="N15" i="4"/>
  <c r="N16" i="4"/>
  <c r="N17" i="4"/>
  <c r="N18" i="4"/>
  <c r="N19" i="4"/>
  <c r="N20" i="4"/>
  <c r="N21" i="4"/>
  <c r="N22" i="4"/>
  <c r="L5" i="4"/>
  <c r="L6" i="4"/>
  <c r="L7" i="4"/>
  <c r="L8" i="4"/>
  <c r="L9" i="4"/>
  <c r="L10" i="4"/>
  <c r="L11" i="4"/>
  <c r="L13" i="4"/>
  <c r="L14" i="4"/>
  <c r="L15" i="4"/>
  <c r="L16" i="4"/>
  <c r="L17" i="4"/>
  <c r="L18" i="4"/>
  <c r="L19" i="4"/>
  <c r="L20" i="4"/>
  <c r="L21" i="4"/>
  <c r="L22" i="4"/>
  <c r="B3" i="6"/>
  <c r="H11" i="4"/>
  <c r="F11" i="4"/>
  <c r="E11" i="4"/>
  <c r="D11" i="4"/>
  <c r="B11" i="4"/>
  <c r="H10" i="4"/>
  <c r="F10" i="4"/>
  <c r="E10" i="4"/>
  <c r="D10" i="4"/>
  <c r="B10" i="4"/>
  <c r="H9" i="4"/>
  <c r="F9" i="4"/>
  <c r="E9" i="4"/>
  <c r="D9" i="4"/>
  <c r="B9" i="4"/>
  <c r="H8" i="4"/>
  <c r="F8" i="4"/>
  <c r="E8" i="4"/>
  <c r="D8" i="4"/>
  <c r="B8" i="4"/>
  <c r="H7" i="4"/>
  <c r="F7" i="4"/>
  <c r="E7" i="4"/>
  <c r="D7" i="4"/>
  <c r="B7" i="4"/>
  <c r="H13" i="4"/>
  <c r="F13" i="4"/>
  <c r="E13" i="4"/>
  <c r="D13" i="4"/>
  <c r="B13" i="4"/>
  <c r="H20" i="4"/>
  <c r="F20" i="4"/>
  <c r="E20" i="4"/>
  <c r="D20" i="4"/>
  <c r="B20" i="4"/>
  <c r="H19" i="4"/>
  <c r="F19" i="4"/>
  <c r="E19" i="4"/>
  <c r="D19" i="4"/>
  <c r="B19" i="4"/>
  <c r="H17" i="4"/>
  <c r="F17" i="4"/>
  <c r="E17" i="4"/>
  <c r="D17" i="4"/>
  <c r="B17" i="4"/>
  <c r="H18" i="4"/>
  <c r="F18" i="4"/>
  <c r="E18" i="4"/>
  <c r="D18" i="4"/>
  <c r="B18" i="4"/>
  <c r="H16" i="4"/>
  <c r="F16" i="4"/>
  <c r="E16" i="4"/>
  <c r="D16" i="4"/>
  <c r="B16" i="4"/>
  <c r="H15" i="4"/>
  <c r="F15" i="4"/>
  <c r="E15" i="4"/>
  <c r="D15" i="4"/>
  <c r="B15" i="4"/>
  <c r="H14" i="4"/>
  <c r="F14" i="4"/>
  <c r="E14" i="4"/>
  <c r="D14" i="4"/>
  <c r="B14" i="4"/>
  <c r="H22" i="4"/>
  <c r="F22" i="4"/>
  <c r="E22" i="4"/>
  <c r="D22" i="4"/>
  <c r="B22" i="4"/>
  <c r="H21" i="4"/>
  <c r="F21" i="4"/>
  <c r="E21" i="4"/>
  <c r="D21" i="4"/>
  <c r="B21" i="4"/>
  <c r="H6" i="4"/>
  <c r="F6" i="4"/>
  <c r="E6" i="4"/>
  <c r="D6" i="4"/>
  <c r="B6" i="4"/>
  <c r="H5" i="4"/>
  <c r="F5" i="4"/>
  <c r="E5" i="4"/>
  <c r="D5" i="4"/>
  <c r="B5" i="4"/>
  <c r="E2" i="3"/>
  <c r="A25" i="7"/>
  <c r="B25" i="7"/>
  <c r="A21" i="7"/>
  <c r="B21" i="7"/>
  <c r="A22" i="7"/>
  <c r="B22" i="7"/>
  <c r="A23" i="7"/>
  <c r="B23" i="7"/>
  <c r="A24" i="7"/>
  <c r="C24" i="7" s="1"/>
  <c r="B24" i="7"/>
  <c r="A2" i="7"/>
  <c r="D2" i="7" s="1"/>
  <c r="B2" i="7"/>
  <c r="A3" i="7"/>
  <c r="B3" i="7"/>
  <c r="A4" i="7"/>
  <c r="D4" i="7" s="1"/>
  <c r="B4" i="7"/>
  <c r="A5" i="7"/>
  <c r="C5" i="7" s="1"/>
  <c r="B5" i="7"/>
  <c r="A6" i="7"/>
  <c r="B6" i="7"/>
  <c r="A7" i="7"/>
  <c r="B7" i="7"/>
  <c r="A8" i="7"/>
  <c r="B8" i="7"/>
  <c r="A9" i="7"/>
  <c r="B9" i="7"/>
  <c r="A10" i="7"/>
  <c r="B10" i="7"/>
  <c r="A11" i="7"/>
  <c r="B11" i="7"/>
  <c r="A12" i="7"/>
  <c r="D12" i="7" s="1"/>
  <c r="B12" i="7"/>
  <c r="A13" i="7"/>
  <c r="B13" i="7"/>
  <c r="A14" i="7"/>
  <c r="B14" i="7"/>
  <c r="A15" i="7"/>
  <c r="B15" i="7"/>
  <c r="A16" i="7"/>
  <c r="D16" i="7" s="1"/>
  <c r="B16" i="7"/>
  <c r="A17" i="7"/>
  <c r="B17" i="7"/>
  <c r="A18" i="7"/>
  <c r="C18" i="7" s="1"/>
  <c r="B18" i="7"/>
  <c r="A19" i="7"/>
  <c r="C19" i="7" s="1"/>
  <c r="B19" i="7"/>
  <c r="A20" i="7"/>
  <c r="C20" i="7" s="1"/>
  <c r="B20" i="7"/>
  <c r="E3" i="6"/>
  <c r="D3" i="6"/>
  <c r="J41" i="4" a="1"/>
  <c r="B9" i="5" a="1"/>
  <c r="B14" i="5" a="1"/>
  <c r="J19" i="4" a="1"/>
  <c r="J54" i="4" a="1"/>
  <c r="J13" i="4" a="1"/>
  <c r="J32" i="4" a="1"/>
  <c r="J53" i="4" a="1"/>
  <c r="J46" i="4" a="1"/>
  <c r="J31" i="4" a="1"/>
  <c r="J14" i="4" a="1"/>
  <c r="J50" i="4" a="1"/>
  <c r="J16" i="4" a="1"/>
  <c r="J20" i="4" a="1"/>
  <c r="J8" i="4" a="1"/>
  <c r="J21" i="4" a="1"/>
  <c r="J40" i="4" a="1"/>
  <c r="J34" i="4" a="1"/>
  <c r="J49" i="4" a="1"/>
  <c r="B15" i="5" a="1"/>
  <c r="J44" i="4" a="1"/>
  <c r="J39" i="4" a="1"/>
  <c r="J45" i="4" a="1"/>
  <c r="J43" i="4" a="1"/>
  <c r="J38" i="4" a="1"/>
  <c r="J52" i="4" a="1"/>
  <c r="J7" i="4" a="1"/>
  <c r="J48" i="4" a="1"/>
  <c r="J9" i="4" a="1"/>
  <c r="J3" i="4" a="1"/>
  <c r="J11" i="4" a="1"/>
  <c r="J4" i="4" a="1"/>
  <c r="J2" i="4" a="1"/>
  <c r="J47" i="4" a="1"/>
  <c r="J15" i="4" a="1"/>
  <c r="J18" i="4" a="1"/>
  <c r="J5" i="4" a="1"/>
  <c r="B10" i="5" a="1"/>
  <c r="J37" i="4" a="1"/>
  <c r="J10" i="4" a="1"/>
  <c r="J22" i="4" a="1"/>
  <c r="J51" i="4" a="1"/>
  <c r="J17" i="4" a="1"/>
  <c r="J28" i="4" a="1"/>
  <c r="J29" i="4" a="1"/>
  <c r="J35" i="4" a="1"/>
  <c r="J33" i="4" a="1"/>
  <c r="J36" i="4" a="1"/>
  <c r="J6" i="4" a="1"/>
  <c r="J30" i="4" a="1"/>
  <c r="J42" i="4" a="1"/>
  <c r="J51" i="4" l="1"/>
  <c r="P51" i="4" s="1"/>
  <c r="J37" i="4"/>
  <c r="P37" i="4" s="1"/>
  <c r="J54" i="4"/>
  <c r="P54" i="4" s="1"/>
  <c r="J29" i="4"/>
  <c r="J39" i="4"/>
  <c r="P39" i="4" s="1"/>
  <c r="J49" i="4"/>
  <c r="J36" i="4"/>
  <c r="J38" i="4"/>
  <c r="P38" i="4" s="1"/>
  <c r="D13" i="7" s="1"/>
  <c r="J46" i="4"/>
  <c r="P46" i="4" s="1"/>
  <c r="J30" i="4"/>
  <c r="P30" i="4" s="1"/>
  <c r="J48" i="4"/>
  <c r="P48" i="4" s="1"/>
  <c r="J50" i="4"/>
  <c r="P50" i="4" s="1"/>
  <c r="J47" i="4"/>
  <c r="P47" i="4" s="1"/>
  <c r="J28" i="4"/>
  <c r="P28" i="4" s="1"/>
  <c r="D34" i="7" s="1"/>
  <c r="J44" i="4"/>
  <c r="P44" i="4" s="1"/>
  <c r="J42" i="4"/>
  <c r="P42" i="4" s="1"/>
  <c r="J33" i="4"/>
  <c r="P33" i="4" s="1"/>
  <c r="J43" i="4"/>
  <c r="P43" i="4" s="1"/>
  <c r="J53" i="4"/>
  <c r="P53" i="4" s="1"/>
  <c r="J40" i="4"/>
  <c r="P40" i="4" s="1"/>
  <c r="J35" i="4"/>
  <c r="P35" i="4" s="1"/>
  <c r="J45" i="4"/>
  <c r="P45" i="4" s="1"/>
  <c r="J32" i="4"/>
  <c r="P32" i="4" s="1"/>
  <c r="J34" i="4"/>
  <c r="P34" i="4" s="1"/>
  <c r="J52" i="4"/>
  <c r="P52" i="4" s="1"/>
  <c r="C30" i="7" s="1"/>
  <c r="J31" i="4"/>
  <c r="P31" i="4" s="1"/>
  <c r="J41" i="4"/>
  <c r="P41" i="4" s="1"/>
  <c r="D6" i="7"/>
  <c r="D17" i="7"/>
  <c r="C7" i="7"/>
  <c r="C25" i="7"/>
  <c r="D14" i="7"/>
  <c r="C21" i="7"/>
  <c r="D15" i="7"/>
  <c r="D9" i="7"/>
  <c r="D22" i="7"/>
  <c r="C17" i="7"/>
  <c r="C13" i="7"/>
  <c r="D5" i="7"/>
  <c r="J11" i="4"/>
  <c r="J22" i="4"/>
  <c r="J21" i="4"/>
  <c r="J20" i="4"/>
  <c r="J16" i="4"/>
  <c r="J4" i="4"/>
  <c r="J2" i="4"/>
  <c r="J9" i="4"/>
  <c r="J7" i="4"/>
  <c r="J3" i="4"/>
  <c r="J6" i="4"/>
  <c r="J14" i="4"/>
  <c r="B10" i="5"/>
  <c r="J17" i="4"/>
  <c r="B15" i="5"/>
  <c r="J19" i="4"/>
  <c r="J13" i="4"/>
  <c r="J8" i="4"/>
  <c r="J5" i="4"/>
  <c r="B9" i="5"/>
  <c r="H2" i="3" s="1"/>
  <c r="J15" i="4"/>
  <c r="J18" i="4"/>
  <c r="B14" i="5"/>
  <c r="J10" i="4"/>
  <c r="O17" i="4"/>
  <c r="O18" i="4"/>
  <c r="O20" i="4"/>
  <c r="O21" i="4"/>
  <c r="O19" i="4"/>
  <c r="O6" i="4"/>
  <c r="G7" i="4"/>
  <c r="O11" i="4"/>
  <c r="O5" i="4"/>
  <c r="G13" i="4"/>
  <c r="G11" i="4"/>
  <c r="G10" i="4"/>
  <c r="G9" i="4"/>
  <c r="G8" i="4"/>
  <c r="G20" i="4"/>
  <c r="G19" i="4"/>
  <c r="G17" i="4"/>
  <c r="G18" i="4"/>
  <c r="G16" i="4"/>
  <c r="G15" i="4"/>
  <c r="G14" i="4"/>
  <c r="G22" i="4"/>
  <c r="G21" i="4"/>
  <c r="G6" i="4"/>
  <c r="G5" i="4"/>
  <c r="G11" i="5"/>
  <c r="G14" i="5" s="1"/>
  <c r="G16" i="5" s="1"/>
  <c r="G17" i="5" s="1"/>
  <c r="G6" i="5"/>
  <c r="G8" i="5" s="1"/>
  <c r="G9" i="5" s="1"/>
  <c r="G3" i="5"/>
  <c r="D7" i="7" l="1"/>
  <c r="O13" i="4"/>
  <c r="O7" i="4"/>
  <c r="O15" i="4"/>
  <c r="O16" i="4"/>
  <c r="O14" i="4"/>
  <c r="O9" i="4"/>
  <c r="O22" i="4"/>
  <c r="O10" i="4"/>
  <c r="O8" i="4"/>
  <c r="D23" i="7"/>
  <c r="E47" i="3"/>
  <c r="E44" i="3"/>
  <c r="E43" i="3"/>
  <c r="E42" i="3"/>
  <c r="E41" i="3"/>
  <c r="E48" i="3"/>
  <c r="E36" i="3"/>
  <c r="E31" i="3"/>
  <c r="E39" i="3"/>
  <c r="E38" i="3"/>
  <c r="E37" i="3"/>
  <c r="E35" i="3"/>
  <c r="E34" i="3"/>
  <c r="E33" i="3"/>
  <c r="E32" i="3"/>
  <c r="E46" i="3"/>
  <c r="E45" i="3"/>
  <c r="E40" i="3"/>
  <c r="E30" i="3"/>
  <c r="E29" i="3"/>
  <c r="E28" i="3"/>
  <c r="E27" i="3"/>
  <c r="E26" i="3"/>
  <c r="E17" i="3"/>
  <c r="P15" i="4" l="1"/>
  <c r="D18" i="7"/>
  <c r="P20" i="4"/>
  <c r="D21" i="7"/>
  <c r="C23" i="7"/>
  <c r="D19" i="7"/>
  <c r="C22" i="7"/>
  <c r="P19" i="4"/>
  <c r="P13" i="4"/>
  <c r="C6" i="7"/>
  <c r="P18" i="4"/>
  <c r="P2" i="4"/>
  <c r="D25" i="7" s="1"/>
  <c r="P17" i="4"/>
  <c r="D24" i="7"/>
  <c r="D20" i="7"/>
  <c r="C4" i="7"/>
  <c r="P3" i="4"/>
  <c r="P14" i="4"/>
  <c r="P16" i="4"/>
  <c r="C15" i="7" l="1"/>
  <c r="C37" i="7"/>
  <c r="C10" i="7"/>
  <c r="C32" i="7"/>
  <c r="C14" i="7"/>
  <c r="C36" i="7"/>
  <c r="C16" i="7"/>
  <c r="C38" i="7"/>
  <c r="D30" i="7"/>
  <c r="C12" i="7"/>
  <c r="C34" i="7"/>
  <c r="C9" i="7"/>
  <c r="D33" i="7"/>
  <c r="C31" i="7"/>
  <c r="C33" i="7"/>
  <c r="D32" i="7"/>
  <c r="D3" i="7"/>
  <c r="D11" i="7"/>
  <c r="D10" i="7"/>
  <c r="C11" i="7"/>
  <c r="C8" i="7"/>
  <c r="D8" i="7"/>
  <c r="C3" i="7"/>
  <c r="C2" i="7"/>
  <c r="B31" i="6" l="1"/>
  <c r="E31" i="6" s="1"/>
  <c r="B9" i="6"/>
  <c r="D9" i="6" s="1"/>
  <c r="B13" i="6"/>
  <c r="D13" i="6" s="1"/>
  <c r="B19" i="6"/>
  <c r="E19" i="6" s="1"/>
  <c r="B23" i="6"/>
  <c r="D23" i="6" s="1"/>
  <c r="B27" i="6"/>
  <c r="D27" i="6" s="1"/>
  <c r="B4" i="6"/>
  <c r="E4" i="6" s="1"/>
  <c r="B5" i="6"/>
  <c r="D5" i="6" s="1"/>
  <c r="B6" i="6"/>
  <c r="E6" i="6" s="1"/>
  <c r="B7" i="6"/>
  <c r="E7" i="6" s="1"/>
  <c r="B10" i="6"/>
  <c r="E10" i="6" s="1"/>
  <c r="B11" i="6"/>
  <c r="E11" i="6" s="1"/>
  <c r="B14" i="6"/>
  <c r="D14" i="6" s="1"/>
  <c r="B15" i="6"/>
  <c r="E15" i="6" s="1"/>
  <c r="B17" i="6"/>
  <c r="D17" i="6" s="1"/>
  <c r="B18" i="6"/>
  <c r="E18" i="6" s="1"/>
  <c r="B21" i="6"/>
  <c r="D21" i="6" s="1"/>
  <c r="B22" i="6"/>
  <c r="E22" i="6" s="1"/>
  <c r="B25" i="6"/>
  <c r="D25" i="6" s="1"/>
  <c r="B26" i="6"/>
  <c r="E26" i="6" s="1"/>
  <c r="B29" i="6"/>
  <c r="D29" i="6" s="1"/>
  <c r="B30" i="6"/>
  <c r="E30" i="6" s="1"/>
  <c r="B28" i="6"/>
  <c r="E28" i="6" s="1"/>
  <c r="B24" i="6"/>
  <c r="E24" i="6" s="1"/>
  <c r="B20" i="6"/>
  <c r="E20" i="6" s="1"/>
  <c r="B16" i="6"/>
  <c r="D16" i="6" s="1"/>
  <c r="B12" i="6"/>
  <c r="D12" i="6" s="1"/>
  <c r="B8" i="6"/>
  <c r="D8" i="6" s="1"/>
  <c r="D11" i="6" l="1"/>
  <c r="D6" i="6"/>
  <c r="E29" i="6"/>
  <c r="E25" i="6"/>
  <c r="E21" i="6"/>
  <c r="E17" i="6"/>
  <c r="D15" i="6"/>
  <c r="E5" i="6"/>
  <c r="E23" i="6"/>
  <c r="D19" i="6"/>
  <c r="D26" i="6"/>
  <c r="D24" i="6"/>
  <c r="D18" i="6"/>
  <c r="E14" i="6"/>
  <c r="D10" i="6"/>
  <c r="D7" i="6"/>
  <c r="E27" i="6"/>
  <c r="D31" i="6"/>
  <c r="E12" i="6"/>
  <c r="D30" i="6"/>
  <c r="D28" i="6"/>
  <c r="D22" i="6"/>
  <c r="D20" i="6"/>
  <c r="E8" i="6"/>
  <c r="E9" i="6"/>
  <c r="E16" i="6"/>
  <c r="E13" i="6"/>
  <c r="D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Pablo Martin Barral</author>
  </authors>
  <commentList>
    <comment ref="J30" authorId="0" shapeId="0" xr:uid="{D62B15CF-8C76-48C3-B192-A630C6C37F03}">
      <text>
        <r>
          <rPr>
            <b/>
            <sz val="9"/>
            <color indexed="81"/>
            <rFont val="Tahoma"/>
            <family val="2"/>
          </rPr>
          <t>Pablo Martin Barral:</t>
        </r>
        <r>
          <rPr>
            <sz val="9"/>
            <color indexed="81"/>
            <rFont val="Tahoma"/>
            <family val="2"/>
          </rPr>
          <t xml:space="preserve">
Si bien en la documentación no está expresado (dice 5 Pa(g) para que no haya flujo), vamos a dejarlo en 0 Pa(g).</t>
        </r>
      </text>
    </comment>
    <comment ref="K30" authorId="0" shapeId="0" xr:uid="{5C80559D-8073-4B2B-B4EE-9BC9FF9D5477}">
      <text>
        <r>
          <rPr>
            <b/>
            <sz val="9"/>
            <color indexed="81"/>
            <rFont val="Tahoma"/>
            <family val="2"/>
          </rPr>
          <t>Pablo Martin Barral:</t>
        </r>
        <r>
          <rPr>
            <sz val="9"/>
            <color indexed="81"/>
            <rFont val="Tahoma"/>
            <family val="2"/>
          </rPr>
          <t xml:space="preserve">
Acá decía S/BT. Pero eso no tiene sentido. Siempre va a ser según balance térmico. Si no hay un caudal requerido, dejarlo en blanco.</t>
        </r>
      </text>
    </comment>
    <comment ref="K31" authorId="0" shapeId="0" xr:uid="{31527AD1-4117-4DEE-BCF4-7C72B6163D84}">
      <text>
        <r>
          <rPr>
            <b/>
            <sz val="9"/>
            <color indexed="81"/>
            <rFont val="Tahoma"/>
            <family val="2"/>
          </rPr>
          <t>Pablo Martin Barral:</t>
        </r>
        <r>
          <rPr>
            <sz val="9"/>
            <color indexed="81"/>
            <rFont val="Tahoma"/>
            <family val="2"/>
          </rPr>
          <t xml:space="preserve">
Acá decía S/BT. Pero eso no tiene sentido. Siempre va a ser según balance térmico. Si no hay un caudal requerido, dejarlo en blanco.</t>
        </r>
      </text>
    </comment>
    <comment ref="K36" authorId="0" shapeId="0" xr:uid="{6BC6BA28-5659-487F-A2AF-D74F2D72FB4C}">
      <text>
        <r>
          <rPr>
            <b/>
            <sz val="9"/>
            <color indexed="81"/>
            <rFont val="Tahoma"/>
            <family val="2"/>
          </rPr>
          <t>Pablo Martin Barral:</t>
        </r>
        <r>
          <rPr>
            <sz val="9"/>
            <color indexed="81"/>
            <rFont val="Tahoma"/>
            <family val="2"/>
          </rPr>
          <t xml:space="preserve">
Acá decía S/BT. Pero eso no tiene sentido. Siempre va a ser según balance térmico. Si no hay un caudal requerido, dejarlo en blanco.</t>
        </r>
      </text>
    </comment>
    <comment ref="F41" authorId="0" shapeId="0" xr:uid="{C5ECEEE6-AF35-49CF-BB0C-FEAFF989A678}">
      <text>
        <r>
          <rPr>
            <b/>
            <sz val="9"/>
            <color indexed="81"/>
            <rFont val="Tahoma"/>
            <charset val="1"/>
          </rPr>
          <t>Pablo Martin Barral:</t>
        </r>
        <r>
          <rPr>
            <sz val="9"/>
            <color indexed="81"/>
            <rFont val="Tahoma"/>
            <charset val="1"/>
          </rPr>
          <t xml:space="preserve">
Va a tener un FC que lo climatice en invierno. Igual que el pasillo.</t>
        </r>
      </text>
    </comment>
    <comment ref="F47" authorId="0" shapeId="0" xr:uid="{123D5CD0-F4D3-47EA-9CB4-C9CF47A8D03D}">
      <text>
        <r>
          <rPr>
            <b/>
            <sz val="9"/>
            <color indexed="81"/>
            <rFont val="Tahoma"/>
            <charset val="1"/>
          </rPr>
          <t>Pablo Martin Barral:</t>
        </r>
        <r>
          <rPr>
            <sz val="9"/>
            <color indexed="81"/>
            <rFont val="Tahoma"/>
            <charset val="1"/>
          </rPr>
          <t xml:space="preserve">
Va a tener un FC que lo climatice en invierno. Igual que el pasillo.</t>
        </r>
      </text>
    </comment>
    <comment ref="K48" authorId="0" shapeId="0" xr:uid="{DBC2C531-E103-4667-81B8-D0713B1B1B7F}">
      <text>
        <r>
          <rPr>
            <b/>
            <sz val="9"/>
            <color indexed="81"/>
            <rFont val="Tahoma"/>
            <family val="2"/>
          </rPr>
          <t>Pablo Martin Barral:</t>
        </r>
        <r>
          <rPr>
            <sz val="9"/>
            <color indexed="81"/>
            <rFont val="Tahoma"/>
            <family val="2"/>
          </rPr>
          <t xml:space="preserve">
Acá decía S/BT. Pero eso no tiene sentido. Siempre va a ser según balance térmico. Si no hay un caudal requerido, dejarlo en blanco.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Pablo Martin Barral</author>
  </authors>
  <commentList>
    <comment ref="A1" authorId="0" shapeId="0" xr:uid="{4D574914-8796-4170-A7EB-0401C6B471D2}">
      <text>
        <r>
          <rPr>
            <b/>
            <sz val="9"/>
            <color indexed="81"/>
            <rFont val="Tahoma"/>
            <family val="2"/>
          </rPr>
          <t>Pablo Martin Barral:</t>
        </r>
        <r>
          <rPr>
            <sz val="9"/>
            <color indexed="81"/>
            <rFont val="Tahoma"/>
            <family val="2"/>
          </rPr>
          <t xml:space="preserve">
Cuidado si tengo dos locales con el mismo tag (que no debería): el VLOOKUP trae el primero que encuentra.
NO consideramos a los transfer como fuente de infiltración permanente. Asumimos que están bien sellados.
Para la próxima: las infiltraciones, en el plano, van por las puertas y por las ventanas. Hay algunas infiltraciones que no puse en el plano por no haber visto las ventanas. También debería tener en cuenta las ventanas al exterior.
Otra cosa que debe mejorarse es el plano de layout que usamos de fondo. Al grisarse no debería perder información. En el que usamos, se perdió bastante información. Y no sólo son importantes las paredes: también lo son las aberturas (y su tag).</t>
        </r>
      </text>
    </comment>
    <comment ref="C1" authorId="0" shapeId="0" xr:uid="{D45B8839-540E-489D-BB5F-19BA7E1E1538}">
      <text>
        <r>
          <rPr>
            <b/>
            <sz val="9"/>
            <color indexed="81"/>
            <rFont val="Tahoma"/>
            <family val="2"/>
          </rPr>
          <t>Pablo Martin Barral:</t>
        </r>
        <r>
          <rPr>
            <sz val="9"/>
            <color indexed="81"/>
            <rFont val="Tahoma"/>
            <family val="2"/>
          </rPr>
          <t xml:space="preserve">
Si hay un local, por ejemplo el pasillo 2-28, que ecualiza con el ambiente, podría llegar a no calcularlo a partir de las aberturas. NO es lo ideal, pero es más simple. Simplemente infiltra todo lo que necesita. Lo importante es no pasarse y generarle, a la fuerza, una depresión elevada.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Pablo Martin Barral</author>
  </authors>
  <commentList>
    <comment ref="A2" authorId="0" shapeId="0" xr:uid="{3215D4A9-6095-4E19-9AA5-724D409F52D6}">
      <text>
        <r>
          <rPr>
            <b/>
            <sz val="9"/>
            <color indexed="81"/>
            <rFont val="Tahoma"/>
            <family val="2"/>
          </rPr>
          <t>Pablo Martin Barral:</t>
        </r>
        <r>
          <rPr>
            <sz val="9"/>
            <color indexed="81"/>
            <rFont val="Tahoma"/>
            <family val="2"/>
          </rPr>
          <t xml:space="preserve">
En caso de que quisiera puertas con rejas, tendría que agregarlas. Por ejemplo: P4 c/reja de tal modelo.</t>
        </r>
      </text>
    </comment>
    <comment ref="L2" authorId="0" shapeId="0" xr:uid="{3EF8E5F2-7C8A-4E3C-8B03-9E929E1339C2}">
      <text>
        <r>
          <rPr>
            <b/>
            <sz val="9"/>
            <color indexed="81"/>
            <rFont val="Tahoma"/>
            <family val="2"/>
          </rPr>
          <t>Pablo Martin Barral:</t>
        </r>
        <r>
          <rPr>
            <sz val="9"/>
            <color indexed="81"/>
            <rFont val="Tahoma"/>
            <family val="2"/>
          </rPr>
          <t xml:space="preserve">
Hay que adecuar la fórmula, y multiplicar por el alto de los paños (multiplicar por C3 al final).</t>
        </r>
      </text>
    </comment>
    <comment ref="M2" authorId="0" shapeId="0" xr:uid="{94AB0B04-60B0-4FCC-BDBB-86CF574C1F47}">
      <text>
        <r>
          <rPr>
            <b/>
            <sz val="9"/>
            <color indexed="81"/>
            <rFont val="Tahoma"/>
            <family val="2"/>
          </rPr>
          <t>Pablo Martin Barral:</t>
        </r>
        <r>
          <rPr>
            <sz val="9"/>
            <color indexed="81"/>
            <rFont val="Tahoma"/>
            <family val="2"/>
          </rPr>
          <t xml:space="preserve">
En esta columna se puede hardcodear el valor de sección, por si la propuesta no es un valor aceptable.</t>
        </r>
      </text>
    </comment>
    <comment ref="N2" authorId="0" shapeId="0" xr:uid="{6E4385A8-7FC3-4C9E-854D-EF52500956CD}">
      <text>
        <r>
          <rPr>
            <b/>
            <sz val="9"/>
            <color indexed="81"/>
            <rFont val="Tahoma"/>
            <family val="2"/>
          </rPr>
          <t>Pablo Martin Barral:</t>
        </r>
        <r>
          <rPr>
            <sz val="9"/>
            <color indexed="81"/>
            <rFont val="Tahoma"/>
            <family val="2"/>
          </rPr>
          <t xml:space="preserve">
Valores que debería haber adoptado si la fórmula hubiera estado bien.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<sst xmlns="http://schemas.openxmlformats.org/spreadsheetml/2006/main" count="536" uniqueCount="212">
  <si>
    <t>Local</t>
  </si>
  <si>
    <t>Denominación</t>
  </si>
  <si>
    <t>Altura
[m]</t>
  </si>
  <si>
    <r>
      <t>Volumen
[m</t>
    </r>
    <r>
      <rPr>
        <vertAlign val="superscript"/>
        <sz val="11"/>
        <color theme="1"/>
        <rFont val="Calibri"/>
        <family val="2"/>
        <scheme val="minor"/>
      </rPr>
      <t>3</t>
    </r>
    <r>
      <rPr>
        <sz val="11"/>
        <color theme="1"/>
        <rFont val="Calibri"/>
        <family val="2"/>
        <scheme val="minor"/>
      </rPr>
      <t>]</t>
    </r>
  </si>
  <si>
    <r>
      <t>Superficie
[m</t>
    </r>
    <r>
      <rPr>
        <vertAlign val="superscript"/>
        <sz val="11"/>
        <color theme="1"/>
        <rFont val="Calibri"/>
        <family val="2"/>
        <scheme val="minor"/>
      </rPr>
      <t>2</t>
    </r>
    <r>
      <rPr>
        <sz val="11"/>
        <color theme="1"/>
        <rFont val="Calibri"/>
        <family val="2"/>
        <scheme val="minor"/>
      </rPr>
      <t>]</t>
    </r>
  </si>
  <si>
    <t>Renovación mínima
[ACH]</t>
  </si>
  <si>
    <t>Renovación mínima aire exterior
[ACH]</t>
  </si>
  <si>
    <r>
      <t>Exfiltración
[m</t>
    </r>
    <r>
      <rPr>
        <vertAlign val="superscript"/>
        <sz val="11"/>
        <color theme="1"/>
        <rFont val="Calibri"/>
        <family val="2"/>
        <scheme val="minor"/>
      </rPr>
      <t>3</t>
    </r>
    <r>
      <rPr>
        <sz val="11"/>
        <color theme="1"/>
        <rFont val="Calibri"/>
        <family val="2"/>
        <scheme val="minor"/>
      </rPr>
      <t>/h]</t>
    </r>
  </si>
  <si>
    <r>
      <t>Infiltración
[m</t>
    </r>
    <r>
      <rPr>
        <vertAlign val="superscript"/>
        <sz val="11"/>
        <color theme="1"/>
        <rFont val="Calibri"/>
        <family val="2"/>
        <scheme val="minor"/>
      </rPr>
      <t>3</t>
    </r>
    <r>
      <rPr>
        <sz val="11"/>
        <color theme="1"/>
        <rFont val="Calibri"/>
        <family val="2"/>
        <scheme val="minor"/>
      </rPr>
      <t>/h]</t>
    </r>
  </si>
  <si>
    <t>Presión
[Pa(g)]</t>
  </si>
  <si>
    <t>PASILLO LIMPIO - ETAPA 1</t>
  </si>
  <si>
    <t>PASILLO DE IMÁGENES</t>
  </si>
  <si>
    <t>MICRO PET</t>
  </si>
  <si>
    <t>SALA DE CONTROL</t>
  </si>
  <si>
    <t>MICRO RMN</t>
  </si>
  <si>
    <t>SALA DE MÁQUINAS</t>
  </si>
  <si>
    <t>SALA DE CONTROL PET</t>
  </si>
  <si>
    <t>2-23</t>
  </si>
  <si>
    <t>2-24</t>
  </si>
  <si>
    <t>2-25</t>
  </si>
  <si>
    <t>2-26</t>
  </si>
  <si>
    <t>2-27</t>
  </si>
  <si>
    <t>2-28</t>
  </si>
  <si>
    <t>2-38</t>
  </si>
  <si>
    <t>ESPACIO 3</t>
  </si>
  <si>
    <t>2-46</t>
  </si>
  <si>
    <t>ESPACIO 4</t>
  </si>
  <si>
    <t>2-47 (A)</t>
  </si>
  <si>
    <t>SALA DE ANÁLISIS DE MUESTRAS IRRADIADAS</t>
  </si>
  <si>
    <t>2-29</t>
  </si>
  <si>
    <t>SAS RADIOBIOLOGÍA</t>
  </si>
  <si>
    <t>2-30</t>
  </si>
  <si>
    <t>LABORATORIO DE RADIOBIOLOGÍA</t>
  </si>
  <si>
    <t>2-31</t>
  </si>
  <si>
    <t>RADIOBIODOSIMETRÍA</t>
  </si>
  <si>
    <t>2-32</t>
  </si>
  <si>
    <t>SECTOR DE RADIOBIOLOGÍA</t>
  </si>
  <si>
    <t>2-34</t>
  </si>
  <si>
    <t>RADIOBIOLOGÍA MOLECULAR</t>
  </si>
  <si>
    <t>2-35</t>
  </si>
  <si>
    <t>SALA DE IRRADIACIÓN DE MUESTRAS</t>
  </si>
  <si>
    <t>2-36</t>
  </si>
  <si>
    <t>PASILLO</t>
  </si>
  <si>
    <t>SALA DE RACKS</t>
  </si>
  <si>
    <t>2-33</t>
  </si>
  <si>
    <t>SALA DE TABLEROS</t>
  </si>
  <si>
    <t>2-48</t>
  </si>
  <si>
    <t>VESTUARIO HOMBRES</t>
  </si>
  <si>
    <t>2-39</t>
  </si>
  <si>
    <t>KICHINET</t>
  </si>
  <si>
    <t>2-40</t>
  </si>
  <si>
    <t>BAÑO ADAPTADO</t>
  </si>
  <si>
    <t>2-41</t>
  </si>
  <si>
    <t>DEPÓSITO DE LIMPIEZA</t>
  </si>
  <si>
    <t>2-42</t>
  </si>
  <si>
    <t>VESTUARIO MUJERES</t>
  </si>
  <si>
    <t>2-47 (B)</t>
  </si>
  <si>
    <t>Nombre del local</t>
  </si>
  <si>
    <t>Denominación del local</t>
  </si>
  <si>
    <t>Temperatura
[°C]</t>
  </si>
  <si>
    <t>Humedad
[%]</t>
  </si>
  <si>
    <t>Aberturas</t>
  </si>
  <si>
    <t>Fuga de aire</t>
  </si>
  <si>
    <t>P4</t>
  </si>
  <si>
    <t>P5</t>
  </si>
  <si>
    <t>P6</t>
  </si>
  <si>
    <t>Designación</t>
  </si>
  <si>
    <t>Ancho
[m]</t>
  </si>
  <si>
    <t>Alto
[m]</t>
  </si>
  <si>
    <t>Medidas
[m]</t>
  </si>
  <si>
    <t>Perímetro
[m]</t>
  </si>
  <si>
    <t>Cant. de paños</t>
  </si>
  <si>
    <t>Ancho paño
[m]</t>
  </si>
  <si>
    <t>Abertura</t>
  </si>
  <si>
    <t>P. mayor
[Pa(g)]</t>
  </si>
  <si>
    <t>P. menor
[Pa(g)]</t>
  </si>
  <si>
    <t>∆P
[Pa(g)]</t>
  </si>
  <si>
    <t>Temp.
[°C]</t>
  </si>
  <si>
    <t>Bariloche</t>
  </si>
  <si>
    <t>Location</t>
  </si>
  <si>
    <t>Elevation [m]</t>
  </si>
  <si>
    <t>Summer design DB [°C]</t>
  </si>
  <si>
    <t>Summer daily range [°C]</t>
  </si>
  <si>
    <t>Summer MCWB [°C]</t>
  </si>
  <si>
    <t>Winter MCWB [°C]</t>
  </si>
  <si>
    <t>Winter design DB [°C]</t>
  </si>
  <si>
    <t>Presure [kPa(a)]</t>
  </si>
  <si>
    <t>Summer MCRH [%]</t>
  </si>
  <si>
    <t>Summer MCDP [°C]</t>
  </si>
  <si>
    <t>CDI</t>
  </si>
  <si>
    <t>°C</t>
  </si>
  <si>
    <t>Summer CDE</t>
  </si>
  <si>
    <t>Summer CDI</t>
  </si>
  <si>
    <t>ΔT=</t>
  </si>
  <si>
    <t>Exterior - Local acondicionado</t>
  </si>
  <si>
    <t>Exterior - Local no acondicionado</t>
  </si>
  <si>
    <t>Local acondicionado</t>
  </si>
  <si>
    <t>Summer factor local no acond.</t>
  </si>
  <si>
    <t>Winter CDE</t>
  </si>
  <si>
    <t>Local no acondicionado</t>
  </si>
  <si>
    <t>Winter CDI</t>
  </si>
  <si>
    <t>Winter factor local no acond.</t>
  </si>
  <si>
    <t>Local acondicionado - Exterior</t>
  </si>
  <si>
    <t>Local no acondicionado - Exterior</t>
  </si>
  <si>
    <t>S/BT</t>
  </si>
  <si>
    <t>Extracc. de todo el aire al exterior</t>
  </si>
  <si>
    <t>Recirculación c/otros locales</t>
  </si>
  <si>
    <t>No</t>
  </si>
  <si>
    <t>Sí</t>
  </si>
  <si>
    <t>Temperatura
máx./mín
[°C]</t>
  </si>
  <si>
    <t>Humedad
máx. / mín.
[%]</t>
  </si>
  <si>
    <t>70 / 40</t>
  </si>
  <si>
    <r>
      <t>Densidad
[kg/m</t>
    </r>
    <r>
      <rPr>
        <vertAlign val="superscript"/>
        <sz val="11"/>
        <color theme="1"/>
        <rFont val="Calibri"/>
        <family val="2"/>
        <scheme val="minor"/>
      </rPr>
      <t>3</t>
    </r>
    <r>
      <rPr>
        <sz val="11"/>
        <color theme="1"/>
        <rFont val="Calibri"/>
        <family val="2"/>
        <scheme val="minor"/>
      </rPr>
      <t>]</t>
    </r>
  </si>
  <si>
    <r>
      <t>Abertura
[m</t>
    </r>
    <r>
      <rPr>
        <vertAlign val="superscript"/>
        <sz val="11"/>
        <color theme="1"/>
        <rFont val="Calibri"/>
        <family val="2"/>
        <scheme val="minor"/>
      </rPr>
      <t>2</t>
    </r>
    <r>
      <rPr>
        <sz val="11"/>
        <color theme="1"/>
        <rFont val="Calibri"/>
        <family val="2"/>
        <scheme val="minor"/>
      </rPr>
      <t>]</t>
    </r>
  </si>
  <si>
    <t>Hum.
[%]</t>
  </si>
  <si>
    <r>
      <t>Caudal
[m</t>
    </r>
    <r>
      <rPr>
        <vertAlign val="superscript"/>
        <sz val="11"/>
        <color theme="1"/>
        <rFont val="Calibri"/>
        <family val="2"/>
        <scheme val="minor"/>
      </rPr>
      <t>3</t>
    </r>
    <r>
      <rPr>
        <sz val="11"/>
        <color theme="1"/>
        <rFont val="Calibri"/>
        <family val="2"/>
        <scheme val="minor"/>
      </rPr>
      <t>/h]</t>
    </r>
  </si>
  <si>
    <t>Cd</t>
  </si>
  <si>
    <t>Local de mayor presión
[Exfiltración (-)]</t>
  </si>
  <si>
    <t>Local de menor presión
[Infiltración (+)]</t>
  </si>
  <si>
    <t>26 / 18</t>
  </si>
  <si>
    <t>N/A</t>
  </si>
  <si>
    <t>NR</t>
  </si>
  <si>
    <t>25 / 19</t>
  </si>
  <si>
    <t>24 / 20</t>
  </si>
  <si>
    <t>26 / 22</t>
  </si>
  <si>
    <t>RH p S/BT</t>
  </si>
  <si>
    <t>2-00</t>
  </si>
  <si>
    <t>EXTERIOR</t>
  </si>
  <si>
    <t>2-14-1</t>
  </si>
  <si>
    <t>Vi3</t>
  </si>
  <si>
    <t>Vi9</t>
  </si>
  <si>
    <t>Vi9-R</t>
  </si>
  <si>
    <t>Vi10</t>
  </si>
  <si>
    <t>P4 chica</t>
  </si>
  <si>
    <t>P17</t>
  </si>
  <si>
    <t>P21</t>
  </si>
  <si>
    <t>P22</t>
  </si>
  <si>
    <t>P46</t>
  </si>
  <si>
    <t>Parm</t>
  </si>
  <si>
    <t>P6am</t>
  </si>
  <si>
    <t>P10am</t>
  </si>
  <si>
    <t>P11am</t>
  </si>
  <si>
    <t>Pp6</t>
  </si>
  <si>
    <t>Pp7</t>
  </si>
  <si>
    <t>Pp10</t>
  </si>
  <si>
    <t>Pp11</t>
  </si>
  <si>
    <t>P7m</t>
  </si>
  <si>
    <t>P9m</t>
  </si>
  <si>
    <t>P10m</t>
  </si>
  <si>
    <t>P12m</t>
  </si>
  <si>
    <t>P20m</t>
  </si>
  <si>
    <t>P21m</t>
  </si>
  <si>
    <t>P29</t>
  </si>
  <si>
    <t>Pp8</t>
  </si>
  <si>
    <r>
      <t>Total
[m</t>
    </r>
    <r>
      <rPr>
        <vertAlign val="superscript"/>
        <sz val="11"/>
        <color theme="1"/>
        <rFont val="Calibri"/>
        <family val="2"/>
        <scheme val="minor"/>
      </rPr>
      <t>2</t>
    </r>
    <r>
      <rPr>
        <sz val="11"/>
        <color theme="1"/>
        <rFont val="Calibri"/>
        <family val="2"/>
        <scheme val="minor"/>
      </rPr>
      <t>]</t>
    </r>
  </si>
  <si>
    <t>Ducha seca</t>
  </si>
  <si>
    <t>Notas</t>
  </si>
  <si>
    <t>Fijo / Móvil</t>
  </si>
  <si>
    <t>Fijo</t>
  </si>
  <si>
    <t>Móvil</t>
  </si>
  <si>
    <t>Lista</t>
  </si>
  <si>
    <r>
      <t>Sección adoptada
[m</t>
    </r>
    <r>
      <rPr>
        <vertAlign val="superscript"/>
        <sz val="11"/>
        <color theme="1"/>
        <rFont val="Calibri"/>
        <family val="2"/>
        <scheme val="minor"/>
      </rPr>
      <t>2</t>
    </r>
    <r>
      <rPr>
        <sz val="11"/>
        <color theme="1"/>
        <rFont val="Calibri"/>
        <family val="2"/>
        <scheme val="minor"/>
      </rPr>
      <t>]</t>
    </r>
  </si>
  <si>
    <r>
      <t>Sección propuesta
[m</t>
    </r>
    <r>
      <rPr>
        <vertAlign val="superscript"/>
        <sz val="11"/>
        <color theme="1"/>
        <rFont val="Calibri"/>
        <family val="2"/>
        <scheme val="minor"/>
      </rPr>
      <t>2</t>
    </r>
    <r>
      <rPr>
        <sz val="11"/>
        <color theme="1"/>
        <rFont val="Calibri"/>
        <family val="2"/>
        <scheme val="minor"/>
      </rPr>
      <t>]</t>
    </r>
  </si>
  <si>
    <t>Este valor está hardcodeado. Hay que poner una reja de transferencia que nos garantice esa infiltración.</t>
  </si>
  <si>
    <t>El caudal está hardcodeado para que se verifique el balance de caudales.</t>
  </si>
  <si>
    <t>2-13</t>
  </si>
  <si>
    <t>2-14</t>
  </si>
  <si>
    <t>2-15</t>
  </si>
  <si>
    <t>2-16</t>
  </si>
  <si>
    <t>2-17</t>
  </si>
  <si>
    <t>2-18</t>
  </si>
  <si>
    <t>2-20</t>
  </si>
  <si>
    <t>2-21</t>
  </si>
  <si>
    <t>2-22</t>
  </si>
  <si>
    <t>2-01</t>
  </si>
  <si>
    <t>2-02</t>
  </si>
  <si>
    <t>2-03</t>
  </si>
  <si>
    <t>2-04</t>
  </si>
  <si>
    <t>2-05</t>
  </si>
  <si>
    <t>2-06</t>
  </si>
  <si>
    <t>2-07</t>
  </si>
  <si>
    <t>2-08</t>
  </si>
  <si>
    <t>2-09</t>
  </si>
  <si>
    <t>2-10</t>
  </si>
  <si>
    <t>2-11</t>
  </si>
  <si>
    <t>2-12</t>
  </si>
  <si>
    <t>2-19</t>
  </si>
  <si>
    <t>ELEMENTOS Y CONSUMIBLES ESTERILIZADOS</t>
  </si>
  <si>
    <t>PASILLO LIMPIO - ETAPA 2</t>
  </si>
  <si>
    <t>DEPÓSITO 2</t>
  </si>
  <si>
    <t>SALA DE EXPERIMENTACIÓN 1</t>
  </si>
  <si>
    <t>SALA DE EXPERIMENTACIÓN 2</t>
  </si>
  <si>
    <t>SALA DE EXPERIMENTACIÓN 3</t>
  </si>
  <si>
    <t>SALA DE EQUIPOS</t>
  </si>
  <si>
    <t>LABORATORIO DE PREPARACIÓN</t>
  </si>
  <si>
    <t>SALA DE PREPARACIÓN</t>
  </si>
  <si>
    <t>VESTUARIO</t>
  </si>
  <si>
    <t>SAS TÉCNICO</t>
  </si>
  <si>
    <t>SAS ÁREA LIMPIA</t>
  </si>
  <si>
    <t>PASILLO TÉCNICO</t>
  </si>
  <si>
    <t>DEPÓSITO 1</t>
  </si>
  <si>
    <t>SALA DE CRÍA</t>
  </si>
  <si>
    <t>BIOTERIO 1</t>
  </si>
  <si>
    <t>BIOTERIO 2</t>
  </si>
  <si>
    <t>CUARENTENA</t>
  </si>
  <si>
    <t>SECTOR DE BIOPSIAS Y NECROSARIO</t>
  </si>
  <si>
    <t>ÁREA DE LIMPIEZA</t>
  </si>
  <si>
    <t>LIMPIEZA</t>
  </si>
  <si>
    <t>SALA DE CIRUGÍA</t>
  </si>
  <si>
    <t>Este valor está hardcodeado, la que debería ajustarse es la presión del recinto.</t>
  </si>
  <si>
    <t>Este tiene que estar para cumplir el balance.</t>
  </si>
  <si>
    <t>Valor estimado para la ducha de 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</si>
</sst>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10"/>
      <name val="Arial"/>
      <family val="2"/>
    </font>
    <font>
      <sz val="11"/>
      <name val="Calibri"/>
      <family val="2"/>
      <scheme val="minor"/>
    </font>
    <font>
      <sz val="8"/>
      <name val="Calibri"/>
      <family val="2"/>
      <scheme val="minor"/>
    </font>
    <font>
      <b/>
      <sz val="11"/>
      <color rgb="FFFF000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tint="-0.14999847407452621"/>
        <bgColor indexed="64"/>
      </patternFill>
    </fill>
    <fill>
      <patternFill patternType="solid">
        <fgColor rgb="FFF2F2F2"/>
      </patternFill>
    </fill>
    <fill>
      <patternFill patternType="solid">
        <fgColor theme="0" tint="-0.249977111117893"/>
        <bgColor indexed="64"/>
      </patternFill>
    </fill>
  </fills>
  <borders count="3">
    <border>
      <left/>
      <right/>
      <top/>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9" fontId="1" fillId="0" borderId="0" applyFont="0" applyFill="0" applyBorder="0" applyAlignment="0" applyProtection="0"/>
    <xf numFmtId="0" fontId="6" fillId="3" borderId="2" applyNumberFormat="0" applyAlignment="0" applyProtection="0"/>
    <xf numFmtId="0" fontId="7" fillId="0" borderId="0"/>
  </cellStyleXfs>
  <cellXfs count="41">
    <xf numFmtId="0" fontId="0" fillId="0" borderId="0" xfId="0"/>
    <xf numFmtId="0" fontId="0" fillId="0" borderId="0" xfId="0" applyAlignment="1">
      <alignment horizontal="center" vertical="top" wrapText="1"/>
    </xf>
    <xf numFmtId="10" fontId="0" fillId="0" borderId="0" xfId="1" applyNumberFormat="1" applyFont="1" applyAlignment="1">
      <alignment horizontal="center" vertic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center"/>
    </xf>
    <xf numFmtId="4" fontId="8" fillId="0" borderId="0" xfId="3" applyNumberFormat="1" applyFont="1" applyAlignment="1">
      <alignment horizontal="center" vertical="center" wrapText="1"/>
    </xf>
    <xf numFmtId="0" fontId="8" fillId="0" borderId="0" xfId="3" applyFont="1" applyAlignment="1">
      <alignment horizontal="center" vertical="top" wrapText="1"/>
    </xf>
    <xf numFmtId="164" fontId="8" fillId="0" borderId="0" xfId="2" applyNumberFormat="1"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center" vertical="center"/>
    </xf>
    <xf numFmtId="2" fontId="0" fillId="0" borderId="0" xfId="0" applyNumberFormat="1" applyAlignment="1">
      <alignment horizontal="center" vertical="center"/>
    </xf>
    <xf numFmtId="2" fontId="0" fillId="2" borderId="0" xfId="0" applyNumberFormat="1" applyFill="1" applyAlignment="1">
      <alignment horizontal="center" vertical="center"/>
    </xf>
    <xf numFmtId="9" fontId="0" fillId="2" borderId="0" xfId="0" applyNumberFormat="1" applyFill="1" applyAlignment="1">
      <alignment horizontal="center" vertical="center"/>
    </xf>
    <xf numFmtId="166" fontId="0" fillId="0" borderId="0" xfId="0" applyNumberFormat="1" applyAlignment="1">
      <alignment horizontal="center" vertical="center"/>
    </xf>
    <xf numFmtId="166" fontId="0" fillId="0" borderId="0" xfId="1" applyNumberFormat="1" applyFont="1" applyAlignment="1">
      <alignment horizontal="center" vertical="center"/>
    </xf>
    <xf numFmtId="0" fontId="8" fillId="2" borderId="0" xfId="0" applyFont="1" applyFill="1" applyAlignment="1">
      <alignment horizontal="center" vertical="center"/>
    </xf>
    <xf numFmtId="0" fontId="8" fillId="2" borderId="0" xfId="3" quotePrefix="1" applyFont="1" applyFill="1" applyAlignment="1">
      <alignment horizontal="center" vertical="center" wrapText="1"/>
    </xf>
    <xf numFmtId="0" fontId="8" fillId="2" borderId="0" xfId="3" applyFont="1" applyFill="1" applyAlignment="1">
      <alignment horizontal="center" vertical="center" wrapText="1"/>
    </xf>
    <xf numFmtId="4" fontId="8" fillId="2" borderId="0" xfId="3" applyNumberFormat="1" applyFont="1" applyFill="1" applyAlignment="1">
      <alignment horizontal="center" vertical="center" wrapText="1"/>
    </xf>
    <xf numFmtId="17" fontId="8" fillId="2" borderId="0" xfId="3" quotePrefix="1" applyNumberFormat="1" applyFont="1" applyFill="1" applyAlignment="1">
      <alignment horizontal="center" vertical="center" wrapText="1"/>
    </xf>
    <xf numFmtId="9" fontId="0" fillId="0" borderId="0" xfId="1" applyFont="1" applyAlignment="1">
      <alignment horizontal="center" vertical="center"/>
    </xf>
    <xf numFmtId="0" fontId="0" fillId="2" borderId="0" xfId="0" applyFill="1" applyAlignment="1">
      <alignment horizontal="center" vertical="top"/>
    </xf>
    <xf numFmtId="165" fontId="0" fillId="0" borderId="0" xfId="0" applyNumberFormat="1" applyAlignment="1">
      <alignment horizontal="center" vertical="center"/>
    </xf>
    <xf numFmtId="1" fontId="2" fillId="0" borderId="0" xfId="0" applyNumberFormat="1" applyFont="1" applyAlignment="1">
      <alignment horizontal="center" vertical="center"/>
    </xf>
    <xf numFmtId="1" fontId="0" fillId="0" borderId="0" xfId="0" applyNumberFormat="1" applyAlignment="1">
      <alignment horizontal="center" vertical="center"/>
    </xf>
    <xf numFmtId="0" fontId="0" fillId="0" borderId="0" xfId="0" quotePrefix="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9" fontId="0" fillId="0" borderId="0" xfId="1" applyFont="1"/>
    <xf numFmtId="0" fontId="0" fillId="4" borderId="0" xfId="0" applyFill="1" applyAlignment="1">
      <alignment horizontal="center" vertical="center"/>
    </xf>
    <xf numFmtId="164" fontId="8" fillId="2" borderId="0" xfId="2" applyNumberFormat="1" applyFont="1" applyFill="1" applyBorder="1" applyAlignment="1">
      <alignment horizontal="center" vertical="center"/>
    </xf>
    <xf numFmtId="1" fontId="10" fillId="0" borderId="0" xfId="0" applyNumberFormat="1" applyFont="1" applyAlignment="1">
      <alignment horizontal="center" vertical="center"/>
    </xf>
    <xf numFmtId="1" fontId="8" fillId="2" borderId="0" xfId="0" applyNumberFormat="1" applyFont="1" applyFill="1" applyAlignment="1">
      <alignment horizontal="center" vertical="center"/>
    </xf>
    <xf numFmtId="0" fontId="8"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top" wrapText="1"/>
    </xf>
    <xf numFmtId="0" fontId="0" fillId="0" borderId="0" xfId="0" applyAlignment="1">
      <alignment horizontal="center" vertical="center"/>
    </xf>
    <xf numFmtId="0" fontId="0" fillId="4" borderId="0" xfId="0" applyFont="1" applyFill="1" applyAlignment="1">
      <alignment horizontal="center" vertical="center"/>
    </xf>
    <xf numFmtId="164" fontId="0" fillId="0" borderId="0" xfId="0" applyNumberFormat="1" applyAlignment="1">
      <alignment horizontal="center"/>
    </xf>
  </cellXfs>
  <cellStyles count="4">
    <cellStyle name="Calculation" xfId="2" builtinId="22"/>
    <cellStyle name="Normal" xfId="0" builtinId="0"/>
    <cellStyle name="Normal 3" xfId="3" xr:uid="{88CC1EFC-FC38-4DFF-911E-DF3D75DF44F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582386</xdr:colOff>
      <xdr:row>18</xdr:row>
      <xdr:rowOff>38100</xdr:rowOff>
    </xdr:from>
    <xdr:to>
      <xdr:col>8</xdr:col>
      <xdr:colOff>1455391</xdr:colOff>
      <xdr:row>31</xdr:row>
      <xdr:rowOff>161600</xdr:rowOff>
    </xdr:to>
    <xdr:pic>
      <xdr:nvPicPr>
        <xdr:cNvPr id="3" name="Picture 2">
          <a:extLst>
            <a:ext uri="{FF2B5EF4-FFF2-40B4-BE49-F238E27FC236}">
              <a16:creationId xmlns:a16="http://schemas.microsoft.com/office/drawing/2014/main" id="{6E3DA7FE-6342-2837-4F5E-B420343C62FB}"/>
            </a:ext>
          </a:extLst>
        </xdr:cNvPr>
        <xdr:cNvPicPr>
          <a:picLocks noChangeAspect="1"/>
        </xdr:cNvPicPr>
      </xdr:nvPicPr>
      <xdr:blipFill>
        <a:blip xmlns:r="http://schemas.openxmlformats.org/officeDocument/2006/relationships" r:embed="rId1"/>
        <a:stretch>
          <a:fillRect/>
        </a:stretch>
      </xdr:blipFill>
      <xdr:spPr>
        <a:xfrm>
          <a:off x="4120243" y="3467100"/>
          <a:ext cx="4587755" cy="2600000"/>
        </a:xfrm>
        <a:prstGeom prst="rect">
          <a:avLst/>
        </a:prstGeom>
      </xdr:spPr>
    </xdr:pic>
    <xdr:clientData/>
  </xdr:twoCellAnchor>
  <xdr:twoCellAnchor editAs="oneCell">
    <xdr:from>
      <xdr:col>10</xdr:col>
      <xdr:colOff>0</xdr:colOff>
      <xdr:row>3</xdr:row>
      <xdr:rowOff>0</xdr:rowOff>
    </xdr:from>
    <xdr:to>
      <xdr:col>26</xdr:col>
      <xdr:colOff>179733</xdr:colOff>
      <xdr:row>33</xdr:row>
      <xdr:rowOff>18333</xdr:rowOff>
    </xdr:to>
    <xdr:pic>
      <xdr:nvPicPr>
        <xdr:cNvPr id="4" name="Picture 3">
          <a:extLst>
            <a:ext uri="{FF2B5EF4-FFF2-40B4-BE49-F238E27FC236}">
              <a16:creationId xmlns:a16="http://schemas.microsoft.com/office/drawing/2014/main" id="{BA697CCD-7E57-AC1B-5248-9D997ABF09E3}"/>
            </a:ext>
          </a:extLst>
        </xdr:cNvPr>
        <xdr:cNvPicPr>
          <a:picLocks noChangeAspect="1"/>
        </xdr:cNvPicPr>
      </xdr:nvPicPr>
      <xdr:blipFill>
        <a:blip xmlns:r="http://schemas.openxmlformats.org/officeDocument/2006/relationships" r:embed="rId2"/>
        <a:stretch>
          <a:fillRect/>
        </a:stretch>
      </xdr:blipFill>
      <xdr:spPr>
        <a:xfrm>
          <a:off x="9896475" y="571500"/>
          <a:ext cx="9933333" cy="57333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Barral%20Pablo\AppData\Roaming\Microsoft\AddIns\PsychrometricsVBA_SI.xlam" TargetMode="External"/><Relationship Id="rId1" Type="http://schemas.openxmlformats.org/officeDocument/2006/relationships/externalLinkPath" Target="/Users/Barral%20Pablo/AppData/Roaming/Microsoft/AddIns/PsychrometricsVBA_SI.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definedNames>
      <definedName name="GetHumRatioFromRelHum"/>
      <definedName name="GetMoistAirDensity"/>
      <definedName name="GetRelHumFromTWetBulb"/>
      <definedName name="GetStandardAtmPressure"/>
      <definedName name="GetTDewPointFromTWetBulb"/>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A2D14-1CD6-49C0-825A-6D3C7A792957}">
  <sheetPr codeName="Sheet3"/>
  <dimension ref="A1:N48"/>
  <sheetViews>
    <sheetView topLeftCell="A17" zoomScaleNormal="100" workbookViewId="0">
      <pane xSplit="2" topLeftCell="E1" activePane="topRight" state="frozen"/>
      <selection pane="topRight" activeCell="N22" sqref="N22"/>
    </sheetView>
  </sheetViews>
  <sheetFormatPr defaultRowHeight="15" x14ac:dyDescent="0.25"/>
  <cols>
    <col min="1" max="1" width="22.140625" bestFit="1" customWidth="1"/>
    <col min="2" max="2" width="41.85546875" customWidth="1"/>
    <col min="3" max="3" width="11.42578125" customWidth="1"/>
    <col min="5" max="5" width="9.140625" customWidth="1"/>
    <col min="6" max="7" width="12.140625" customWidth="1"/>
    <col min="8" max="9" width="11" customWidth="1"/>
    <col min="11" max="11" width="11.140625" customWidth="1"/>
    <col min="12" max="12" width="14.140625" customWidth="1"/>
  </cols>
  <sheetData>
    <row r="1" spans="1:14" ht="60" x14ac:dyDescent="0.25">
      <c r="A1" s="4" t="s">
        <v>58</v>
      </c>
      <c r="B1" s="7" t="s">
        <v>57</v>
      </c>
      <c r="C1" s="1" t="s">
        <v>4</v>
      </c>
      <c r="D1" s="1" t="s">
        <v>2</v>
      </c>
      <c r="E1" s="1" t="s">
        <v>3</v>
      </c>
      <c r="F1" s="1" t="s">
        <v>59</v>
      </c>
      <c r="G1" s="1" t="s">
        <v>109</v>
      </c>
      <c r="H1" s="1" t="s">
        <v>60</v>
      </c>
      <c r="I1" s="1" t="s">
        <v>110</v>
      </c>
      <c r="J1" s="1" t="s">
        <v>9</v>
      </c>
      <c r="K1" s="1" t="s">
        <v>5</v>
      </c>
      <c r="L1" s="1" t="s">
        <v>6</v>
      </c>
      <c r="M1" s="1" t="s">
        <v>105</v>
      </c>
      <c r="N1" s="1" t="s">
        <v>106</v>
      </c>
    </row>
    <row r="2" spans="1:14" x14ac:dyDescent="0.25">
      <c r="A2" s="18" t="s">
        <v>126</v>
      </c>
      <c r="B2" s="19" t="s">
        <v>127</v>
      </c>
      <c r="C2" s="20"/>
      <c r="D2" s="20"/>
      <c r="E2" s="6">
        <f>+D2*C2</f>
        <v>0</v>
      </c>
      <c r="F2" s="34">
        <v>28.9</v>
      </c>
      <c r="G2" s="17"/>
      <c r="H2" s="34">
        <f>+'CDI-CDE'!B9*100</f>
        <v>20.509557671026659</v>
      </c>
      <c r="I2" s="17"/>
      <c r="J2" s="17">
        <v>0</v>
      </c>
      <c r="K2" s="17"/>
      <c r="L2" s="17"/>
      <c r="M2" s="17"/>
      <c r="N2" s="17"/>
    </row>
    <row r="3" spans="1:14" x14ac:dyDescent="0.25">
      <c r="A3" s="18" t="s">
        <v>174</v>
      </c>
      <c r="B3" s="19" t="s">
        <v>196</v>
      </c>
      <c r="C3" s="20">
        <v>12.64</v>
      </c>
      <c r="D3" s="20">
        <v>2.6</v>
      </c>
      <c r="E3" s="6">
        <f t="shared" ref="E3:E48" si="0">+C3*D3</f>
        <v>32.864000000000004</v>
      </c>
      <c r="F3" s="17">
        <v>22</v>
      </c>
      <c r="G3" s="17"/>
      <c r="H3" s="17" t="s">
        <v>104</v>
      </c>
      <c r="I3" s="17"/>
      <c r="J3" s="17">
        <v>10</v>
      </c>
      <c r="K3" s="17"/>
      <c r="L3" s="17"/>
      <c r="M3" s="17"/>
      <c r="N3" s="17"/>
    </row>
    <row r="4" spans="1:14" x14ac:dyDescent="0.25">
      <c r="A4" s="18" t="s">
        <v>175</v>
      </c>
      <c r="B4" s="19" t="s">
        <v>197</v>
      </c>
      <c r="C4" s="20">
        <v>3.63</v>
      </c>
      <c r="D4" s="20">
        <v>2.6</v>
      </c>
      <c r="E4" s="6">
        <f t="shared" si="0"/>
        <v>9.4380000000000006</v>
      </c>
      <c r="F4" s="17">
        <v>22</v>
      </c>
      <c r="G4" s="17"/>
      <c r="H4" s="17" t="s">
        <v>104</v>
      </c>
      <c r="I4" s="17"/>
      <c r="J4" s="17">
        <v>10</v>
      </c>
      <c r="K4" s="17"/>
      <c r="L4" s="17"/>
      <c r="M4" s="17"/>
      <c r="N4" s="17"/>
    </row>
    <row r="5" spans="1:14" x14ac:dyDescent="0.25">
      <c r="A5" s="18" t="s">
        <v>176</v>
      </c>
      <c r="B5" s="19" t="s">
        <v>198</v>
      </c>
      <c r="C5" s="20">
        <v>3.69</v>
      </c>
      <c r="D5" s="20">
        <v>2.91</v>
      </c>
      <c r="E5" s="6">
        <f t="shared" si="0"/>
        <v>10.7379</v>
      </c>
      <c r="F5" s="17">
        <v>22</v>
      </c>
      <c r="G5" s="17"/>
      <c r="H5" s="17" t="s">
        <v>104</v>
      </c>
      <c r="I5" s="17"/>
      <c r="J5" s="17">
        <v>10</v>
      </c>
      <c r="K5" s="17"/>
      <c r="L5" s="17"/>
      <c r="M5" s="17"/>
      <c r="N5" s="17"/>
    </row>
    <row r="6" spans="1:14" x14ac:dyDescent="0.25">
      <c r="A6" s="18" t="s">
        <v>177</v>
      </c>
      <c r="B6" s="19" t="s">
        <v>199</v>
      </c>
      <c r="C6" s="20">
        <v>26.38</v>
      </c>
      <c r="D6" s="20">
        <v>2.6</v>
      </c>
      <c r="E6" s="6">
        <f t="shared" si="0"/>
        <v>68.587999999999994</v>
      </c>
      <c r="F6" s="17">
        <v>22</v>
      </c>
      <c r="G6" s="17"/>
      <c r="H6" s="17">
        <v>50</v>
      </c>
      <c r="I6" s="17"/>
      <c r="J6" s="17">
        <v>-10</v>
      </c>
      <c r="K6" s="17"/>
      <c r="L6" s="17"/>
      <c r="M6" s="17"/>
      <c r="N6" s="17"/>
    </row>
    <row r="7" spans="1:14" x14ac:dyDescent="0.25">
      <c r="A7" s="18" t="s">
        <v>178</v>
      </c>
      <c r="B7" s="19" t="s">
        <v>200</v>
      </c>
      <c r="C7" s="20">
        <v>17.190000000000001</v>
      </c>
      <c r="D7" s="20">
        <v>2.6</v>
      </c>
      <c r="E7" s="6">
        <f t="shared" si="0"/>
        <v>44.694000000000003</v>
      </c>
      <c r="F7" s="17">
        <v>22</v>
      </c>
      <c r="G7" s="17"/>
      <c r="H7" s="17" t="s">
        <v>104</v>
      </c>
      <c r="I7" s="17"/>
      <c r="J7" s="17">
        <v>-5</v>
      </c>
      <c r="K7" s="17"/>
      <c r="L7" s="17"/>
      <c r="M7" s="17"/>
      <c r="N7" s="17"/>
    </row>
    <row r="8" spans="1:14" x14ac:dyDescent="0.25">
      <c r="A8" s="18" t="s">
        <v>179</v>
      </c>
      <c r="B8" s="19" t="s">
        <v>201</v>
      </c>
      <c r="C8" s="20">
        <v>24.44</v>
      </c>
      <c r="D8" s="20">
        <v>2.6</v>
      </c>
      <c r="E8" s="6">
        <f t="shared" si="0"/>
        <v>63.544000000000004</v>
      </c>
      <c r="F8" s="17">
        <v>22</v>
      </c>
      <c r="G8" s="17"/>
      <c r="H8" s="17">
        <v>50</v>
      </c>
      <c r="I8" s="17"/>
      <c r="J8" s="17">
        <v>10</v>
      </c>
      <c r="K8" s="17"/>
      <c r="L8" s="17"/>
      <c r="M8" s="17"/>
      <c r="N8" s="17"/>
    </row>
    <row r="9" spans="1:14" x14ac:dyDescent="0.25">
      <c r="A9" s="18" t="s">
        <v>180</v>
      </c>
      <c r="B9" s="19" t="s">
        <v>202</v>
      </c>
      <c r="C9" s="20">
        <v>28.89</v>
      </c>
      <c r="D9" s="20">
        <v>2.6</v>
      </c>
      <c r="E9" s="6">
        <f t="shared" si="0"/>
        <v>75.114000000000004</v>
      </c>
      <c r="F9" s="17">
        <v>22</v>
      </c>
      <c r="G9" s="17"/>
      <c r="H9" s="17">
        <v>50</v>
      </c>
      <c r="I9" s="17"/>
      <c r="J9" s="17">
        <v>10</v>
      </c>
      <c r="K9" s="17"/>
      <c r="L9" s="17"/>
      <c r="M9" s="17"/>
      <c r="N9" s="17"/>
    </row>
    <row r="10" spans="1:14" x14ac:dyDescent="0.25">
      <c r="A10" s="18" t="s">
        <v>181</v>
      </c>
      <c r="B10" s="19" t="s">
        <v>203</v>
      </c>
      <c r="C10" s="20">
        <v>29.64</v>
      </c>
      <c r="D10" s="20">
        <v>2.6</v>
      </c>
      <c r="E10" s="6">
        <f t="shared" si="0"/>
        <v>77.064000000000007</v>
      </c>
      <c r="F10" s="17">
        <v>22</v>
      </c>
      <c r="G10" s="17"/>
      <c r="H10" s="17">
        <v>50</v>
      </c>
      <c r="I10" s="17"/>
      <c r="J10" s="17">
        <v>10</v>
      </c>
      <c r="K10" s="17"/>
      <c r="L10" s="17"/>
      <c r="M10" s="17"/>
      <c r="N10" s="17"/>
    </row>
    <row r="11" spans="1:14" x14ac:dyDescent="0.25">
      <c r="A11" s="18" t="s">
        <v>182</v>
      </c>
      <c r="B11" s="19" t="s">
        <v>204</v>
      </c>
      <c r="C11" s="20">
        <v>11.59</v>
      </c>
      <c r="D11" s="20">
        <v>2.6</v>
      </c>
      <c r="E11" s="6">
        <f t="shared" si="0"/>
        <v>30.134</v>
      </c>
      <c r="F11" s="17">
        <v>22</v>
      </c>
      <c r="G11" s="17"/>
      <c r="H11" s="17">
        <v>50</v>
      </c>
      <c r="I11" s="17"/>
      <c r="J11" s="17">
        <v>5</v>
      </c>
      <c r="K11" s="17"/>
      <c r="L11" s="17"/>
      <c r="M11" s="17"/>
      <c r="N11" s="17"/>
    </row>
    <row r="12" spans="1:14" x14ac:dyDescent="0.25">
      <c r="A12" s="18" t="s">
        <v>183</v>
      </c>
      <c r="B12" s="19" t="s">
        <v>205</v>
      </c>
      <c r="C12" s="20">
        <v>13.68</v>
      </c>
      <c r="D12" s="20">
        <v>2.6</v>
      </c>
      <c r="E12" s="6">
        <f t="shared" si="0"/>
        <v>35.567999999999998</v>
      </c>
      <c r="F12" s="17">
        <v>22</v>
      </c>
      <c r="G12" s="17"/>
      <c r="H12" s="17">
        <v>50</v>
      </c>
      <c r="I12" s="17"/>
      <c r="J12" s="17">
        <v>-10</v>
      </c>
      <c r="K12" s="17"/>
      <c r="L12" s="17"/>
      <c r="M12" s="17"/>
      <c r="N12" s="17"/>
    </row>
    <row r="13" spans="1:14" x14ac:dyDescent="0.25">
      <c r="A13" s="18" t="s">
        <v>184</v>
      </c>
      <c r="B13" s="19" t="s">
        <v>206</v>
      </c>
      <c r="C13" s="20">
        <v>40.04</v>
      </c>
      <c r="D13" s="20">
        <v>2.6</v>
      </c>
      <c r="E13" s="6">
        <f t="shared" si="0"/>
        <v>104.104</v>
      </c>
      <c r="F13" s="17">
        <v>22</v>
      </c>
      <c r="G13" s="17"/>
      <c r="H13" s="17" t="s">
        <v>104</v>
      </c>
      <c r="I13" s="17"/>
      <c r="J13" s="17">
        <v>10</v>
      </c>
      <c r="K13" s="17"/>
      <c r="L13" s="17"/>
      <c r="M13" s="17"/>
      <c r="N13" s="17"/>
    </row>
    <row r="14" spans="1:14" x14ac:dyDescent="0.25">
      <c r="A14" s="18" t="s">
        <v>185</v>
      </c>
      <c r="B14" s="19" t="s">
        <v>207</v>
      </c>
      <c r="C14" s="20">
        <v>5.39</v>
      </c>
      <c r="D14" s="20">
        <v>2.6</v>
      </c>
      <c r="E14" s="6">
        <f t="shared" si="0"/>
        <v>14.013999999999999</v>
      </c>
      <c r="F14" s="17">
        <v>22</v>
      </c>
      <c r="G14" s="17"/>
      <c r="H14" s="17" t="s">
        <v>104</v>
      </c>
      <c r="I14" s="17"/>
      <c r="J14" s="17">
        <v>15</v>
      </c>
      <c r="K14" s="17"/>
      <c r="L14" s="17"/>
      <c r="M14" s="17"/>
      <c r="N14" s="17"/>
    </row>
    <row r="15" spans="1:14" x14ac:dyDescent="0.25">
      <c r="A15" s="18" t="s">
        <v>165</v>
      </c>
      <c r="B15" s="19" t="s">
        <v>187</v>
      </c>
      <c r="C15" s="20">
        <v>36.06</v>
      </c>
      <c r="D15" s="20">
        <v>2.6</v>
      </c>
      <c r="E15" s="6">
        <f t="shared" si="0"/>
        <v>93.756000000000014</v>
      </c>
      <c r="F15" s="17">
        <v>22</v>
      </c>
      <c r="G15" s="17"/>
      <c r="H15" s="17" t="s">
        <v>104</v>
      </c>
      <c r="I15" s="17"/>
      <c r="J15" s="17">
        <v>15</v>
      </c>
      <c r="K15" s="17"/>
      <c r="L15" s="17"/>
      <c r="M15" s="17"/>
      <c r="N15" s="17"/>
    </row>
    <row r="16" spans="1:14" x14ac:dyDescent="0.25">
      <c r="A16" s="18" t="s">
        <v>166</v>
      </c>
      <c r="B16" s="19" t="s">
        <v>188</v>
      </c>
      <c r="C16" s="20">
        <v>46.67</v>
      </c>
      <c r="D16" s="20">
        <v>2.6</v>
      </c>
      <c r="E16" s="6">
        <f t="shared" si="0"/>
        <v>121.34200000000001</v>
      </c>
      <c r="F16" s="17">
        <v>22</v>
      </c>
      <c r="G16" s="17"/>
      <c r="H16" s="17">
        <v>50</v>
      </c>
      <c r="I16" s="17"/>
      <c r="J16" s="17">
        <v>20</v>
      </c>
      <c r="K16" s="17"/>
      <c r="L16" s="17"/>
      <c r="M16" s="17"/>
      <c r="N16" s="17"/>
    </row>
    <row r="17" spans="1:14" x14ac:dyDescent="0.25">
      <c r="A17" s="18" t="s">
        <v>128</v>
      </c>
      <c r="B17" s="19" t="s">
        <v>10</v>
      </c>
      <c r="C17" s="20">
        <v>11.29</v>
      </c>
      <c r="D17" s="20">
        <v>2.6</v>
      </c>
      <c r="E17" s="6">
        <f t="shared" si="0"/>
        <v>29.353999999999999</v>
      </c>
      <c r="F17" s="17">
        <v>22</v>
      </c>
      <c r="G17" s="17" t="s">
        <v>119</v>
      </c>
      <c r="H17" s="17">
        <v>50</v>
      </c>
      <c r="I17" s="17" t="s">
        <v>111</v>
      </c>
      <c r="J17" s="17">
        <v>20</v>
      </c>
      <c r="K17" s="17">
        <v>10</v>
      </c>
      <c r="L17" s="17">
        <v>4</v>
      </c>
      <c r="M17" s="17" t="s">
        <v>107</v>
      </c>
      <c r="N17" s="17" t="s">
        <v>108</v>
      </c>
    </row>
    <row r="18" spans="1:14" x14ac:dyDescent="0.25">
      <c r="A18" s="18" t="s">
        <v>167</v>
      </c>
      <c r="B18" s="19" t="s">
        <v>189</v>
      </c>
      <c r="C18" s="20">
        <v>3.89</v>
      </c>
      <c r="D18" s="20">
        <v>2.6</v>
      </c>
      <c r="E18" s="6">
        <f t="shared" si="0"/>
        <v>10.114000000000001</v>
      </c>
      <c r="F18" s="17" t="s">
        <v>120</v>
      </c>
      <c r="G18" s="17"/>
      <c r="H18" s="17" t="s">
        <v>120</v>
      </c>
      <c r="I18" s="17"/>
      <c r="J18" s="17">
        <v>5</v>
      </c>
      <c r="K18" s="17"/>
      <c r="L18" s="17"/>
      <c r="M18" s="17"/>
      <c r="N18" s="17"/>
    </row>
    <row r="19" spans="1:14" x14ac:dyDescent="0.25">
      <c r="A19" s="18" t="s">
        <v>168</v>
      </c>
      <c r="B19" s="19" t="s">
        <v>190</v>
      </c>
      <c r="C19" s="20">
        <v>10.58</v>
      </c>
      <c r="D19" s="20">
        <v>2.6</v>
      </c>
      <c r="E19" s="6">
        <f t="shared" si="0"/>
        <v>27.508000000000003</v>
      </c>
      <c r="F19" s="17">
        <v>22</v>
      </c>
      <c r="G19" s="17"/>
      <c r="H19" s="17">
        <v>50</v>
      </c>
      <c r="I19" s="17"/>
      <c r="J19" s="17">
        <v>5</v>
      </c>
      <c r="K19" s="17"/>
      <c r="L19" s="17"/>
      <c r="M19" s="17"/>
      <c r="N19" s="17"/>
    </row>
    <row r="20" spans="1:14" x14ac:dyDescent="0.25">
      <c r="A20" s="18" t="s">
        <v>169</v>
      </c>
      <c r="B20" s="19" t="s">
        <v>191</v>
      </c>
      <c r="C20" s="20">
        <v>8.3800000000000008</v>
      </c>
      <c r="D20" s="20">
        <v>2.6</v>
      </c>
      <c r="E20" s="6">
        <f t="shared" si="0"/>
        <v>21.788000000000004</v>
      </c>
      <c r="F20" s="17">
        <v>22</v>
      </c>
      <c r="G20" s="17"/>
      <c r="H20" s="17">
        <v>50</v>
      </c>
      <c r="I20" s="17"/>
      <c r="J20" s="17">
        <v>5</v>
      </c>
      <c r="K20" s="17"/>
      <c r="L20" s="17"/>
      <c r="M20" s="17"/>
      <c r="N20" s="17"/>
    </row>
    <row r="21" spans="1:14" x14ac:dyDescent="0.25">
      <c r="A21" s="18" t="s">
        <v>170</v>
      </c>
      <c r="B21" s="19" t="s">
        <v>192</v>
      </c>
      <c r="C21" s="20">
        <v>9.31</v>
      </c>
      <c r="D21" s="20">
        <v>2.6</v>
      </c>
      <c r="E21" s="6">
        <f t="shared" si="0"/>
        <v>24.206000000000003</v>
      </c>
      <c r="F21" s="17">
        <v>22</v>
      </c>
      <c r="G21" s="17"/>
      <c r="H21" s="17">
        <v>50</v>
      </c>
      <c r="I21" s="17"/>
      <c r="J21" s="17">
        <v>5</v>
      </c>
      <c r="K21" s="17"/>
      <c r="L21" s="17"/>
      <c r="M21" s="17"/>
      <c r="N21" s="17"/>
    </row>
    <row r="22" spans="1:14" x14ac:dyDescent="0.25">
      <c r="A22" s="18" t="s">
        <v>186</v>
      </c>
      <c r="B22" s="19" t="s">
        <v>208</v>
      </c>
      <c r="C22" s="20">
        <v>20.190000000000001</v>
      </c>
      <c r="D22" s="20">
        <v>2.6</v>
      </c>
      <c r="E22" s="6">
        <f t="shared" si="0"/>
        <v>52.494000000000007</v>
      </c>
      <c r="F22" s="17">
        <v>22</v>
      </c>
      <c r="G22" s="17"/>
      <c r="H22" s="17">
        <v>50</v>
      </c>
      <c r="I22" s="17"/>
      <c r="J22" s="17">
        <v>25</v>
      </c>
      <c r="K22" s="17"/>
      <c r="L22" s="17"/>
      <c r="M22" s="17"/>
      <c r="N22" s="17"/>
    </row>
    <row r="23" spans="1:14" x14ac:dyDescent="0.25">
      <c r="A23" s="18" t="s">
        <v>171</v>
      </c>
      <c r="B23" s="19" t="s">
        <v>193</v>
      </c>
      <c r="C23" s="20">
        <v>17.52</v>
      </c>
      <c r="D23" s="20">
        <v>2.6</v>
      </c>
      <c r="E23" s="6">
        <f t="shared" si="0"/>
        <v>45.552</v>
      </c>
      <c r="F23" s="17">
        <v>22</v>
      </c>
      <c r="G23" s="17"/>
      <c r="H23" s="17">
        <v>50</v>
      </c>
      <c r="I23" s="17"/>
      <c r="J23" s="17">
        <v>5</v>
      </c>
      <c r="K23" s="17"/>
      <c r="L23" s="17"/>
      <c r="M23" s="17"/>
      <c r="N23" s="17"/>
    </row>
    <row r="24" spans="1:14" x14ac:dyDescent="0.25">
      <c r="A24" s="18" t="s">
        <v>172</v>
      </c>
      <c r="B24" s="19" t="s">
        <v>194</v>
      </c>
      <c r="C24" s="20">
        <v>21.43</v>
      </c>
      <c r="D24" s="20">
        <v>2.6</v>
      </c>
      <c r="E24" s="6">
        <f t="shared" si="0"/>
        <v>55.718000000000004</v>
      </c>
      <c r="F24" s="17">
        <v>22</v>
      </c>
      <c r="G24" s="17"/>
      <c r="H24" s="17">
        <v>50</v>
      </c>
      <c r="I24" s="17"/>
      <c r="J24" s="17">
        <v>-5</v>
      </c>
      <c r="K24" s="17"/>
      <c r="L24" s="17"/>
      <c r="M24" s="17"/>
      <c r="N24" s="17"/>
    </row>
    <row r="25" spans="1:14" x14ac:dyDescent="0.25">
      <c r="A25" s="18" t="s">
        <v>173</v>
      </c>
      <c r="B25" s="19" t="s">
        <v>195</v>
      </c>
      <c r="C25" s="20">
        <v>13.38</v>
      </c>
      <c r="D25" s="20">
        <v>2.6</v>
      </c>
      <c r="E25" s="6">
        <f t="shared" si="0"/>
        <v>34.788000000000004</v>
      </c>
      <c r="F25" s="17">
        <v>22</v>
      </c>
      <c r="G25" s="17"/>
      <c r="H25" s="17">
        <v>50</v>
      </c>
      <c r="I25" s="17"/>
      <c r="J25" s="17">
        <v>15</v>
      </c>
      <c r="K25" s="17"/>
      <c r="L25" s="17"/>
      <c r="M25" s="17"/>
      <c r="N25" s="17"/>
    </row>
    <row r="26" spans="1:14" x14ac:dyDescent="0.25">
      <c r="A26" s="18" t="s">
        <v>17</v>
      </c>
      <c r="B26" s="19" t="s">
        <v>11</v>
      </c>
      <c r="C26" s="20">
        <v>19.5</v>
      </c>
      <c r="D26" s="20">
        <v>2.6</v>
      </c>
      <c r="E26" s="6">
        <f t="shared" si="0"/>
        <v>50.7</v>
      </c>
      <c r="F26" s="17">
        <v>22</v>
      </c>
      <c r="G26" s="17" t="s">
        <v>119</v>
      </c>
      <c r="H26" s="17">
        <v>50</v>
      </c>
      <c r="I26" s="17" t="s">
        <v>111</v>
      </c>
      <c r="J26" s="17">
        <v>5</v>
      </c>
      <c r="K26" s="17">
        <v>10</v>
      </c>
      <c r="L26" s="17">
        <v>4</v>
      </c>
      <c r="M26" s="17" t="s">
        <v>107</v>
      </c>
      <c r="N26" s="17" t="s">
        <v>108</v>
      </c>
    </row>
    <row r="27" spans="1:14" x14ac:dyDescent="0.25">
      <c r="A27" s="18" t="s">
        <v>18</v>
      </c>
      <c r="B27" s="19" t="s">
        <v>12</v>
      </c>
      <c r="C27" s="20">
        <v>16.350000000000001</v>
      </c>
      <c r="D27" s="20">
        <v>2.6</v>
      </c>
      <c r="E27" s="6">
        <f t="shared" si="0"/>
        <v>42.510000000000005</v>
      </c>
      <c r="F27" s="17">
        <v>22</v>
      </c>
      <c r="G27" s="17" t="s">
        <v>122</v>
      </c>
      <c r="H27" s="17">
        <v>50</v>
      </c>
      <c r="I27" s="17" t="s">
        <v>111</v>
      </c>
      <c r="J27" s="17">
        <v>10</v>
      </c>
      <c r="K27" s="17">
        <v>10</v>
      </c>
      <c r="L27" s="17">
        <v>2</v>
      </c>
      <c r="M27" s="17" t="s">
        <v>107</v>
      </c>
      <c r="N27" s="17" t="s">
        <v>108</v>
      </c>
    </row>
    <row r="28" spans="1:14" x14ac:dyDescent="0.25">
      <c r="A28" s="18" t="s">
        <v>19</v>
      </c>
      <c r="B28" s="19" t="s">
        <v>13</v>
      </c>
      <c r="C28" s="20">
        <v>10.35</v>
      </c>
      <c r="D28" s="20">
        <v>2.6</v>
      </c>
      <c r="E28" s="6">
        <f t="shared" si="0"/>
        <v>26.91</v>
      </c>
      <c r="F28" s="17">
        <v>22</v>
      </c>
      <c r="G28" s="17" t="s">
        <v>119</v>
      </c>
      <c r="H28" s="17">
        <v>50</v>
      </c>
      <c r="I28" s="17" t="s">
        <v>111</v>
      </c>
      <c r="J28" s="17">
        <v>5</v>
      </c>
      <c r="K28" s="17">
        <v>10</v>
      </c>
      <c r="L28" s="17">
        <v>4</v>
      </c>
      <c r="M28" s="17" t="s">
        <v>107</v>
      </c>
      <c r="N28" s="17" t="s">
        <v>108</v>
      </c>
    </row>
    <row r="29" spans="1:14" x14ac:dyDescent="0.25">
      <c r="A29" s="18" t="s">
        <v>20</v>
      </c>
      <c r="B29" s="19" t="s">
        <v>14</v>
      </c>
      <c r="C29" s="20">
        <v>19.41</v>
      </c>
      <c r="D29" s="20">
        <v>3.25</v>
      </c>
      <c r="E29" s="6">
        <f t="shared" si="0"/>
        <v>63.082500000000003</v>
      </c>
      <c r="F29" s="17">
        <v>22</v>
      </c>
      <c r="G29" s="17" t="s">
        <v>123</v>
      </c>
      <c r="H29" s="17">
        <v>50</v>
      </c>
      <c r="I29" s="17" t="s">
        <v>111</v>
      </c>
      <c r="J29" s="17">
        <v>10</v>
      </c>
      <c r="K29" s="17">
        <v>15</v>
      </c>
      <c r="L29" s="17">
        <v>4</v>
      </c>
      <c r="M29" s="17" t="s">
        <v>107</v>
      </c>
      <c r="N29" s="17" t="s">
        <v>108</v>
      </c>
    </row>
    <row r="30" spans="1:14" x14ac:dyDescent="0.25">
      <c r="A30" s="18" t="s">
        <v>21</v>
      </c>
      <c r="B30" s="19" t="s">
        <v>15</v>
      </c>
      <c r="C30" s="20">
        <v>15.25</v>
      </c>
      <c r="D30" s="20">
        <v>3.25</v>
      </c>
      <c r="E30" s="6">
        <f t="shared" si="0"/>
        <v>49.5625</v>
      </c>
      <c r="F30" s="17">
        <v>22</v>
      </c>
      <c r="G30" s="17" t="s">
        <v>119</v>
      </c>
      <c r="H30" s="17" t="s">
        <v>104</v>
      </c>
      <c r="I30" s="17" t="s">
        <v>111</v>
      </c>
      <c r="J30" s="17">
        <v>0</v>
      </c>
      <c r="K30" s="17"/>
      <c r="L30" s="17"/>
      <c r="M30" s="17" t="s">
        <v>107</v>
      </c>
      <c r="N30" s="17" t="s">
        <v>107</v>
      </c>
    </row>
    <row r="31" spans="1:14" x14ac:dyDescent="0.25">
      <c r="A31" s="18" t="s">
        <v>22</v>
      </c>
      <c r="B31" s="19" t="s">
        <v>42</v>
      </c>
      <c r="C31" s="20">
        <v>183.44</v>
      </c>
      <c r="D31" s="20">
        <v>2.6</v>
      </c>
      <c r="E31" s="6">
        <f t="shared" si="0"/>
        <v>476.94400000000002</v>
      </c>
      <c r="F31" s="17">
        <v>22</v>
      </c>
      <c r="G31" s="17" t="s">
        <v>119</v>
      </c>
      <c r="H31" s="17" t="s">
        <v>104</v>
      </c>
      <c r="I31" s="17" t="s">
        <v>111</v>
      </c>
      <c r="J31" s="17">
        <v>0</v>
      </c>
      <c r="K31" s="17"/>
      <c r="L31" s="17"/>
      <c r="M31" s="17" t="s">
        <v>107</v>
      </c>
      <c r="N31" s="17" t="s">
        <v>121</v>
      </c>
    </row>
    <row r="32" spans="1:14" x14ac:dyDescent="0.25">
      <c r="A32" s="18" t="s">
        <v>29</v>
      </c>
      <c r="B32" s="19" t="s">
        <v>28</v>
      </c>
      <c r="C32" s="20">
        <v>16.260000000000002</v>
      </c>
      <c r="D32" s="20">
        <v>2.6</v>
      </c>
      <c r="E32" s="6">
        <f t="shared" si="0"/>
        <v>42.276000000000003</v>
      </c>
      <c r="F32" s="17">
        <v>22</v>
      </c>
      <c r="G32" s="17" t="s">
        <v>119</v>
      </c>
      <c r="H32" s="17" t="s">
        <v>104</v>
      </c>
      <c r="I32" s="17" t="s">
        <v>111</v>
      </c>
      <c r="J32" s="17">
        <v>15</v>
      </c>
      <c r="K32" s="17">
        <v>10</v>
      </c>
      <c r="L32" s="17">
        <v>2</v>
      </c>
      <c r="M32" s="17" t="s">
        <v>107</v>
      </c>
      <c r="N32" s="17" t="s">
        <v>108</v>
      </c>
    </row>
    <row r="33" spans="1:14" x14ac:dyDescent="0.25">
      <c r="A33" s="18" t="s">
        <v>31</v>
      </c>
      <c r="B33" s="19" t="s">
        <v>30</v>
      </c>
      <c r="C33" s="20">
        <v>5.74</v>
      </c>
      <c r="D33" s="20">
        <v>2.6</v>
      </c>
      <c r="E33" s="6">
        <f t="shared" si="0"/>
        <v>14.924000000000001</v>
      </c>
      <c r="F33" s="17">
        <v>22</v>
      </c>
      <c r="G33" s="17" t="s">
        <v>119</v>
      </c>
      <c r="H33" s="17" t="s">
        <v>104</v>
      </c>
      <c r="I33" s="17" t="s">
        <v>111</v>
      </c>
      <c r="J33" s="17">
        <v>5</v>
      </c>
      <c r="K33" s="17">
        <v>6</v>
      </c>
      <c r="L33" s="17"/>
      <c r="M33" s="17" t="s">
        <v>107</v>
      </c>
      <c r="N33" s="17" t="s">
        <v>108</v>
      </c>
    </row>
    <row r="34" spans="1:14" x14ac:dyDescent="0.25">
      <c r="A34" s="18" t="s">
        <v>33</v>
      </c>
      <c r="B34" s="19" t="s">
        <v>32</v>
      </c>
      <c r="C34" s="20">
        <v>43.1</v>
      </c>
      <c r="D34" s="20">
        <v>2.6</v>
      </c>
      <c r="E34" s="6">
        <f t="shared" si="0"/>
        <v>112.06</v>
      </c>
      <c r="F34" s="17">
        <v>22</v>
      </c>
      <c r="G34" s="17" t="s">
        <v>119</v>
      </c>
      <c r="H34" s="17" t="s">
        <v>104</v>
      </c>
      <c r="I34" s="17" t="s">
        <v>111</v>
      </c>
      <c r="J34" s="17">
        <v>10</v>
      </c>
      <c r="K34" s="17">
        <v>10</v>
      </c>
      <c r="L34" s="17">
        <v>2</v>
      </c>
      <c r="M34" s="17" t="s">
        <v>107</v>
      </c>
      <c r="N34" s="17" t="s">
        <v>108</v>
      </c>
    </row>
    <row r="35" spans="1:14" x14ac:dyDescent="0.25">
      <c r="A35" s="18" t="s">
        <v>35</v>
      </c>
      <c r="B35" s="19" t="s">
        <v>34</v>
      </c>
      <c r="C35" s="20">
        <v>17.43</v>
      </c>
      <c r="D35" s="20">
        <v>2.6</v>
      </c>
      <c r="E35" s="6">
        <f t="shared" si="0"/>
        <v>45.317999999999998</v>
      </c>
      <c r="F35" s="17">
        <v>22</v>
      </c>
      <c r="G35" s="17" t="s">
        <v>119</v>
      </c>
      <c r="H35" s="17" t="s">
        <v>104</v>
      </c>
      <c r="I35" s="17" t="s">
        <v>111</v>
      </c>
      <c r="J35" s="17">
        <v>15</v>
      </c>
      <c r="K35" s="17">
        <v>10</v>
      </c>
      <c r="L35" s="17">
        <v>2</v>
      </c>
      <c r="M35" s="17" t="s">
        <v>107</v>
      </c>
      <c r="N35" s="17" t="s">
        <v>108</v>
      </c>
    </row>
    <row r="36" spans="1:14" x14ac:dyDescent="0.25">
      <c r="A36" s="18" t="s">
        <v>44</v>
      </c>
      <c r="B36" s="19" t="s">
        <v>43</v>
      </c>
      <c r="C36" s="20">
        <v>33.49</v>
      </c>
      <c r="D36" s="20">
        <v>2.6</v>
      </c>
      <c r="E36" s="6">
        <f t="shared" si="0"/>
        <v>87.074000000000012</v>
      </c>
      <c r="F36" s="17">
        <v>22</v>
      </c>
      <c r="G36" s="17" t="s">
        <v>119</v>
      </c>
      <c r="H36" s="17" t="s">
        <v>104</v>
      </c>
      <c r="I36" s="17" t="s">
        <v>111</v>
      </c>
      <c r="J36" s="17">
        <v>0</v>
      </c>
      <c r="K36" s="17"/>
      <c r="L36" s="17"/>
      <c r="M36" s="17" t="s">
        <v>107</v>
      </c>
      <c r="N36" s="17" t="s">
        <v>121</v>
      </c>
    </row>
    <row r="37" spans="1:14" x14ac:dyDescent="0.25">
      <c r="A37" s="18" t="s">
        <v>37</v>
      </c>
      <c r="B37" s="19" t="s">
        <v>36</v>
      </c>
      <c r="C37" s="20">
        <v>46.25</v>
      </c>
      <c r="D37" s="20">
        <v>2.6</v>
      </c>
      <c r="E37" s="6">
        <f t="shared" si="0"/>
        <v>120.25</v>
      </c>
      <c r="F37" s="17">
        <v>22</v>
      </c>
      <c r="G37" s="17" t="s">
        <v>119</v>
      </c>
      <c r="H37" s="17" t="s">
        <v>104</v>
      </c>
      <c r="I37" s="17" t="s">
        <v>111</v>
      </c>
      <c r="J37" s="17">
        <v>10</v>
      </c>
      <c r="K37" s="17">
        <v>10</v>
      </c>
      <c r="L37" s="17">
        <v>2</v>
      </c>
      <c r="M37" s="17" t="s">
        <v>107</v>
      </c>
      <c r="N37" s="17" t="s">
        <v>108</v>
      </c>
    </row>
    <row r="38" spans="1:14" x14ac:dyDescent="0.25">
      <c r="A38" s="18" t="s">
        <v>39</v>
      </c>
      <c r="B38" s="19" t="s">
        <v>38</v>
      </c>
      <c r="C38" s="20">
        <v>17.37</v>
      </c>
      <c r="D38" s="20">
        <v>2.6</v>
      </c>
      <c r="E38" s="6">
        <f t="shared" si="0"/>
        <v>45.162000000000006</v>
      </c>
      <c r="F38" s="17">
        <v>22</v>
      </c>
      <c r="G38" s="17" t="s">
        <v>119</v>
      </c>
      <c r="H38" s="17" t="s">
        <v>104</v>
      </c>
      <c r="I38" s="17" t="s">
        <v>111</v>
      </c>
      <c r="J38" s="17">
        <v>15</v>
      </c>
      <c r="K38" s="17">
        <v>10</v>
      </c>
      <c r="L38" s="17">
        <v>2</v>
      </c>
      <c r="M38" s="17" t="s">
        <v>107</v>
      </c>
      <c r="N38" s="17" t="s">
        <v>108</v>
      </c>
    </row>
    <row r="39" spans="1:14" x14ac:dyDescent="0.25">
      <c r="A39" s="18" t="s">
        <v>41</v>
      </c>
      <c r="B39" s="19" t="s">
        <v>40</v>
      </c>
      <c r="C39" s="20">
        <v>16.079999999999998</v>
      </c>
      <c r="D39" s="20">
        <v>2.6</v>
      </c>
      <c r="E39" s="6">
        <f t="shared" si="0"/>
        <v>41.808</v>
      </c>
      <c r="F39" s="17">
        <v>22</v>
      </c>
      <c r="G39" s="17" t="s">
        <v>119</v>
      </c>
      <c r="H39" s="17" t="s">
        <v>104</v>
      </c>
      <c r="I39" s="17" t="s">
        <v>111</v>
      </c>
      <c r="J39" s="17">
        <v>15</v>
      </c>
      <c r="K39" s="17">
        <v>10</v>
      </c>
      <c r="L39" s="17">
        <v>2</v>
      </c>
      <c r="M39" s="17" t="s">
        <v>107</v>
      </c>
      <c r="N39" s="17" t="s">
        <v>108</v>
      </c>
    </row>
    <row r="40" spans="1:14" x14ac:dyDescent="0.25">
      <c r="A40" s="18" t="s">
        <v>23</v>
      </c>
      <c r="B40" s="19" t="s">
        <v>16</v>
      </c>
      <c r="C40" s="20">
        <v>8.11</v>
      </c>
      <c r="D40" s="20">
        <v>2.6</v>
      </c>
      <c r="E40" s="6">
        <f t="shared" si="0"/>
        <v>21.085999999999999</v>
      </c>
      <c r="F40" s="17">
        <v>22</v>
      </c>
      <c r="G40" s="17" t="s">
        <v>119</v>
      </c>
      <c r="H40" s="17">
        <v>50</v>
      </c>
      <c r="I40" s="17" t="s">
        <v>111</v>
      </c>
      <c r="J40" s="17">
        <v>5</v>
      </c>
      <c r="K40" s="17">
        <v>6</v>
      </c>
      <c r="L40" s="17">
        <v>2</v>
      </c>
      <c r="M40" s="17" t="s">
        <v>107</v>
      </c>
      <c r="N40" s="17" t="s">
        <v>108</v>
      </c>
    </row>
    <row r="41" spans="1:14" x14ac:dyDescent="0.25">
      <c r="A41" s="18" t="s">
        <v>48</v>
      </c>
      <c r="B41" s="19" t="s">
        <v>47</v>
      </c>
      <c r="C41" s="20">
        <v>11.5</v>
      </c>
      <c r="D41" s="20">
        <v>2.6</v>
      </c>
      <c r="E41" s="6">
        <f t="shared" si="0"/>
        <v>29.900000000000002</v>
      </c>
      <c r="F41" s="17">
        <v>22</v>
      </c>
      <c r="G41" s="17" t="s">
        <v>124</v>
      </c>
      <c r="H41" s="17" t="s">
        <v>104</v>
      </c>
      <c r="I41" s="17" t="s">
        <v>120</v>
      </c>
      <c r="J41" s="17">
        <v>-5</v>
      </c>
      <c r="K41" s="17">
        <v>12</v>
      </c>
      <c r="L41" s="17"/>
      <c r="M41" s="17" t="s">
        <v>121</v>
      </c>
      <c r="N41" s="17" t="s">
        <v>108</v>
      </c>
    </row>
    <row r="42" spans="1:14" x14ac:dyDescent="0.25">
      <c r="A42" s="18" t="s">
        <v>50</v>
      </c>
      <c r="B42" s="19" t="s">
        <v>49</v>
      </c>
      <c r="C42" s="20">
        <v>7.96</v>
      </c>
      <c r="D42" s="20">
        <v>2.6</v>
      </c>
      <c r="E42" s="6">
        <f t="shared" si="0"/>
        <v>20.696000000000002</v>
      </c>
      <c r="F42" s="17" t="s">
        <v>120</v>
      </c>
      <c r="G42" s="17" t="s">
        <v>124</v>
      </c>
      <c r="H42" s="17" t="s">
        <v>120</v>
      </c>
      <c r="I42" s="17" t="s">
        <v>120</v>
      </c>
      <c r="J42" s="17">
        <v>-5</v>
      </c>
      <c r="K42" s="17">
        <v>12</v>
      </c>
      <c r="L42" s="17"/>
      <c r="M42" s="17" t="s">
        <v>121</v>
      </c>
      <c r="N42" s="17" t="s">
        <v>108</v>
      </c>
    </row>
    <row r="43" spans="1:14" x14ac:dyDescent="0.25">
      <c r="A43" s="18" t="s">
        <v>52</v>
      </c>
      <c r="B43" s="19" t="s">
        <v>51</v>
      </c>
      <c r="C43" s="20">
        <v>4.87</v>
      </c>
      <c r="D43" s="20">
        <v>2.6</v>
      </c>
      <c r="E43" s="6">
        <f t="shared" si="0"/>
        <v>12.662000000000001</v>
      </c>
      <c r="F43" s="17" t="s">
        <v>120</v>
      </c>
      <c r="G43" s="17" t="s">
        <v>124</v>
      </c>
      <c r="H43" s="17" t="s">
        <v>120</v>
      </c>
      <c r="I43" s="17" t="s">
        <v>120</v>
      </c>
      <c r="J43" s="17">
        <v>-5</v>
      </c>
      <c r="K43" s="17">
        <v>12</v>
      </c>
      <c r="L43" s="17"/>
      <c r="M43" s="17" t="s">
        <v>121</v>
      </c>
      <c r="N43" s="17" t="s">
        <v>108</v>
      </c>
    </row>
    <row r="44" spans="1:14" x14ac:dyDescent="0.25">
      <c r="A44" s="18" t="s">
        <v>54</v>
      </c>
      <c r="B44" s="19" t="s">
        <v>53</v>
      </c>
      <c r="C44" s="20">
        <v>10.37</v>
      </c>
      <c r="D44" s="20">
        <v>2.6</v>
      </c>
      <c r="E44" s="6">
        <f t="shared" si="0"/>
        <v>26.962</v>
      </c>
      <c r="F44" s="17" t="s">
        <v>120</v>
      </c>
      <c r="G44" s="17" t="s">
        <v>120</v>
      </c>
      <c r="H44" s="17" t="s">
        <v>120</v>
      </c>
      <c r="I44" s="17" t="s">
        <v>120</v>
      </c>
      <c r="J44" s="17">
        <v>-5</v>
      </c>
      <c r="K44" s="17">
        <v>10</v>
      </c>
      <c r="L44" s="17"/>
      <c r="M44" s="17" t="s">
        <v>121</v>
      </c>
      <c r="N44" s="17" t="s">
        <v>108</v>
      </c>
    </row>
    <row r="45" spans="1:14" x14ac:dyDescent="0.25">
      <c r="A45" s="18" t="s">
        <v>25</v>
      </c>
      <c r="B45" s="19" t="s">
        <v>24</v>
      </c>
      <c r="C45" s="20">
        <v>53.48</v>
      </c>
      <c r="D45" s="20">
        <v>2.6</v>
      </c>
      <c r="E45" s="6">
        <f t="shared" si="0"/>
        <v>139.048</v>
      </c>
      <c r="F45" s="17">
        <v>22</v>
      </c>
      <c r="G45" s="17" t="s">
        <v>119</v>
      </c>
      <c r="H45" s="17" t="s">
        <v>104</v>
      </c>
      <c r="I45" s="17" t="s">
        <v>111</v>
      </c>
      <c r="J45" s="17">
        <v>5</v>
      </c>
      <c r="K45" s="17">
        <v>10</v>
      </c>
      <c r="L45" s="17">
        <v>2</v>
      </c>
      <c r="M45" s="17" t="s">
        <v>107</v>
      </c>
      <c r="N45" s="17" t="s">
        <v>108</v>
      </c>
    </row>
    <row r="46" spans="1:14" x14ac:dyDescent="0.25">
      <c r="A46" s="18" t="s">
        <v>27</v>
      </c>
      <c r="B46" s="19" t="s">
        <v>26</v>
      </c>
      <c r="C46" s="20">
        <v>52.89</v>
      </c>
      <c r="D46" s="20">
        <v>2.6</v>
      </c>
      <c r="E46" s="6">
        <f t="shared" si="0"/>
        <v>137.51400000000001</v>
      </c>
      <c r="F46" s="17">
        <v>22</v>
      </c>
      <c r="G46" s="17" t="s">
        <v>119</v>
      </c>
      <c r="H46" s="17" t="s">
        <v>104</v>
      </c>
      <c r="I46" s="17" t="s">
        <v>111</v>
      </c>
      <c r="J46" s="17">
        <v>5</v>
      </c>
      <c r="K46" s="17">
        <v>10</v>
      </c>
      <c r="L46" s="17">
        <v>2</v>
      </c>
      <c r="M46" s="17" t="s">
        <v>107</v>
      </c>
      <c r="N46" s="17" t="s">
        <v>108</v>
      </c>
    </row>
    <row r="47" spans="1:14" x14ac:dyDescent="0.25">
      <c r="A47" s="18" t="s">
        <v>56</v>
      </c>
      <c r="B47" s="19" t="s">
        <v>55</v>
      </c>
      <c r="C47" s="20">
        <v>15.11</v>
      </c>
      <c r="D47" s="20">
        <v>2.6</v>
      </c>
      <c r="E47" s="6">
        <f t="shared" si="0"/>
        <v>39.286000000000001</v>
      </c>
      <c r="F47" s="17">
        <v>22</v>
      </c>
      <c r="G47" s="17" t="s">
        <v>124</v>
      </c>
      <c r="H47" s="17" t="s">
        <v>104</v>
      </c>
      <c r="I47" s="17" t="s">
        <v>120</v>
      </c>
      <c r="J47" s="17">
        <v>-5</v>
      </c>
      <c r="K47" s="17">
        <v>12</v>
      </c>
      <c r="L47" s="17"/>
      <c r="M47" s="17" t="s">
        <v>121</v>
      </c>
      <c r="N47" s="17" t="s">
        <v>108</v>
      </c>
    </row>
    <row r="48" spans="1:14" x14ac:dyDescent="0.25">
      <c r="A48" s="21" t="s">
        <v>46</v>
      </c>
      <c r="B48" s="19" t="s">
        <v>45</v>
      </c>
      <c r="C48" s="20">
        <v>9.9499999999999993</v>
      </c>
      <c r="D48" s="20">
        <v>2.6</v>
      </c>
      <c r="E48" s="6">
        <f t="shared" si="0"/>
        <v>25.869999999999997</v>
      </c>
      <c r="F48" s="17">
        <v>22</v>
      </c>
      <c r="G48" s="17" t="s">
        <v>119</v>
      </c>
      <c r="H48" s="17" t="s">
        <v>104</v>
      </c>
      <c r="I48" s="17" t="s">
        <v>111</v>
      </c>
      <c r="J48" s="17">
        <v>0</v>
      </c>
      <c r="K48" s="17"/>
      <c r="L48" s="17"/>
      <c r="M48" s="17" t="s">
        <v>107</v>
      </c>
      <c r="N48" s="17" t="s">
        <v>121</v>
      </c>
    </row>
  </sheetData>
  <sortState xmlns:xlrd2="http://schemas.microsoft.com/office/spreadsheetml/2017/richdata2" ref="A2:N48">
    <sortCondition ref="A1:A48"/>
  </sortState>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A5D9-04DC-4EEB-AFAF-15B17B9CCCC4}">
  <sheetPr codeName="Sheet4"/>
  <dimension ref="A1:S54"/>
  <sheetViews>
    <sheetView tabSelected="1" workbookViewId="0">
      <pane xSplit="4" ySplit="1" topLeftCell="E35" activePane="bottomRight" state="frozen"/>
      <selection pane="topRight" activeCell="E1" sqref="E1"/>
      <selection pane="bottomLeft" activeCell="A2" sqref="A2"/>
      <selection pane="bottomRight" activeCell="A47" sqref="A47"/>
    </sheetView>
  </sheetViews>
  <sheetFormatPr defaultRowHeight="15" x14ac:dyDescent="0.25"/>
  <cols>
    <col min="1" max="1" width="7.85546875" bestFit="1" customWidth="1"/>
    <col min="2" max="2" width="41.42578125" bestFit="1" customWidth="1"/>
    <col min="3" max="3" width="7.7109375" bestFit="1" customWidth="1"/>
    <col min="4" max="4" width="40.42578125" bestFit="1" customWidth="1"/>
    <col min="5" max="5" width="11" hidden="1" customWidth="1"/>
    <col min="6" max="9" width="0" hidden="1" customWidth="1"/>
    <col min="10" max="10" width="9.28515625" hidden="1" customWidth="1"/>
    <col min="11" max="11" width="10.7109375" bestFit="1" customWidth="1"/>
    <col min="17" max="17" width="18.42578125" customWidth="1"/>
  </cols>
  <sheetData>
    <row r="1" spans="1:19" s="3" customFormat="1" ht="34.5" customHeight="1" x14ac:dyDescent="0.25">
      <c r="A1" s="37" t="s">
        <v>117</v>
      </c>
      <c r="B1" s="37"/>
      <c r="C1" s="37" t="s">
        <v>118</v>
      </c>
      <c r="D1" s="37"/>
      <c r="E1" s="1" t="s">
        <v>74</v>
      </c>
      <c r="F1" s="1" t="s">
        <v>75</v>
      </c>
      <c r="G1" s="1" t="s">
        <v>76</v>
      </c>
      <c r="H1" s="1" t="s">
        <v>77</v>
      </c>
      <c r="I1" s="1" t="s">
        <v>114</v>
      </c>
      <c r="J1" s="1" t="s">
        <v>112</v>
      </c>
      <c r="K1" s="4" t="s">
        <v>73</v>
      </c>
      <c r="L1" s="1" t="s">
        <v>113</v>
      </c>
      <c r="M1" s="4" t="s">
        <v>73</v>
      </c>
      <c r="N1" s="1" t="s">
        <v>113</v>
      </c>
      <c r="O1" s="1" t="s">
        <v>154</v>
      </c>
      <c r="P1" s="1" t="s">
        <v>115</v>
      </c>
      <c r="Q1" s="4" t="s">
        <v>156</v>
      </c>
      <c r="R1" s="3" t="s">
        <v>116</v>
      </c>
      <c r="S1" s="23">
        <v>0.65</v>
      </c>
    </row>
    <row r="2" spans="1:19" x14ac:dyDescent="0.25">
      <c r="A2" s="11" t="s">
        <v>128</v>
      </c>
      <c r="B2" s="5" t="str">
        <f>+VLOOKUP(A2,Locales!A:N,2,FALSE)</f>
        <v>PASILLO LIMPIO - ETAPA 1</v>
      </c>
      <c r="C2" s="11" t="s">
        <v>17</v>
      </c>
      <c r="D2" s="5" t="str">
        <f>+VLOOKUP(C2,Locales!A:N,2,FALSE)</f>
        <v>PASILLO DE IMÁGENES</v>
      </c>
      <c r="E2" s="5">
        <f>+VLOOKUP(A2,Locales!A:N,10,FALSE)</f>
        <v>20</v>
      </c>
      <c r="F2" s="5">
        <f>+VLOOKUP(C2,Locales!A:N,10,FALSE)</f>
        <v>5</v>
      </c>
      <c r="G2" s="5">
        <f t="shared" ref="G2:G3" si="0">+E2-F2</f>
        <v>15</v>
      </c>
      <c r="H2" s="5">
        <f>+VLOOKUP(A2,Locales!A:N,6,FALSE)</f>
        <v>22</v>
      </c>
      <c r="I2" s="22">
        <f>IF(+VLOOKUP(A2,Locales!A:N,8,FALSE)="S/BT",$S$2,+VLOOKUP(A2,Locales!A:N,8,FALSE)/100)</f>
        <v>0.5</v>
      </c>
      <c r="J2" s="12" cm="1">
        <f t="array" ref="J2">+[1]!GetMoistAirDensity(H2,+[1]!GetHumRatioFromRelHum(H2,I2,'CDI-CDE'!$B$6*1000),'CDI-CDE'!$B$6*1000)</f>
        <v>1.0756859553616578</v>
      </c>
      <c r="K2" s="11" t="s">
        <v>150</v>
      </c>
      <c r="L2" s="24">
        <f>IF(K2="",0,+VLOOKUP(K2,Aberturas!A:M,12,FALSE))</f>
        <v>1.04E-2</v>
      </c>
      <c r="M2" s="11"/>
      <c r="N2" s="24">
        <f>IF(M2="",0,+VLOOKUP(M2,Aberturas!A:M,12,FALSE))</f>
        <v>0</v>
      </c>
      <c r="O2" s="24">
        <f t="shared" ref="O2:O3" si="1">+N2+L2</f>
        <v>1.04E-2</v>
      </c>
      <c r="P2" s="25">
        <f t="shared" ref="P2:P3" si="2">+O2*$S$1*SQRT(2*G2/J2)*3600</f>
        <v>128.51892224275295</v>
      </c>
      <c r="R2" t="s">
        <v>125</v>
      </c>
      <c r="S2" s="14">
        <v>0.5</v>
      </c>
    </row>
    <row r="3" spans="1:19" x14ac:dyDescent="0.25">
      <c r="A3" s="11" t="s">
        <v>128</v>
      </c>
      <c r="B3" s="5" t="str">
        <f>+VLOOKUP(A3,Locales!A:N,2,FALSE)</f>
        <v>PASILLO LIMPIO - ETAPA 1</v>
      </c>
      <c r="C3" s="11" t="s">
        <v>22</v>
      </c>
      <c r="D3" s="5" t="str">
        <f>+VLOOKUP(C3,Locales!A:N,2,FALSE)</f>
        <v>PASILLO</v>
      </c>
      <c r="E3" s="5">
        <f>+VLOOKUP(A3,Locales!A:N,10,FALSE)</f>
        <v>20</v>
      </c>
      <c r="F3" s="5">
        <f>+VLOOKUP(C3,Locales!A:N,10,FALSE)</f>
        <v>0</v>
      </c>
      <c r="G3" s="5">
        <f t="shared" si="0"/>
        <v>20</v>
      </c>
      <c r="H3" s="5">
        <f>+VLOOKUP(A3,Locales!A:N,6,FALSE)</f>
        <v>22</v>
      </c>
      <c r="I3" s="22">
        <f>IF(+VLOOKUP(A3,Locales!A:N,8,FALSE)="S/BT",$S$2,+VLOOKUP(A3,Locales!A:N,8,FALSE)/100)</f>
        <v>0.5</v>
      </c>
      <c r="J3" s="12" cm="1">
        <f t="array" ref="J3">+[1]!GetMoistAirDensity(H3,+[1]!GetHumRatioFromRelHum(H3,I3,'CDI-CDE'!$B$6*1000),'CDI-CDE'!$B$6*1000)</f>
        <v>1.0756859553616578</v>
      </c>
      <c r="K3" s="11" t="s">
        <v>150</v>
      </c>
      <c r="L3" s="24">
        <f>IF(K3="",0,+VLOOKUP(K3,Aberturas!A:M,12,FALSE))</f>
        <v>1.04E-2</v>
      </c>
      <c r="M3" s="11"/>
      <c r="N3" s="24">
        <f>IF(M3="",0,+VLOOKUP(M3,Aberturas!A:M,12,FALSE))</f>
        <v>0</v>
      </c>
      <c r="O3" s="24">
        <f t="shared" si="1"/>
        <v>1.04E-2</v>
      </c>
      <c r="P3" s="25">
        <f t="shared" si="2"/>
        <v>148.400868705628</v>
      </c>
    </row>
    <row r="4" spans="1:19" ht="90" x14ac:dyDescent="0.25">
      <c r="A4" s="11" t="s">
        <v>17</v>
      </c>
      <c r="B4" s="5" t="str">
        <f>+VLOOKUP(A4,Locales!A:N,2,FALSE)</f>
        <v>PASILLO DE IMÁGENES</v>
      </c>
      <c r="C4" s="11" t="s">
        <v>21</v>
      </c>
      <c r="D4" s="5" t="str">
        <f>+VLOOKUP(C4,Locales!A:N,2,FALSE)</f>
        <v>SALA DE MÁQUINAS</v>
      </c>
      <c r="E4" s="5">
        <f>+VLOOKUP(A4,Locales!A:N,10,FALSE)</f>
        <v>5</v>
      </c>
      <c r="F4" s="5">
        <f>+VLOOKUP(C4,Locales!A:N,10,FALSE)</f>
        <v>0</v>
      </c>
      <c r="G4" s="5">
        <f t="shared" ref="G4" si="3">+E4-F4</f>
        <v>5</v>
      </c>
      <c r="H4" s="5">
        <f>+VLOOKUP(A4,Locales!A:N,6,FALSE)</f>
        <v>22</v>
      </c>
      <c r="I4" s="22">
        <f>IF(+VLOOKUP(A4,Locales!A:N,8,FALSE)="S/BT",$S$2,+VLOOKUP(A4,Locales!A:N,8,FALSE)/100)</f>
        <v>0.5</v>
      </c>
      <c r="J4" s="12" cm="1">
        <f t="array" ref="J4">+[1]!GetMoistAirDensity(H4,+[1]!GetHumRatioFromRelHum(H4,I4,'CDI-CDE'!$B$6*1000),'CDI-CDE'!$B$6*1000)</f>
        <v>1.0756859553616578</v>
      </c>
      <c r="K4" s="11" t="s">
        <v>147</v>
      </c>
      <c r="L4" s="24">
        <f>IF(K4="",0,+VLOOKUP(K4,Aberturas!A:M,12,FALSE))</f>
        <v>9.1999999999999998E-3</v>
      </c>
      <c r="M4" s="11"/>
      <c r="N4" s="24">
        <f>IF(M4="",0,+VLOOKUP(M4,Aberturas!A:M,12,FALSE))</f>
        <v>0</v>
      </c>
      <c r="O4" s="24">
        <f t="shared" ref="O4" si="4">+N4+L4</f>
        <v>9.1999999999999998E-3</v>
      </c>
      <c r="P4" s="33">
        <v>120</v>
      </c>
      <c r="Q4" s="36" t="s">
        <v>163</v>
      </c>
    </row>
    <row r="5" spans="1:19" ht="90" x14ac:dyDescent="0.25">
      <c r="A5" s="11" t="s">
        <v>18</v>
      </c>
      <c r="B5" s="5" t="str">
        <f>+VLOOKUP(A5,Locales!A:N,2,FALSE)</f>
        <v>MICRO PET</v>
      </c>
      <c r="C5" s="11" t="s">
        <v>17</v>
      </c>
      <c r="D5" s="5" t="str">
        <f>+VLOOKUP(C5,Locales!A:N,2,FALSE)</f>
        <v>PASILLO DE IMÁGENES</v>
      </c>
      <c r="E5" s="5">
        <f>+VLOOKUP(A5,Locales!A:N,10,FALSE)</f>
        <v>10</v>
      </c>
      <c r="F5" s="5">
        <f>+VLOOKUP(C5,Locales!A:N,10,FALSE)</f>
        <v>5</v>
      </c>
      <c r="G5" s="5">
        <f t="shared" ref="G5:G22" si="5">+E5-F5</f>
        <v>5</v>
      </c>
      <c r="H5" s="5">
        <f>+VLOOKUP(A5,Locales!A:N,6,FALSE)</f>
        <v>22</v>
      </c>
      <c r="I5" s="22">
        <f>IF(+VLOOKUP(A5,Locales!A:N,8,FALSE)="S/BT",$S$2,+VLOOKUP(A5,Locales!A:N,8,FALSE)/100)</f>
        <v>0.5</v>
      </c>
      <c r="J5" s="12" cm="1">
        <f t="array" ref="J5">+[1]!GetMoistAirDensity(H5,+[1]!GetHumRatioFromRelHum(H5,I5,'CDI-CDE'!$B$6*1000),'CDI-CDE'!$B$6*1000)</f>
        <v>1.0756859553616578</v>
      </c>
      <c r="K5" s="11" t="s">
        <v>143</v>
      </c>
      <c r="L5" s="24">
        <f>IF(K5="",0,+VLOOKUP(K5,Aberturas!A:M,12,FALSE))</f>
        <v>1.9E-2</v>
      </c>
      <c r="M5" s="11"/>
      <c r="N5" s="24">
        <f>IF(M5="",0,+VLOOKUP(M5,Aberturas!A:M,12,FALSE))</f>
        <v>0</v>
      </c>
      <c r="O5" s="24">
        <f t="shared" ref="O5:O22" si="6">+N5+L5</f>
        <v>1.9E-2</v>
      </c>
      <c r="P5" s="33">
        <v>439.64</v>
      </c>
      <c r="Q5" s="36" t="s">
        <v>163</v>
      </c>
    </row>
    <row r="6" spans="1:19" ht="90" x14ac:dyDescent="0.25">
      <c r="A6" s="11" t="s">
        <v>20</v>
      </c>
      <c r="B6" s="5" t="str">
        <f>+VLOOKUP(A6,Locales!A:N,2,FALSE)</f>
        <v>MICRO RMN</v>
      </c>
      <c r="C6" s="11" t="s">
        <v>17</v>
      </c>
      <c r="D6" s="5" t="str">
        <f>+VLOOKUP(C6,Locales!A:N,2,FALSE)</f>
        <v>PASILLO DE IMÁGENES</v>
      </c>
      <c r="E6" s="5">
        <f>+VLOOKUP(A6,Locales!A:N,10,FALSE)</f>
        <v>10</v>
      </c>
      <c r="F6" s="5">
        <f>+VLOOKUP(C6,Locales!A:N,10,FALSE)</f>
        <v>5</v>
      </c>
      <c r="G6" s="5">
        <f t="shared" si="5"/>
        <v>5</v>
      </c>
      <c r="H6" s="5">
        <f>+VLOOKUP(A6,Locales!A:N,6,FALSE)</f>
        <v>22</v>
      </c>
      <c r="I6" s="22">
        <f>IF(+VLOOKUP(A6,Locales!A:N,8,FALSE)="S/BT",$S$2,+VLOOKUP(A6,Locales!A:N,8,FALSE)/100)</f>
        <v>0.5</v>
      </c>
      <c r="J6" s="12" cm="1">
        <f t="array" ref="J6">+[1]!GetMoistAirDensity(H6,+[1]!GetHumRatioFromRelHum(H6,I6,'CDI-CDE'!$B$6*1000),'CDI-CDE'!$B$6*1000)</f>
        <v>1.0756859553616578</v>
      </c>
      <c r="K6" s="11" t="s">
        <v>153</v>
      </c>
      <c r="L6" s="24">
        <f>IF(K6="",0,+VLOOKUP(K6,Aberturas!A:M,12,FALSE))</f>
        <v>9.0000000000000011E-3</v>
      </c>
      <c r="M6" s="11"/>
      <c r="N6" s="24">
        <f>IF(M6="",0,+VLOOKUP(M6,Aberturas!A:M,12,FALSE))</f>
        <v>0</v>
      </c>
      <c r="O6" s="24">
        <f t="shared" si="6"/>
        <v>9.0000000000000011E-3</v>
      </c>
      <c r="P6" s="33">
        <v>255.54</v>
      </c>
      <c r="Q6" s="36" t="s">
        <v>163</v>
      </c>
    </row>
    <row r="7" spans="1:19" ht="90" x14ac:dyDescent="0.25">
      <c r="A7" s="11" t="s">
        <v>22</v>
      </c>
      <c r="B7" s="5" t="str">
        <f>+VLOOKUP(A7,Locales!A:N,2,FALSE)</f>
        <v>PASILLO</v>
      </c>
      <c r="C7" s="11" t="s">
        <v>48</v>
      </c>
      <c r="D7" s="5" t="str">
        <f>+VLOOKUP(C7,Locales!A:N,2,FALSE)</f>
        <v>VESTUARIO HOMBRES</v>
      </c>
      <c r="E7" s="5">
        <f>+VLOOKUP(A7,Locales!A:N,10,FALSE)</f>
        <v>0</v>
      </c>
      <c r="F7" s="5">
        <f>+VLOOKUP(C7,Locales!A:N,10,FALSE)</f>
        <v>-5</v>
      </c>
      <c r="G7" s="5">
        <f t="shared" si="5"/>
        <v>5</v>
      </c>
      <c r="H7" s="5">
        <f>+VLOOKUP(A7,Locales!A:N,6,FALSE)</f>
        <v>22</v>
      </c>
      <c r="I7" s="22">
        <f>IF(+VLOOKUP(A7,Locales!A:N,8,FALSE)="S/BT",$S$2,+VLOOKUP(A7,Locales!A:N,8,FALSE)/100)</f>
        <v>0.5</v>
      </c>
      <c r="J7" s="12" cm="1">
        <f t="array" ref="J7">+[1]!GetMoistAirDensity(H7,+[1]!GetHumRatioFromRelHum(H7,I7,'CDI-CDE'!$B$6*1000),'CDI-CDE'!$B$6*1000)</f>
        <v>1.0756859553616578</v>
      </c>
      <c r="K7" s="11" t="s">
        <v>63</v>
      </c>
      <c r="L7" s="24">
        <f>IF(K7="",0,+VLOOKUP(K7,Aberturas!A:M,12,FALSE))</f>
        <v>8.0000000000000002E-3</v>
      </c>
      <c r="M7" s="11"/>
      <c r="N7" s="24">
        <f>IF(M7="",0,+VLOOKUP(M7,Aberturas!A:M,12,FALSE))</f>
        <v>0</v>
      </c>
      <c r="O7" s="24">
        <f t="shared" si="6"/>
        <v>8.0000000000000002E-3</v>
      </c>
      <c r="P7" s="33">
        <v>362</v>
      </c>
      <c r="Q7" s="36" t="s">
        <v>163</v>
      </c>
    </row>
    <row r="8" spans="1:19" ht="90" x14ac:dyDescent="0.25">
      <c r="A8" s="11" t="s">
        <v>22</v>
      </c>
      <c r="B8" s="5" t="str">
        <f>+VLOOKUP(A8,Locales!A:N,2,FALSE)</f>
        <v>PASILLO</v>
      </c>
      <c r="C8" s="11" t="s">
        <v>56</v>
      </c>
      <c r="D8" s="5" t="str">
        <f>+VLOOKUP(C8,Locales!A:N,2,FALSE)</f>
        <v>VESTUARIO MUJERES</v>
      </c>
      <c r="E8" s="5">
        <f>+VLOOKUP(A8,Locales!A:N,10,FALSE)</f>
        <v>0</v>
      </c>
      <c r="F8" s="5">
        <f>+VLOOKUP(C8,Locales!A:N,10,FALSE)</f>
        <v>-5</v>
      </c>
      <c r="G8" s="5">
        <f t="shared" si="5"/>
        <v>5</v>
      </c>
      <c r="H8" s="5">
        <f>+VLOOKUP(A8,Locales!A:N,6,FALSE)</f>
        <v>22</v>
      </c>
      <c r="I8" s="22">
        <f>IF(+VLOOKUP(A8,Locales!A:N,8,FALSE)="S/BT",$S$2,+VLOOKUP(A8,Locales!A:N,8,FALSE)/100)</f>
        <v>0.5</v>
      </c>
      <c r="J8" s="12" cm="1">
        <f t="array" ref="J8">+[1]!GetMoistAirDensity(H8,+[1]!GetHumRatioFromRelHum(H8,I8,'CDI-CDE'!$B$6*1000),'CDI-CDE'!$B$6*1000)</f>
        <v>1.0756859553616578</v>
      </c>
      <c r="K8" s="11" t="s">
        <v>63</v>
      </c>
      <c r="L8" s="24">
        <f>IF(K8="",0,+VLOOKUP(K8,Aberturas!A:M,12,FALSE))</f>
        <v>8.0000000000000002E-3</v>
      </c>
      <c r="M8" s="11"/>
      <c r="N8" s="24">
        <f>IF(M8="",0,+VLOOKUP(M8,Aberturas!A:M,12,FALSE))</f>
        <v>0</v>
      </c>
      <c r="O8" s="24">
        <f t="shared" si="6"/>
        <v>8.0000000000000002E-3</v>
      </c>
      <c r="P8" s="33">
        <v>471</v>
      </c>
      <c r="Q8" s="36" t="s">
        <v>163</v>
      </c>
    </row>
    <row r="9" spans="1:19" ht="90" x14ac:dyDescent="0.25">
      <c r="A9" s="11" t="s">
        <v>22</v>
      </c>
      <c r="B9" s="5" t="str">
        <f>+VLOOKUP(A9,Locales!A:N,2,FALSE)</f>
        <v>PASILLO</v>
      </c>
      <c r="C9" s="11" t="s">
        <v>50</v>
      </c>
      <c r="D9" s="5" t="str">
        <f>+VLOOKUP(C9,Locales!A:N,2,FALSE)</f>
        <v>KICHINET</v>
      </c>
      <c r="E9" s="5">
        <f>+VLOOKUP(A9,Locales!A:N,10,FALSE)</f>
        <v>0</v>
      </c>
      <c r="F9" s="5">
        <f>+VLOOKUP(C9,Locales!A:N,10,FALSE)</f>
        <v>-5</v>
      </c>
      <c r="G9" s="5">
        <f t="shared" si="5"/>
        <v>5</v>
      </c>
      <c r="H9" s="5">
        <f>+VLOOKUP(A9,Locales!A:N,6,FALSE)</f>
        <v>22</v>
      </c>
      <c r="I9" s="22">
        <f>IF(+VLOOKUP(A9,Locales!A:N,8,FALSE)="S/BT",$S$2,+VLOOKUP(A9,Locales!A:N,8,FALSE)/100)</f>
        <v>0.5</v>
      </c>
      <c r="J9" s="12" cm="1">
        <f t="array" ref="J9">+[1]!GetMoistAirDensity(H9,+[1]!GetHumRatioFromRelHum(H9,I9,'CDI-CDE'!$B$6*1000),'CDI-CDE'!$B$6*1000)</f>
        <v>1.0756859553616578</v>
      </c>
      <c r="K9" s="11" t="s">
        <v>63</v>
      </c>
      <c r="L9" s="24">
        <f>IF(K9="",0,+VLOOKUP(K9,Aberturas!A:M,12,FALSE))</f>
        <v>8.0000000000000002E-3</v>
      </c>
      <c r="M9" s="11"/>
      <c r="N9" s="24">
        <f>IF(M9="",0,+VLOOKUP(M9,Aberturas!A:M,12,FALSE))</f>
        <v>0</v>
      </c>
      <c r="O9" s="24">
        <f t="shared" si="6"/>
        <v>8.0000000000000002E-3</v>
      </c>
      <c r="P9" s="33">
        <v>114</v>
      </c>
      <c r="Q9" s="36" t="s">
        <v>163</v>
      </c>
    </row>
    <row r="10" spans="1:19" ht="90" x14ac:dyDescent="0.25">
      <c r="A10" s="11" t="s">
        <v>22</v>
      </c>
      <c r="B10" s="5" t="str">
        <f>+VLOOKUP(A10,Locales!A:N,2,FALSE)</f>
        <v>PASILLO</v>
      </c>
      <c r="C10" s="11" t="s">
        <v>52</v>
      </c>
      <c r="D10" s="5" t="str">
        <f>+VLOOKUP(C10,Locales!A:N,2,FALSE)</f>
        <v>BAÑO ADAPTADO</v>
      </c>
      <c r="E10" s="5">
        <f>+VLOOKUP(A10,Locales!A:N,10,FALSE)</f>
        <v>0</v>
      </c>
      <c r="F10" s="5">
        <f>+VLOOKUP(C10,Locales!A:N,10,FALSE)</f>
        <v>-5</v>
      </c>
      <c r="G10" s="5">
        <f t="shared" si="5"/>
        <v>5</v>
      </c>
      <c r="H10" s="5">
        <f>+VLOOKUP(A10,Locales!A:N,6,FALSE)</f>
        <v>22</v>
      </c>
      <c r="I10" s="22">
        <f>IF(+VLOOKUP(A10,Locales!A:N,8,FALSE)="S/BT",$S$2,+VLOOKUP(A10,Locales!A:N,8,FALSE)/100)</f>
        <v>0.5</v>
      </c>
      <c r="J10" s="12" cm="1">
        <f t="array" ref="J10">+[1]!GetMoistAirDensity(H10,+[1]!GetHumRatioFromRelHum(H10,I10,'CDI-CDE'!$B$6*1000),'CDI-CDE'!$B$6*1000)</f>
        <v>1.0756859553616578</v>
      </c>
      <c r="K10" s="11" t="s">
        <v>64</v>
      </c>
      <c r="L10" s="24">
        <f>IF(K10="",0,+VLOOKUP(K10,Aberturas!A:M,12,FALSE))</f>
        <v>8.0000000000000002E-3</v>
      </c>
      <c r="M10" s="11"/>
      <c r="N10" s="24">
        <f>IF(M10="",0,+VLOOKUP(M10,Aberturas!A:M,12,FALSE))</f>
        <v>0</v>
      </c>
      <c r="O10" s="24">
        <f t="shared" si="6"/>
        <v>8.0000000000000002E-3</v>
      </c>
      <c r="P10" s="33">
        <v>114</v>
      </c>
      <c r="Q10" s="36" t="s">
        <v>163</v>
      </c>
    </row>
    <row r="11" spans="1:19" ht="90" x14ac:dyDescent="0.25">
      <c r="A11" s="11" t="s">
        <v>22</v>
      </c>
      <c r="B11" s="5" t="str">
        <f>+VLOOKUP(A11,Locales!A:N,2,FALSE)</f>
        <v>PASILLO</v>
      </c>
      <c r="C11" s="11" t="s">
        <v>54</v>
      </c>
      <c r="D11" s="5" t="str">
        <f>+VLOOKUP(C11,Locales!A:N,2,FALSE)</f>
        <v>DEPÓSITO DE LIMPIEZA</v>
      </c>
      <c r="E11" s="5">
        <f>+VLOOKUP(A11,Locales!A:N,10,FALSE)</f>
        <v>0</v>
      </c>
      <c r="F11" s="5">
        <f>+VLOOKUP(C11,Locales!A:N,10,FALSE)</f>
        <v>-5</v>
      </c>
      <c r="G11" s="5">
        <f t="shared" si="5"/>
        <v>5</v>
      </c>
      <c r="H11" s="5">
        <f>+VLOOKUP(A11,Locales!A:N,6,FALSE)</f>
        <v>22</v>
      </c>
      <c r="I11" s="22">
        <f>IF(+VLOOKUP(A11,Locales!A:N,8,FALSE)="S/BT",$S$2,+VLOOKUP(A11,Locales!A:N,8,FALSE)/100)</f>
        <v>0.5</v>
      </c>
      <c r="J11" s="12" cm="1">
        <f t="array" ref="J11">+[1]!GetMoistAirDensity(H11,+[1]!GetHumRatioFromRelHum(H11,I11,'CDI-CDE'!$B$6*1000),'CDI-CDE'!$B$6*1000)</f>
        <v>1.0756859553616578</v>
      </c>
      <c r="K11" s="11" t="s">
        <v>63</v>
      </c>
      <c r="L11" s="24">
        <f>IF(K11="",0,+VLOOKUP(K11,Aberturas!A:M,12,FALSE))</f>
        <v>8.0000000000000002E-3</v>
      </c>
      <c r="M11" s="11"/>
      <c r="N11" s="24">
        <f>IF(M11="",0,+VLOOKUP(M11,Aberturas!A:M,12,FALSE))</f>
        <v>0</v>
      </c>
      <c r="O11" s="24">
        <f t="shared" si="6"/>
        <v>8.0000000000000002E-3</v>
      </c>
      <c r="P11" s="33">
        <v>114</v>
      </c>
      <c r="Q11" s="36" t="s">
        <v>163</v>
      </c>
    </row>
    <row r="12" spans="1:19" ht="75" x14ac:dyDescent="0.25">
      <c r="A12" s="11" t="s">
        <v>22</v>
      </c>
      <c r="B12" s="35" t="str">
        <f>+VLOOKUP(A12,Locales!A:N,2,FALSE)</f>
        <v>PASILLO</v>
      </c>
      <c r="C12" s="11" t="s">
        <v>126</v>
      </c>
      <c r="D12" s="35" t="str">
        <f>+VLOOKUP(C12,Locales!A:N,2,FALSE)</f>
        <v>EXTERIOR</v>
      </c>
      <c r="E12" s="5">
        <f>+VLOOKUP(A12,Locales!A:N,10,FALSE)</f>
        <v>0</v>
      </c>
      <c r="F12" s="5">
        <f>+VLOOKUP(C12,Locales!A:N,10,FALSE)</f>
        <v>0</v>
      </c>
      <c r="G12" s="5">
        <f t="shared" ref="G12" si="7">+E12-F12</f>
        <v>0</v>
      </c>
      <c r="H12" s="5">
        <f>+VLOOKUP(A12,Locales!A:N,6,FALSE)</f>
        <v>22</v>
      </c>
      <c r="I12" s="22">
        <f>IF(+VLOOKUP(A12,Locales!A:N,8,FALSE)="S/BT",$S$2,+VLOOKUP(A12,Locales!A:N,8,FALSE)/100)</f>
        <v>0.5</v>
      </c>
      <c r="J12" s="12" cm="1">
        <f t="array" ref="J12">+[1]!GetMoistAirDensity(H12,+[1]!GetHumRatioFromRelHum(H12,I12,'CDI-CDE'!$B$6*1000),'CDI-CDE'!$B$6*1000)</f>
        <v>1.0756859553616578</v>
      </c>
      <c r="K12" s="11"/>
      <c r="L12" s="24">
        <f>IF(K12="",0,+VLOOKUP(K12,Aberturas!A:M,12,FALSE))</f>
        <v>0</v>
      </c>
      <c r="M12" s="11"/>
      <c r="N12" s="24">
        <f>IF(M12="",0,+VLOOKUP(M12,Aberturas!A:M,12,FALSE))</f>
        <v>0</v>
      </c>
      <c r="O12" s="24">
        <f t="shared" ref="O12" si="8">+N12+L12</f>
        <v>0</v>
      </c>
      <c r="P12" s="33">
        <v>605</v>
      </c>
      <c r="Q12" s="36" t="s">
        <v>164</v>
      </c>
    </row>
    <row r="13" spans="1:19" x14ac:dyDescent="0.25">
      <c r="A13" s="11" t="s">
        <v>29</v>
      </c>
      <c r="B13" s="5" t="str">
        <f>+VLOOKUP(A13,Locales!A:N,2,FALSE)</f>
        <v>SALA DE ANÁLISIS DE MUESTRAS IRRADIADAS</v>
      </c>
      <c r="C13" s="11" t="s">
        <v>33</v>
      </c>
      <c r="D13" s="5" t="str">
        <f>+VLOOKUP(C13,Locales!A:N,2,FALSE)</f>
        <v>LABORATORIO DE RADIOBIOLOGÍA</v>
      </c>
      <c r="E13" s="5">
        <f>+VLOOKUP(A13,Locales!A:N,10,FALSE)</f>
        <v>15</v>
      </c>
      <c r="F13" s="5">
        <f>+VLOOKUP(C13,Locales!A:N,10,FALSE)</f>
        <v>10</v>
      </c>
      <c r="G13" s="5">
        <f t="shared" si="5"/>
        <v>5</v>
      </c>
      <c r="H13" s="5">
        <f>+VLOOKUP(A13,Locales!A:N,6,FALSE)</f>
        <v>22</v>
      </c>
      <c r="I13" s="22">
        <f>IF(+VLOOKUP(A13,Locales!A:N,8,FALSE)="S/BT",$S$2,+VLOOKUP(A13,Locales!A:N,8,FALSE)/100)</f>
        <v>0.5</v>
      </c>
      <c r="J13" s="12" cm="1">
        <f t="array" ref="J13">+[1]!GetMoistAirDensity(H13,+[1]!GetHumRatioFromRelHum(H13,I13,'CDI-CDE'!$B$6*1000),'CDI-CDE'!$B$6*1000)</f>
        <v>1.0756859553616578</v>
      </c>
      <c r="K13" s="11" t="s">
        <v>147</v>
      </c>
      <c r="L13" s="24">
        <f>IF(K13="",0,+VLOOKUP(K13,Aberturas!A:M,12,FALSE))</f>
        <v>9.1999999999999998E-3</v>
      </c>
      <c r="M13" s="11"/>
      <c r="N13" s="24">
        <f>IF(M13="",0,+VLOOKUP(M13,Aberturas!A:M,12,FALSE))</f>
        <v>0</v>
      </c>
      <c r="O13" s="24">
        <f t="shared" si="6"/>
        <v>9.1999999999999998E-3</v>
      </c>
      <c r="P13" s="25">
        <f t="shared" ref="P13:P20" si="9">+O13*$S$1*SQRT(2*G13/J13)*3600</f>
        <v>65.638845773643155</v>
      </c>
    </row>
    <row r="14" spans="1:19" x14ac:dyDescent="0.25">
      <c r="A14" s="11" t="s">
        <v>31</v>
      </c>
      <c r="B14" s="5" t="str">
        <f>+VLOOKUP(A14,Locales!A:N,2,FALSE)</f>
        <v>SAS RADIOBIOLOGÍA</v>
      </c>
      <c r="C14" s="11" t="s">
        <v>22</v>
      </c>
      <c r="D14" s="5" t="str">
        <f>+VLOOKUP(C14,Locales!A:N,2,FALSE)</f>
        <v>PASILLO</v>
      </c>
      <c r="E14" s="5">
        <f>+VLOOKUP(A14,Locales!A:N,10,FALSE)</f>
        <v>5</v>
      </c>
      <c r="F14" s="5">
        <f>+VLOOKUP(C14,Locales!A:N,10,FALSE)</f>
        <v>0</v>
      </c>
      <c r="G14" s="5">
        <f t="shared" si="5"/>
        <v>5</v>
      </c>
      <c r="H14" s="5">
        <f>+VLOOKUP(A14,Locales!A:N,6,FALSE)</f>
        <v>22</v>
      </c>
      <c r="I14" s="22">
        <f>IF(+VLOOKUP(A14,Locales!A:N,8,FALSE)="S/BT",$S$2,+VLOOKUP(A14,Locales!A:N,8,FALSE)/100)</f>
        <v>0.5</v>
      </c>
      <c r="J14" s="12" cm="1">
        <f t="array" ref="J14">+[1]!GetMoistAirDensity(H14,+[1]!GetHumRatioFromRelHum(H14,I14,'CDI-CDE'!$B$6*1000),'CDI-CDE'!$B$6*1000)</f>
        <v>1.0756859553616578</v>
      </c>
      <c r="K14" s="11" t="s">
        <v>139</v>
      </c>
      <c r="L14" s="24">
        <f>IF(K14="",0,+VLOOKUP(K14,Aberturas!A:M,12,FALSE))</f>
        <v>9.1999999999999998E-3</v>
      </c>
      <c r="M14" s="11"/>
      <c r="N14" s="24">
        <f>IF(M14="",0,+VLOOKUP(M14,Aberturas!A:M,12,FALSE))</f>
        <v>0</v>
      </c>
      <c r="O14" s="24">
        <f t="shared" si="6"/>
        <v>9.1999999999999998E-3</v>
      </c>
      <c r="P14" s="25">
        <f t="shared" si="9"/>
        <v>65.638845773643155</v>
      </c>
    </row>
    <row r="15" spans="1:19" x14ac:dyDescent="0.25">
      <c r="A15" s="11" t="s">
        <v>33</v>
      </c>
      <c r="B15" s="5" t="str">
        <f>+VLOOKUP(A15,Locales!A:N,2,FALSE)</f>
        <v>LABORATORIO DE RADIOBIOLOGÍA</v>
      </c>
      <c r="C15" s="11" t="s">
        <v>31</v>
      </c>
      <c r="D15" s="5" t="str">
        <f>+VLOOKUP(C15,Locales!A:N,2,FALSE)</f>
        <v>SAS RADIOBIOLOGÍA</v>
      </c>
      <c r="E15" s="5">
        <f>+VLOOKUP(A15,Locales!A:N,10,FALSE)</f>
        <v>10</v>
      </c>
      <c r="F15" s="5">
        <f>+VLOOKUP(C15,Locales!A:N,10,FALSE)</f>
        <v>5</v>
      </c>
      <c r="G15" s="5">
        <f t="shared" si="5"/>
        <v>5</v>
      </c>
      <c r="H15" s="5">
        <f>+VLOOKUP(A15,Locales!A:N,6,FALSE)</f>
        <v>22</v>
      </c>
      <c r="I15" s="22">
        <f>IF(+VLOOKUP(A15,Locales!A:N,8,FALSE)="S/BT",$S$2,+VLOOKUP(A15,Locales!A:N,8,FALSE)/100)</f>
        <v>0.5</v>
      </c>
      <c r="J15" s="12" cm="1">
        <f t="array" ref="J15">+[1]!GetMoistAirDensity(H15,+[1]!GetHumRatioFromRelHum(H15,I15,'CDI-CDE'!$B$6*1000),'CDI-CDE'!$B$6*1000)</f>
        <v>1.0756859553616578</v>
      </c>
      <c r="K15" s="11" t="s">
        <v>139</v>
      </c>
      <c r="L15" s="24">
        <f>IF(K15="",0,+VLOOKUP(K15,Aberturas!A:M,12,FALSE))</f>
        <v>9.1999999999999998E-3</v>
      </c>
      <c r="M15" s="11"/>
      <c r="N15" s="24">
        <f>IF(M15="",0,+VLOOKUP(M15,Aberturas!A:M,12,FALSE))</f>
        <v>0</v>
      </c>
      <c r="O15" s="24">
        <f t="shared" si="6"/>
        <v>9.1999999999999998E-3</v>
      </c>
      <c r="P15" s="25">
        <f t="shared" si="9"/>
        <v>65.638845773643155</v>
      </c>
    </row>
    <row r="16" spans="1:19" x14ac:dyDescent="0.25">
      <c r="A16" s="11" t="s">
        <v>33</v>
      </c>
      <c r="B16" s="5" t="str">
        <f>+VLOOKUP(A16,Locales!A:N,2,FALSE)</f>
        <v>LABORATORIO DE RADIOBIOLOGÍA</v>
      </c>
      <c r="C16" s="11" t="s">
        <v>22</v>
      </c>
      <c r="D16" s="5" t="str">
        <f>+VLOOKUP(C16,Locales!A:N,2,FALSE)</f>
        <v>PASILLO</v>
      </c>
      <c r="E16" s="5">
        <f>+VLOOKUP(A16,Locales!A:N,10,FALSE)</f>
        <v>10</v>
      </c>
      <c r="F16" s="5">
        <f>+VLOOKUP(C16,Locales!A:N,10,FALSE)</f>
        <v>0</v>
      </c>
      <c r="G16" s="5">
        <f t="shared" si="5"/>
        <v>10</v>
      </c>
      <c r="H16" s="5">
        <f>+VLOOKUP(A16,Locales!A:N,6,FALSE)</f>
        <v>22</v>
      </c>
      <c r="I16" s="22">
        <f>IF(+VLOOKUP(A16,Locales!A:N,8,FALSE)="S/BT",$S$2,+VLOOKUP(A16,Locales!A:N,8,FALSE)/100)</f>
        <v>0.5</v>
      </c>
      <c r="J16" s="12" cm="1">
        <f t="array" ref="J16">+[1]!GetMoistAirDensity(H16,+[1]!GetHumRatioFromRelHum(H16,I16,'CDI-CDE'!$B$6*1000),'CDI-CDE'!$B$6*1000)</f>
        <v>1.0756859553616578</v>
      </c>
      <c r="K16" s="11" t="s">
        <v>146</v>
      </c>
      <c r="L16" s="24">
        <f>IF(K16="",0,+VLOOKUP(K16,Aberturas!A:M,12,FALSE))</f>
        <v>1.04E-2</v>
      </c>
      <c r="M16" s="11"/>
      <c r="N16" s="24">
        <f>IF(M16="",0,+VLOOKUP(M16,Aberturas!A:M,12,FALSE))</f>
        <v>0</v>
      </c>
      <c r="O16" s="24">
        <f t="shared" si="6"/>
        <v>1.04E-2</v>
      </c>
      <c r="P16" s="25">
        <f t="shared" si="9"/>
        <v>104.93526059572406</v>
      </c>
    </row>
    <row r="17" spans="1:17" x14ac:dyDescent="0.25">
      <c r="A17" s="11" t="s">
        <v>35</v>
      </c>
      <c r="B17" s="5" t="str">
        <f>+VLOOKUP(A17,Locales!A:N,2,FALSE)</f>
        <v>RADIOBIODOSIMETRÍA</v>
      </c>
      <c r="C17" s="11" t="s">
        <v>33</v>
      </c>
      <c r="D17" s="5" t="str">
        <f>+VLOOKUP(C17,Locales!A:N,2,FALSE)</f>
        <v>LABORATORIO DE RADIOBIOLOGÍA</v>
      </c>
      <c r="E17" s="5">
        <f>+VLOOKUP(A17,Locales!A:N,10,FALSE)</f>
        <v>15</v>
      </c>
      <c r="F17" s="5">
        <f>+VLOOKUP(C17,Locales!A:N,10,FALSE)</f>
        <v>10</v>
      </c>
      <c r="G17" s="5">
        <f t="shared" si="5"/>
        <v>5</v>
      </c>
      <c r="H17" s="5">
        <f>+VLOOKUP(A17,Locales!A:N,6,FALSE)</f>
        <v>22</v>
      </c>
      <c r="I17" s="22">
        <f>IF(+VLOOKUP(A17,Locales!A:N,8,FALSE)="S/BT",$S$2,+VLOOKUP(A17,Locales!A:N,8,FALSE)/100)</f>
        <v>0.5</v>
      </c>
      <c r="J17" s="12" cm="1">
        <f t="array" ref="J17">+[1]!GetMoistAirDensity(H17,+[1]!GetHumRatioFromRelHum(H17,I17,'CDI-CDE'!$B$6*1000),'CDI-CDE'!$B$6*1000)</f>
        <v>1.0756859553616578</v>
      </c>
      <c r="K17" s="11" t="s">
        <v>139</v>
      </c>
      <c r="L17" s="24">
        <f>IF(K17="",0,+VLOOKUP(K17,Aberturas!A:M,12,FALSE))</f>
        <v>9.1999999999999998E-3</v>
      </c>
      <c r="M17" s="11"/>
      <c r="N17" s="24">
        <f>IF(M17="",0,+VLOOKUP(M17,Aberturas!A:M,12,FALSE))</f>
        <v>0</v>
      </c>
      <c r="O17" s="24">
        <f t="shared" si="6"/>
        <v>9.1999999999999998E-3</v>
      </c>
      <c r="P17" s="25">
        <f t="shared" si="9"/>
        <v>65.638845773643155</v>
      </c>
    </row>
    <row r="18" spans="1:17" x14ac:dyDescent="0.25">
      <c r="A18" s="11" t="s">
        <v>37</v>
      </c>
      <c r="B18" s="5" t="str">
        <f>+VLOOKUP(A18,Locales!A:N,2,FALSE)</f>
        <v>SECTOR DE RADIOBIOLOGÍA</v>
      </c>
      <c r="C18" s="11" t="s">
        <v>22</v>
      </c>
      <c r="D18" s="5" t="str">
        <f>+VLOOKUP(C18,Locales!A:N,2,FALSE)</f>
        <v>PASILLO</v>
      </c>
      <c r="E18" s="5">
        <f>+VLOOKUP(A18,Locales!A:N,10,FALSE)</f>
        <v>10</v>
      </c>
      <c r="F18" s="5">
        <f>+VLOOKUP(C18,Locales!A:N,10,FALSE)</f>
        <v>0</v>
      </c>
      <c r="G18" s="5">
        <f t="shared" si="5"/>
        <v>10</v>
      </c>
      <c r="H18" s="5">
        <f>+VLOOKUP(A18,Locales!A:N,6,FALSE)</f>
        <v>22</v>
      </c>
      <c r="I18" s="22">
        <f>IF(+VLOOKUP(A18,Locales!A:N,8,FALSE)="S/BT",$S$2,+VLOOKUP(A18,Locales!A:N,8,FALSE)/100)</f>
        <v>0.5</v>
      </c>
      <c r="J18" s="12" cm="1">
        <f t="array" ref="J18">+[1]!GetMoistAirDensity(H18,+[1]!GetHumRatioFromRelHum(H18,I18,'CDI-CDE'!$B$6*1000),'CDI-CDE'!$B$6*1000)</f>
        <v>1.0756859553616578</v>
      </c>
      <c r="K18" s="11" t="s">
        <v>150</v>
      </c>
      <c r="L18" s="24">
        <f>IF(K18="",0,+VLOOKUP(K18,Aberturas!A:M,12,FALSE))</f>
        <v>1.04E-2</v>
      </c>
      <c r="M18" s="11"/>
      <c r="N18" s="24">
        <f>IF(M18="",0,+VLOOKUP(M18,Aberturas!A:M,12,FALSE))</f>
        <v>0</v>
      </c>
      <c r="O18" s="24">
        <f t="shared" si="6"/>
        <v>1.04E-2</v>
      </c>
      <c r="P18" s="25">
        <f t="shared" si="9"/>
        <v>104.93526059572406</v>
      </c>
    </row>
    <row r="19" spans="1:17" x14ac:dyDescent="0.25">
      <c r="A19" s="11" t="s">
        <v>39</v>
      </c>
      <c r="B19" s="5" t="str">
        <f>+VLOOKUP(A19,Locales!A:N,2,FALSE)</f>
        <v>RADIOBIOLOGÍA MOLECULAR</v>
      </c>
      <c r="C19" s="11" t="s">
        <v>33</v>
      </c>
      <c r="D19" s="5" t="str">
        <f>+VLOOKUP(C19,Locales!A:N,2,FALSE)</f>
        <v>LABORATORIO DE RADIOBIOLOGÍA</v>
      </c>
      <c r="E19" s="5">
        <f>+VLOOKUP(A19,Locales!A:N,10,FALSE)</f>
        <v>15</v>
      </c>
      <c r="F19" s="5">
        <f>+VLOOKUP(C19,Locales!A:N,10,FALSE)</f>
        <v>10</v>
      </c>
      <c r="G19" s="5">
        <f t="shared" si="5"/>
        <v>5</v>
      </c>
      <c r="H19" s="5">
        <f>+VLOOKUP(A19,Locales!A:N,6,FALSE)</f>
        <v>22</v>
      </c>
      <c r="I19" s="22">
        <f>IF(+VLOOKUP(A19,Locales!A:N,8,FALSE)="S/BT",$S$2,+VLOOKUP(A19,Locales!A:N,8,FALSE)/100)</f>
        <v>0.5</v>
      </c>
      <c r="J19" s="12" cm="1">
        <f t="array" ref="J19">+[1]!GetMoistAirDensity(H19,+[1]!GetHumRatioFromRelHum(H19,I19,'CDI-CDE'!$B$6*1000),'CDI-CDE'!$B$6*1000)</f>
        <v>1.0756859553616578</v>
      </c>
      <c r="K19" s="11" t="s">
        <v>139</v>
      </c>
      <c r="L19" s="24">
        <f>IF(K19="",0,+VLOOKUP(K19,Aberturas!A:M,12,FALSE))</f>
        <v>9.1999999999999998E-3</v>
      </c>
      <c r="M19" s="11"/>
      <c r="N19" s="24">
        <f>IF(M19="",0,+VLOOKUP(M19,Aberturas!A:M,12,FALSE))</f>
        <v>0</v>
      </c>
      <c r="O19" s="24">
        <f t="shared" si="6"/>
        <v>9.1999999999999998E-3</v>
      </c>
      <c r="P19" s="25">
        <f t="shared" si="9"/>
        <v>65.638845773643155</v>
      </c>
    </row>
    <row r="20" spans="1:17" x14ac:dyDescent="0.25">
      <c r="A20" s="11" t="s">
        <v>41</v>
      </c>
      <c r="B20" s="5" t="str">
        <f>+VLOOKUP(A20,Locales!A:N,2,FALSE)</f>
        <v>SALA DE IRRADIACIÓN DE MUESTRAS</v>
      </c>
      <c r="C20" s="11" t="s">
        <v>33</v>
      </c>
      <c r="D20" s="5" t="str">
        <f>+VLOOKUP(C20,Locales!A:N,2,FALSE)</f>
        <v>LABORATORIO DE RADIOBIOLOGÍA</v>
      </c>
      <c r="E20" s="5">
        <f>+VLOOKUP(A20,Locales!A:N,10,FALSE)</f>
        <v>15</v>
      </c>
      <c r="F20" s="5">
        <f>+VLOOKUP(C20,Locales!A:N,10,FALSE)</f>
        <v>10</v>
      </c>
      <c r="G20" s="5">
        <f t="shared" si="5"/>
        <v>5</v>
      </c>
      <c r="H20" s="5">
        <f>+VLOOKUP(A20,Locales!A:N,6,FALSE)</f>
        <v>22</v>
      </c>
      <c r="I20" s="22">
        <f>IF(+VLOOKUP(A20,Locales!A:N,8,FALSE)="S/BT",$S$2,+VLOOKUP(A20,Locales!A:N,8,FALSE)/100)</f>
        <v>0.5</v>
      </c>
      <c r="J20" s="12" cm="1">
        <f t="array" ref="J20">+[1]!GetMoistAirDensity(H20,+[1]!GetHumRatioFromRelHum(H20,I20,'CDI-CDE'!$B$6*1000),'CDI-CDE'!$B$6*1000)</f>
        <v>1.0756859553616578</v>
      </c>
      <c r="K20" s="11" t="s">
        <v>147</v>
      </c>
      <c r="L20" s="24">
        <f>IF(K20="",0,+VLOOKUP(K20,Aberturas!A:M,12,FALSE))</f>
        <v>9.1999999999999998E-3</v>
      </c>
      <c r="M20" s="11"/>
      <c r="N20" s="24">
        <f>IF(M20="",0,+VLOOKUP(M20,Aberturas!A:M,12,FALSE))</f>
        <v>0</v>
      </c>
      <c r="O20" s="24">
        <f t="shared" si="6"/>
        <v>9.1999999999999998E-3</v>
      </c>
      <c r="P20" s="25">
        <f t="shared" si="9"/>
        <v>65.638845773643155</v>
      </c>
    </row>
    <row r="21" spans="1:17" ht="90" x14ac:dyDescent="0.25">
      <c r="A21" s="11" t="s">
        <v>25</v>
      </c>
      <c r="B21" s="5" t="str">
        <f>+VLOOKUP(A21,Locales!A:N,2,FALSE)</f>
        <v>ESPACIO 3</v>
      </c>
      <c r="C21" s="11" t="s">
        <v>22</v>
      </c>
      <c r="D21" s="5" t="str">
        <f>+VLOOKUP(C21,Locales!A:N,2,FALSE)</f>
        <v>PASILLO</v>
      </c>
      <c r="E21" s="5">
        <f>+VLOOKUP(A21,Locales!A:N,10,FALSE)</f>
        <v>5</v>
      </c>
      <c r="F21" s="5">
        <f>+VLOOKUP(C21,Locales!A:N,10,FALSE)</f>
        <v>0</v>
      </c>
      <c r="G21" s="5">
        <f t="shared" si="5"/>
        <v>5</v>
      </c>
      <c r="H21" s="5">
        <f>+VLOOKUP(A21,Locales!A:N,6,FALSE)</f>
        <v>22</v>
      </c>
      <c r="I21" s="22">
        <f>IF(+VLOOKUP(A21,Locales!A:N,8,FALSE)="S/BT",$S$2,+VLOOKUP(A21,Locales!A:N,8,FALSE)/100)</f>
        <v>0.5</v>
      </c>
      <c r="J21" s="12" cm="1">
        <f t="array" ref="J21">+[1]!GetMoistAirDensity(H21,+[1]!GetHumRatioFromRelHum(H21,I21,'CDI-CDE'!$B$6*1000),'CDI-CDE'!$B$6*1000)</f>
        <v>1.0756859553616578</v>
      </c>
      <c r="K21" s="11" t="s">
        <v>135</v>
      </c>
      <c r="L21" s="24">
        <f>IF(K21="",0,+VLOOKUP(K21,Aberturas!A:M,12,FALSE))</f>
        <v>1.9799999999999998E-2</v>
      </c>
      <c r="M21" s="11"/>
      <c r="N21" s="24">
        <f>IF(M21="",0,+VLOOKUP(M21,Aberturas!A:M,12,FALSE))</f>
        <v>0</v>
      </c>
      <c r="O21" s="24">
        <f t="shared" si="6"/>
        <v>1.9799999999999998E-2</v>
      </c>
      <c r="P21" s="33">
        <f>15*3.6*5</f>
        <v>270</v>
      </c>
      <c r="Q21" s="36" t="s">
        <v>163</v>
      </c>
    </row>
    <row r="22" spans="1:17" ht="90" x14ac:dyDescent="0.25">
      <c r="A22" s="11" t="s">
        <v>27</v>
      </c>
      <c r="B22" s="5" t="str">
        <f>+VLOOKUP(A22,Locales!A:N,2,FALSE)</f>
        <v>ESPACIO 4</v>
      </c>
      <c r="C22" s="11" t="s">
        <v>22</v>
      </c>
      <c r="D22" s="5" t="str">
        <f>+VLOOKUP(C22,Locales!A:N,2,FALSE)</f>
        <v>PASILLO</v>
      </c>
      <c r="E22" s="5">
        <f>+VLOOKUP(A22,Locales!A:N,10,FALSE)</f>
        <v>5</v>
      </c>
      <c r="F22" s="5">
        <f>+VLOOKUP(C22,Locales!A:N,10,FALSE)</f>
        <v>0</v>
      </c>
      <c r="G22" s="5">
        <f t="shared" si="5"/>
        <v>5</v>
      </c>
      <c r="H22" s="5">
        <f>+VLOOKUP(A22,Locales!A:N,6,FALSE)</f>
        <v>22</v>
      </c>
      <c r="I22" s="22">
        <f>IF(+VLOOKUP(A22,Locales!A:N,8,FALSE)="S/BT",$S$2,+VLOOKUP(A22,Locales!A:N,8,FALSE)/100)</f>
        <v>0.5</v>
      </c>
      <c r="J22" s="12" cm="1">
        <f t="array" ref="J22">+[1]!GetMoistAirDensity(H22,+[1]!GetHumRatioFromRelHum(H22,I22,'CDI-CDE'!$B$6*1000),'CDI-CDE'!$B$6*1000)</f>
        <v>1.0756859553616578</v>
      </c>
      <c r="K22" s="11" t="s">
        <v>135</v>
      </c>
      <c r="L22" s="24">
        <f>IF(K22="",0,+VLOOKUP(K22,Aberturas!A:M,12,FALSE))</f>
        <v>1.9799999999999998E-2</v>
      </c>
      <c r="M22" s="11"/>
      <c r="N22" s="24">
        <f>IF(M22="",0,+VLOOKUP(M22,Aberturas!A:M,12,FALSE))</f>
        <v>0</v>
      </c>
      <c r="O22" s="24">
        <f t="shared" si="6"/>
        <v>1.9799999999999998E-2</v>
      </c>
      <c r="P22" s="33">
        <f>15*3.6*5</f>
        <v>270</v>
      </c>
      <c r="Q22" s="36" t="s">
        <v>163</v>
      </c>
    </row>
    <row r="28" spans="1:17" x14ac:dyDescent="0.25">
      <c r="A28" s="11" t="s">
        <v>17</v>
      </c>
      <c r="B28" s="5" t="str">
        <f>+VLOOKUP(A28,Locales!A:N,2,FALSE)</f>
        <v>PASILLO DE IMÁGENES</v>
      </c>
      <c r="C28" s="11" t="s">
        <v>172</v>
      </c>
      <c r="D28" s="5" t="str">
        <f>+VLOOKUP(C28,Locales!A:N,2,FALSE)</f>
        <v>LABORATORIO DE PREPARACIÓN</v>
      </c>
      <c r="E28" s="5">
        <f>+VLOOKUP(A28,Locales!A:N,10,FALSE)</f>
        <v>5</v>
      </c>
      <c r="F28" s="5">
        <f>+VLOOKUP(C28,Locales!A:N,10,FALSE)</f>
        <v>-5</v>
      </c>
      <c r="G28" s="5">
        <f t="shared" ref="G28" si="10">+E28-F28</f>
        <v>10</v>
      </c>
      <c r="H28" s="5">
        <f>+VLOOKUP(A28,Locales!A:N,6,FALSE)</f>
        <v>22</v>
      </c>
      <c r="I28" s="22">
        <f>IF(+VLOOKUP(A28,Locales!A:N,8,FALSE)="S/BT",$S$2,+VLOOKUP(A28,Locales!A:N,8,FALSE)/100)</f>
        <v>0.5</v>
      </c>
      <c r="J28" s="12" cm="1">
        <f t="array" ref="J28">+[1]!GetMoistAirDensity(H28,+[1]!GetHumRatioFromRelHum(H28,I28,'CDI-CDE'!$B$6*1000),'CDI-CDE'!$B$6*1000)</f>
        <v>1.0756859553616578</v>
      </c>
      <c r="K28" s="11" t="s">
        <v>145</v>
      </c>
      <c r="L28" s="24">
        <f>IF(K28="",0,+VLOOKUP(K28,Aberturas!A:M,12,FALSE))</f>
        <v>0.01</v>
      </c>
      <c r="M28" s="11"/>
      <c r="N28" s="24">
        <f>IF(M28="",0,+VLOOKUP(M28,Aberturas!A:M,12,FALSE))</f>
        <v>0</v>
      </c>
      <c r="O28" s="24">
        <f t="shared" ref="O28" si="11">+N28+L28</f>
        <v>0.01</v>
      </c>
      <c r="P28" s="25">
        <f t="shared" ref="P28" si="12">+O28*$S$1*SQRT(2*G28/J28)*3600</f>
        <v>100.89928903435008</v>
      </c>
    </row>
    <row r="29" spans="1:17" x14ac:dyDescent="0.25">
      <c r="A29" s="11" t="s">
        <v>173</v>
      </c>
      <c r="B29" s="5" t="str">
        <f>+VLOOKUP(A29,Locales!A:N,2,FALSE)</f>
        <v>SALA DE PREPARACIÓN</v>
      </c>
      <c r="C29" s="11" t="s">
        <v>17</v>
      </c>
      <c r="D29" s="5" t="str">
        <f>+VLOOKUP(C29,Locales!A:N,2,FALSE)</f>
        <v>PASILLO DE IMÁGENES</v>
      </c>
      <c r="E29" s="5">
        <f>+VLOOKUP(A29,Locales!A:N,10,FALSE)</f>
        <v>15</v>
      </c>
      <c r="F29" s="5">
        <f>+VLOOKUP(C29,Locales!A:N,10,FALSE)</f>
        <v>5</v>
      </c>
      <c r="G29" s="5">
        <f t="shared" ref="G29:G54" si="13">+E29-F29</f>
        <v>10</v>
      </c>
      <c r="H29" s="5">
        <f>+VLOOKUP(A29,Locales!A:N,6,FALSE)</f>
        <v>22</v>
      </c>
      <c r="I29" s="22">
        <f>IF(+VLOOKUP(A29,Locales!A:N,8,FALSE)="S/BT",$S$2,+VLOOKUP(A29,Locales!A:N,8,FALSE)/100)</f>
        <v>0.5</v>
      </c>
      <c r="J29" s="12" cm="1">
        <f t="array" ref="J29">+[1]!GetMoistAirDensity(H29,+[1]!GetHumRatioFromRelHum(H29,I29,'CDI-CDE'!$B$6*1000),'CDI-CDE'!$B$6*1000)</f>
        <v>1.0756859553616578</v>
      </c>
      <c r="K29" s="11" t="s">
        <v>142</v>
      </c>
      <c r="L29" s="24">
        <f>IF(K29="",0,+VLOOKUP(K29,Aberturas!A:M,12,FALSE))</f>
        <v>9.1999999999999998E-3</v>
      </c>
      <c r="M29" s="11"/>
      <c r="N29" s="24">
        <f>IF(M29="",0,+VLOOKUP(M29,Aberturas!A:M,12,FALSE))</f>
        <v>0</v>
      </c>
      <c r="O29" s="24">
        <f t="shared" ref="O29:O54" si="14">+N29+L29</f>
        <v>9.1999999999999998E-3</v>
      </c>
      <c r="P29" s="33">
        <v>48</v>
      </c>
      <c r="Q29" t="s">
        <v>209</v>
      </c>
    </row>
    <row r="30" spans="1:17" x14ac:dyDescent="0.25">
      <c r="A30" s="11" t="s">
        <v>166</v>
      </c>
      <c r="B30" s="5" t="str">
        <f>+VLOOKUP(A30,Locales!A:N,2,FALSE)</f>
        <v>PASILLO LIMPIO - ETAPA 2</v>
      </c>
      <c r="C30" s="11" t="s">
        <v>171</v>
      </c>
      <c r="D30" s="5" t="str">
        <f>+VLOOKUP(C30,Locales!A:N,2,FALSE)</f>
        <v>SALA DE EQUIPOS</v>
      </c>
      <c r="E30" s="5">
        <f>+VLOOKUP(A30,Locales!A:N,10,FALSE)</f>
        <v>20</v>
      </c>
      <c r="F30" s="5">
        <f>+VLOOKUP(C30,Locales!A:N,10,FALSE)</f>
        <v>5</v>
      </c>
      <c r="G30" s="5">
        <f t="shared" si="13"/>
        <v>15</v>
      </c>
      <c r="H30" s="5">
        <f>+VLOOKUP(A30,Locales!A:N,6,FALSE)</f>
        <v>22</v>
      </c>
      <c r="I30" s="22">
        <f>IF(+VLOOKUP(A30,Locales!A:N,8,FALSE)="S/BT",$S$2,+VLOOKUP(A30,Locales!A:N,8,FALSE)/100)</f>
        <v>0.5</v>
      </c>
      <c r="J30" s="12" cm="1">
        <f t="array" ref="J30">+[1]!GetMoistAirDensity(H30,+[1]!GetHumRatioFromRelHum(H30,I30,'CDI-CDE'!$B$6*1000),'CDI-CDE'!$B$6*1000)</f>
        <v>1.0756859553616578</v>
      </c>
      <c r="K30" s="11" t="s">
        <v>142</v>
      </c>
      <c r="L30" s="24">
        <f>IF(K30="",0,+VLOOKUP(K30,Aberturas!A:M,12,FALSE))</f>
        <v>9.1999999999999998E-3</v>
      </c>
      <c r="M30" s="11"/>
      <c r="N30" s="24">
        <f>IF(M30="",0,+VLOOKUP(M30,Aberturas!A:M,12,FALSE))</f>
        <v>0</v>
      </c>
      <c r="O30" s="24">
        <f t="shared" si="14"/>
        <v>9.1999999999999998E-3</v>
      </c>
      <c r="P30" s="25">
        <f t="shared" ref="P30:P54" si="15">+O30*$S$1*SQRT(2*G30/J30)*3600</f>
        <v>113.68981583012766</v>
      </c>
    </row>
    <row r="31" spans="1:17" x14ac:dyDescent="0.25">
      <c r="A31" s="11" t="s">
        <v>186</v>
      </c>
      <c r="B31" s="5" t="str">
        <f>+VLOOKUP(A31,Locales!A:N,2,FALSE)</f>
        <v>SALA DE CIRUGÍA</v>
      </c>
      <c r="C31" s="11" t="s">
        <v>166</v>
      </c>
      <c r="D31" s="5" t="str">
        <f>+VLOOKUP(C31,Locales!A:N,2,FALSE)</f>
        <v>PASILLO LIMPIO - ETAPA 2</v>
      </c>
      <c r="E31" s="5">
        <f>+VLOOKUP(A31,Locales!A:N,10,FALSE)</f>
        <v>25</v>
      </c>
      <c r="F31" s="5">
        <f>+VLOOKUP(C31,Locales!A:N,10,FALSE)</f>
        <v>20</v>
      </c>
      <c r="G31" s="5">
        <f t="shared" si="13"/>
        <v>5</v>
      </c>
      <c r="H31" s="5">
        <f>+VLOOKUP(A31,Locales!A:N,6,FALSE)</f>
        <v>22</v>
      </c>
      <c r="I31" s="22">
        <f>IF(+VLOOKUP(A31,Locales!A:N,8,FALSE)="S/BT",$S$2,+VLOOKUP(A31,Locales!A:N,8,FALSE)/100)</f>
        <v>0.5</v>
      </c>
      <c r="J31" s="12" cm="1">
        <f t="array" ref="J31">+[1]!GetMoistAirDensity(H31,+[1]!GetHumRatioFromRelHum(H31,I31,'CDI-CDE'!$B$6*1000),'CDI-CDE'!$B$6*1000)</f>
        <v>1.0756859553616578</v>
      </c>
      <c r="K31" s="11" t="s">
        <v>148</v>
      </c>
      <c r="L31" s="24">
        <f>IF(K31="",0,+VLOOKUP(K31,Aberturas!A:M,12,FALSE))</f>
        <v>9.1999999999999998E-3</v>
      </c>
      <c r="M31" s="11"/>
      <c r="N31" s="24">
        <f>IF(M31="",0,+VLOOKUP(M31,Aberturas!A:M,12,FALSE))</f>
        <v>0</v>
      </c>
      <c r="O31" s="24">
        <f t="shared" si="14"/>
        <v>9.1999999999999998E-3</v>
      </c>
      <c r="P31" s="25">
        <f t="shared" si="15"/>
        <v>65.638845773643155</v>
      </c>
    </row>
    <row r="32" spans="1:17" x14ac:dyDescent="0.25">
      <c r="A32" s="11" t="s">
        <v>166</v>
      </c>
      <c r="B32" s="5" t="str">
        <f>+VLOOKUP(A32,Locales!A:N,2,FALSE)</f>
        <v>PASILLO LIMPIO - ETAPA 2</v>
      </c>
      <c r="C32" s="11" t="s">
        <v>167</v>
      </c>
      <c r="D32" s="5" t="str">
        <f>+VLOOKUP(C32,Locales!A:N,2,FALSE)</f>
        <v>DEPÓSITO 2</v>
      </c>
      <c r="E32" s="5">
        <f>+VLOOKUP(A32,Locales!A:N,10,FALSE)</f>
        <v>20</v>
      </c>
      <c r="F32" s="5">
        <f>+VLOOKUP(C32,Locales!A:N,10,FALSE)</f>
        <v>5</v>
      </c>
      <c r="G32" s="5">
        <f t="shared" si="13"/>
        <v>15</v>
      </c>
      <c r="H32" s="5">
        <f>+VLOOKUP(A32,Locales!A:N,6,FALSE)</f>
        <v>22</v>
      </c>
      <c r="I32" s="22">
        <f>IF(+VLOOKUP(A32,Locales!A:N,8,FALSE)="S/BT",$S$2,+VLOOKUP(A32,Locales!A:N,8,FALSE)/100)</f>
        <v>0.5</v>
      </c>
      <c r="J32" s="12" cm="1">
        <f t="array" ref="J32">+[1]!GetMoistAirDensity(H32,+[1]!GetHumRatioFromRelHum(H32,I32,'CDI-CDE'!$B$6*1000),'CDI-CDE'!$B$6*1000)</f>
        <v>1.0756859553616578</v>
      </c>
      <c r="K32" s="11" t="s">
        <v>63</v>
      </c>
      <c r="L32" s="24">
        <f>IF(K32="",0,+VLOOKUP(K32,Aberturas!A:M,12,FALSE))</f>
        <v>8.0000000000000002E-3</v>
      </c>
      <c r="M32" s="11"/>
      <c r="N32" s="24">
        <f>IF(M32="",0,+VLOOKUP(M32,Aberturas!A:M,12,FALSE))</f>
        <v>0</v>
      </c>
      <c r="O32" s="24">
        <f t="shared" si="14"/>
        <v>8.0000000000000002E-3</v>
      </c>
      <c r="P32" s="25">
        <f t="shared" si="15"/>
        <v>98.860709417502306</v>
      </c>
    </row>
    <row r="33" spans="1:17" x14ac:dyDescent="0.25">
      <c r="A33" s="11" t="s">
        <v>166</v>
      </c>
      <c r="B33" s="5" t="str">
        <f>+VLOOKUP(A33,Locales!A:N,2,FALSE)</f>
        <v>PASILLO LIMPIO - ETAPA 2</v>
      </c>
      <c r="C33" s="11" t="s">
        <v>168</v>
      </c>
      <c r="D33" s="5" t="str">
        <f>+VLOOKUP(C33,Locales!A:N,2,FALSE)</f>
        <v>SALA DE EXPERIMENTACIÓN 1</v>
      </c>
      <c r="E33" s="5">
        <f>+VLOOKUP(A33,Locales!A:N,10,FALSE)</f>
        <v>20</v>
      </c>
      <c r="F33" s="5">
        <f>+VLOOKUP(C33,Locales!A:N,10,FALSE)</f>
        <v>5</v>
      </c>
      <c r="G33" s="5">
        <f t="shared" si="13"/>
        <v>15</v>
      </c>
      <c r="H33" s="5">
        <f>+VLOOKUP(A33,Locales!A:N,6,FALSE)</f>
        <v>22</v>
      </c>
      <c r="I33" s="22">
        <f>IF(+VLOOKUP(A33,Locales!A:N,8,FALSE)="S/BT",$S$2,+VLOOKUP(A33,Locales!A:N,8,FALSE)/100)</f>
        <v>0.5</v>
      </c>
      <c r="J33" s="12" cm="1">
        <f t="array" ref="J33">+[1]!GetMoistAirDensity(H33,+[1]!GetHumRatioFromRelHum(H33,I33,'CDI-CDE'!$B$6*1000),'CDI-CDE'!$B$6*1000)</f>
        <v>1.0756859553616578</v>
      </c>
      <c r="K33" s="11" t="s">
        <v>147</v>
      </c>
      <c r="L33" s="24">
        <f>IF(K33="",0,+VLOOKUP(K33,Aberturas!A:M,12,FALSE))</f>
        <v>9.1999999999999998E-3</v>
      </c>
      <c r="M33" s="11"/>
      <c r="N33" s="24">
        <f>IF(M33="",0,+VLOOKUP(M33,Aberturas!A:M,12,FALSE))</f>
        <v>0</v>
      </c>
      <c r="O33" s="24">
        <f t="shared" si="14"/>
        <v>9.1999999999999998E-3</v>
      </c>
      <c r="P33" s="25">
        <f t="shared" si="15"/>
        <v>113.68981583012766</v>
      </c>
    </row>
    <row r="34" spans="1:17" x14ac:dyDescent="0.25">
      <c r="A34" s="11" t="s">
        <v>166</v>
      </c>
      <c r="B34" s="5" t="str">
        <f>+VLOOKUP(A34,Locales!A:N,2,FALSE)</f>
        <v>PASILLO LIMPIO - ETAPA 2</v>
      </c>
      <c r="C34" s="11" t="s">
        <v>169</v>
      </c>
      <c r="D34" s="5" t="str">
        <f>+VLOOKUP(C34,Locales!A:N,2,FALSE)</f>
        <v>SALA DE EXPERIMENTACIÓN 2</v>
      </c>
      <c r="E34" s="5">
        <f>+VLOOKUP(A34,Locales!A:N,10,FALSE)</f>
        <v>20</v>
      </c>
      <c r="F34" s="5">
        <f>+VLOOKUP(C34,Locales!A:N,10,FALSE)</f>
        <v>5</v>
      </c>
      <c r="G34" s="5">
        <f t="shared" si="13"/>
        <v>15</v>
      </c>
      <c r="H34" s="5">
        <f>+VLOOKUP(A34,Locales!A:N,6,FALSE)</f>
        <v>22</v>
      </c>
      <c r="I34" s="22">
        <f>IF(+VLOOKUP(A34,Locales!A:N,8,FALSE)="S/BT",$S$2,+VLOOKUP(A34,Locales!A:N,8,FALSE)/100)</f>
        <v>0.5</v>
      </c>
      <c r="J34" s="12" cm="1">
        <f t="array" ref="J34">+[1]!GetMoistAirDensity(H34,+[1]!GetHumRatioFromRelHum(H34,I34,'CDI-CDE'!$B$6*1000),'CDI-CDE'!$B$6*1000)</f>
        <v>1.0756859553616578</v>
      </c>
      <c r="K34" s="11" t="s">
        <v>147</v>
      </c>
      <c r="L34" s="24">
        <f>IF(K34="",0,+VLOOKUP(K34,Aberturas!A:M,12,FALSE))</f>
        <v>9.1999999999999998E-3</v>
      </c>
      <c r="M34" s="11"/>
      <c r="N34" s="24">
        <f>IF(M34="",0,+VLOOKUP(M34,Aberturas!A:M,12,FALSE))</f>
        <v>0</v>
      </c>
      <c r="O34" s="24">
        <f t="shared" si="14"/>
        <v>9.1999999999999998E-3</v>
      </c>
      <c r="P34" s="25">
        <f t="shared" si="15"/>
        <v>113.68981583012766</v>
      </c>
    </row>
    <row r="35" spans="1:17" x14ac:dyDescent="0.25">
      <c r="A35" s="11" t="s">
        <v>166</v>
      </c>
      <c r="B35" s="5" t="str">
        <f>+VLOOKUP(A35,Locales!A:N,2,FALSE)</f>
        <v>PASILLO LIMPIO - ETAPA 2</v>
      </c>
      <c r="C35" s="11" t="s">
        <v>170</v>
      </c>
      <c r="D35" s="5" t="str">
        <f>+VLOOKUP(C35,Locales!A:N,2,FALSE)</f>
        <v>SALA DE EXPERIMENTACIÓN 3</v>
      </c>
      <c r="E35" s="5">
        <f>+VLOOKUP(A35,Locales!A:N,10,FALSE)</f>
        <v>20</v>
      </c>
      <c r="F35" s="5">
        <f>+VLOOKUP(C35,Locales!A:N,10,FALSE)</f>
        <v>5</v>
      </c>
      <c r="G35" s="5">
        <f t="shared" si="13"/>
        <v>15</v>
      </c>
      <c r="H35" s="5">
        <f>+VLOOKUP(A35,Locales!A:N,6,FALSE)</f>
        <v>22</v>
      </c>
      <c r="I35" s="22">
        <f>IF(+VLOOKUP(A35,Locales!A:N,8,FALSE)="S/BT",$S$2,+VLOOKUP(A35,Locales!A:N,8,FALSE)/100)</f>
        <v>0.5</v>
      </c>
      <c r="J35" s="12" cm="1">
        <f t="array" ref="J35">+[1]!GetMoistAirDensity(H35,+[1]!GetHumRatioFromRelHum(H35,I35,'CDI-CDE'!$B$6*1000),'CDI-CDE'!$B$6*1000)</f>
        <v>1.0756859553616578</v>
      </c>
      <c r="K35" s="11" t="s">
        <v>147</v>
      </c>
      <c r="L35" s="24">
        <f>IF(K35="",0,+VLOOKUP(K35,Aberturas!A:M,12,FALSE))</f>
        <v>9.1999999999999998E-3</v>
      </c>
      <c r="M35" s="11"/>
      <c r="N35" s="24">
        <f>IF(M35="",0,+VLOOKUP(M35,Aberturas!A:M,12,FALSE))</f>
        <v>0</v>
      </c>
      <c r="O35" s="24">
        <f t="shared" si="14"/>
        <v>9.1999999999999998E-3</v>
      </c>
      <c r="P35" s="25">
        <f t="shared" si="15"/>
        <v>113.68981583012766</v>
      </c>
    </row>
    <row r="36" spans="1:17" x14ac:dyDescent="0.25">
      <c r="A36" s="11" t="s">
        <v>166</v>
      </c>
      <c r="B36" s="5" t="str">
        <f>+VLOOKUP(A36,Locales!A:N,2,FALSE)</f>
        <v>PASILLO LIMPIO - ETAPA 2</v>
      </c>
      <c r="C36" s="11" t="s">
        <v>128</v>
      </c>
      <c r="D36" s="5" t="str">
        <f>+VLOOKUP(C36,Locales!A:N,2,FALSE)</f>
        <v>PASILLO LIMPIO - ETAPA 1</v>
      </c>
      <c r="E36" s="5">
        <f>+VLOOKUP(A36,Locales!A:N,10,FALSE)</f>
        <v>20</v>
      </c>
      <c r="F36" s="5">
        <f>+VLOOKUP(C36,Locales!A:N,10,FALSE)</f>
        <v>20</v>
      </c>
      <c r="G36" s="5">
        <f t="shared" si="13"/>
        <v>0</v>
      </c>
      <c r="H36" s="5">
        <f>+VLOOKUP(A36,Locales!A:N,6,FALSE)</f>
        <v>22</v>
      </c>
      <c r="I36" s="22">
        <f>IF(+VLOOKUP(A36,Locales!A:N,8,FALSE)="S/BT",$S$2,+VLOOKUP(A36,Locales!A:N,8,FALSE)/100)</f>
        <v>0.5</v>
      </c>
      <c r="J36" s="12" cm="1">
        <f t="array" ref="J36">+[1]!GetMoistAirDensity(H36,+[1]!GetHumRatioFromRelHum(H36,I36,'CDI-CDE'!$B$6*1000),'CDI-CDE'!$B$6*1000)</f>
        <v>1.0756859553616578</v>
      </c>
      <c r="K36" s="11"/>
      <c r="L36" s="24">
        <f>IF(K36="",0,+VLOOKUP(K36,Aberturas!A:M,12,FALSE))</f>
        <v>0</v>
      </c>
      <c r="M36" s="11"/>
      <c r="N36" s="24">
        <f>IF(M36="",0,+VLOOKUP(M36,Aberturas!A:M,12,FALSE))</f>
        <v>0</v>
      </c>
      <c r="O36" s="24">
        <f t="shared" si="14"/>
        <v>0</v>
      </c>
      <c r="P36" s="33">
        <v>213</v>
      </c>
      <c r="Q36" t="s">
        <v>210</v>
      </c>
    </row>
    <row r="37" spans="1:17" x14ac:dyDescent="0.25">
      <c r="A37" s="11" t="s">
        <v>166</v>
      </c>
      <c r="B37" s="5" t="str">
        <f>+VLOOKUP(A37,Locales!A:N,2,FALSE)</f>
        <v>PASILLO LIMPIO - ETAPA 2</v>
      </c>
      <c r="C37" s="11" t="s">
        <v>165</v>
      </c>
      <c r="D37" s="5" t="str">
        <f>+VLOOKUP(C37,Locales!A:N,2,FALSE)</f>
        <v>ELEMENTOS Y CONSUMIBLES ESTERILIZADOS</v>
      </c>
      <c r="E37" s="5">
        <f>+VLOOKUP(A37,Locales!A:N,10,FALSE)</f>
        <v>20</v>
      </c>
      <c r="F37" s="5">
        <f>+VLOOKUP(C37,Locales!A:N,10,FALSE)</f>
        <v>15</v>
      </c>
      <c r="G37" s="5">
        <f t="shared" si="13"/>
        <v>5</v>
      </c>
      <c r="H37" s="5">
        <f>+VLOOKUP(A37,Locales!A:N,6,FALSE)</f>
        <v>22</v>
      </c>
      <c r="I37" s="22">
        <f>IF(+VLOOKUP(A37,Locales!A:N,8,FALSE)="S/BT",$S$2,+VLOOKUP(A37,Locales!A:N,8,FALSE)/100)</f>
        <v>0.5</v>
      </c>
      <c r="J37" s="12" cm="1">
        <f t="array" ref="J37">+[1]!GetMoistAirDensity(H37,+[1]!GetHumRatioFromRelHum(H37,I37,'CDI-CDE'!$B$6*1000),'CDI-CDE'!$B$6*1000)</f>
        <v>1.0756859553616578</v>
      </c>
      <c r="K37" s="11" t="s">
        <v>139</v>
      </c>
      <c r="L37" s="24">
        <f>IF(K37="",0,+VLOOKUP(K37,Aberturas!A:M,12,FALSE))</f>
        <v>9.1999999999999998E-3</v>
      </c>
      <c r="M37" s="11"/>
      <c r="N37" s="24">
        <f>IF(M37="",0,+VLOOKUP(M37,Aberturas!A:M,12,FALSE))</f>
        <v>0</v>
      </c>
      <c r="O37" s="24">
        <f t="shared" si="14"/>
        <v>9.1999999999999998E-3</v>
      </c>
      <c r="P37" s="25">
        <f t="shared" si="15"/>
        <v>65.638845773643155</v>
      </c>
    </row>
    <row r="38" spans="1:17" x14ac:dyDescent="0.25">
      <c r="A38" s="11" t="s">
        <v>166</v>
      </c>
      <c r="B38" s="5" t="str">
        <f>+VLOOKUP(A38,Locales!A:N,2,FALSE)</f>
        <v>PASILLO LIMPIO - ETAPA 2</v>
      </c>
      <c r="C38" s="11" t="s">
        <v>185</v>
      </c>
      <c r="D38" s="5" t="str">
        <f>+VLOOKUP(C38,Locales!A:N,2,FALSE)</f>
        <v>LIMPIEZA</v>
      </c>
      <c r="E38" s="5">
        <f>+VLOOKUP(A38,Locales!A:N,10,FALSE)</f>
        <v>20</v>
      </c>
      <c r="F38" s="5">
        <f>+VLOOKUP(C38,Locales!A:N,10,FALSE)</f>
        <v>15</v>
      </c>
      <c r="G38" s="5">
        <f t="shared" si="13"/>
        <v>5</v>
      </c>
      <c r="H38" s="5">
        <f>+VLOOKUP(A38,Locales!A:N,6,FALSE)</f>
        <v>22</v>
      </c>
      <c r="I38" s="22">
        <f>IF(+VLOOKUP(A38,Locales!A:N,8,FALSE)="S/BT",$S$2,+VLOOKUP(A38,Locales!A:N,8,FALSE)/100)</f>
        <v>0.5</v>
      </c>
      <c r="J38" s="12" cm="1">
        <f t="array" ref="J38">+[1]!GetMoistAirDensity(H38,+[1]!GetHumRatioFromRelHum(H38,I38,'CDI-CDE'!$B$6*1000),'CDI-CDE'!$B$6*1000)</f>
        <v>1.0756859553616578</v>
      </c>
      <c r="K38" s="11" t="s">
        <v>149</v>
      </c>
      <c r="L38" s="24">
        <f>IF(K38="",0,+VLOOKUP(K38,Aberturas!A:M,12,FALSE))</f>
        <v>8.0000000000000002E-3</v>
      </c>
      <c r="M38" s="11"/>
      <c r="N38" s="24">
        <f>IF(M38="",0,+VLOOKUP(M38,Aberturas!A:M,12,FALSE))</f>
        <v>0</v>
      </c>
      <c r="O38" s="24">
        <f t="shared" si="14"/>
        <v>8.0000000000000002E-3</v>
      </c>
      <c r="P38" s="25">
        <f t="shared" si="15"/>
        <v>57.077257194472317</v>
      </c>
    </row>
    <row r="39" spans="1:17" x14ac:dyDescent="0.25">
      <c r="A39" s="11" t="s">
        <v>166</v>
      </c>
      <c r="B39" s="5" t="str">
        <f>+VLOOKUP(A39,Locales!A:N,2,FALSE)</f>
        <v>PASILLO LIMPIO - ETAPA 2</v>
      </c>
      <c r="C39" s="11" t="s">
        <v>183</v>
      </c>
      <c r="D39" s="5" t="str">
        <f>+VLOOKUP(C39,Locales!A:N,2,FALSE)</f>
        <v>SECTOR DE BIOPSIAS Y NECROSARIO</v>
      </c>
      <c r="E39" s="5">
        <f>+VLOOKUP(A39,Locales!A:N,10,FALSE)</f>
        <v>20</v>
      </c>
      <c r="F39" s="5">
        <f>+VLOOKUP(C39,Locales!A:N,10,FALSE)</f>
        <v>-10</v>
      </c>
      <c r="G39" s="5">
        <f t="shared" si="13"/>
        <v>30</v>
      </c>
      <c r="H39" s="5">
        <f>+VLOOKUP(A39,Locales!A:N,6,FALSE)</f>
        <v>22</v>
      </c>
      <c r="I39" s="22">
        <f>IF(+VLOOKUP(A39,Locales!A:N,8,FALSE)="S/BT",$S$2,+VLOOKUP(A39,Locales!A:N,8,FALSE)/100)</f>
        <v>0.5</v>
      </c>
      <c r="J39" s="12" cm="1">
        <f t="array" ref="J39">+[1]!GetMoistAirDensity(H39,+[1]!GetHumRatioFromRelHum(H39,I39,'CDI-CDE'!$B$6*1000),'CDI-CDE'!$B$6*1000)</f>
        <v>1.0756859553616578</v>
      </c>
      <c r="K39" s="11" t="s">
        <v>139</v>
      </c>
      <c r="L39" s="24">
        <f>IF(K39="",0,+VLOOKUP(K39,Aberturas!A:M,12,FALSE))</f>
        <v>9.1999999999999998E-3</v>
      </c>
      <c r="M39" s="11"/>
      <c r="N39" s="24">
        <f>IF(M39="",0,+VLOOKUP(M39,Aberturas!A:M,12,FALSE))</f>
        <v>0</v>
      </c>
      <c r="O39" s="24">
        <f t="shared" si="14"/>
        <v>9.1999999999999998E-3</v>
      </c>
      <c r="P39" s="25">
        <f t="shared" si="15"/>
        <v>160.78167945066588</v>
      </c>
    </row>
    <row r="40" spans="1:17" x14ac:dyDescent="0.25">
      <c r="A40" s="11" t="s">
        <v>182</v>
      </c>
      <c r="B40" s="5" t="str">
        <f>+VLOOKUP(A40,Locales!A:N,2,FALSE)</f>
        <v>CUARENTENA</v>
      </c>
      <c r="C40" s="11" t="s">
        <v>183</v>
      </c>
      <c r="D40" s="5" t="str">
        <f>+VLOOKUP(C40,Locales!A:N,2,FALSE)</f>
        <v>SECTOR DE BIOPSIAS Y NECROSARIO</v>
      </c>
      <c r="E40" s="5">
        <f>+VLOOKUP(A40,Locales!A:N,10,FALSE)</f>
        <v>5</v>
      </c>
      <c r="F40" s="5">
        <f>+VLOOKUP(C40,Locales!A:N,10,FALSE)</f>
        <v>-10</v>
      </c>
      <c r="G40" s="5">
        <f t="shared" si="13"/>
        <v>15</v>
      </c>
      <c r="H40" s="5">
        <f>+VLOOKUP(A40,Locales!A:N,6,FALSE)</f>
        <v>22</v>
      </c>
      <c r="I40" s="22">
        <f>IF(+VLOOKUP(A40,Locales!A:N,8,FALSE)="S/BT",$S$2,+VLOOKUP(A40,Locales!A:N,8,FALSE)/100)</f>
        <v>0.5</v>
      </c>
      <c r="J40" s="12" cm="1">
        <f t="array" ref="J40">+[1]!GetMoistAirDensity(H40,+[1]!GetHumRatioFromRelHum(H40,I40,'CDI-CDE'!$B$6*1000),'CDI-CDE'!$B$6*1000)</f>
        <v>1.0756859553616578</v>
      </c>
      <c r="K40" s="11" t="s">
        <v>141</v>
      </c>
      <c r="L40" s="24">
        <f>IF(K40="",0,+VLOOKUP(K40,Aberturas!A:M,12,FALSE))</f>
        <v>9.1999999999999998E-3</v>
      </c>
      <c r="M40" s="11"/>
      <c r="N40" s="24">
        <f>IF(M40="",0,+VLOOKUP(M40,Aberturas!A:M,12,FALSE))</f>
        <v>0</v>
      </c>
      <c r="O40" s="24">
        <f t="shared" si="14"/>
        <v>9.1999999999999998E-3</v>
      </c>
      <c r="P40" s="25">
        <f t="shared" si="15"/>
        <v>113.68981583012766</v>
      </c>
    </row>
    <row r="41" spans="1:17" x14ac:dyDescent="0.25">
      <c r="A41" s="11" t="s">
        <v>184</v>
      </c>
      <c r="B41" s="5" t="str">
        <f>+VLOOKUP(A41,Locales!A:N,2,FALSE)</f>
        <v>ÁREA DE LIMPIEZA</v>
      </c>
      <c r="C41" s="11" t="s">
        <v>177</v>
      </c>
      <c r="D41" s="5" t="str">
        <f>+VLOOKUP(C41,Locales!A:N,2,FALSE)</f>
        <v>PASILLO TÉCNICO</v>
      </c>
      <c r="E41" s="5">
        <f>+VLOOKUP(A41,Locales!A:N,10,FALSE)</f>
        <v>10</v>
      </c>
      <c r="F41" s="5">
        <f>+VLOOKUP(C41,Locales!A:N,10,FALSE)</f>
        <v>-10</v>
      </c>
      <c r="G41" s="5">
        <f t="shared" si="13"/>
        <v>20</v>
      </c>
      <c r="H41" s="5">
        <f>+VLOOKUP(A41,Locales!A:N,6,FALSE)</f>
        <v>22</v>
      </c>
      <c r="I41" s="22">
        <f>IF(+VLOOKUP(A41,Locales!A:N,8,FALSE)="S/BT",$S$2,+VLOOKUP(A41,Locales!A:N,8,FALSE)/100)</f>
        <v>0.5</v>
      </c>
      <c r="J41" s="12" cm="1">
        <f t="array" ref="J41">+[1]!GetMoistAirDensity(H41,+[1]!GetHumRatioFromRelHum(H41,I41,'CDI-CDE'!$B$6*1000),'CDI-CDE'!$B$6*1000)</f>
        <v>1.0756859553616578</v>
      </c>
      <c r="K41" s="11" t="s">
        <v>146</v>
      </c>
      <c r="L41" s="24">
        <f>IF(K41="",0,+VLOOKUP(K41,Aberturas!A:M,12,FALSE))</f>
        <v>1.04E-2</v>
      </c>
      <c r="M41" s="11"/>
      <c r="N41" s="24">
        <f>IF(M41="",0,+VLOOKUP(M41,Aberturas!A:M,12,FALSE))</f>
        <v>0</v>
      </c>
      <c r="O41" s="24">
        <f t="shared" si="14"/>
        <v>1.04E-2</v>
      </c>
      <c r="P41" s="25">
        <f t="shared" si="15"/>
        <v>148.400868705628</v>
      </c>
    </row>
    <row r="42" spans="1:17" x14ac:dyDescent="0.25">
      <c r="A42" s="11" t="s">
        <v>182</v>
      </c>
      <c r="B42" s="5" t="str">
        <f>+VLOOKUP(A42,Locales!A:N,2,FALSE)</f>
        <v>CUARENTENA</v>
      </c>
      <c r="C42" s="11" t="s">
        <v>177</v>
      </c>
      <c r="D42" s="5" t="str">
        <f>+VLOOKUP(C42,Locales!A:N,2,FALSE)</f>
        <v>PASILLO TÉCNICO</v>
      </c>
      <c r="E42" s="5">
        <f>+VLOOKUP(A42,Locales!A:N,10,FALSE)</f>
        <v>5</v>
      </c>
      <c r="F42" s="5">
        <f>+VLOOKUP(C42,Locales!A:N,10,FALSE)</f>
        <v>-10</v>
      </c>
      <c r="G42" s="5">
        <f t="shared" si="13"/>
        <v>15</v>
      </c>
      <c r="H42" s="5">
        <f>+VLOOKUP(A42,Locales!A:N,6,FALSE)</f>
        <v>22</v>
      </c>
      <c r="I42" s="22">
        <f>IF(+VLOOKUP(A42,Locales!A:N,8,FALSE)="S/BT",$S$2,+VLOOKUP(A42,Locales!A:N,8,FALSE)/100)</f>
        <v>0.5</v>
      </c>
      <c r="J42" s="12" cm="1">
        <f t="array" ref="J42">+[1]!GetMoistAirDensity(H42,+[1]!GetHumRatioFromRelHum(H42,I42,'CDI-CDE'!$B$6*1000),'CDI-CDE'!$B$6*1000)</f>
        <v>1.0756859553616578</v>
      </c>
      <c r="K42" s="11" t="s">
        <v>141</v>
      </c>
      <c r="L42" s="24">
        <f>IF(K42="",0,+VLOOKUP(K42,Aberturas!A:M,12,FALSE))</f>
        <v>9.1999999999999998E-3</v>
      </c>
      <c r="M42" s="11"/>
      <c r="N42" s="24">
        <f>IF(M42="",0,+VLOOKUP(M42,Aberturas!A:M,12,FALSE))</f>
        <v>0</v>
      </c>
      <c r="O42" s="24">
        <f t="shared" si="14"/>
        <v>9.1999999999999998E-3</v>
      </c>
      <c r="P42" s="25">
        <f t="shared" si="15"/>
        <v>113.68981583012766</v>
      </c>
    </row>
    <row r="43" spans="1:17" x14ac:dyDescent="0.25">
      <c r="A43" s="11" t="s">
        <v>166</v>
      </c>
      <c r="B43" s="5" t="str">
        <f>+VLOOKUP(A43,Locales!A:N,2,FALSE)</f>
        <v>PASILLO LIMPIO - ETAPA 2</v>
      </c>
      <c r="C43" s="11" t="s">
        <v>180</v>
      </c>
      <c r="D43" s="5" t="str">
        <f>+VLOOKUP(C43,Locales!A:N,2,FALSE)</f>
        <v>BIOTERIO 1</v>
      </c>
      <c r="E43" s="5">
        <f>+VLOOKUP(A43,Locales!A:N,10,FALSE)</f>
        <v>20</v>
      </c>
      <c r="F43" s="5">
        <f>+VLOOKUP(C43,Locales!A:N,10,FALSE)</f>
        <v>10</v>
      </c>
      <c r="G43" s="5">
        <f t="shared" si="13"/>
        <v>10</v>
      </c>
      <c r="H43" s="5">
        <f>+VLOOKUP(A43,Locales!A:N,6,FALSE)</f>
        <v>22</v>
      </c>
      <c r="I43" s="22">
        <f>IF(+VLOOKUP(A43,Locales!A:N,8,FALSE)="S/BT",$S$2,+VLOOKUP(A43,Locales!A:N,8,FALSE)/100)</f>
        <v>0.5</v>
      </c>
      <c r="J43" s="12" cm="1">
        <f t="array" ref="J43">+[1]!GetMoistAirDensity(H43,+[1]!GetHumRatioFromRelHum(H43,I43,'CDI-CDE'!$B$6*1000),'CDI-CDE'!$B$6*1000)</f>
        <v>1.0756859553616578</v>
      </c>
      <c r="K43" s="11" t="s">
        <v>151</v>
      </c>
      <c r="L43" s="24">
        <f>IF(K43="",0,+VLOOKUP(K43,Aberturas!A:M,12,FALSE))</f>
        <v>1.12E-2</v>
      </c>
      <c r="M43" s="11"/>
      <c r="N43" s="24">
        <f>IF(M43="",0,+VLOOKUP(M43,Aberturas!A:M,12,FALSE))</f>
        <v>0</v>
      </c>
      <c r="O43" s="24">
        <f t="shared" si="14"/>
        <v>1.12E-2</v>
      </c>
      <c r="P43" s="25">
        <f t="shared" si="15"/>
        <v>113.00720371847208</v>
      </c>
    </row>
    <row r="44" spans="1:17" x14ac:dyDescent="0.25">
      <c r="A44" s="11" t="s">
        <v>166</v>
      </c>
      <c r="B44" s="5" t="str">
        <f>+VLOOKUP(A44,Locales!A:N,2,FALSE)</f>
        <v>PASILLO LIMPIO - ETAPA 2</v>
      </c>
      <c r="C44" s="11" t="s">
        <v>181</v>
      </c>
      <c r="D44" s="5" t="str">
        <f>+VLOOKUP(C44,Locales!A:N,2,FALSE)</f>
        <v>BIOTERIO 2</v>
      </c>
      <c r="E44" s="5">
        <f>+VLOOKUP(A44,Locales!A:N,10,FALSE)</f>
        <v>20</v>
      </c>
      <c r="F44" s="5">
        <f>+VLOOKUP(C44,Locales!A:N,10,FALSE)</f>
        <v>10</v>
      </c>
      <c r="G44" s="5">
        <f t="shared" si="13"/>
        <v>10</v>
      </c>
      <c r="H44" s="5">
        <f>+VLOOKUP(A44,Locales!A:N,6,FALSE)</f>
        <v>22</v>
      </c>
      <c r="I44" s="22">
        <f>IF(+VLOOKUP(A44,Locales!A:N,8,FALSE)="S/BT",$S$2,+VLOOKUP(A44,Locales!A:N,8,FALSE)/100)</f>
        <v>0.5</v>
      </c>
      <c r="J44" s="12" cm="1">
        <f t="array" ref="J44">+[1]!GetMoistAirDensity(H44,+[1]!GetHumRatioFromRelHum(H44,I44,'CDI-CDE'!$B$6*1000),'CDI-CDE'!$B$6*1000)</f>
        <v>1.0756859553616578</v>
      </c>
      <c r="K44" s="11" t="s">
        <v>151</v>
      </c>
      <c r="L44" s="24">
        <f>IF(K44="",0,+VLOOKUP(K44,Aberturas!A:M,12,FALSE))</f>
        <v>1.12E-2</v>
      </c>
      <c r="M44" s="11"/>
      <c r="N44" s="24">
        <f>IF(M44="",0,+VLOOKUP(M44,Aberturas!A:M,12,FALSE))</f>
        <v>0</v>
      </c>
      <c r="O44" s="24">
        <f t="shared" si="14"/>
        <v>1.12E-2</v>
      </c>
      <c r="P44" s="25">
        <f t="shared" si="15"/>
        <v>113.00720371847208</v>
      </c>
    </row>
    <row r="45" spans="1:17" x14ac:dyDescent="0.25">
      <c r="A45" s="11" t="s">
        <v>180</v>
      </c>
      <c r="B45" s="5" t="str">
        <f>+VLOOKUP(A45,Locales!A:N,2,FALSE)</f>
        <v>BIOTERIO 1</v>
      </c>
      <c r="C45" s="11" t="s">
        <v>177</v>
      </c>
      <c r="D45" s="5" t="str">
        <f>+VLOOKUP(C45,Locales!A:N,2,FALSE)</f>
        <v>PASILLO TÉCNICO</v>
      </c>
      <c r="E45" s="5">
        <f>+VLOOKUP(A45,Locales!A:N,10,FALSE)</f>
        <v>10</v>
      </c>
      <c r="F45" s="5">
        <f>+VLOOKUP(C45,Locales!A:N,10,FALSE)</f>
        <v>-10</v>
      </c>
      <c r="G45" s="5">
        <f t="shared" si="13"/>
        <v>20</v>
      </c>
      <c r="H45" s="5">
        <f>+VLOOKUP(A45,Locales!A:N,6,FALSE)</f>
        <v>22</v>
      </c>
      <c r="I45" s="22">
        <f>IF(+VLOOKUP(A45,Locales!A:N,8,FALSE)="S/BT",$S$2,+VLOOKUP(A45,Locales!A:N,8,FALSE)/100)</f>
        <v>0.5</v>
      </c>
      <c r="J45" s="12" cm="1">
        <f t="array" ref="J45">+[1]!GetMoistAirDensity(H45,+[1]!GetHumRatioFromRelHum(H45,I45,'CDI-CDE'!$B$6*1000),'CDI-CDE'!$B$6*1000)</f>
        <v>1.0756859553616578</v>
      </c>
      <c r="K45" s="11" t="s">
        <v>141</v>
      </c>
      <c r="L45" s="24">
        <f>IF(K45="",0,+VLOOKUP(K45,Aberturas!A:M,12,FALSE))</f>
        <v>9.1999999999999998E-3</v>
      </c>
      <c r="M45" s="11"/>
      <c r="N45" s="24">
        <f>IF(M45="",0,+VLOOKUP(M45,Aberturas!A:M,12,FALSE))</f>
        <v>0</v>
      </c>
      <c r="O45" s="24">
        <f t="shared" si="14"/>
        <v>9.1999999999999998E-3</v>
      </c>
      <c r="P45" s="25">
        <f t="shared" si="15"/>
        <v>131.27769154728631</v>
      </c>
    </row>
    <row r="46" spans="1:17" x14ac:dyDescent="0.25">
      <c r="A46" s="11" t="s">
        <v>181</v>
      </c>
      <c r="B46" s="5" t="str">
        <f>+VLOOKUP(A46,Locales!A:N,2,FALSE)</f>
        <v>BIOTERIO 2</v>
      </c>
      <c r="C46" s="11" t="s">
        <v>177</v>
      </c>
      <c r="D46" s="5" t="str">
        <f>+VLOOKUP(C46,Locales!A:N,2,FALSE)</f>
        <v>PASILLO TÉCNICO</v>
      </c>
      <c r="E46" s="5">
        <f>+VLOOKUP(A46,Locales!A:N,10,FALSE)</f>
        <v>10</v>
      </c>
      <c r="F46" s="5">
        <f>+VLOOKUP(C46,Locales!A:N,10,FALSE)</f>
        <v>-10</v>
      </c>
      <c r="G46" s="5">
        <f t="shared" si="13"/>
        <v>20</v>
      </c>
      <c r="H46" s="5">
        <f>+VLOOKUP(A46,Locales!A:N,6,FALSE)</f>
        <v>22</v>
      </c>
      <c r="I46" s="22">
        <f>IF(+VLOOKUP(A46,Locales!A:N,8,FALSE)="S/BT",$S$2,+VLOOKUP(A46,Locales!A:N,8,FALSE)/100)</f>
        <v>0.5</v>
      </c>
      <c r="J46" s="12" cm="1">
        <f t="array" ref="J46">+[1]!GetMoistAirDensity(H46,+[1]!GetHumRatioFromRelHum(H46,I46,'CDI-CDE'!$B$6*1000),'CDI-CDE'!$B$6*1000)</f>
        <v>1.0756859553616578</v>
      </c>
      <c r="K46" s="11" t="s">
        <v>141</v>
      </c>
      <c r="L46" s="24">
        <f>IF(K46="",0,+VLOOKUP(K46,Aberturas!A:M,12,FALSE))</f>
        <v>9.1999999999999998E-3</v>
      </c>
      <c r="M46" s="11"/>
      <c r="N46" s="24">
        <f>IF(M46="",0,+VLOOKUP(M46,Aberturas!A:M,12,FALSE))</f>
        <v>0</v>
      </c>
      <c r="O46" s="24">
        <f t="shared" si="14"/>
        <v>9.1999999999999998E-3</v>
      </c>
      <c r="P46" s="25">
        <f t="shared" si="15"/>
        <v>131.27769154728631</v>
      </c>
    </row>
    <row r="47" spans="1:17" x14ac:dyDescent="0.25">
      <c r="A47" s="11" t="s">
        <v>128</v>
      </c>
      <c r="B47" s="5" t="str">
        <f>+VLOOKUP(A47,Locales!A:N,2,FALSE)</f>
        <v>PASILLO LIMPIO - ETAPA 1</v>
      </c>
      <c r="C47" s="11" t="s">
        <v>179</v>
      </c>
      <c r="D47" s="5" t="str">
        <f>+VLOOKUP(C47,Locales!A:N,2,FALSE)</f>
        <v>SALA DE CRÍA</v>
      </c>
      <c r="E47" s="5">
        <f>+VLOOKUP(A47,Locales!A:N,10,FALSE)</f>
        <v>20</v>
      </c>
      <c r="F47" s="5">
        <f>+VLOOKUP(C47,Locales!A:N,10,FALSE)</f>
        <v>10</v>
      </c>
      <c r="G47" s="5">
        <f t="shared" si="13"/>
        <v>10</v>
      </c>
      <c r="H47" s="5">
        <f>+VLOOKUP(A47,Locales!A:N,6,FALSE)</f>
        <v>22</v>
      </c>
      <c r="I47" s="22">
        <f>IF(+VLOOKUP(A47,Locales!A:N,8,FALSE)="S/BT",$S$2,+VLOOKUP(A47,Locales!A:N,8,FALSE)/100)</f>
        <v>0.5</v>
      </c>
      <c r="J47" s="12" cm="1">
        <f t="array" ref="J47">+[1]!GetMoistAirDensity(H47,+[1]!GetHumRatioFromRelHum(H47,I47,'CDI-CDE'!$B$6*1000),'CDI-CDE'!$B$6*1000)</f>
        <v>1.0756859553616578</v>
      </c>
      <c r="K47" s="11" t="s">
        <v>143</v>
      </c>
      <c r="L47" s="24">
        <f>IF(K47="",0,+VLOOKUP(K47,Aberturas!A:M,12,FALSE))</f>
        <v>1.9E-2</v>
      </c>
      <c r="M47" s="11"/>
      <c r="N47" s="24">
        <f>IF(M47="",0,+VLOOKUP(M47,Aberturas!A:M,12,FALSE))</f>
        <v>0</v>
      </c>
      <c r="O47" s="24">
        <f t="shared" si="14"/>
        <v>1.9E-2</v>
      </c>
      <c r="P47" s="25">
        <f t="shared" si="15"/>
        <v>191.70864916526514</v>
      </c>
    </row>
    <row r="48" spans="1:17" x14ac:dyDescent="0.25">
      <c r="A48" s="11" t="s">
        <v>179</v>
      </c>
      <c r="B48" s="5" t="str">
        <f>+VLOOKUP(A48,Locales!A:N,2,FALSE)</f>
        <v>SALA DE CRÍA</v>
      </c>
      <c r="C48" s="11" t="s">
        <v>177</v>
      </c>
      <c r="D48" s="5" t="str">
        <f>+VLOOKUP(C48,Locales!A:N,2,FALSE)</f>
        <v>PASILLO TÉCNICO</v>
      </c>
      <c r="E48" s="5">
        <f>+VLOOKUP(A48,Locales!A:N,10,FALSE)</f>
        <v>10</v>
      </c>
      <c r="F48" s="5">
        <f>+VLOOKUP(C48,Locales!A:N,10,FALSE)</f>
        <v>-10</v>
      </c>
      <c r="G48" s="5">
        <f t="shared" si="13"/>
        <v>20</v>
      </c>
      <c r="H48" s="5">
        <f>+VLOOKUP(A48,Locales!A:N,6,FALSE)</f>
        <v>22</v>
      </c>
      <c r="I48" s="22">
        <f>IF(+VLOOKUP(A48,Locales!A:N,8,FALSE)="S/BT",$S$2,+VLOOKUP(A48,Locales!A:N,8,FALSE)/100)</f>
        <v>0.5</v>
      </c>
      <c r="J48" s="12" cm="1">
        <f t="array" ref="J48">+[1]!GetMoistAirDensity(H48,+[1]!GetHumRatioFromRelHum(H48,I48,'CDI-CDE'!$B$6*1000),'CDI-CDE'!$B$6*1000)</f>
        <v>1.0756859553616578</v>
      </c>
      <c r="K48" s="11" t="s">
        <v>144</v>
      </c>
      <c r="L48" s="24">
        <f>IF(K48="",0,+VLOOKUP(K48,Aberturas!A:M,12,FALSE))</f>
        <v>9.1999999999999998E-3</v>
      </c>
      <c r="M48" s="11"/>
      <c r="N48" s="24">
        <f>IF(M48="",0,+VLOOKUP(M48,Aberturas!A:M,12,FALSE))</f>
        <v>0</v>
      </c>
      <c r="O48" s="24">
        <f t="shared" si="14"/>
        <v>9.1999999999999998E-3</v>
      </c>
      <c r="P48" s="25">
        <f t="shared" si="15"/>
        <v>131.27769154728631</v>
      </c>
    </row>
    <row r="49" spans="1:17" x14ac:dyDescent="0.25">
      <c r="A49" s="11" t="s">
        <v>128</v>
      </c>
      <c r="B49" s="5" t="str">
        <f>+VLOOKUP(A49,Locales!A:N,2,FALSE)</f>
        <v>PASILLO LIMPIO - ETAPA 1</v>
      </c>
      <c r="C49" s="11" t="s">
        <v>176</v>
      </c>
      <c r="D49" s="5" t="str">
        <f>+VLOOKUP(C49,Locales!A:N,2,FALSE)</f>
        <v>SAS ÁREA LIMPIA</v>
      </c>
      <c r="E49" s="5">
        <f>+VLOOKUP(A49,Locales!A:N,10,FALSE)</f>
        <v>20</v>
      </c>
      <c r="F49" s="5">
        <f>+VLOOKUP(C49,Locales!A:N,10,FALSE)</f>
        <v>10</v>
      </c>
      <c r="G49" s="5">
        <f t="shared" si="13"/>
        <v>10</v>
      </c>
      <c r="H49" s="5">
        <f>+VLOOKUP(A49,Locales!A:N,6,FALSE)</f>
        <v>22</v>
      </c>
      <c r="I49" s="22">
        <f>IF(+VLOOKUP(A49,Locales!A:N,8,FALSE)="S/BT",$S$2,+VLOOKUP(A49,Locales!A:N,8,FALSE)/100)</f>
        <v>0.5</v>
      </c>
      <c r="J49" s="12" cm="1">
        <f t="array" ref="J49">+[1]!GetMoistAirDensity(H49,+[1]!GetHumRatioFromRelHum(H49,I49,'CDI-CDE'!$B$6*1000),'CDI-CDE'!$B$6*1000)</f>
        <v>1.0756859553616578</v>
      </c>
      <c r="K49" s="11"/>
      <c r="L49" s="24">
        <f>IF(K49="",0,+VLOOKUP(K49,Aberturas!A:M,12,FALSE))</f>
        <v>0</v>
      </c>
      <c r="M49" s="11"/>
      <c r="N49" s="24">
        <f>IF(M49="",0,+VLOOKUP(M49,Aberturas!A:M,12,FALSE))</f>
        <v>0</v>
      </c>
      <c r="O49" s="24">
        <f t="shared" si="14"/>
        <v>0</v>
      </c>
      <c r="P49" s="33">
        <v>100</v>
      </c>
      <c r="Q49" t="s">
        <v>211</v>
      </c>
    </row>
    <row r="50" spans="1:17" x14ac:dyDescent="0.25">
      <c r="A50" s="11" t="s">
        <v>174</v>
      </c>
      <c r="B50" s="5" t="str">
        <f>+VLOOKUP(A50,Locales!A:N,2,FALSE)</f>
        <v>VESTUARIO</v>
      </c>
      <c r="C50" s="11" t="s">
        <v>22</v>
      </c>
      <c r="D50" s="5" t="str">
        <f>+VLOOKUP(C50,Locales!A:N,2,FALSE)</f>
        <v>PASILLO</v>
      </c>
      <c r="E50" s="5">
        <f>+VLOOKUP(A50,Locales!A:N,10,FALSE)</f>
        <v>10</v>
      </c>
      <c r="F50" s="5">
        <f>+VLOOKUP(C50,Locales!A:N,10,FALSE)</f>
        <v>0</v>
      </c>
      <c r="G50" s="5">
        <f t="shared" si="13"/>
        <v>10</v>
      </c>
      <c r="H50" s="5">
        <f>+VLOOKUP(A50,Locales!A:N,6,FALSE)</f>
        <v>22</v>
      </c>
      <c r="I50" s="22">
        <f>IF(+VLOOKUP(A50,Locales!A:N,8,FALSE)="S/BT",$S$2,+VLOOKUP(A50,Locales!A:N,8,FALSE)/100)</f>
        <v>0.5</v>
      </c>
      <c r="J50" s="12" cm="1">
        <f t="array" ref="J50">+[1]!GetMoistAirDensity(H50,+[1]!GetHumRatioFromRelHum(H50,I50,'CDI-CDE'!$B$6*1000),'CDI-CDE'!$B$6*1000)</f>
        <v>1.0756859553616578</v>
      </c>
      <c r="K50" s="11" t="s">
        <v>149</v>
      </c>
      <c r="L50" s="24">
        <f>IF(K50="",0,+VLOOKUP(K50,Aberturas!A:M,12,FALSE))</f>
        <v>8.0000000000000002E-3</v>
      </c>
      <c r="M50" s="11"/>
      <c r="N50" s="24">
        <f>IF(M50="",0,+VLOOKUP(M50,Aberturas!A:M,12,FALSE))</f>
        <v>0</v>
      </c>
      <c r="O50" s="24">
        <f t="shared" si="14"/>
        <v>8.0000000000000002E-3</v>
      </c>
      <c r="P50" s="25">
        <f t="shared" si="15"/>
        <v>80.719431227480072</v>
      </c>
    </row>
    <row r="51" spans="1:17" x14ac:dyDescent="0.25">
      <c r="A51" s="11" t="s">
        <v>175</v>
      </c>
      <c r="B51" s="5" t="str">
        <f>+VLOOKUP(A51,Locales!A:N,2,FALSE)</f>
        <v>SAS TÉCNICO</v>
      </c>
      <c r="C51" s="11" t="s">
        <v>177</v>
      </c>
      <c r="D51" s="5" t="str">
        <f>+VLOOKUP(C51,Locales!A:N,2,FALSE)</f>
        <v>PASILLO TÉCNICO</v>
      </c>
      <c r="E51" s="5">
        <f>+VLOOKUP(A51,Locales!A:N,10,FALSE)</f>
        <v>10</v>
      </c>
      <c r="F51" s="5">
        <f>+VLOOKUP(C51,Locales!A:N,10,FALSE)</f>
        <v>-10</v>
      </c>
      <c r="G51" s="5">
        <f t="shared" si="13"/>
        <v>20</v>
      </c>
      <c r="H51" s="5">
        <f>+VLOOKUP(A51,Locales!A:N,6,FALSE)</f>
        <v>22</v>
      </c>
      <c r="I51" s="22">
        <f>IF(+VLOOKUP(A51,Locales!A:N,8,FALSE)="S/BT",$S$2,+VLOOKUP(A51,Locales!A:N,8,FALSE)/100)</f>
        <v>0.5</v>
      </c>
      <c r="J51" s="12" cm="1">
        <f t="array" ref="J51">+[1]!GetMoistAirDensity(H51,+[1]!GetHumRatioFromRelHum(H51,I51,'CDI-CDE'!$B$6*1000),'CDI-CDE'!$B$6*1000)</f>
        <v>1.0756859553616578</v>
      </c>
      <c r="K51" s="11" t="s">
        <v>149</v>
      </c>
      <c r="L51" s="24">
        <f>IF(K51="",0,+VLOOKUP(K51,Aberturas!A:M,12,FALSE))</f>
        <v>8.0000000000000002E-3</v>
      </c>
      <c r="M51" s="11"/>
      <c r="N51" s="24">
        <f>IF(M51="",0,+VLOOKUP(M51,Aberturas!A:M,12,FALSE))</f>
        <v>0</v>
      </c>
      <c r="O51" s="24">
        <f t="shared" si="14"/>
        <v>8.0000000000000002E-3</v>
      </c>
      <c r="P51" s="25">
        <f t="shared" si="15"/>
        <v>114.15451438894463</v>
      </c>
    </row>
    <row r="52" spans="1:17" x14ac:dyDescent="0.25">
      <c r="A52" s="11" t="s">
        <v>22</v>
      </c>
      <c r="B52" s="5" t="str">
        <f>+VLOOKUP(A52,Locales!A:N,2,FALSE)</f>
        <v>PASILLO</v>
      </c>
      <c r="C52" s="11" t="s">
        <v>177</v>
      </c>
      <c r="D52" s="5" t="str">
        <f>+VLOOKUP(C52,Locales!A:N,2,FALSE)</f>
        <v>PASILLO TÉCNICO</v>
      </c>
      <c r="E52" s="5">
        <f>+VLOOKUP(A52,Locales!A:N,10,FALSE)</f>
        <v>0</v>
      </c>
      <c r="F52" s="5">
        <f>+VLOOKUP(C52,Locales!A:N,10,FALSE)</f>
        <v>-10</v>
      </c>
      <c r="G52" s="5">
        <f t="shared" si="13"/>
        <v>10</v>
      </c>
      <c r="H52" s="5">
        <f>+VLOOKUP(A52,Locales!A:N,6,FALSE)</f>
        <v>22</v>
      </c>
      <c r="I52" s="22">
        <f>IF(+VLOOKUP(A52,Locales!A:N,8,FALSE)="S/BT",$S$2,+VLOOKUP(A52,Locales!A:N,8,FALSE)/100)</f>
        <v>0.5</v>
      </c>
      <c r="J52" s="12" cm="1">
        <f t="array" ref="J52">+[1]!GetMoistAirDensity(H52,+[1]!GetHumRatioFromRelHum(H52,I52,'CDI-CDE'!$B$6*1000),'CDI-CDE'!$B$6*1000)</f>
        <v>1.0756859553616578</v>
      </c>
      <c r="K52" s="11" t="s">
        <v>150</v>
      </c>
      <c r="L52" s="24">
        <f>IF(K52="",0,+VLOOKUP(K52,Aberturas!A:M,12,FALSE))</f>
        <v>1.04E-2</v>
      </c>
      <c r="M52" s="11"/>
      <c r="N52" s="24">
        <f>IF(M52="",0,+VLOOKUP(M52,Aberturas!A:M,12,FALSE))</f>
        <v>0</v>
      </c>
      <c r="O52" s="24">
        <f t="shared" si="14"/>
        <v>1.04E-2</v>
      </c>
      <c r="P52" s="25">
        <f t="shared" si="15"/>
        <v>104.93526059572406</v>
      </c>
    </row>
    <row r="53" spans="1:17" x14ac:dyDescent="0.25">
      <c r="A53" s="11" t="s">
        <v>22</v>
      </c>
      <c r="B53" s="5" t="str">
        <f>+VLOOKUP(A53,Locales!A:N,2,FALSE)</f>
        <v>PASILLO</v>
      </c>
      <c r="C53" s="11" t="s">
        <v>178</v>
      </c>
      <c r="D53" s="5" t="str">
        <f>+VLOOKUP(C53,Locales!A:N,2,FALSE)</f>
        <v>DEPÓSITO 1</v>
      </c>
      <c r="E53" s="5">
        <f>+VLOOKUP(A53,Locales!A:N,10,FALSE)</f>
        <v>0</v>
      </c>
      <c r="F53" s="5">
        <f>+VLOOKUP(C53,Locales!A:N,10,FALSE)</f>
        <v>-5</v>
      </c>
      <c r="G53" s="5">
        <f t="shared" si="13"/>
        <v>5</v>
      </c>
      <c r="H53" s="5">
        <f>+VLOOKUP(A53,Locales!A:N,6,FALSE)</f>
        <v>22</v>
      </c>
      <c r="I53" s="22">
        <f>IF(+VLOOKUP(A53,Locales!A:N,8,FALSE)="S/BT",$S$2,+VLOOKUP(A53,Locales!A:N,8,FALSE)/100)</f>
        <v>0.5</v>
      </c>
      <c r="J53" s="12" cm="1">
        <f t="array" ref="J53">+[1]!GetMoistAirDensity(H53,+[1]!GetHumRatioFromRelHum(H53,I53,'CDI-CDE'!$B$6*1000),'CDI-CDE'!$B$6*1000)</f>
        <v>1.0756859553616578</v>
      </c>
      <c r="K53" s="11" t="s">
        <v>146</v>
      </c>
      <c r="L53" s="24">
        <f>IF(K53="",0,+VLOOKUP(K53,Aberturas!A:M,12,FALSE))</f>
        <v>1.04E-2</v>
      </c>
      <c r="M53" s="11"/>
      <c r="N53" s="24">
        <f>IF(M53="",0,+VLOOKUP(M53,Aberturas!A:M,12,FALSE))</f>
        <v>0</v>
      </c>
      <c r="O53" s="24">
        <f t="shared" si="14"/>
        <v>1.04E-2</v>
      </c>
      <c r="P53" s="25">
        <f t="shared" si="15"/>
        <v>74.200434352814</v>
      </c>
    </row>
    <row r="54" spans="1:17" x14ac:dyDescent="0.25">
      <c r="A54" s="11" t="s">
        <v>178</v>
      </c>
      <c r="B54" s="5" t="str">
        <f>+VLOOKUP(A54,Locales!A:N,2,FALSE)</f>
        <v>DEPÓSITO 1</v>
      </c>
      <c r="C54" s="11" t="s">
        <v>177</v>
      </c>
      <c r="D54" s="5" t="str">
        <f>+VLOOKUP(C54,Locales!A:N,2,FALSE)</f>
        <v>PASILLO TÉCNICO</v>
      </c>
      <c r="E54" s="5">
        <f>+VLOOKUP(A54,Locales!A:N,10,FALSE)</f>
        <v>-5</v>
      </c>
      <c r="F54" s="5">
        <f>+VLOOKUP(C54,Locales!A:N,10,FALSE)</f>
        <v>-10</v>
      </c>
      <c r="G54" s="5">
        <f t="shared" si="13"/>
        <v>5</v>
      </c>
      <c r="H54" s="5">
        <f>+VLOOKUP(A54,Locales!A:N,6,FALSE)</f>
        <v>22</v>
      </c>
      <c r="I54" s="22">
        <f>IF(+VLOOKUP(A54,Locales!A:N,8,FALSE)="S/BT",$S$2,+VLOOKUP(A54,Locales!A:N,8,FALSE)/100)</f>
        <v>0.5</v>
      </c>
      <c r="J54" s="12" cm="1">
        <f t="array" ref="J54">+[1]!GetMoistAirDensity(H54,+[1]!GetHumRatioFromRelHum(H54,I54,'CDI-CDE'!$B$6*1000),'CDI-CDE'!$B$6*1000)</f>
        <v>1.0756859553616578</v>
      </c>
      <c r="K54" s="11" t="s">
        <v>140</v>
      </c>
      <c r="L54" s="24">
        <f>IF(K54="",0,+VLOOKUP(K54,Aberturas!A:M,12,FALSE))</f>
        <v>9.1999999999999998E-3</v>
      </c>
      <c r="M54" s="11"/>
      <c r="N54" s="24">
        <f>IF(M54="",0,+VLOOKUP(M54,Aberturas!A:M,12,FALSE))</f>
        <v>0</v>
      </c>
      <c r="O54" s="24">
        <f t="shared" si="14"/>
        <v>9.1999999999999998E-3</v>
      </c>
      <c r="P54" s="25">
        <f t="shared" si="15"/>
        <v>65.638845773643155</v>
      </c>
    </row>
  </sheetData>
  <sortState xmlns:xlrd2="http://schemas.microsoft.com/office/spreadsheetml/2017/richdata2" ref="A2:P22">
    <sortCondition ref="A2:A22"/>
  </sortState>
  <mergeCells count="2">
    <mergeCell ref="A1:B1"/>
    <mergeCell ref="C1:D1"/>
  </mergeCells>
  <phoneticPr fontId="9" type="noConversion"/>
  <pageMargins left="0.7" right="0.7" top="0.75" bottom="0.75" header="0.3" footer="0.3"/>
  <ignoredErrors>
    <ignoredError sqref="C50 A52:A53" twoDigitTextYear="1"/>
  </ignoredErrors>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2980E3D-EC20-4016-BC6F-967EBE196098}">
          <x14:formula1>
            <xm:f>Aberturas!$A$3:$A$30</xm:f>
          </x14:formula1>
          <xm:sqref>K2:K22 M2:M22 K28:K54 M28:M54</xm:sqref>
        </x14:dataValidation>
        <x14:dataValidation type="list" allowBlank="1" showInputMessage="1" showErrorMessage="1" xr:uid="{B2DD5637-5D5A-4E88-86F0-14ABF1FBCFCB}">
          <x14:formula1>
            <xm:f>Locales!$A$2:$A$48</xm:f>
          </x14:formula1>
          <xm:sqref>A2:A22 C2:C22 A28:A54 C28:C54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51D18-82D2-42EF-98CA-8995997C3D7B}">
  <dimension ref="A1:D48"/>
  <sheetViews>
    <sheetView topLeftCell="A5" workbookViewId="0">
      <selection activeCell="D21" sqref="D21"/>
    </sheetView>
  </sheetViews>
  <sheetFormatPr defaultRowHeight="15" x14ac:dyDescent="0.25"/>
  <cols>
    <col min="1" max="1" width="7.85546875" bestFit="1" customWidth="1"/>
    <col min="2" max="2" width="41.42578125" bestFit="1" customWidth="1"/>
    <col min="3" max="3" width="11" customWidth="1"/>
    <col min="4" max="4" width="12.140625" customWidth="1"/>
  </cols>
  <sheetData>
    <row r="1" spans="1:4" ht="32.25" x14ac:dyDescent="0.25">
      <c r="A1" s="3" t="s">
        <v>0</v>
      </c>
      <c r="B1" s="4" t="s">
        <v>1</v>
      </c>
      <c r="C1" s="1" t="s">
        <v>7</v>
      </c>
      <c r="D1" s="1" t="s">
        <v>8</v>
      </c>
    </row>
    <row r="2" spans="1:4" x14ac:dyDescent="0.25">
      <c r="A2" s="5" t="str">
        <f>+Locales!A3</f>
        <v>2-01</v>
      </c>
      <c r="B2" s="5" t="str">
        <f>+Locales!B3</f>
        <v>VESTUARIO</v>
      </c>
      <c r="C2" s="26">
        <f>SUMIF(Infiltración!$A:$A,A2,Infiltración!$P:$P)</f>
        <v>80.719431227480072</v>
      </c>
      <c r="D2" s="26">
        <f>SUMIF(Infiltración!$C:$C,A2,Infiltración!$P:$P)</f>
        <v>0</v>
      </c>
    </row>
    <row r="3" spans="1:4" x14ac:dyDescent="0.25">
      <c r="A3" s="5" t="str">
        <f>+Locales!A4</f>
        <v>2-02</v>
      </c>
      <c r="B3" s="5" t="str">
        <f>+Locales!B4</f>
        <v>SAS TÉCNICO</v>
      </c>
      <c r="C3" s="26">
        <f>SUMIF(Infiltración!$A:$A,A3,Infiltración!$P:$P)</f>
        <v>114.15451438894463</v>
      </c>
      <c r="D3" s="26">
        <f>SUMIF(Infiltración!$C:$C,A3,Infiltración!$P:$P)</f>
        <v>0</v>
      </c>
    </row>
    <row r="4" spans="1:4" x14ac:dyDescent="0.25">
      <c r="A4" s="5" t="str">
        <f>+Locales!A5</f>
        <v>2-03</v>
      </c>
      <c r="B4" s="5" t="str">
        <f>+Locales!B5</f>
        <v>SAS ÁREA LIMPIA</v>
      </c>
      <c r="C4" s="26">
        <f>SUMIF(Infiltración!$A:$A,A4,Infiltración!$P:$P)</f>
        <v>0</v>
      </c>
      <c r="D4" s="26">
        <f>SUMIF(Infiltración!$C:$C,A4,Infiltración!$P:$P)</f>
        <v>100</v>
      </c>
    </row>
    <row r="5" spans="1:4" x14ac:dyDescent="0.25">
      <c r="A5" s="5" t="str">
        <f>+Locales!A6</f>
        <v>2-04</v>
      </c>
      <c r="B5" s="5" t="str">
        <f>+Locales!B6</f>
        <v>PASILLO TÉCNICO</v>
      </c>
      <c r="C5" s="26">
        <f>SUMIF(Infiltración!$A:$A,A5,Infiltración!$P:$P)</f>
        <v>0</v>
      </c>
      <c r="D5" s="26">
        <f>SUMIF(Infiltración!$C:$C,A5,Infiltración!$P:$P)</f>
        <v>940.65237993592655</v>
      </c>
    </row>
    <row r="6" spans="1:4" x14ac:dyDescent="0.25">
      <c r="A6" s="5" t="str">
        <f>+Locales!A7</f>
        <v>2-05</v>
      </c>
      <c r="B6" s="5" t="str">
        <f>+Locales!B7</f>
        <v>DEPÓSITO 1</v>
      </c>
      <c r="C6" s="26">
        <f>SUMIF(Infiltración!$A:$A,A6,Infiltración!$P:$P)</f>
        <v>65.638845773643155</v>
      </c>
      <c r="D6" s="26">
        <f>SUMIF(Infiltración!$C:$C,A6,Infiltración!$P:$P)</f>
        <v>74.200434352814</v>
      </c>
    </row>
    <row r="7" spans="1:4" x14ac:dyDescent="0.25">
      <c r="A7" s="5" t="str">
        <f>+Locales!A8</f>
        <v>2-06</v>
      </c>
      <c r="B7" s="5" t="str">
        <f>+Locales!B8</f>
        <v>SALA DE CRÍA</v>
      </c>
      <c r="C7" s="26">
        <f>SUMIF(Infiltración!$A:$A,A7,Infiltración!$P:$P)</f>
        <v>131.27769154728631</v>
      </c>
      <c r="D7" s="26">
        <f>SUMIF(Infiltración!$C:$C,A7,Infiltración!$P:$P)</f>
        <v>191.70864916526514</v>
      </c>
    </row>
    <row r="8" spans="1:4" x14ac:dyDescent="0.25">
      <c r="A8" s="5" t="str">
        <f>+Locales!A9</f>
        <v>2-07</v>
      </c>
      <c r="B8" s="5" t="str">
        <f>+Locales!B9</f>
        <v>BIOTERIO 1</v>
      </c>
      <c r="C8" s="26">
        <f>SUMIF(Infiltración!$A:$A,A8,Infiltración!$P:$P)</f>
        <v>131.27769154728631</v>
      </c>
      <c r="D8" s="26">
        <f>SUMIF(Infiltración!$C:$C,A8,Infiltración!$P:$P)</f>
        <v>113.00720371847208</v>
      </c>
    </row>
    <row r="9" spans="1:4" x14ac:dyDescent="0.25">
      <c r="A9" s="5" t="str">
        <f>+Locales!A10</f>
        <v>2-08</v>
      </c>
      <c r="B9" s="5" t="str">
        <f>+Locales!B10</f>
        <v>BIOTERIO 2</v>
      </c>
      <c r="C9" s="26">
        <f>SUMIF(Infiltración!$A:$A,A9,Infiltración!$P:$P)</f>
        <v>131.27769154728631</v>
      </c>
      <c r="D9" s="26">
        <f>SUMIF(Infiltración!$C:$C,A9,Infiltración!$P:$P)</f>
        <v>113.00720371847208</v>
      </c>
    </row>
    <row r="10" spans="1:4" x14ac:dyDescent="0.25">
      <c r="A10" s="5" t="str">
        <f>+Locales!A11</f>
        <v>2-09</v>
      </c>
      <c r="B10" s="5" t="str">
        <f>+Locales!B11</f>
        <v>CUARENTENA</v>
      </c>
      <c r="C10" s="26">
        <f>SUMIF(Infiltración!$A:$A,A10,Infiltración!$P:$P)</f>
        <v>227.37963166025531</v>
      </c>
      <c r="D10" s="26">
        <f>SUMIF(Infiltración!$C:$C,A10,Infiltración!$P:$P)</f>
        <v>0</v>
      </c>
    </row>
    <row r="11" spans="1:4" x14ac:dyDescent="0.25">
      <c r="A11" s="5" t="str">
        <f>+Locales!A12</f>
        <v>2-10</v>
      </c>
      <c r="B11" s="5" t="str">
        <f>+Locales!B12</f>
        <v>SECTOR DE BIOPSIAS Y NECROSARIO</v>
      </c>
      <c r="C11" s="26">
        <f>SUMIF(Infiltración!$A:$A,A11,Infiltración!$P:$P)</f>
        <v>0</v>
      </c>
      <c r="D11" s="26">
        <f>SUMIF(Infiltración!$C:$C,A11,Infiltración!$P:$P)</f>
        <v>274.47149528079353</v>
      </c>
    </row>
    <row r="12" spans="1:4" x14ac:dyDescent="0.25">
      <c r="A12" s="5" t="str">
        <f>+Locales!A13</f>
        <v>2-11</v>
      </c>
      <c r="B12" s="5" t="str">
        <f>+Locales!B13</f>
        <v>ÁREA DE LIMPIEZA</v>
      </c>
      <c r="C12" s="26">
        <f>SUMIF(Infiltración!$A:$A,A12,Infiltración!$P:$P)</f>
        <v>148.400868705628</v>
      </c>
      <c r="D12" s="26">
        <f>SUMIF(Infiltración!$C:$C,A12,Infiltración!$P:$P)</f>
        <v>0</v>
      </c>
    </row>
    <row r="13" spans="1:4" x14ac:dyDescent="0.25">
      <c r="A13" s="5" t="str">
        <f>+Locales!A14</f>
        <v>2-12</v>
      </c>
      <c r="B13" s="5" t="str">
        <f>+Locales!B14</f>
        <v>LIMPIEZA</v>
      </c>
      <c r="C13" s="26">
        <f>SUMIF(Infiltración!$A:$A,A13,Infiltración!$P:$P)</f>
        <v>0</v>
      </c>
      <c r="D13" s="26">
        <f>SUMIF(Infiltración!$C:$C,A13,Infiltración!$P:$P)</f>
        <v>57.077257194472317</v>
      </c>
    </row>
    <row r="14" spans="1:4" x14ac:dyDescent="0.25">
      <c r="A14" s="5" t="str">
        <f>+Locales!A15</f>
        <v>2-13</v>
      </c>
      <c r="B14" s="5" t="str">
        <f>+Locales!B15</f>
        <v>ELEMENTOS Y CONSUMIBLES ESTERILIZADOS</v>
      </c>
      <c r="C14" s="26">
        <f>SUMIF(Infiltración!$A:$A,A14,Infiltración!$P:$P)</f>
        <v>0</v>
      </c>
      <c r="D14" s="26">
        <f>SUMIF(Infiltración!$C:$C,A14,Infiltración!$P:$P)</f>
        <v>65.638845773643155</v>
      </c>
    </row>
    <row r="15" spans="1:4" x14ac:dyDescent="0.25">
      <c r="A15" s="5" t="str">
        <f>+Locales!A16</f>
        <v>2-14</v>
      </c>
      <c r="B15" s="5" t="str">
        <f>+Locales!B16</f>
        <v>PASILLO LIMPIO - ETAPA 2</v>
      </c>
      <c r="C15" s="26">
        <f>SUMIF(Infiltración!$A:$A,A15,Infiltración!$P:$P)</f>
        <v>1276.1321625937385</v>
      </c>
      <c r="D15" s="26">
        <f>SUMIF(Infiltración!$C:$C,A15,Infiltración!$P:$P)</f>
        <v>65.638845773643155</v>
      </c>
    </row>
    <row r="16" spans="1:4" x14ac:dyDescent="0.25">
      <c r="A16" s="5" t="str">
        <f>+Locales!A17</f>
        <v>2-14-1</v>
      </c>
      <c r="B16" s="5" t="str">
        <f>+Locales!B17</f>
        <v>PASILLO LIMPIO - ETAPA 1</v>
      </c>
      <c r="C16" s="26">
        <f>SUMIF(Infiltración!$A:$A,A16,Infiltración!$P:$P)</f>
        <v>568.62844011364609</v>
      </c>
      <c r="D16" s="26">
        <f>SUMIF(Infiltración!$C:$C,A16,Infiltración!$P:$P)</f>
        <v>213</v>
      </c>
    </row>
    <row r="17" spans="1:4" x14ac:dyDescent="0.25">
      <c r="A17" s="5" t="str">
        <f>+Locales!A18</f>
        <v>2-15</v>
      </c>
      <c r="B17" s="5" t="str">
        <f>+Locales!B18</f>
        <v>DEPÓSITO 2</v>
      </c>
      <c r="C17" s="26">
        <f>SUMIF(Infiltración!$A:$A,A17,Infiltración!$P:$P)</f>
        <v>0</v>
      </c>
      <c r="D17" s="26">
        <f>SUMIF(Infiltración!$C:$C,A17,Infiltración!$P:$P)</f>
        <v>98.860709417502306</v>
      </c>
    </row>
    <row r="18" spans="1:4" x14ac:dyDescent="0.25">
      <c r="A18" s="5" t="str">
        <f>+Locales!A19</f>
        <v>2-16</v>
      </c>
      <c r="B18" s="5" t="str">
        <f>+Locales!B19</f>
        <v>SALA DE EXPERIMENTACIÓN 1</v>
      </c>
      <c r="C18" s="26">
        <f>SUMIF(Infiltración!$A:$A,A18,Infiltración!$P:$P)</f>
        <v>0</v>
      </c>
      <c r="D18" s="26">
        <f>SUMIF(Infiltración!$C:$C,A18,Infiltración!$P:$P)</f>
        <v>113.68981583012766</v>
      </c>
    </row>
    <row r="19" spans="1:4" x14ac:dyDescent="0.25">
      <c r="A19" s="5" t="str">
        <f>+Locales!A20</f>
        <v>2-17</v>
      </c>
      <c r="B19" s="5" t="str">
        <f>+Locales!B20</f>
        <v>SALA DE EXPERIMENTACIÓN 2</v>
      </c>
      <c r="C19" s="26">
        <f>SUMIF(Infiltración!$A:$A,A19,Infiltración!$P:$P)</f>
        <v>0</v>
      </c>
      <c r="D19" s="26">
        <f>SUMIF(Infiltración!$C:$C,A19,Infiltración!$P:$P)</f>
        <v>113.68981583012766</v>
      </c>
    </row>
    <row r="20" spans="1:4" x14ac:dyDescent="0.25">
      <c r="A20" s="5" t="str">
        <f>+Locales!A21</f>
        <v>2-18</v>
      </c>
      <c r="B20" s="5" t="str">
        <f>+Locales!B21</f>
        <v>SALA DE EXPERIMENTACIÓN 3</v>
      </c>
      <c r="C20" s="26">
        <f>SUMIF(Infiltración!$A:$A,A20,Infiltración!$P:$P)</f>
        <v>0</v>
      </c>
      <c r="D20" s="26">
        <f>SUMIF(Infiltración!$C:$C,A20,Infiltración!$P:$P)</f>
        <v>113.68981583012766</v>
      </c>
    </row>
    <row r="21" spans="1:4" x14ac:dyDescent="0.25">
      <c r="A21" s="5" t="str">
        <f>+Locales!A22</f>
        <v>2-19</v>
      </c>
      <c r="B21" s="5" t="str">
        <f>+Locales!B22</f>
        <v>SALA DE CIRUGÍA</v>
      </c>
      <c r="C21" s="26">
        <f>SUMIF(Infiltración!$A:$A,A21,Infiltración!$P:$P)</f>
        <v>65.638845773643155</v>
      </c>
      <c r="D21" s="26">
        <f>SUMIF(Infiltración!$C:$C,A21,Infiltración!$P:$P)</f>
        <v>0</v>
      </c>
    </row>
    <row r="22" spans="1:4" x14ac:dyDescent="0.25">
      <c r="A22" s="5" t="str">
        <f>+Locales!A23</f>
        <v>2-20</v>
      </c>
      <c r="B22" s="5" t="str">
        <f>+Locales!B23</f>
        <v>SALA DE EQUIPOS</v>
      </c>
      <c r="C22" s="26">
        <f>SUMIF(Infiltración!$A:$A,A22,Infiltración!$P:$P)</f>
        <v>0</v>
      </c>
      <c r="D22" s="26">
        <f>SUMIF(Infiltración!$C:$C,A22,Infiltración!$P:$P)</f>
        <v>113.68981583012766</v>
      </c>
    </row>
    <row r="23" spans="1:4" x14ac:dyDescent="0.25">
      <c r="A23" s="5" t="str">
        <f>+Locales!A24</f>
        <v>2-21</v>
      </c>
      <c r="B23" s="5" t="str">
        <f>+Locales!B24</f>
        <v>LABORATORIO DE PREPARACIÓN</v>
      </c>
      <c r="C23" s="26">
        <f>SUMIF(Infiltración!$A:$A,A23,Infiltración!$P:$P)</f>
        <v>0</v>
      </c>
      <c r="D23" s="26">
        <f>SUMIF(Infiltración!$C:$C,A23,Infiltración!$P:$P)</f>
        <v>100.89928903435008</v>
      </c>
    </row>
    <row r="24" spans="1:4" x14ac:dyDescent="0.25">
      <c r="A24" s="5" t="str">
        <f>+Locales!A25</f>
        <v>2-22</v>
      </c>
      <c r="B24" s="5" t="str">
        <f>+Locales!B25</f>
        <v>SALA DE PREPARACIÓN</v>
      </c>
      <c r="C24" s="26">
        <f>SUMIF(Infiltración!$A:$A,A24,Infiltración!$P:$P)</f>
        <v>48</v>
      </c>
      <c r="D24" s="26">
        <f>SUMIF(Infiltración!$C:$C,A24,Infiltración!$P:$P)</f>
        <v>0</v>
      </c>
    </row>
    <row r="25" spans="1:4" x14ac:dyDescent="0.25">
      <c r="A25" s="5" t="str">
        <f>+Locales!A26</f>
        <v>2-23</v>
      </c>
      <c r="B25" s="5" t="str">
        <f>+Locales!B26</f>
        <v>PASILLO DE IMÁGENES</v>
      </c>
      <c r="C25" s="26">
        <f>SUMIF(Infiltración!$A:$A,A25,Infiltración!$P:$P)</f>
        <v>220.89928903435009</v>
      </c>
      <c r="D25" s="26">
        <f>SUMIF(Infiltración!$C:$C,A25,Infiltración!$P:$P)</f>
        <v>871.69892224275293</v>
      </c>
    </row>
    <row r="26" spans="1:4" x14ac:dyDescent="0.25">
      <c r="A26" s="5" t="str">
        <f>+Locales!A27</f>
        <v>2-24</v>
      </c>
      <c r="B26" s="5" t="str">
        <f>+Locales!B27</f>
        <v>MICRO PET</v>
      </c>
      <c r="C26" s="26">
        <f>SUMIF(Infiltración!$A:$A,A26,Infiltración!$P:$P)</f>
        <v>439.64</v>
      </c>
      <c r="D26" s="26">
        <f>SUMIF(Infiltración!$C:$C,A26,Infiltración!$P:$P)</f>
        <v>0</v>
      </c>
    </row>
    <row r="27" spans="1:4" x14ac:dyDescent="0.25">
      <c r="A27" s="5" t="str">
        <f>+Locales!A28</f>
        <v>2-25</v>
      </c>
      <c r="B27" s="5" t="str">
        <f>+Locales!B28</f>
        <v>SALA DE CONTROL</v>
      </c>
      <c r="C27" s="26">
        <f>SUMIF(Infiltración!$A:$A,A27,Infiltración!$P:$P)</f>
        <v>0</v>
      </c>
      <c r="D27" s="26">
        <f>SUMIF(Infiltración!$C:$C,A27,Infiltración!$P:$P)</f>
        <v>0</v>
      </c>
    </row>
    <row r="28" spans="1:4" x14ac:dyDescent="0.25">
      <c r="A28" s="5" t="str">
        <f>+Locales!A29</f>
        <v>2-26</v>
      </c>
      <c r="B28" s="5" t="str">
        <f>+Locales!B29</f>
        <v>MICRO RMN</v>
      </c>
      <c r="C28" s="26">
        <f>SUMIF(Infiltración!$A:$A,A28,Infiltración!$P:$P)</f>
        <v>255.54</v>
      </c>
      <c r="D28" s="26">
        <f>SUMIF(Infiltración!$C:$C,A28,Infiltración!$P:$P)</f>
        <v>0</v>
      </c>
    </row>
    <row r="29" spans="1:4" x14ac:dyDescent="0.25">
      <c r="A29" s="5" t="str">
        <f>+Locales!A30</f>
        <v>2-27</v>
      </c>
      <c r="B29" s="5" t="str">
        <f>+Locales!B30</f>
        <v>SALA DE MÁQUINAS</v>
      </c>
      <c r="C29" s="26">
        <f>SUMIF(Infiltración!$A:$A,A29,Infiltración!$P:$P)</f>
        <v>0</v>
      </c>
      <c r="D29" s="26">
        <f>SUMIF(Infiltración!$C:$C,A29,Infiltración!$P:$P)</f>
        <v>120</v>
      </c>
    </row>
    <row r="30" spans="1:4" x14ac:dyDescent="0.25">
      <c r="A30" s="5" t="str">
        <f>+Locales!A31</f>
        <v>2-28</v>
      </c>
      <c r="B30" s="5" t="str">
        <f>+Locales!B31</f>
        <v>PASILLO</v>
      </c>
      <c r="C30" s="26">
        <f>SUMIF(Infiltración!$A:$A,A30,Infiltración!$P:$P)</f>
        <v>1959.135694948538</v>
      </c>
      <c r="D30" s="26">
        <f>SUMIF(Infiltración!$C:$C,A30,Infiltración!$P:$P)</f>
        <v>1044.6296668981993</v>
      </c>
    </row>
    <row r="31" spans="1:4" x14ac:dyDescent="0.25">
      <c r="A31" s="5" t="str">
        <f>+Locales!A32</f>
        <v>2-29</v>
      </c>
      <c r="B31" s="5" t="str">
        <f>+Locales!B32</f>
        <v>SALA DE ANÁLISIS DE MUESTRAS IRRADIADAS</v>
      </c>
      <c r="C31" s="26">
        <f>SUMIF(Infiltración!$A:$A,A31,Infiltración!$P:$P)</f>
        <v>65.638845773643155</v>
      </c>
      <c r="D31" s="26">
        <f>SUMIF(Infiltración!$C:$C,A31,Infiltración!$P:$P)</f>
        <v>0</v>
      </c>
    </row>
    <row r="32" spans="1:4" x14ac:dyDescent="0.25">
      <c r="A32" s="5" t="str">
        <f>+Locales!A33</f>
        <v>2-30</v>
      </c>
      <c r="B32" s="5" t="str">
        <f>+Locales!B33</f>
        <v>SAS RADIOBIOLOGÍA</v>
      </c>
      <c r="C32" s="26">
        <f>SUMIF(Infiltración!$A:$A,A32,Infiltración!$P:$P)</f>
        <v>65.638845773643155</v>
      </c>
      <c r="D32" s="26">
        <f>SUMIF(Infiltración!$C:$C,A32,Infiltración!$P:$P)</f>
        <v>65.638845773643155</v>
      </c>
    </row>
    <row r="33" spans="1:4" x14ac:dyDescent="0.25">
      <c r="A33" s="5" t="str">
        <f>+Locales!A34</f>
        <v>2-31</v>
      </c>
      <c r="B33" s="5" t="str">
        <f>+Locales!B34</f>
        <v>LABORATORIO DE RADIOBIOLOGÍA</v>
      </c>
      <c r="C33" s="26">
        <f>SUMIF(Infiltración!$A:$A,A33,Infiltración!$P:$P)</f>
        <v>170.5741063693672</v>
      </c>
      <c r="D33" s="26">
        <f>SUMIF(Infiltración!$C:$C,A33,Infiltración!$P:$P)</f>
        <v>262.55538309457262</v>
      </c>
    </row>
    <row r="34" spans="1:4" x14ac:dyDescent="0.25">
      <c r="A34" s="5" t="str">
        <f>+Locales!A35</f>
        <v>2-32</v>
      </c>
      <c r="B34" s="5" t="str">
        <f>+Locales!B35</f>
        <v>RADIOBIODOSIMETRÍA</v>
      </c>
      <c r="C34" s="26">
        <f>SUMIF(Infiltración!$A:$A,A34,Infiltración!$P:$P)</f>
        <v>65.638845773643155</v>
      </c>
      <c r="D34" s="26">
        <f>SUMIF(Infiltración!$C:$C,A34,Infiltración!$P:$P)</f>
        <v>0</v>
      </c>
    </row>
    <row r="35" spans="1:4" x14ac:dyDescent="0.25">
      <c r="A35" s="5" t="str">
        <f>+Locales!A36</f>
        <v>2-33</v>
      </c>
      <c r="B35" s="5" t="str">
        <f>+Locales!B36</f>
        <v>SALA DE RACKS</v>
      </c>
      <c r="C35" s="26">
        <f>SUMIF(Infiltración!$A:$A,A35,Infiltración!$P:$P)</f>
        <v>0</v>
      </c>
      <c r="D35" s="26">
        <f>SUMIF(Infiltración!$C:$C,A35,Infiltración!$P:$P)</f>
        <v>0</v>
      </c>
    </row>
    <row r="36" spans="1:4" x14ac:dyDescent="0.25">
      <c r="A36" s="5" t="str">
        <f>+Locales!A37</f>
        <v>2-34</v>
      </c>
      <c r="B36" s="5" t="str">
        <f>+Locales!B37</f>
        <v>SECTOR DE RADIOBIOLOGÍA</v>
      </c>
      <c r="C36" s="26">
        <f>SUMIF(Infiltración!$A:$A,A36,Infiltración!$P:$P)</f>
        <v>104.93526059572406</v>
      </c>
      <c r="D36" s="26">
        <f>SUMIF(Infiltración!$C:$C,A36,Infiltración!$P:$P)</f>
        <v>0</v>
      </c>
    </row>
    <row r="37" spans="1:4" x14ac:dyDescent="0.25">
      <c r="A37" s="5" t="str">
        <f>+Locales!A38</f>
        <v>2-35</v>
      </c>
      <c r="B37" s="5" t="str">
        <f>+Locales!B38</f>
        <v>RADIOBIOLOGÍA MOLECULAR</v>
      </c>
      <c r="C37" s="26">
        <f>SUMIF(Infiltración!$A:$A,A37,Infiltración!$P:$P)</f>
        <v>65.638845773643155</v>
      </c>
      <c r="D37" s="26">
        <f>SUMIF(Infiltración!$C:$C,A37,Infiltración!$P:$P)</f>
        <v>0</v>
      </c>
    </row>
    <row r="38" spans="1:4" x14ac:dyDescent="0.25">
      <c r="A38" s="5" t="str">
        <f>+Locales!A39</f>
        <v>2-36</v>
      </c>
      <c r="B38" s="5" t="str">
        <f>+Locales!B39</f>
        <v>SALA DE IRRADIACIÓN DE MUESTRAS</v>
      </c>
      <c r="C38" s="26">
        <f>SUMIF(Infiltración!$A:$A,A38,Infiltración!$P:$P)</f>
        <v>65.638845773643155</v>
      </c>
      <c r="D38" s="26">
        <f>SUMIF(Infiltración!$C:$C,A38,Infiltración!$P:$P)</f>
        <v>0</v>
      </c>
    </row>
    <row r="39" spans="1:4" x14ac:dyDescent="0.25">
      <c r="A39" s="5" t="str">
        <f>+Locales!A40</f>
        <v>2-38</v>
      </c>
      <c r="B39" s="5" t="str">
        <f>+Locales!B40</f>
        <v>SALA DE CONTROL PET</v>
      </c>
      <c r="C39" s="26">
        <f>SUMIF(Infiltración!$A:$A,A39,Infiltración!$P:$P)</f>
        <v>0</v>
      </c>
      <c r="D39" s="26">
        <f>SUMIF(Infiltración!$C:$C,A39,Infiltración!$P:$P)</f>
        <v>0</v>
      </c>
    </row>
    <row r="40" spans="1:4" x14ac:dyDescent="0.25">
      <c r="A40" s="5" t="str">
        <f>+Locales!A41</f>
        <v>2-39</v>
      </c>
      <c r="B40" s="5" t="str">
        <f>+Locales!B41</f>
        <v>VESTUARIO HOMBRES</v>
      </c>
      <c r="C40" s="26">
        <f>SUMIF(Infiltración!$A:$A,A40,Infiltración!$P:$P)</f>
        <v>0</v>
      </c>
      <c r="D40" s="26">
        <f>SUMIF(Infiltración!$C:$C,A40,Infiltración!$P:$P)</f>
        <v>362</v>
      </c>
    </row>
    <row r="41" spans="1:4" x14ac:dyDescent="0.25">
      <c r="A41" s="5" t="str">
        <f>+Locales!A42</f>
        <v>2-40</v>
      </c>
      <c r="B41" s="5" t="str">
        <f>+Locales!B42</f>
        <v>KICHINET</v>
      </c>
      <c r="C41" s="26">
        <f>SUMIF(Infiltración!$A:$A,A41,Infiltración!$P:$P)</f>
        <v>0</v>
      </c>
      <c r="D41" s="26">
        <f>SUMIF(Infiltración!$C:$C,A41,Infiltración!$P:$P)</f>
        <v>114</v>
      </c>
    </row>
    <row r="42" spans="1:4" x14ac:dyDescent="0.25">
      <c r="A42" s="5" t="str">
        <f>+Locales!A43</f>
        <v>2-41</v>
      </c>
      <c r="B42" s="5" t="str">
        <f>+Locales!B43</f>
        <v>BAÑO ADAPTADO</v>
      </c>
      <c r="C42" s="26">
        <f>SUMIF(Infiltración!$A:$A,A42,Infiltración!$P:$P)</f>
        <v>0</v>
      </c>
      <c r="D42" s="26">
        <f>SUMIF(Infiltración!$C:$C,A42,Infiltración!$P:$P)</f>
        <v>114</v>
      </c>
    </row>
    <row r="43" spans="1:4" x14ac:dyDescent="0.25">
      <c r="A43" s="5" t="str">
        <f>+Locales!A44</f>
        <v>2-42</v>
      </c>
      <c r="B43" s="5" t="str">
        <f>+Locales!B44</f>
        <v>DEPÓSITO DE LIMPIEZA</v>
      </c>
      <c r="C43" s="26">
        <f>SUMIF(Infiltración!$A:$A,A43,Infiltración!$P:$P)</f>
        <v>0</v>
      </c>
      <c r="D43" s="26">
        <f>SUMIF(Infiltración!$C:$C,A43,Infiltración!$P:$P)</f>
        <v>114</v>
      </c>
    </row>
    <row r="44" spans="1:4" x14ac:dyDescent="0.25">
      <c r="A44" s="5" t="str">
        <f>+Locales!A45</f>
        <v>2-46</v>
      </c>
      <c r="B44" s="5" t="str">
        <f>+Locales!B45</f>
        <v>ESPACIO 3</v>
      </c>
      <c r="C44" s="26">
        <f>SUMIF(Infiltración!$A:$A,A44,Infiltración!$P:$P)</f>
        <v>270</v>
      </c>
      <c r="D44" s="26">
        <f>SUMIF(Infiltración!$C:$C,A44,Infiltración!$P:$P)</f>
        <v>0</v>
      </c>
    </row>
    <row r="45" spans="1:4" x14ac:dyDescent="0.25">
      <c r="A45" s="5" t="str">
        <f>+Locales!A46</f>
        <v>2-47 (A)</v>
      </c>
      <c r="B45" s="5" t="str">
        <f>+Locales!B46</f>
        <v>ESPACIO 4</v>
      </c>
      <c r="C45" s="26">
        <f>SUMIF(Infiltración!$A:$A,A45,Infiltración!$P:$P)</f>
        <v>270</v>
      </c>
      <c r="D45" s="26">
        <f>SUMIF(Infiltración!$C:$C,A45,Infiltración!$P:$P)</f>
        <v>0</v>
      </c>
    </row>
    <row r="46" spans="1:4" x14ac:dyDescent="0.25">
      <c r="A46" s="5" t="str">
        <f>+Locales!A47</f>
        <v>2-47 (B)</v>
      </c>
      <c r="B46" s="5" t="str">
        <f>+Locales!B47</f>
        <v>VESTUARIO MUJERES</v>
      </c>
      <c r="C46" s="26">
        <f>SUMIF(Infiltración!$A:$A,A46,Infiltración!$P:$P)</f>
        <v>0</v>
      </c>
      <c r="D46" s="26">
        <f>SUMIF(Infiltración!$C:$C,A46,Infiltración!$P:$P)</f>
        <v>471</v>
      </c>
    </row>
    <row r="47" spans="1:4" x14ac:dyDescent="0.25">
      <c r="A47" s="5" t="str">
        <f>+Locales!A48</f>
        <v>2-48</v>
      </c>
      <c r="B47" s="5" t="str">
        <f>+Locales!B48</f>
        <v>SALA DE TABLEROS</v>
      </c>
      <c r="C47" s="26">
        <f>SUMIF(Infiltración!$A:$A,A47,Infiltración!$P:$P)</f>
        <v>0</v>
      </c>
      <c r="D47" s="26">
        <f>SUMIF(Infiltración!$C:$C,A47,Infiltración!$P:$P)</f>
        <v>0</v>
      </c>
    </row>
    <row r="48" spans="1:4" x14ac:dyDescent="0.25">
      <c r="A4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6AF63-3E72-485C-814B-116D4AA5BD32}">
  <dimension ref="A1:Q31"/>
  <sheetViews>
    <sheetView workbookViewId="0">
      <selection activeCell="Q20" sqref="Q20"/>
    </sheetView>
  </sheetViews>
  <sheetFormatPr defaultRowHeight="15" x14ac:dyDescent="0.25"/>
  <cols>
    <col min="1" max="1" width="11.7109375" bestFit="1" customWidth="1"/>
    <col min="2" max="2" width="10.140625" bestFit="1" customWidth="1"/>
    <col min="3" max="3" width="8.28515625" bestFit="1" customWidth="1"/>
    <col min="4" max="4" width="12.140625" bestFit="1" customWidth="1"/>
    <col min="5" max="5" width="13.5703125" bestFit="1" customWidth="1"/>
    <col min="6" max="6" width="8.5703125" customWidth="1"/>
    <col min="7" max="8" width="12" customWidth="1"/>
    <col min="9" max="9" width="8.28515625" bestFit="1" customWidth="1"/>
    <col min="10" max="11" width="12" customWidth="1"/>
    <col min="12" max="12" width="17" customWidth="1"/>
    <col min="13" max="13" width="17.140625" customWidth="1"/>
    <col min="16" max="16" width="9.140625" hidden="1" customWidth="1"/>
  </cols>
  <sheetData>
    <row r="1" spans="1:17" x14ac:dyDescent="0.25">
      <c r="A1" s="38" t="s">
        <v>61</v>
      </c>
      <c r="B1" s="38"/>
      <c r="C1" s="38"/>
      <c r="D1" s="38"/>
      <c r="E1" s="38"/>
      <c r="F1" s="38" t="s">
        <v>62</v>
      </c>
      <c r="G1" s="38"/>
      <c r="H1" s="38"/>
      <c r="I1" s="38"/>
      <c r="J1" s="38"/>
      <c r="K1" s="38"/>
      <c r="L1" s="38"/>
      <c r="M1" s="38"/>
    </row>
    <row r="2" spans="1:17" s="3" customFormat="1" ht="47.25" x14ac:dyDescent="0.25">
      <c r="A2" s="4" t="s">
        <v>66</v>
      </c>
      <c r="B2" s="1" t="s">
        <v>67</v>
      </c>
      <c r="C2" s="1" t="s">
        <v>68</v>
      </c>
      <c r="D2" s="1" t="s">
        <v>69</v>
      </c>
      <c r="E2" s="1" t="s">
        <v>70</v>
      </c>
      <c r="F2" s="1" t="s">
        <v>71</v>
      </c>
      <c r="G2" s="1" t="s">
        <v>72</v>
      </c>
      <c r="H2" s="1" t="s">
        <v>157</v>
      </c>
      <c r="I2" s="1" t="s">
        <v>71</v>
      </c>
      <c r="J2" s="1" t="s">
        <v>72</v>
      </c>
      <c r="K2" s="1" t="s">
        <v>157</v>
      </c>
      <c r="L2" s="1" t="s">
        <v>162</v>
      </c>
      <c r="M2" s="1" t="s">
        <v>161</v>
      </c>
      <c r="N2" s="4" t="s">
        <v>156</v>
      </c>
      <c r="P2" s="4" t="s">
        <v>160</v>
      </c>
    </row>
    <row r="3" spans="1:17" ht="15" customHeight="1" x14ac:dyDescent="0.25">
      <c r="A3" s="39" t="s">
        <v>129</v>
      </c>
      <c r="B3" s="27">
        <f>+F3*G3+I3*J3</f>
        <v>0.5</v>
      </c>
      <c r="C3" s="13">
        <v>0.75</v>
      </c>
      <c r="D3" s="5" t="str">
        <f>CONCATENATE(B3,"x",C3)</f>
        <v>0,5x0,75</v>
      </c>
      <c r="E3" s="28">
        <f>(B3*2)+(C3*2)</f>
        <v>2.5</v>
      </c>
      <c r="F3" s="11">
        <v>1</v>
      </c>
      <c r="G3" s="13">
        <v>0.5</v>
      </c>
      <c r="H3" s="29" t="s">
        <v>158</v>
      </c>
      <c r="I3" s="11"/>
      <c r="J3" s="13"/>
      <c r="K3" s="29"/>
      <c r="L3" s="8">
        <f>0+IF(K3="Móvil",F3*G3*2*0.002,0)+IF(H3="Móvil",I3*J3*2*0.002,0)+(IF(H3="Móvil",F3,0)+IF(K3="Móvil",I3,0)+IF(OR(K3="Móvil",H3="Móvil"),1,0))*0.002*C3</f>
        <v>0</v>
      </c>
      <c r="M3" s="32">
        <v>0</v>
      </c>
      <c r="N3" s="40">
        <v>0</v>
      </c>
      <c r="P3" s="5" t="s">
        <v>158</v>
      </c>
    </row>
    <row r="4" spans="1:17" x14ac:dyDescent="0.25">
      <c r="A4" s="39" t="s">
        <v>130</v>
      </c>
      <c r="B4" s="27">
        <f t="shared" ref="B4:B31" si="0">+F4*G4+I4*J4</f>
        <v>1.4</v>
      </c>
      <c r="C4" s="13">
        <v>1</v>
      </c>
      <c r="D4" s="5" t="str">
        <f t="shared" ref="D4:D30" si="1">CONCATENATE(B4,"x",C4)</f>
        <v>1,4x1</v>
      </c>
      <c r="E4" s="28">
        <f t="shared" ref="E4:E30" si="2">(B4*2)+(C4*2)</f>
        <v>4.8</v>
      </c>
      <c r="F4" s="11">
        <v>1</v>
      </c>
      <c r="G4" s="13">
        <v>1.4</v>
      </c>
      <c r="H4" s="29" t="s">
        <v>158</v>
      </c>
      <c r="I4" s="11"/>
      <c r="J4" s="13"/>
      <c r="K4" s="29"/>
      <c r="L4" s="8">
        <f t="shared" ref="L4:L31" si="3">0+IF(K4="Móvil",F4*G4*2*0.002,0)+IF(H4="Móvil",I4*J4*2*0.002,0)+(IF(H4="Móvil",F4,0)+IF(K4="Móvil",I4,0)+IF(OR(K4="Móvil",H4="Móvil"),1,0))*0.002*C4</f>
        <v>0</v>
      </c>
      <c r="M4" s="32">
        <v>0</v>
      </c>
      <c r="N4" s="40">
        <v>0</v>
      </c>
      <c r="P4" s="5" t="s">
        <v>159</v>
      </c>
      <c r="Q4" s="30"/>
    </row>
    <row r="5" spans="1:17" x14ac:dyDescent="0.25">
      <c r="A5" s="39" t="s">
        <v>131</v>
      </c>
      <c r="B5" s="27">
        <f t="shared" si="0"/>
        <v>1.3</v>
      </c>
      <c r="C5" s="13">
        <v>1</v>
      </c>
      <c r="D5" s="5" t="str">
        <f t="shared" si="1"/>
        <v>1,3x1</v>
      </c>
      <c r="E5" s="28">
        <f t="shared" si="2"/>
        <v>4.5999999999999996</v>
      </c>
      <c r="F5" s="11">
        <v>1</v>
      </c>
      <c r="G5" s="13">
        <v>1.3</v>
      </c>
      <c r="H5" s="29" t="s">
        <v>158</v>
      </c>
      <c r="I5" s="11"/>
      <c r="J5" s="13"/>
      <c r="K5" s="29"/>
      <c r="L5" s="8">
        <f t="shared" si="3"/>
        <v>0</v>
      </c>
      <c r="M5" s="32">
        <v>0</v>
      </c>
      <c r="N5" s="40">
        <v>0</v>
      </c>
    </row>
    <row r="6" spans="1:17" x14ac:dyDescent="0.25">
      <c r="A6" s="39" t="s">
        <v>132</v>
      </c>
      <c r="B6" s="27">
        <f t="shared" si="0"/>
        <v>1</v>
      </c>
      <c r="C6" s="13">
        <v>1</v>
      </c>
      <c r="D6" s="5" t="str">
        <f t="shared" si="1"/>
        <v>1x1</v>
      </c>
      <c r="E6" s="28">
        <f t="shared" si="2"/>
        <v>4</v>
      </c>
      <c r="F6" s="11">
        <v>1</v>
      </c>
      <c r="G6" s="13">
        <v>1</v>
      </c>
      <c r="H6" s="29" t="s">
        <v>158</v>
      </c>
      <c r="I6" s="11"/>
      <c r="J6" s="13"/>
      <c r="K6" s="29"/>
      <c r="L6" s="8">
        <f t="shared" si="3"/>
        <v>0</v>
      </c>
      <c r="M6" s="32">
        <v>0</v>
      </c>
      <c r="N6" s="40">
        <v>0</v>
      </c>
    </row>
    <row r="7" spans="1:17" x14ac:dyDescent="0.25">
      <c r="A7" s="39" t="s">
        <v>133</v>
      </c>
      <c r="B7" s="27">
        <f t="shared" si="0"/>
        <v>0.8</v>
      </c>
      <c r="C7" s="13">
        <v>2</v>
      </c>
      <c r="D7" s="5" t="str">
        <f t="shared" si="1"/>
        <v>0,8x2</v>
      </c>
      <c r="E7" s="28">
        <f t="shared" si="2"/>
        <v>5.6</v>
      </c>
      <c r="F7" s="11">
        <v>1</v>
      </c>
      <c r="G7" s="13">
        <v>0.8</v>
      </c>
      <c r="H7" s="29" t="s">
        <v>159</v>
      </c>
      <c r="I7" s="11"/>
      <c r="J7" s="13"/>
      <c r="K7" s="29"/>
      <c r="L7" s="8">
        <f t="shared" si="3"/>
        <v>8.0000000000000002E-3</v>
      </c>
      <c r="M7" s="32">
        <v>4.0000000000000001E-3</v>
      </c>
      <c r="N7" s="40">
        <v>8.0000000000000002E-3</v>
      </c>
    </row>
    <row r="8" spans="1:17" x14ac:dyDescent="0.25">
      <c r="A8" s="39" t="s">
        <v>63</v>
      </c>
      <c r="B8" s="27">
        <f t="shared" si="0"/>
        <v>0.86</v>
      </c>
      <c r="C8" s="13">
        <v>2</v>
      </c>
      <c r="D8" s="5" t="str">
        <f t="shared" si="1"/>
        <v>0,86x2</v>
      </c>
      <c r="E8" s="28">
        <f t="shared" si="2"/>
        <v>5.72</v>
      </c>
      <c r="F8" s="11">
        <v>1</v>
      </c>
      <c r="G8" s="13">
        <v>0.86</v>
      </c>
      <c r="H8" s="29" t="s">
        <v>159</v>
      </c>
      <c r="I8" s="11"/>
      <c r="J8" s="13"/>
      <c r="K8" s="29"/>
      <c r="L8" s="8">
        <f t="shared" si="3"/>
        <v>8.0000000000000002E-3</v>
      </c>
      <c r="M8" s="32">
        <v>4.0000000000000001E-3</v>
      </c>
      <c r="N8" s="40">
        <v>8.0000000000000002E-3</v>
      </c>
    </row>
    <row r="9" spans="1:17" x14ac:dyDescent="0.25">
      <c r="A9" s="39" t="s">
        <v>64</v>
      </c>
      <c r="B9" s="27">
        <f t="shared" si="0"/>
        <v>1.04</v>
      </c>
      <c r="C9" s="13">
        <v>2</v>
      </c>
      <c r="D9" s="5" t="str">
        <f t="shared" si="1"/>
        <v>1,04x2</v>
      </c>
      <c r="E9" s="28">
        <f t="shared" si="2"/>
        <v>6.08</v>
      </c>
      <c r="F9" s="11">
        <v>1</v>
      </c>
      <c r="G9" s="13">
        <v>1.04</v>
      </c>
      <c r="H9" s="29" t="s">
        <v>159</v>
      </c>
      <c r="I9" s="11"/>
      <c r="J9" s="13"/>
      <c r="K9" s="29"/>
      <c r="L9" s="8">
        <f t="shared" si="3"/>
        <v>8.0000000000000002E-3</v>
      </c>
      <c r="M9" s="32">
        <v>4.0000000000000001E-3</v>
      </c>
      <c r="N9" s="40">
        <v>8.0000000000000002E-3</v>
      </c>
    </row>
    <row r="10" spans="1:17" x14ac:dyDescent="0.25">
      <c r="A10" s="39" t="s">
        <v>65</v>
      </c>
      <c r="B10" s="27">
        <f t="shared" si="0"/>
        <v>1.3</v>
      </c>
      <c r="C10" s="13">
        <v>2</v>
      </c>
      <c r="D10" s="5" t="str">
        <f t="shared" si="1"/>
        <v>1,3x2</v>
      </c>
      <c r="E10" s="28">
        <f t="shared" si="2"/>
        <v>6.6</v>
      </c>
      <c r="F10" s="11">
        <v>2</v>
      </c>
      <c r="G10" s="13">
        <v>0.65</v>
      </c>
      <c r="H10" s="29" t="s">
        <v>159</v>
      </c>
      <c r="I10" s="11"/>
      <c r="J10" s="13"/>
      <c r="K10" s="29"/>
      <c r="L10" s="8">
        <f t="shared" si="3"/>
        <v>1.2E-2</v>
      </c>
      <c r="M10" s="32">
        <v>6.0000000000000001E-3</v>
      </c>
      <c r="N10" s="40">
        <v>1.2E-2</v>
      </c>
    </row>
    <row r="11" spans="1:17" x14ac:dyDescent="0.25">
      <c r="A11" s="39" t="s">
        <v>134</v>
      </c>
      <c r="B11" s="27">
        <f t="shared" si="0"/>
        <v>1.66</v>
      </c>
      <c r="C11" s="13">
        <v>2.2999999999999998</v>
      </c>
      <c r="D11" s="5" t="str">
        <f t="shared" si="1"/>
        <v>1,66x2,3</v>
      </c>
      <c r="E11" s="28">
        <f t="shared" si="2"/>
        <v>7.92</v>
      </c>
      <c r="F11" s="11">
        <v>2</v>
      </c>
      <c r="G11" s="13">
        <v>0.83</v>
      </c>
      <c r="H11" s="29" t="s">
        <v>159</v>
      </c>
      <c r="I11" s="11"/>
      <c r="J11" s="13"/>
      <c r="K11" s="29"/>
      <c r="L11" s="8">
        <f t="shared" si="3"/>
        <v>1.38E-2</v>
      </c>
      <c r="M11" s="32">
        <v>6.0000000000000001E-3</v>
      </c>
      <c r="N11" s="40">
        <v>1.38E-2</v>
      </c>
    </row>
    <row r="12" spans="1:17" x14ac:dyDescent="0.25">
      <c r="A12" s="31" t="s">
        <v>135</v>
      </c>
      <c r="B12" s="27">
        <f t="shared" si="0"/>
        <v>1.5</v>
      </c>
      <c r="C12" s="13">
        <v>2.2999999999999998</v>
      </c>
      <c r="D12" s="5" t="str">
        <f t="shared" si="1"/>
        <v>1,5x2,3</v>
      </c>
      <c r="E12" s="28">
        <f t="shared" si="2"/>
        <v>7.6</v>
      </c>
      <c r="F12" s="11">
        <v>1</v>
      </c>
      <c r="G12" s="13">
        <v>0.9</v>
      </c>
      <c r="H12" s="29" t="s">
        <v>159</v>
      </c>
      <c r="I12" s="11">
        <v>1</v>
      </c>
      <c r="J12" s="13">
        <v>0.6</v>
      </c>
      <c r="K12" s="29" t="s">
        <v>159</v>
      </c>
      <c r="L12" s="8">
        <f t="shared" si="3"/>
        <v>1.9799999999999998E-2</v>
      </c>
      <c r="M12" s="32">
        <v>1.2E-2</v>
      </c>
      <c r="N12" s="40">
        <v>1.9799999999999998E-2</v>
      </c>
    </row>
    <row r="13" spans="1:17" x14ac:dyDescent="0.25">
      <c r="A13" s="31" t="s">
        <v>136</v>
      </c>
      <c r="B13" s="27">
        <f t="shared" si="0"/>
        <v>2.2000000000000002</v>
      </c>
      <c r="C13" s="13">
        <v>2.2999999999999998</v>
      </c>
      <c r="D13" s="5" t="str">
        <f t="shared" si="1"/>
        <v>2,2x2,3</v>
      </c>
      <c r="E13" s="28">
        <f t="shared" si="2"/>
        <v>9</v>
      </c>
      <c r="F13" s="11">
        <v>2</v>
      </c>
      <c r="G13" s="13">
        <v>1.1000000000000001</v>
      </c>
      <c r="H13" s="29" t="s">
        <v>159</v>
      </c>
      <c r="I13" s="11"/>
      <c r="J13" s="13"/>
      <c r="K13" s="29"/>
      <c r="L13" s="8">
        <f t="shared" si="3"/>
        <v>1.38E-2</v>
      </c>
      <c r="M13" s="32">
        <v>6.0000000000000001E-3</v>
      </c>
      <c r="N13" s="40">
        <v>1.38E-2</v>
      </c>
    </row>
    <row r="14" spans="1:17" x14ac:dyDescent="0.25">
      <c r="A14" s="31" t="s">
        <v>137</v>
      </c>
      <c r="B14" s="27">
        <f t="shared" si="0"/>
        <v>1.3</v>
      </c>
      <c r="C14" s="13">
        <v>2</v>
      </c>
      <c r="D14" s="5" t="str">
        <f t="shared" si="1"/>
        <v>1,3x2</v>
      </c>
      <c r="E14" s="28">
        <f t="shared" si="2"/>
        <v>6.6</v>
      </c>
      <c r="F14" s="11">
        <v>2</v>
      </c>
      <c r="G14" s="13">
        <v>0.65</v>
      </c>
      <c r="H14" s="29" t="s">
        <v>159</v>
      </c>
      <c r="I14" s="11"/>
      <c r="J14" s="13"/>
      <c r="K14" s="29"/>
      <c r="L14" s="8">
        <f t="shared" si="3"/>
        <v>1.2E-2</v>
      </c>
      <c r="M14" s="32">
        <v>6.0000000000000001E-3</v>
      </c>
      <c r="N14" s="40">
        <v>1.2E-2</v>
      </c>
    </row>
    <row r="15" spans="1:17" x14ac:dyDescent="0.25">
      <c r="A15" s="31" t="s">
        <v>138</v>
      </c>
      <c r="B15" s="27">
        <f t="shared" si="0"/>
        <v>0.8</v>
      </c>
      <c r="C15" s="13">
        <v>2</v>
      </c>
      <c r="D15" s="5" t="str">
        <f t="shared" si="1"/>
        <v>0,8x2</v>
      </c>
      <c r="E15" s="28">
        <f t="shared" si="2"/>
        <v>5.6</v>
      </c>
      <c r="F15" s="11">
        <v>1</v>
      </c>
      <c r="G15" s="13">
        <v>0.8</v>
      </c>
      <c r="H15" s="29" t="s">
        <v>159</v>
      </c>
      <c r="I15" s="11"/>
      <c r="J15" s="13"/>
      <c r="K15" s="29"/>
      <c r="L15" s="8">
        <f t="shared" si="3"/>
        <v>8.0000000000000002E-3</v>
      </c>
      <c r="M15" s="32">
        <v>4.0000000000000001E-3</v>
      </c>
      <c r="N15" s="40">
        <v>8.0000000000000002E-3</v>
      </c>
    </row>
    <row r="16" spans="1:17" x14ac:dyDescent="0.25">
      <c r="A16" s="31" t="s">
        <v>139</v>
      </c>
      <c r="B16" s="27">
        <f t="shared" si="0"/>
        <v>1.04</v>
      </c>
      <c r="C16" s="13">
        <v>2.2999999999999998</v>
      </c>
      <c r="D16" s="5" t="str">
        <f t="shared" si="1"/>
        <v>1,04x2,3</v>
      </c>
      <c r="E16" s="28">
        <f t="shared" si="2"/>
        <v>6.68</v>
      </c>
      <c r="F16" s="11">
        <v>1</v>
      </c>
      <c r="G16" s="13">
        <v>1.04</v>
      </c>
      <c r="H16" s="29" t="s">
        <v>159</v>
      </c>
      <c r="I16" s="11"/>
      <c r="J16" s="13"/>
      <c r="K16" s="29"/>
      <c r="L16" s="8">
        <f t="shared" si="3"/>
        <v>9.1999999999999998E-3</v>
      </c>
      <c r="M16" s="32">
        <v>4.0000000000000001E-3</v>
      </c>
      <c r="N16" s="40">
        <v>9.1999999999999998E-3</v>
      </c>
    </row>
    <row r="17" spans="1:14" x14ac:dyDescent="0.25">
      <c r="A17" s="31" t="s">
        <v>140</v>
      </c>
      <c r="B17" s="27">
        <f t="shared" si="0"/>
        <v>1.1000000000000001</v>
      </c>
      <c r="C17" s="13">
        <v>2.2999999999999998</v>
      </c>
      <c r="D17" s="5" t="str">
        <f t="shared" si="1"/>
        <v>1,1x2,3</v>
      </c>
      <c r="E17" s="28">
        <f t="shared" si="2"/>
        <v>6.8</v>
      </c>
      <c r="F17" s="11">
        <v>1</v>
      </c>
      <c r="G17" s="13">
        <v>1.1000000000000001</v>
      </c>
      <c r="H17" s="29" t="s">
        <v>159</v>
      </c>
      <c r="I17" s="11"/>
      <c r="J17" s="13"/>
      <c r="K17" s="29"/>
      <c r="L17" s="8">
        <f t="shared" si="3"/>
        <v>9.1999999999999998E-3</v>
      </c>
      <c r="M17" s="32">
        <v>4.0000000000000001E-3</v>
      </c>
      <c r="N17" s="40">
        <v>9.1999999999999998E-3</v>
      </c>
    </row>
    <row r="18" spans="1:14" x14ac:dyDescent="0.25">
      <c r="A18" s="31" t="s">
        <v>141</v>
      </c>
      <c r="B18" s="27">
        <f t="shared" si="0"/>
        <v>1.04</v>
      </c>
      <c r="C18" s="13">
        <v>2.2999999999999998</v>
      </c>
      <c r="D18" s="5" t="str">
        <f t="shared" si="1"/>
        <v>1,04x2,3</v>
      </c>
      <c r="E18" s="28">
        <f t="shared" si="2"/>
        <v>6.68</v>
      </c>
      <c r="F18" s="11">
        <v>1</v>
      </c>
      <c r="G18" s="13">
        <v>1.04</v>
      </c>
      <c r="H18" s="29" t="s">
        <v>159</v>
      </c>
      <c r="I18" s="11"/>
      <c r="J18" s="13"/>
      <c r="K18" s="29"/>
      <c r="L18" s="8">
        <f t="shared" si="3"/>
        <v>9.1999999999999998E-3</v>
      </c>
      <c r="M18" s="32">
        <v>4.0000000000000001E-3</v>
      </c>
      <c r="N18" s="40">
        <v>9.1999999999999998E-3</v>
      </c>
    </row>
    <row r="19" spans="1:14" x14ac:dyDescent="0.25">
      <c r="A19" s="31" t="s">
        <v>142</v>
      </c>
      <c r="B19" s="27">
        <f t="shared" si="0"/>
        <v>1.04</v>
      </c>
      <c r="C19" s="13">
        <v>2.2999999999999998</v>
      </c>
      <c r="D19" s="5" t="str">
        <f t="shared" si="1"/>
        <v>1,04x2,3</v>
      </c>
      <c r="E19" s="28">
        <f t="shared" si="2"/>
        <v>6.68</v>
      </c>
      <c r="F19" s="11">
        <v>1</v>
      </c>
      <c r="G19" s="13">
        <v>1.04</v>
      </c>
      <c r="H19" s="29" t="s">
        <v>159</v>
      </c>
      <c r="I19" s="11"/>
      <c r="J19" s="13"/>
      <c r="K19" s="29"/>
      <c r="L19" s="8">
        <f t="shared" si="3"/>
        <v>9.1999999999999998E-3</v>
      </c>
      <c r="M19" s="32">
        <v>4.0000000000000001E-3</v>
      </c>
      <c r="N19" s="40">
        <v>9.1999999999999998E-3</v>
      </c>
    </row>
    <row r="20" spans="1:14" x14ac:dyDescent="0.25">
      <c r="A20" s="31" t="s">
        <v>143</v>
      </c>
      <c r="B20" s="27">
        <f t="shared" si="0"/>
        <v>1.3</v>
      </c>
      <c r="C20" s="13">
        <v>2.2999999999999998</v>
      </c>
      <c r="D20" s="5" t="str">
        <f t="shared" si="1"/>
        <v>1,3x2,3</v>
      </c>
      <c r="E20" s="28">
        <f t="shared" si="2"/>
        <v>7.1999999999999993</v>
      </c>
      <c r="F20" s="11">
        <v>1</v>
      </c>
      <c r="G20" s="13">
        <v>0.9</v>
      </c>
      <c r="H20" s="29" t="s">
        <v>159</v>
      </c>
      <c r="I20" s="11">
        <v>1</v>
      </c>
      <c r="J20" s="13">
        <v>0.4</v>
      </c>
      <c r="K20" s="29" t="s">
        <v>159</v>
      </c>
      <c r="L20" s="8">
        <f t="shared" si="3"/>
        <v>1.9E-2</v>
      </c>
      <c r="M20" s="32">
        <v>1.1200000000000002E-2</v>
      </c>
      <c r="N20" s="40">
        <v>1.9E-2</v>
      </c>
    </row>
    <row r="21" spans="1:14" x14ac:dyDescent="0.25">
      <c r="A21" s="31" t="s">
        <v>144</v>
      </c>
      <c r="B21" s="27">
        <f t="shared" si="0"/>
        <v>1.04</v>
      </c>
      <c r="C21" s="13">
        <v>2.2999999999999998</v>
      </c>
      <c r="D21" s="5" t="str">
        <f t="shared" si="1"/>
        <v>1,04x2,3</v>
      </c>
      <c r="E21" s="28">
        <f t="shared" si="2"/>
        <v>6.68</v>
      </c>
      <c r="F21" s="11">
        <v>1</v>
      </c>
      <c r="G21" s="13">
        <v>1.04</v>
      </c>
      <c r="H21" s="29" t="s">
        <v>159</v>
      </c>
      <c r="I21" s="11"/>
      <c r="J21" s="13"/>
      <c r="K21" s="29"/>
      <c r="L21" s="8">
        <f t="shared" si="3"/>
        <v>9.1999999999999998E-3</v>
      </c>
      <c r="M21" s="32">
        <v>4.0000000000000001E-3</v>
      </c>
      <c r="N21" s="40">
        <v>9.1999999999999998E-3</v>
      </c>
    </row>
    <row r="22" spans="1:14" x14ac:dyDescent="0.25">
      <c r="A22" s="31" t="s">
        <v>145</v>
      </c>
      <c r="B22" s="27">
        <f t="shared" si="0"/>
        <v>1.1000000000000001</v>
      </c>
      <c r="C22" s="13">
        <v>2.2999999999999998</v>
      </c>
      <c r="D22" s="5" t="str">
        <f t="shared" si="1"/>
        <v>1,1x2,3</v>
      </c>
      <c r="E22" s="28">
        <f t="shared" si="2"/>
        <v>6.8</v>
      </c>
      <c r="F22" s="11">
        <v>1</v>
      </c>
      <c r="G22" s="13">
        <v>0.9</v>
      </c>
      <c r="H22" s="29" t="s">
        <v>159</v>
      </c>
      <c r="I22" s="11">
        <v>1</v>
      </c>
      <c r="J22" s="13">
        <v>0.2</v>
      </c>
      <c r="K22" s="29" t="s">
        <v>158</v>
      </c>
      <c r="L22" s="8">
        <f t="shared" si="3"/>
        <v>0.01</v>
      </c>
      <c r="M22" s="32">
        <v>4.8000000000000004E-3</v>
      </c>
      <c r="N22" s="40">
        <v>0.01</v>
      </c>
    </row>
    <row r="23" spans="1:14" x14ac:dyDescent="0.25">
      <c r="A23" s="31" t="s">
        <v>146</v>
      </c>
      <c r="B23" s="27">
        <f t="shared" si="0"/>
        <v>1.2</v>
      </c>
      <c r="C23" s="13">
        <v>2.2999999999999998</v>
      </c>
      <c r="D23" s="5" t="str">
        <f t="shared" si="1"/>
        <v>1,2x2,3</v>
      </c>
      <c r="E23" s="28">
        <f t="shared" si="2"/>
        <v>7</v>
      </c>
      <c r="F23" s="11">
        <v>1</v>
      </c>
      <c r="G23" s="13">
        <v>0.9</v>
      </c>
      <c r="H23" s="29" t="s">
        <v>159</v>
      </c>
      <c r="I23" s="11">
        <v>1</v>
      </c>
      <c r="J23" s="13">
        <v>0.3</v>
      </c>
      <c r="K23" s="29" t="s">
        <v>158</v>
      </c>
      <c r="L23" s="8">
        <f t="shared" si="3"/>
        <v>1.04E-2</v>
      </c>
      <c r="M23" s="32">
        <v>5.1999999999999998E-3</v>
      </c>
      <c r="N23" s="40">
        <v>1.04E-2</v>
      </c>
    </row>
    <row r="24" spans="1:14" x14ac:dyDescent="0.25">
      <c r="A24" s="31" t="s">
        <v>147</v>
      </c>
      <c r="B24" s="27">
        <f t="shared" si="0"/>
        <v>0.9</v>
      </c>
      <c r="C24" s="13">
        <v>2.2999999999999998</v>
      </c>
      <c r="D24" s="5" t="str">
        <f t="shared" si="1"/>
        <v>0,9x2,3</v>
      </c>
      <c r="E24" s="28">
        <f t="shared" si="2"/>
        <v>6.3999999999999995</v>
      </c>
      <c r="F24" s="11">
        <v>1</v>
      </c>
      <c r="G24" s="13">
        <v>0.9</v>
      </c>
      <c r="H24" s="29" t="s">
        <v>159</v>
      </c>
      <c r="I24" s="11"/>
      <c r="J24" s="13"/>
      <c r="K24" s="29"/>
      <c r="L24" s="8">
        <f t="shared" si="3"/>
        <v>9.1999999999999998E-3</v>
      </c>
      <c r="M24" s="32">
        <v>4.0000000000000001E-3</v>
      </c>
      <c r="N24" s="40">
        <v>9.1999999999999998E-3</v>
      </c>
    </row>
    <row r="25" spans="1:14" x14ac:dyDescent="0.25">
      <c r="A25" s="31" t="s">
        <v>148</v>
      </c>
      <c r="B25" s="27">
        <f t="shared" si="0"/>
        <v>1</v>
      </c>
      <c r="C25" s="13">
        <v>2.2999999999999998</v>
      </c>
      <c r="D25" s="5" t="str">
        <f t="shared" si="1"/>
        <v>1x2,3</v>
      </c>
      <c r="E25" s="28">
        <f t="shared" si="2"/>
        <v>6.6</v>
      </c>
      <c r="F25" s="11">
        <v>1</v>
      </c>
      <c r="G25" s="13">
        <v>1</v>
      </c>
      <c r="H25" s="29" t="s">
        <v>159</v>
      </c>
      <c r="I25" s="11"/>
      <c r="J25" s="13"/>
      <c r="K25" s="29"/>
      <c r="L25" s="8">
        <f t="shared" si="3"/>
        <v>9.1999999999999998E-3</v>
      </c>
      <c r="M25" s="32">
        <v>4.0000000000000001E-3</v>
      </c>
      <c r="N25" s="40">
        <v>9.1999999999999998E-3</v>
      </c>
    </row>
    <row r="26" spans="1:14" x14ac:dyDescent="0.25">
      <c r="A26" s="31" t="s">
        <v>149</v>
      </c>
      <c r="B26" s="27">
        <f t="shared" si="0"/>
        <v>0.9</v>
      </c>
      <c r="C26" s="13">
        <v>2</v>
      </c>
      <c r="D26" s="5" t="str">
        <f t="shared" si="1"/>
        <v>0,9x2</v>
      </c>
      <c r="E26" s="28">
        <f t="shared" si="2"/>
        <v>5.8</v>
      </c>
      <c r="F26" s="11">
        <v>1</v>
      </c>
      <c r="G26" s="13">
        <v>0.9</v>
      </c>
      <c r="H26" s="29" t="s">
        <v>159</v>
      </c>
      <c r="I26" s="11"/>
      <c r="J26" s="13"/>
      <c r="K26" s="29"/>
      <c r="L26" s="8">
        <f t="shared" si="3"/>
        <v>8.0000000000000002E-3</v>
      </c>
      <c r="M26" s="32">
        <v>4.0000000000000001E-3</v>
      </c>
      <c r="N26" s="40">
        <v>8.0000000000000002E-3</v>
      </c>
    </row>
    <row r="27" spans="1:14" x14ac:dyDescent="0.25">
      <c r="A27" s="31" t="s">
        <v>150</v>
      </c>
      <c r="B27" s="27">
        <f t="shared" si="0"/>
        <v>1.2</v>
      </c>
      <c r="C27" s="13">
        <v>2.2999999999999998</v>
      </c>
      <c r="D27" s="5" t="str">
        <f t="shared" si="1"/>
        <v>1,2x2,3</v>
      </c>
      <c r="E27" s="28">
        <f t="shared" si="2"/>
        <v>7</v>
      </c>
      <c r="F27" s="11">
        <v>1</v>
      </c>
      <c r="G27" s="13">
        <v>0.9</v>
      </c>
      <c r="H27" s="29" t="s">
        <v>159</v>
      </c>
      <c r="I27" s="11">
        <v>1</v>
      </c>
      <c r="J27" s="13">
        <v>0.3</v>
      </c>
      <c r="K27" s="29" t="s">
        <v>158</v>
      </c>
      <c r="L27" s="8">
        <f t="shared" si="3"/>
        <v>1.04E-2</v>
      </c>
      <c r="M27" s="32">
        <v>5.1999999999999998E-3</v>
      </c>
      <c r="N27" s="40">
        <v>1.04E-2</v>
      </c>
    </row>
    <row r="28" spans="1:14" x14ac:dyDescent="0.25">
      <c r="A28" s="31" t="s">
        <v>151</v>
      </c>
      <c r="B28" s="27">
        <f t="shared" si="0"/>
        <v>1.4</v>
      </c>
      <c r="C28" s="13">
        <v>2.2999999999999998</v>
      </c>
      <c r="D28" s="5" t="str">
        <f t="shared" si="1"/>
        <v>1,4x2,3</v>
      </c>
      <c r="E28" s="28">
        <f t="shared" si="2"/>
        <v>7.3999999999999995</v>
      </c>
      <c r="F28" s="11">
        <v>1</v>
      </c>
      <c r="G28" s="13">
        <v>0.9</v>
      </c>
      <c r="H28" s="29" t="s">
        <v>159</v>
      </c>
      <c r="I28" s="11">
        <v>1</v>
      </c>
      <c r="J28" s="13">
        <v>0.5</v>
      </c>
      <c r="K28" s="29" t="s">
        <v>158</v>
      </c>
      <c r="L28" s="8">
        <f t="shared" si="3"/>
        <v>1.12E-2</v>
      </c>
      <c r="M28" s="32">
        <v>6.0000000000000001E-3</v>
      </c>
      <c r="N28" s="40">
        <v>1.12E-2</v>
      </c>
    </row>
    <row r="29" spans="1:14" x14ac:dyDescent="0.25">
      <c r="A29" s="31" t="s">
        <v>152</v>
      </c>
      <c r="B29" s="27">
        <f t="shared" si="0"/>
        <v>1.4</v>
      </c>
      <c r="C29" s="13">
        <v>2</v>
      </c>
      <c r="D29" s="5" t="str">
        <f t="shared" si="1"/>
        <v>1,4x2</v>
      </c>
      <c r="E29" s="28">
        <f t="shared" si="2"/>
        <v>6.8</v>
      </c>
      <c r="F29" s="11">
        <v>1</v>
      </c>
      <c r="G29" s="13">
        <v>1.4</v>
      </c>
      <c r="H29" s="29" t="s">
        <v>159</v>
      </c>
      <c r="I29" s="11"/>
      <c r="J29" s="13"/>
      <c r="K29" s="29"/>
      <c r="L29" s="8">
        <f t="shared" si="3"/>
        <v>8.0000000000000002E-3</v>
      </c>
      <c r="M29" s="32">
        <v>4.0000000000000001E-3</v>
      </c>
      <c r="N29" s="40">
        <v>8.0000000000000002E-3</v>
      </c>
    </row>
    <row r="30" spans="1:14" x14ac:dyDescent="0.25">
      <c r="A30" s="31" t="s">
        <v>153</v>
      </c>
      <c r="B30" s="27">
        <f t="shared" si="0"/>
        <v>1.4</v>
      </c>
      <c r="C30" s="13">
        <v>2.25</v>
      </c>
      <c r="D30" s="5" t="str">
        <f t="shared" si="1"/>
        <v>1,4x2,25</v>
      </c>
      <c r="E30" s="28">
        <f t="shared" si="2"/>
        <v>7.3</v>
      </c>
      <c r="F30" s="11">
        <v>1</v>
      </c>
      <c r="G30" s="13">
        <v>1.4</v>
      </c>
      <c r="H30" s="29" t="s">
        <v>159</v>
      </c>
      <c r="I30" s="11"/>
      <c r="J30" s="13"/>
      <c r="K30" s="29"/>
      <c r="L30" s="8">
        <f t="shared" si="3"/>
        <v>9.0000000000000011E-3</v>
      </c>
      <c r="M30" s="32">
        <v>4.0000000000000001E-3</v>
      </c>
      <c r="N30" s="40">
        <v>9.0000000000000011E-3</v>
      </c>
    </row>
    <row r="31" spans="1:14" x14ac:dyDescent="0.25">
      <c r="A31" s="31" t="s">
        <v>155</v>
      </c>
      <c r="B31" s="27">
        <f t="shared" si="0"/>
        <v>1.3</v>
      </c>
      <c r="C31" s="13">
        <v>2</v>
      </c>
      <c r="D31" s="5" t="str">
        <f t="shared" ref="D31" si="4">CONCATENATE(B31,"x",C31)</f>
        <v>1,3x2</v>
      </c>
      <c r="E31" s="28">
        <f t="shared" ref="E31" si="5">(B31*2)+(C31*2)</f>
        <v>6.6</v>
      </c>
      <c r="F31" s="11">
        <v>1</v>
      </c>
      <c r="G31" s="13">
        <v>1.3</v>
      </c>
      <c r="H31" s="29" t="s">
        <v>159</v>
      </c>
      <c r="I31" s="11"/>
      <c r="J31" s="13"/>
      <c r="K31" s="29"/>
      <c r="L31" s="8">
        <f t="shared" si="3"/>
        <v>8.0000000000000002E-3</v>
      </c>
      <c r="M31" s="32">
        <v>4.0000000000000001E-3</v>
      </c>
      <c r="N31" s="40">
        <v>8.0000000000000002E-3</v>
      </c>
    </row>
  </sheetData>
  <mergeCells count="2">
    <mergeCell ref="A1:E1"/>
    <mergeCell ref="F1:M1"/>
  </mergeCells>
  <dataValidations disablePrompts="1" count="1">
    <dataValidation type="list" allowBlank="1" showInputMessage="1" showErrorMessage="1" sqref="H3:H31 K3:K31" xr:uid="{736809D6-DB24-45B3-A5DA-E33D0443BB89}">
      <formula1>$P$3:$P$4</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0D0B-D0D0-45BA-9898-A9DF72D871D7}">
  <dimension ref="A3:I17"/>
  <sheetViews>
    <sheetView zoomScale="70" zoomScaleNormal="70" workbookViewId="0">
      <selection activeCell="B9" sqref="B9"/>
    </sheetView>
  </sheetViews>
  <sheetFormatPr defaultRowHeight="15" x14ac:dyDescent="0.25"/>
  <cols>
    <col min="1" max="1" width="25.5703125" customWidth="1"/>
    <col min="6" max="6" width="28.140625" bestFit="1" customWidth="1"/>
    <col min="9" max="9" width="30.7109375" bestFit="1" customWidth="1"/>
  </cols>
  <sheetData>
    <row r="3" spans="1:9" x14ac:dyDescent="0.25">
      <c r="F3" t="s">
        <v>91</v>
      </c>
      <c r="G3" s="15">
        <f>+B7</f>
        <v>28.9</v>
      </c>
      <c r="H3" t="s">
        <v>90</v>
      </c>
    </row>
    <row r="4" spans="1:9" x14ac:dyDescent="0.25">
      <c r="A4" s="9" t="s">
        <v>79</v>
      </c>
      <c r="B4" s="11" t="s">
        <v>78</v>
      </c>
      <c r="F4" t="s">
        <v>92</v>
      </c>
      <c r="G4" s="11">
        <v>22.5</v>
      </c>
      <c r="H4" t="s">
        <v>90</v>
      </c>
      <c r="I4" t="s">
        <v>96</v>
      </c>
    </row>
    <row r="5" spans="1:9" x14ac:dyDescent="0.25">
      <c r="A5" s="9" t="s">
        <v>80</v>
      </c>
      <c r="B5" s="11">
        <v>840</v>
      </c>
      <c r="F5" t="s">
        <v>97</v>
      </c>
      <c r="G5" s="14">
        <v>0.7</v>
      </c>
    </row>
    <row r="6" spans="1:9" x14ac:dyDescent="0.25">
      <c r="A6" s="9" t="s">
        <v>86</v>
      </c>
      <c r="B6" s="12" cm="1">
        <f t="array" ref="B6">+[1]!GetStandardAtmPressure(B5)/1000</f>
        <v>91.632524305230234</v>
      </c>
      <c r="F6" t="s">
        <v>93</v>
      </c>
      <c r="G6" s="15">
        <f>+G3-G4</f>
        <v>6.3999999999999986</v>
      </c>
      <c r="H6" t="s">
        <v>90</v>
      </c>
      <c r="I6" t="s">
        <v>94</v>
      </c>
    </row>
    <row r="7" spans="1:9" x14ac:dyDescent="0.25">
      <c r="A7" s="10" t="s">
        <v>81</v>
      </c>
      <c r="B7" s="13">
        <v>28.9</v>
      </c>
      <c r="G7" s="5"/>
    </row>
    <row r="8" spans="1:9" x14ac:dyDescent="0.25">
      <c r="A8" s="10" t="s">
        <v>83</v>
      </c>
      <c r="B8" s="13">
        <v>14.6</v>
      </c>
      <c r="F8" t="s">
        <v>93</v>
      </c>
      <c r="G8" s="16">
        <f>$G$5*G6</f>
        <v>4.4799999999999986</v>
      </c>
      <c r="H8" t="s">
        <v>90</v>
      </c>
      <c r="I8" t="s">
        <v>95</v>
      </c>
    </row>
    <row r="9" spans="1:9" x14ac:dyDescent="0.25">
      <c r="A9" s="10" t="s">
        <v>87</v>
      </c>
      <c r="B9" s="2" cm="1">
        <f t="array" ref="B9">+[1]!GetRelHumFromTWetBulb(B7,B8,$B$6*1000)</f>
        <v>0.2050955767102666</v>
      </c>
      <c r="F9" t="s">
        <v>89</v>
      </c>
      <c r="G9" s="15">
        <f>+G8+G4</f>
        <v>26.979999999999997</v>
      </c>
      <c r="H9" t="s">
        <v>90</v>
      </c>
      <c r="I9" t="s">
        <v>99</v>
      </c>
    </row>
    <row r="10" spans="1:9" x14ac:dyDescent="0.25">
      <c r="A10" s="10" t="s">
        <v>88</v>
      </c>
      <c r="B10" s="12" cm="1">
        <f t="array" ref="B10">+[1]!GetTDewPointFromTWetBulb(B7,B8,$B$6*1000)</f>
        <v>4.0783425849272508</v>
      </c>
    </row>
    <row r="11" spans="1:9" x14ac:dyDescent="0.25">
      <c r="A11" t="s">
        <v>82</v>
      </c>
      <c r="B11" s="13">
        <v>14.8</v>
      </c>
      <c r="F11" t="s">
        <v>98</v>
      </c>
      <c r="G11" s="12">
        <f>+B12</f>
        <v>-6.9</v>
      </c>
      <c r="H11" t="s">
        <v>90</v>
      </c>
    </row>
    <row r="12" spans="1:9" x14ac:dyDescent="0.25">
      <c r="A12" s="10" t="s">
        <v>85</v>
      </c>
      <c r="B12" s="13">
        <v>-6.9</v>
      </c>
      <c r="F12" t="s">
        <v>100</v>
      </c>
      <c r="G12" s="11">
        <v>21.5</v>
      </c>
      <c r="H12" t="s">
        <v>90</v>
      </c>
      <c r="I12" t="s">
        <v>96</v>
      </c>
    </row>
    <row r="13" spans="1:9" x14ac:dyDescent="0.25">
      <c r="A13" s="10" t="s">
        <v>84</v>
      </c>
      <c r="B13" s="13">
        <v>-8</v>
      </c>
      <c r="F13" t="s">
        <v>101</v>
      </c>
      <c r="G13" s="14">
        <v>0.7</v>
      </c>
    </row>
    <row r="14" spans="1:9" x14ac:dyDescent="0.25">
      <c r="A14" s="10" t="s">
        <v>87</v>
      </c>
      <c r="B14" s="2" cm="1">
        <f t="array" ref="B14">+[1]!GetRelHumFromTWetBulb(B12,B13,$B$6*1000)</f>
        <v>0.71955103673596954</v>
      </c>
      <c r="F14" t="s">
        <v>93</v>
      </c>
      <c r="G14" s="15">
        <f>G12-G11</f>
        <v>28.4</v>
      </c>
      <c r="H14" t="s">
        <v>90</v>
      </c>
      <c r="I14" t="s">
        <v>102</v>
      </c>
    </row>
    <row r="15" spans="1:9" x14ac:dyDescent="0.25">
      <c r="A15" s="10" t="s">
        <v>88</v>
      </c>
      <c r="B15" s="12" cm="1">
        <f t="array" ref="B15">+[1]!GetTDewPointFromTWetBulb(B12,B13,$B$6*1000)</f>
        <v>-10.640703083099121</v>
      </c>
      <c r="G15" s="5"/>
    </row>
    <row r="16" spans="1:9" x14ac:dyDescent="0.25">
      <c r="F16" t="s">
        <v>93</v>
      </c>
      <c r="G16" s="16">
        <f>$G$13*G14</f>
        <v>19.88</v>
      </c>
      <c r="H16" t="s">
        <v>90</v>
      </c>
      <c r="I16" t="s">
        <v>103</v>
      </c>
    </row>
    <row r="17" spans="6:9" x14ac:dyDescent="0.25">
      <c r="F17" t="s">
        <v>89</v>
      </c>
      <c r="G17" s="15">
        <f>+G12-G16</f>
        <v>1.620000000000001</v>
      </c>
      <c r="H17" t="s">
        <v>90</v>
      </c>
      <c r="I17" t="s">
        <v>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Locales</vt:lpstr>
      <vt:lpstr>Infiltración</vt:lpstr>
      <vt:lpstr>Resumen Infiltración</vt:lpstr>
      <vt:lpstr>Aberturas</vt:lpstr>
      <vt:lpstr>CDI-CDE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Martin Barral</dc:creator>
  <cp:lastModifiedBy>Pablo Martin Barral</cp:lastModifiedBy>
  <dcterms:created xsi:type="dcterms:W3CDTF">2023-08-16T13:38:34Z</dcterms:created>
  <dcterms:modified xsi:type="dcterms:W3CDTF">2023-10-25T16:16:37Z</dcterms:modified>
</cp:coreProperties>
</file>