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or Branch\Documents\2020 FISH458\Lectures\"/>
    </mc:Choice>
  </mc:AlternateContent>
  <bookViews>
    <workbookView xWindow="0" yWindow="0" windowWidth="23040" windowHeight="8568"/>
  </bookViews>
  <sheets>
    <sheet name="Lognormal NLL" sheetId="1" r:id="rId1"/>
    <sheet name="AIC table" sheetId="3" r:id="rId2"/>
    <sheet name="Equations" sheetId="2" r:id="rId3"/>
  </sheets>
  <definedNames>
    <definedName name="solver_adj" localSheetId="0" hidden="1">'Lognormal NLL'!$Q$6:$Q$7,'Lognormal NLL'!$Q$9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'Lognormal NLL'!$Q$12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C22" i="3"/>
  <c r="C21" i="3"/>
  <c r="C20" i="3"/>
  <c r="C12" i="3" l="1"/>
  <c r="C13" i="3"/>
  <c r="C14" i="3"/>
  <c r="C15" i="3"/>
  <c r="C16" i="3"/>
  <c r="Y62" i="1"/>
  <c r="X62" i="1"/>
  <c r="W62" i="1"/>
  <c r="V62" i="1"/>
  <c r="U62" i="1"/>
  <c r="C4" i="3"/>
  <c r="C5" i="3"/>
  <c r="C6" i="3"/>
  <c r="C7" i="3"/>
  <c r="C8" i="3"/>
  <c r="D4" i="3"/>
  <c r="D5" i="3" s="1"/>
  <c r="D6" i="3" s="1"/>
  <c r="D7" i="3" s="1"/>
  <c r="D8" i="3" s="1"/>
  <c r="F8" i="3" s="1"/>
  <c r="E4" i="3"/>
  <c r="E5" i="3"/>
  <c r="E6" i="3"/>
  <c r="E7" i="3"/>
  <c r="E8" i="3"/>
  <c r="F5" i="3" l="1"/>
  <c r="F7" i="3"/>
  <c r="F4" i="3"/>
  <c r="F6" i="3"/>
  <c r="G6" i="3" s="1"/>
  <c r="H6" i="3" s="1"/>
  <c r="U17" i="1"/>
  <c r="V17" i="1"/>
  <c r="W17" i="1"/>
  <c r="X17" i="1"/>
  <c r="Y17" i="1"/>
  <c r="U18" i="1"/>
  <c r="V18" i="1"/>
  <c r="W18" i="1"/>
  <c r="X18" i="1"/>
  <c r="Y18" i="1"/>
  <c r="U19" i="1"/>
  <c r="V19" i="1"/>
  <c r="W19" i="1"/>
  <c r="X19" i="1"/>
  <c r="Y19" i="1"/>
  <c r="U20" i="1"/>
  <c r="V20" i="1"/>
  <c r="W20" i="1"/>
  <c r="X20" i="1"/>
  <c r="Y20" i="1"/>
  <c r="U21" i="1"/>
  <c r="V21" i="1"/>
  <c r="W21" i="1"/>
  <c r="X21" i="1"/>
  <c r="Y21" i="1"/>
  <c r="U22" i="1"/>
  <c r="V22" i="1"/>
  <c r="W22" i="1"/>
  <c r="X22" i="1"/>
  <c r="Y22" i="1"/>
  <c r="U23" i="1"/>
  <c r="V23" i="1"/>
  <c r="W23" i="1"/>
  <c r="X23" i="1"/>
  <c r="Y23" i="1"/>
  <c r="U24" i="1"/>
  <c r="V24" i="1"/>
  <c r="W24" i="1"/>
  <c r="X24" i="1"/>
  <c r="Y24" i="1"/>
  <c r="U25" i="1"/>
  <c r="V25" i="1"/>
  <c r="W25" i="1"/>
  <c r="X25" i="1"/>
  <c r="Y25" i="1"/>
  <c r="U26" i="1"/>
  <c r="V26" i="1"/>
  <c r="W26" i="1"/>
  <c r="X26" i="1"/>
  <c r="Y26" i="1"/>
  <c r="U27" i="1"/>
  <c r="V27" i="1"/>
  <c r="W27" i="1"/>
  <c r="X27" i="1"/>
  <c r="Y27" i="1"/>
  <c r="U28" i="1"/>
  <c r="V28" i="1"/>
  <c r="W28" i="1"/>
  <c r="X28" i="1"/>
  <c r="Y28" i="1"/>
  <c r="U29" i="1"/>
  <c r="V29" i="1"/>
  <c r="W29" i="1"/>
  <c r="X29" i="1"/>
  <c r="Y29" i="1"/>
  <c r="U30" i="1"/>
  <c r="V30" i="1"/>
  <c r="W30" i="1"/>
  <c r="X30" i="1"/>
  <c r="Y30" i="1"/>
  <c r="U31" i="1"/>
  <c r="V31" i="1"/>
  <c r="W31" i="1"/>
  <c r="X31" i="1"/>
  <c r="Y31" i="1"/>
  <c r="U32" i="1"/>
  <c r="V32" i="1"/>
  <c r="W32" i="1"/>
  <c r="X32" i="1"/>
  <c r="Y32" i="1"/>
  <c r="U33" i="1"/>
  <c r="V33" i="1"/>
  <c r="W33" i="1"/>
  <c r="X33" i="1"/>
  <c r="Y33" i="1"/>
  <c r="U34" i="1"/>
  <c r="V34" i="1"/>
  <c r="W34" i="1"/>
  <c r="X34" i="1"/>
  <c r="Y34" i="1"/>
  <c r="U35" i="1"/>
  <c r="V35" i="1"/>
  <c r="W35" i="1"/>
  <c r="X35" i="1"/>
  <c r="Y35" i="1"/>
  <c r="U36" i="1"/>
  <c r="V36" i="1"/>
  <c r="W36" i="1"/>
  <c r="X36" i="1"/>
  <c r="Y36" i="1"/>
  <c r="U37" i="1"/>
  <c r="V37" i="1"/>
  <c r="W37" i="1"/>
  <c r="X37" i="1"/>
  <c r="Y37" i="1"/>
  <c r="U38" i="1"/>
  <c r="V38" i="1"/>
  <c r="W38" i="1"/>
  <c r="X38" i="1"/>
  <c r="Y38" i="1"/>
  <c r="U39" i="1"/>
  <c r="V39" i="1"/>
  <c r="W39" i="1"/>
  <c r="X39" i="1"/>
  <c r="Y39" i="1"/>
  <c r="U40" i="1"/>
  <c r="V40" i="1"/>
  <c r="W40" i="1"/>
  <c r="X40" i="1"/>
  <c r="Y40" i="1"/>
  <c r="U41" i="1"/>
  <c r="V41" i="1"/>
  <c r="W41" i="1"/>
  <c r="X41" i="1"/>
  <c r="Y41" i="1"/>
  <c r="U42" i="1"/>
  <c r="V42" i="1"/>
  <c r="W42" i="1"/>
  <c r="X42" i="1"/>
  <c r="Y42" i="1"/>
  <c r="U43" i="1"/>
  <c r="V43" i="1"/>
  <c r="W43" i="1"/>
  <c r="X43" i="1"/>
  <c r="Y43" i="1"/>
  <c r="U44" i="1"/>
  <c r="V44" i="1"/>
  <c r="W44" i="1"/>
  <c r="X44" i="1"/>
  <c r="Y44" i="1"/>
  <c r="U45" i="1"/>
  <c r="V45" i="1"/>
  <c r="W45" i="1"/>
  <c r="X45" i="1"/>
  <c r="Y45" i="1"/>
  <c r="U46" i="1"/>
  <c r="V46" i="1"/>
  <c r="W46" i="1"/>
  <c r="X46" i="1"/>
  <c r="Y46" i="1"/>
  <c r="U47" i="1"/>
  <c r="V47" i="1"/>
  <c r="W47" i="1"/>
  <c r="X47" i="1"/>
  <c r="Y47" i="1"/>
  <c r="U48" i="1"/>
  <c r="V48" i="1"/>
  <c r="W48" i="1"/>
  <c r="X48" i="1"/>
  <c r="Y48" i="1"/>
  <c r="U49" i="1"/>
  <c r="V49" i="1"/>
  <c r="W49" i="1"/>
  <c r="X49" i="1"/>
  <c r="Y49" i="1"/>
  <c r="U50" i="1"/>
  <c r="V50" i="1"/>
  <c r="W50" i="1"/>
  <c r="X50" i="1"/>
  <c r="Y50" i="1"/>
  <c r="U51" i="1"/>
  <c r="V51" i="1"/>
  <c r="W51" i="1"/>
  <c r="X51" i="1"/>
  <c r="Y51" i="1"/>
  <c r="U52" i="1"/>
  <c r="V52" i="1"/>
  <c r="W52" i="1"/>
  <c r="X52" i="1"/>
  <c r="Y52" i="1"/>
  <c r="U53" i="1"/>
  <c r="V53" i="1"/>
  <c r="W53" i="1"/>
  <c r="X53" i="1"/>
  <c r="Y53" i="1"/>
  <c r="U54" i="1"/>
  <c r="V54" i="1"/>
  <c r="W54" i="1"/>
  <c r="X54" i="1"/>
  <c r="Y54" i="1"/>
  <c r="U55" i="1"/>
  <c r="V55" i="1"/>
  <c r="W55" i="1"/>
  <c r="X55" i="1"/>
  <c r="Y55" i="1"/>
  <c r="U56" i="1"/>
  <c r="V56" i="1"/>
  <c r="W56" i="1"/>
  <c r="X56" i="1"/>
  <c r="Y56" i="1"/>
  <c r="U57" i="1"/>
  <c r="V57" i="1"/>
  <c r="W57" i="1"/>
  <c r="X57" i="1"/>
  <c r="Y57" i="1"/>
  <c r="U58" i="1"/>
  <c r="V58" i="1"/>
  <c r="W58" i="1"/>
  <c r="X58" i="1"/>
  <c r="Y58" i="1"/>
  <c r="U59" i="1"/>
  <c r="V59" i="1"/>
  <c r="W59" i="1"/>
  <c r="X59" i="1"/>
  <c r="Y59" i="1"/>
  <c r="U60" i="1"/>
  <c r="V60" i="1"/>
  <c r="W60" i="1"/>
  <c r="X60" i="1"/>
  <c r="Y60" i="1"/>
  <c r="Y16" i="1"/>
  <c r="X16" i="1"/>
  <c r="W16" i="1"/>
  <c r="V16" i="1"/>
  <c r="U16" i="1"/>
  <c r="Q11" i="1"/>
  <c r="N11" i="1"/>
  <c r="K11" i="1"/>
  <c r="H11" i="1"/>
  <c r="E11" i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M60" i="1"/>
  <c r="N60" i="1" s="1"/>
  <c r="M59" i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N59" i="1"/>
  <c r="N52" i="1"/>
  <c r="N40" i="1"/>
  <c r="J60" i="1"/>
  <c r="J59" i="1"/>
  <c r="K59" i="1" s="1"/>
  <c r="J58" i="1"/>
  <c r="J57" i="1"/>
  <c r="J56" i="1"/>
  <c r="J55" i="1"/>
  <c r="K55" i="1" s="1"/>
  <c r="J54" i="1"/>
  <c r="K54" i="1" s="1"/>
  <c r="J53" i="1"/>
  <c r="K53" i="1" s="1"/>
  <c r="J52" i="1"/>
  <c r="J51" i="1"/>
  <c r="K51" i="1" s="1"/>
  <c r="J50" i="1"/>
  <c r="K50" i="1" s="1"/>
  <c r="J49" i="1"/>
  <c r="K49" i="1" s="1"/>
  <c r="J48" i="1"/>
  <c r="J47" i="1"/>
  <c r="K47" i="1" s="1"/>
  <c r="J46" i="1"/>
  <c r="K46" i="1" s="1"/>
  <c r="J45" i="1"/>
  <c r="K45" i="1" s="1"/>
  <c r="J44" i="1"/>
  <c r="J43" i="1"/>
  <c r="K43" i="1" s="1"/>
  <c r="J42" i="1"/>
  <c r="K42" i="1" s="1"/>
  <c r="J41" i="1"/>
  <c r="K41" i="1" s="1"/>
  <c r="J40" i="1"/>
  <c r="J39" i="1"/>
  <c r="K39" i="1" s="1"/>
  <c r="J38" i="1"/>
  <c r="K38" i="1" s="1"/>
  <c r="J37" i="1"/>
  <c r="K37" i="1" s="1"/>
  <c r="J36" i="1"/>
  <c r="J35" i="1"/>
  <c r="K35" i="1" s="1"/>
  <c r="J34" i="1"/>
  <c r="K34" i="1" s="1"/>
  <c r="J33" i="1"/>
  <c r="K33" i="1" s="1"/>
  <c r="J32" i="1"/>
  <c r="J31" i="1"/>
  <c r="K31" i="1" s="1"/>
  <c r="J30" i="1"/>
  <c r="K30" i="1" s="1"/>
  <c r="J29" i="1"/>
  <c r="K29" i="1" s="1"/>
  <c r="J28" i="1"/>
  <c r="J27" i="1"/>
  <c r="K27" i="1" s="1"/>
  <c r="J26" i="1"/>
  <c r="K26" i="1" s="1"/>
  <c r="J25" i="1"/>
  <c r="K25" i="1" s="1"/>
  <c r="J24" i="1"/>
  <c r="J23" i="1"/>
  <c r="K23" i="1" s="1"/>
  <c r="J22" i="1"/>
  <c r="K22" i="1" s="1"/>
  <c r="J21" i="1"/>
  <c r="K21" i="1" s="1"/>
  <c r="J20" i="1"/>
  <c r="J19" i="1"/>
  <c r="K19" i="1" s="1"/>
  <c r="J18" i="1"/>
  <c r="K18" i="1" s="1"/>
  <c r="J17" i="1"/>
  <c r="K17" i="1" s="1"/>
  <c r="J16" i="1"/>
  <c r="K16" i="1" s="1"/>
  <c r="K60" i="1"/>
  <c r="K58" i="1"/>
  <c r="K57" i="1"/>
  <c r="K56" i="1"/>
  <c r="K52" i="1"/>
  <c r="K48" i="1"/>
  <c r="K44" i="1"/>
  <c r="K40" i="1"/>
  <c r="K36" i="1"/>
  <c r="K32" i="1"/>
  <c r="K28" i="1"/>
  <c r="K24" i="1"/>
  <c r="K20" i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16" i="1"/>
  <c r="E16" i="1" s="1"/>
  <c r="G8" i="3" l="1"/>
  <c r="H8" i="3" s="1"/>
  <c r="G4" i="3"/>
  <c r="H4" i="3" s="1"/>
  <c r="G5" i="3"/>
  <c r="H5" i="3" s="1"/>
  <c r="I5" i="3" s="1"/>
  <c r="G7" i="3"/>
  <c r="H7" i="3" s="1"/>
  <c r="I7" i="3" s="1"/>
  <c r="Q12" i="1"/>
  <c r="N12" i="1"/>
  <c r="K12" i="1"/>
  <c r="H12" i="1"/>
  <c r="E12" i="1"/>
  <c r="I8" i="3" l="1"/>
  <c r="I6" i="3"/>
  <c r="I4" i="3"/>
  <c r="D12" i="3" s="1"/>
</calcChain>
</file>

<file path=xl/sharedStrings.xml><?xml version="1.0" encoding="utf-8"?>
<sst xmlns="http://schemas.openxmlformats.org/spreadsheetml/2006/main" count="92" uniqueCount="37">
  <si>
    <t>Year</t>
  </si>
  <si>
    <t>Spawners</t>
  </si>
  <si>
    <t>Beverton-Holt</t>
  </si>
  <si>
    <t>a</t>
  </si>
  <si>
    <t>b</t>
  </si>
  <si>
    <t>sigma</t>
  </si>
  <si>
    <t>NLL</t>
  </si>
  <si>
    <t>PredRec</t>
  </si>
  <si>
    <t>ObsRec</t>
  </si>
  <si>
    <t>Ricker</t>
  </si>
  <si>
    <t>npars</t>
  </si>
  <si>
    <t>Shepherd</t>
  </si>
  <si>
    <t>k</t>
  </si>
  <si>
    <t>c</t>
  </si>
  <si>
    <t>Deriso</t>
  </si>
  <si>
    <t>g</t>
  </si>
  <si>
    <t>Froese hockey-stick</t>
  </si>
  <si>
    <t>alpha</t>
  </si>
  <si>
    <t>Rinf</t>
  </si>
  <si>
    <t>Lognormal NLL</t>
  </si>
  <si>
    <t>AICc</t>
  </si>
  <si>
    <t>ndata</t>
  </si>
  <si>
    <t>PLOTTING</t>
  </si>
  <si>
    <t>BevHolt</t>
  </si>
  <si>
    <t>Froese</t>
  </si>
  <si>
    <t>Deriso and Ricker are nearly identical</t>
  </si>
  <si>
    <t>Model</t>
  </si>
  <si>
    <t>pi</t>
  </si>
  <si>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</si>
  <si>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AICc</t>
    </r>
  </si>
  <si>
    <t>wi</t>
  </si>
  <si>
    <r>
      <t>exp(-0.5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i)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</si>
  <si>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i</t>
    </r>
  </si>
  <si>
    <t>Prediction</t>
  </si>
  <si>
    <t>Predicted recruits for 3000 spawners</t>
  </si>
  <si>
    <t>Weighted</t>
  </si>
  <si>
    <t>Excluding 4-parameter models since 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</si>
</sst>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0" xfId="0" applyFont="1" applyBorder="1"/>
    <xf numFmtId="0" fontId="0" fillId="0" borderId="0" xfId="0" applyBorder="1"/>
    <xf numFmtId="2" fontId="0" fillId="0" borderId="0" xfId="0" applyNumberFormat="1" applyBorder="1"/>
    <xf numFmtId="165" fontId="0" fillId="0" borderId="0" xfId="0" applyNumberFormat="1" applyBorder="1"/>
    <xf numFmtId="0" fontId="0" fillId="0" borderId="1" xfId="0" applyFon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2" xfId="0" applyFont="1" applyBorder="1"/>
    <xf numFmtId="0" fontId="0" fillId="0" borderId="3" xfId="0" applyFont="1" applyBorder="1"/>
    <xf numFmtId="1" fontId="0" fillId="0" borderId="3" xfId="0" applyNumberFormat="1" applyBorder="1"/>
    <xf numFmtId="1" fontId="0" fillId="2" borderId="3" xfId="0" applyNumberFormat="1" applyFill="1" applyBorder="1" applyAlignment="1">
      <alignment vertical="center"/>
    </xf>
    <xf numFmtId="1" fontId="0" fillId="0" borderId="0" xfId="0" applyNumberFormat="1" applyBorder="1"/>
    <xf numFmtId="1" fontId="0" fillId="2" borderId="0" xfId="0" applyNumberFormat="1" applyFill="1" applyBorder="1" applyAlignment="1">
      <alignment vertical="center"/>
    </xf>
    <xf numFmtId="1" fontId="0" fillId="0" borderId="1" xfId="0" applyNumberFormat="1" applyBorder="1"/>
    <xf numFmtId="1" fontId="0" fillId="2" borderId="1" xfId="0" applyNumberFormat="1" applyFill="1" applyBorder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37270341207349"/>
          <c:y val="0.23141052401845477"/>
          <c:w val="0.79329396325459323"/>
          <c:h val="0.637599883347914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'Lognormal NLL'!$T$15</c:f>
              <c:strCache>
                <c:ptCount val="1"/>
                <c:pt idx="0">
                  <c:v>ObsRec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NLL'!$T$16:$T$60</c:f>
              <c:numCache>
                <c:formatCode>General</c:formatCode>
                <c:ptCount val="45"/>
                <c:pt idx="0">
                  <c:v>637</c:v>
                </c:pt>
                <c:pt idx="1">
                  <c:v>184</c:v>
                </c:pt>
                <c:pt idx="2">
                  <c:v>640</c:v>
                </c:pt>
                <c:pt idx="3">
                  <c:v>679</c:v>
                </c:pt>
                <c:pt idx="4">
                  <c:v>1296</c:v>
                </c:pt>
                <c:pt idx="5">
                  <c:v>477</c:v>
                </c:pt>
                <c:pt idx="6">
                  <c:v>535</c:v>
                </c:pt>
                <c:pt idx="7">
                  <c:v>905</c:v>
                </c:pt>
                <c:pt idx="8">
                  <c:v>911</c:v>
                </c:pt>
                <c:pt idx="9">
                  <c:v>1556</c:v>
                </c:pt>
                <c:pt idx="10">
                  <c:v>1183</c:v>
                </c:pt>
                <c:pt idx="11">
                  <c:v>1220</c:v>
                </c:pt>
                <c:pt idx="12">
                  <c:v>1202</c:v>
                </c:pt>
                <c:pt idx="13">
                  <c:v>601</c:v>
                </c:pt>
                <c:pt idx="14">
                  <c:v>450</c:v>
                </c:pt>
                <c:pt idx="15">
                  <c:v>1737</c:v>
                </c:pt>
                <c:pt idx="16">
                  <c:v>1363</c:v>
                </c:pt>
                <c:pt idx="17">
                  <c:v>1112</c:v>
                </c:pt>
                <c:pt idx="18">
                  <c:v>889</c:v>
                </c:pt>
                <c:pt idx="19">
                  <c:v>1623</c:v>
                </c:pt>
                <c:pt idx="20">
                  <c:v>1344</c:v>
                </c:pt>
                <c:pt idx="21">
                  <c:v>1582</c:v>
                </c:pt>
                <c:pt idx="22">
                  <c:v>2944</c:v>
                </c:pt>
                <c:pt idx="23">
                  <c:v>677</c:v>
                </c:pt>
                <c:pt idx="24">
                  <c:v>1183</c:v>
                </c:pt>
                <c:pt idx="25">
                  <c:v>1318</c:v>
                </c:pt>
                <c:pt idx="26">
                  <c:v>848</c:v>
                </c:pt>
                <c:pt idx="27">
                  <c:v>2346</c:v>
                </c:pt>
                <c:pt idx="28">
                  <c:v>1487</c:v>
                </c:pt>
                <c:pt idx="29">
                  <c:v>2380</c:v>
                </c:pt>
                <c:pt idx="30">
                  <c:v>981</c:v>
                </c:pt>
                <c:pt idx="31">
                  <c:v>894</c:v>
                </c:pt>
                <c:pt idx="32">
                  <c:v>2160</c:v>
                </c:pt>
                <c:pt idx="33">
                  <c:v>3156</c:v>
                </c:pt>
                <c:pt idx="34">
                  <c:v>3838</c:v>
                </c:pt>
                <c:pt idx="35">
                  <c:v>795</c:v>
                </c:pt>
                <c:pt idx="36">
                  <c:v>2285</c:v>
                </c:pt>
                <c:pt idx="37">
                  <c:v>2452</c:v>
                </c:pt>
                <c:pt idx="38">
                  <c:v>3657</c:v>
                </c:pt>
                <c:pt idx="39">
                  <c:v>1497</c:v>
                </c:pt>
                <c:pt idx="40">
                  <c:v>1239</c:v>
                </c:pt>
                <c:pt idx="41">
                  <c:v>2427</c:v>
                </c:pt>
                <c:pt idx="42">
                  <c:v>858</c:v>
                </c:pt>
                <c:pt idx="43">
                  <c:v>1658</c:v>
                </c:pt>
                <c:pt idx="44">
                  <c:v>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F-4097-894A-B324A3834923}"/>
            </c:ext>
          </c:extLst>
        </c:ser>
        <c:ser>
          <c:idx val="1"/>
          <c:order val="1"/>
          <c:tx>
            <c:strRef>
              <c:f>'Lognormal NLL'!$U$15</c:f>
              <c:strCache>
                <c:ptCount val="1"/>
                <c:pt idx="0">
                  <c:v>BevHolt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NLL'!$U$16:$U$60</c:f>
              <c:numCache>
                <c:formatCode>0.0</c:formatCode>
                <c:ptCount val="45"/>
                <c:pt idx="0">
                  <c:v>500.31090065740119</c:v>
                </c:pt>
                <c:pt idx="1">
                  <c:v>513.92706838460424</c:v>
                </c:pt>
                <c:pt idx="2">
                  <c:v>540.81156289962701</c:v>
                </c:pt>
                <c:pt idx="3">
                  <c:v>671.09683918773169</c:v>
                </c:pt>
                <c:pt idx="4">
                  <c:v>719.27621455095891</c:v>
                </c:pt>
                <c:pt idx="5">
                  <c:v>784.1847017716841</c:v>
                </c:pt>
                <c:pt idx="6">
                  <c:v>839.77295493456324</c:v>
                </c:pt>
                <c:pt idx="7">
                  <c:v>857.11184125212799</c:v>
                </c:pt>
                <c:pt idx="8">
                  <c:v>861.41343147986015</c:v>
                </c:pt>
                <c:pt idx="9">
                  <c:v>867.84121464322914</c:v>
                </c:pt>
                <c:pt idx="10">
                  <c:v>867.84121464322914</c:v>
                </c:pt>
                <c:pt idx="11">
                  <c:v>889.05636011985996</c:v>
                </c:pt>
                <c:pt idx="12">
                  <c:v>930.53767122614227</c:v>
                </c:pt>
                <c:pt idx="13">
                  <c:v>1013.7442145680578</c:v>
                </c:pt>
                <c:pt idx="14">
                  <c:v>1034.7080681550565</c:v>
                </c:pt>
                <c:pt idx="15">
                  <c:v>1127.7347606131927</c:v>
                </c:pt>
                <c:pt idx="16">
                  <c:v>1189.5440741062125</c:v>
                </c:pt>
                <c:pt idx="17">
                  <c:v>1199.5547285526311</c:v>
                </c:pt>
                <c:pt idx="18">
                  <c:v>1238.8025052707953</c:v>
                </c:pt>
                <c:pt idx="19">
                  <c:v>1295.3913559437524</c:v>
                </c:pt>
                <c:pt idx="20">
                  <c:v>1299.9884658103683</c:v>
                </c:pt>
                <c:pt idx="21">
                  <c:v>1307.6109064376956</c:v>
                </c:pt>
                <c:pt idx="22">
                  <c:v>1310.6461780547399</c:v>
                </c:pt>
                <c:pt idx="23">
                  <c:v>1324.2089789283229</c:v>
                </c:pt>
                <c:pt idx="24">
                  <c:v>1334.6505484103177</c:v>
                </c:pt>
                <c:pt idx="25">
                  <c:v>1372.6332940346927</c:v>
                </c:pt>
                <c:pt idx="26">
                  <c:v>1408.0084772770585</c:v>
                </c:pt>
                <c:pt idx="27">
                  <c:v>1409.4008492856744</c:v>
                </c:pt>
                <c:pt idx="28">
                  <c:v>1424.6046220459627</c:v>
                </c:pt>
                <c:pt idx="29">
                  <c:v>1518.0249305811203</c:v>
                </c:pt>
                <c:pt idx="30">
                  <c:v>1562.4856997345555</c:v>
                </c:pt>
                <c:pt idx="31">
                  <c:v>1589.9423817962806</c:v>
                </c:pt>
                <c:pt idx="32">
                  <c:v>1596.9877961926929</c:v>
                </c:pt>
                <c:pt idx="33">
                  <c:v>1657.2107050933682</c:v>
                </c:pt>
                <c:pt idx="34">
                  <c:v>1704.6127776847261</c:v>
                </c:pt>
                <c:pt idx="35">
                  <c:v>1777.5449887822933</c:v>
                </c:pt>
                <c:pt idx="36">
                  <c:v>1799.7160462288653</c:v>
                </c:pt>
                <c:pt idx="37">
                  <c:v>1806.3610723851828</c:v>
                </c:pt>
                <c:pt idx="38">
                  <c:v>1814.8356502143174</c:v>
                </c:pt>
                <c:pt idx="39">
                  <c:v>1872.9474035419214</c:v>
                </c:pt>
                <c:pt idx="40">
                  <c:v>1882.5708982117917</c:v>
                </c:pt>
                <c:pt idx="41">
                  <c:v>1892.9524577684513</c:v>
                </c:pt>
                <c:pt idx="42">
                  <c:v>1920.0563863801747</c:v>
                </c:pt>
                <c:pt idx="43">
                  <c:v>1941.4773562791086</c:v>
                </c:pt>
                <c:pt idx="44">
                  <c:v>2204.9884132260181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F-4097-894A-B324A3834923}"/>
            </c:ext>
          </c:extLst>
        </c:ser>
        <c:ser>
          <c:idx val="2"/>
          <c:order val="2"/>
          <c:tx>
            <c:strRef>
              <c:f>'Lognormal NLL'!$V$15</c:f>
              <c:strCache>
                <c:ptCount val="1"/>
                <c:pt idx="0">
                  <c:v>Ricker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NLL'!$V$16:$V$60</c:f>
              <c:numCache>
                <c:formatCode>0.0</c:formatCode>
                <c:ptCount val="45"/>
                <c:pt idx="0">
                  <c:v>489.72537460948234</c:v>
                </c:pt>
                <c:pt idx="1">
                  <c:v>503.60632718084094</c:v>
                </c:pt>
                <c:pt idx="2">
                  <c:v>531.08713726768997</c:v>
                </c:pt>
                <c:pt idx="3">
                  <c:v>665.53337866500362</c:v>
                </c:pt>
                <c:pt idx="4">
                  <c:v>715.72116918953384</c:v>
                </c:pt>
                <c:pt idx="5">
                  <c:v>783.66064757239042</c:v>
                </c:pt>
                <c:pt idx="6">
                  <c:v>842.08484289106468</c:v>
                </c:pt>
                <c:pt idx="7">
                  <c:v>860.34398275796696</c:v>
                </c:pt>
                <c:pt idx="8">
                  <c:v>864.87607423682971</c:v>
                </c:pt>
                <c:pt idx="9">
                  <c:v>871.64979700670028</c:v>
                </c:pt>
                <c:pt idx="10">
                  <c:v>871.64979700670028</c:v>
                </c:pt>
                <c:pt idx="11">
                  <c:v>894.01833242428768</c:v>
                </c:pt>
                <c:pt idx="12">
                  <c:v>937.79427288546822</c:v>
                </c:pt>
                <c:pt idx="13">
                  <c:v>1025.6511457161257</c:v>
                </c:pt>
                <c:pt idx="14">
                  <c:v>1047.7714829723805</c:v>
                </c:pt>
                <c:pt idx="15">
                  <c:v>1145.6689348395687</c:v>
                </c:pt>
                <c:pt idx="16">
                  <c:v>1210.3065622261568</c:v>
                </c:pt>
                <c:pt idx="17">
                  <c:v>1220.7313102363014</c:v>
                </c:pt>
                <c:pt idx="18">
                  <c:v>1261.457567235665</c:v>
                </c:pt>
                <c:pt idx="19">
                  <c:v>1319.6935572996724</c:v>
                </c:pt>
                <c:pt idx="20">
                  <c:v>1324.3952979679184</c:v>
                </c:pt>
                <c:pt idx="21">
                  <c:v>1332.1805964081902</c:v>
                </c:pt>
                <c:pt idx="22">
                  <c:v>1335.2769493081626</c:v>
                </c:pt>
                <c:pt idx="23">
                  <c:v>1349.0855916959449</c:v>
                </c:pt>
                <c:pt idx="24">
                  <c:v>1359.6851663104358</c:v>
                </c:pt>
                <c:pt idx="25">
                  <c:v>1397.9942713101343</c:v>
                </c:pt>
                <c:pt idx="26">
                  <c:v>1433.2848844189548</c:v>
                </c:pt>
                <c:pt idx="27">
                  <c:v>1434.6655650204702</c:v>
                </c:pt>
                <c:pt idx="28">
                  <c:v>1449.6979582664735</c:v>
                </c:pt>
                <c:pt idx="29">
                  <c:v>1540.0785050139921</c:v>
                </c:pt>
                <c:pt idx="30">
                  <c:v>1581.685186458817</c:v>
                </c:pt>
                <c:pt idx="31">
                  <c:v>1606.8473544797414</c:v>
                </c:pt>
                <c:pt idx="32">
                  <c:v>1613.2334889790086</c:v>
                </c:pt>
                <c:pt idx="33">
                  <c:v>1666.5387920836426</c:v>
                </c:pt>
                <c:pt idx="34">
                  <c:v>1706.706370079962</c:v>
                </c:pt>
                <c:pt idx="35">
                  <c:v>1764.9113861780663</c:v>
                </c:pt>
                <c:pt idx="36">
                  <c:v>1781.6335548128272</c:v>
                </c:pt>
                <c:pt idx="37">
                  <c:v>1786.5497118016519</c:v>
                </c:pt>
                <c:pt idx="38">
                  <c:v>1792.7534156972608</c:v>
                </c:pt>
                <c:pt idx="39">
                  <c:v>1833.1806189794165</c:v>
                </c:pt>
                <c:pt idx="40">
                  <c:v>1839.4978167945753</c:v>
                </c:pt>
                <c:pt idx="41">
                  <c:v>1846.1849163462202</c:v>
                </c:pt>
                <c:pt idx="42">
                  <c:v>1862.9957953467294</c:v>
                </c:pt>
                <c:pt idx="43">
                  <c:v>1875.5891979067651</c:v>
                </c:pt>
                <c:pt idx="44">
                  <c:v>1967.2142115473571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F-4097-894A-B324A3834923}"/>
            </c:ext>
          </c:extLst>
        </c:ser>
        <c:ser>
          <c:idx val="3"/>
          <c:order val="3"/>
          <c:tx>
            <c:strRef>
              <c:f>'Lognormal NLL'!$W$15</c:f>
              <c:strCache>
                <c:ptCount val="1"/>
                <c:pt idx="0">
                  <c:v>Shepherd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NLL'!$W$16:$W$60</c:f>
              <c:numCache>
                <c:formatCode>0.0</c:formatCode>
                <c:ptCount val="45"/>
                <c:pt idx="0">
                  <c:v>451.20132007547625</c:v>
                </c:pt>
                <c:pt idx="1">
                  <c:v>465.18598947156016</c:v>
                </c:pt>
                <c:pt idx="2">
                  <c:v>493.06422273376631</c:v>
                </c:pt>
                <c:pt idx="3">
                  <c:v>633.0412344962142</c:v>
                </c:pt>
                <c:pt idx="4">
                  <c:v>686.75400096392582</c:v>
                </c:pt>
                <c:pt idx="5">
                  <c:v>760.63459472766556</c:v>
                </c:pt>
                <c:pt idx="6">
                  <c:v>825.15925016390099</c:v>
                </c:pt>
                <c:pt idx="7">
                  <c:v>845.49729773769729</c:v>
                </c:pt>
                <c:pt idx="8">
                  <c:v>850.55736818091134</c:v>
                </c:pt>
                <c:pt idx="9">
                  <c:v>858.12887798250813</c:v>
                </c:pt>
                <c:pt idx="10">
                  <c:v>858.12887798250813</c:v>
                </c:pt>
                <c:pt idx="11">
                  <c:v>883.20346486685594</c:v>
                </c:pt>
                <c:pt idx="12">
                  <c:v>932.57071969234823</c:v>
                </c:pt>
                <c:pt idx="13">
                  <c:v>1032.6139984394554</c:v>
                </c:pt>
                <c:pt idx="14">
                  <c:v>1057.9536026190374</c:v>
                </c:pt>
                <c:pt idx="15">
                  <c:v>1170.4165839654709</c:v>
                </c:pt>
                <c:pt idx="16">
                  <c:v>1244.5558849588685</c:v>
                </c:pt>
                <c:pt idx="17">
                  <c:v>1256.4723284210829</c:v>
                </c:pt>
                <c:pt idx="18">
                  <c:v>1302.8509569048272</c:v>
                </c:pt>
                <c:pt idx="19">
                  <c:v>1368.486389765096</c:v>
                </c:pt>
                <c:pt idx="20">
                  <c:v>1373.7399535018785</c:v>
                </c:pt>
                <c:pt idx="21">
                  <c:v>1382.4214483260421</c:v>
                </c:pt>
                <c:pt idx="22">
                  <c:v>1385.8679523619137</c:v>
                </c:pt>
                <c:pt idx="23">
                  <c:v>1401.1923032083548</c:v>
                </c:pt>
                <c:pt idx="24">
                  <c:v>1412.901594875359</c:v>
                </c:pt>
                <c:pt idx="25">
                  <c:v>1454.7810646887824</c:v>
                </c:pt>
                <c:pt idx="26">
                  <c:v>1492.6472436382892</c:v>
                </c:pt>
                <c:pt idx="27">
                  <c:v>1494.1128640749546</c:v>
                </c:pt>
                <c:pt idx="28">
                  <c:v>1509.9860034261455</c:v>
                </c:pt>
                <c:pt idx="29">
                  <c:v>1601.5474798133923</c:v>
                </c:pt>
                <c:pt idx="30">
                  <c:v>1640.8898703852708</c:v>
                </c:pt>
                <c:pt idx="31">
                  <c:v>1663.5997174892143</c:v>
                </c:pt>
                <c:pt idx="32">
                  <c:v>1669.2186782236324</c:v>
                </c:pt>
                <c:pt idx="33">
                  <c:v>1713.5136733891184</c:v>
                </c:pt>
                <c:pt idx="34">
                  <c:v>1743.2840605626534</c:v>
                </c:pt>
                <c:pt idx="35">
                  <c:v>1779.3124785478976</c:v>
                </c:pt>
                <c:pt idx="36">
                  <c:v>1787.7387541022511</c:v>
                </c:pt>
                <c:pt idx="37">
                  <c:v>1790.0242292220541</c:v>
                </c:pt>
                <c:pt idx="38">
                  <c:v>1792.7759411937466</c:v>
                </c:pt>
                <c:pt idx="39">
                  <c:v>1806.5909201334769</c:v>
                </c:pt>
                <c:pt idx="40">
                  <c:v>1808.0062382663054</c:v>
                </c:pt>
                <c:pt idx="41">
                  <c:v>1809.2488735226518</c:v>
                </c:pt>
                <c:pt idx="42">
                  <c:v>1811.0873386118474</c:v>
                </c:pt>
                <c:pt idx="43">
                  <c:v>1811.0845412869926</c:v>
                </c:pt>
                <c:pt idx="44">
                  <c:v>1703.9724738837867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4F-4097-894A-B324A3834923}"/>
            </c:ext>
          </c:extLst>
        </c:ser>
        <c:ser>
          <c:idx val="4"/>
          <c:order val="4"/>
          <c:tx>
            <c:strRef>
              <c:f>'Lognormal NLL'!$X$15</c:f>
              <c:strCache>
                <c:ptCount val="1"/>
                <c:pt idx="0">
                  <c:v>Deriso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NLL'!$X$16:$X$60</c:f>
              <c:numCache>
                <c:formatCode>0.0</c:formatCode>
                <c:ptCount val="45"/>
                <c:pt idx="0">
                  <c:v>489.91248225206698</c:v>
                </c:pt>
                <c:pt idx="1">
                  <c:v>503.79726281536205</c:v>
                </c:pt>
                <c:pt idx="2">
                  <c:v>531.28550446898498</c:v>
                </c:pt>
                <c:pt idx="3">
                  <c:v>665.76610574222798</c:v>
                </c:pt>
                <c:pt idx="4">
                  <c:v>715.96634637581644</c:v>
                </c:pt>
                <c:pt idx="5">
                  <c:v>783.92292539091795</c:v>
                </c:pt>
                <c:pt idx="6">
                  <c:v>842.36249404184173</c:v>
                </c:pt>
                <c:pt idx="7">
                  <c:v>860.62664213539733</c:v>
                </c:pt>
                <c:pt idx="8">
                  <c:v>865.15999522316463</c:v>
                </c:pt>
                <c:pt idx="9">
                  <c:v>871.93561833834178</c:v>
                </c:pt>
                <c:pt idx="10">
                  <c:v>871.93561833834178</c:v>
                </c:pt>
                <c:pt idx="11">
                  <c:v>894.31056454270049</c:v>
                </c:pt>
                <c:pt idx="12">
                  <c:v>938.09975367830418</c:v>
                </c:pt>
                <c:pt idx="13">
                  <c:v>1025.9869760126771</c:v>
                </c:pt>
                <c:pt idx="14">
                  <c:v>1048.1159719291568</c:v>
                </c:pt>
                <c:pt idx="15">
                  <c:v>1146.0584363293065</c:v>
                </c:pt>
                <c:pt idx="16">
                  <c:v>1210.733511718546</c:v>
                </c:pt>
                <c:pt idx="17">
                  <c:v>1221.1650175340305</c:v>
                </c:pt>
                <c:pt idx="18">
                  <c:v>1261.9198914927376</c:v>
                </c:pt>
                <c:pt idx="19">
                  <c:v>1320.2038663596381</c:v>
                </c:pt>
                <c:pt idx="20">
                  <c:v>1324.9098944837974</c:v>
                </c:pt>
                <c:pt idx="21">
                  <c:v>1332.7024406785333</c:v>
                </c:pt>
                <c:pt idx="22">
                  <c:v>1335.8017286284237</c:v>
                </c:pt>
                <c:pt idx="23">
                  <c:v>1349.6238357213704</c:v>
                </c:pt>
                <c:pt idx="24">
                  <c:v>1360.234177063398</c:v>
                </c:pt>
                <c:pt idx="25">
                  <c:v>1398.5855854382562</c:v>
                </c:pt>
                <c:pt idx="26">
                  <c:v>1433.9204245470401</c:v>
                </c:pt>
                <c:pt idx="27">
                  <c:v>1435.3029485121313</c:v>
                </c:pt>
                <c:pt idx="28">
                  <c:v>1450.356002610866</c:v>
                </c:pt>
                <c:pt idx="29">
                  <c:v>1540.8874032710414</c:v>
                </c:pt>
                <c:pt idx="30">
                  <c:v>1582.5826080932416</c:v>
                </c:pt>
                <c:pt idx="31">
                  <c:v>1607.8057163539072</c:v>
                </c:pt>
                <c:pt idx="32">
                  <c:v>1614.2083177009324</c:v>
                </c:pt>
                <c:pt idx="33">
                  <c:v>1667.6694409460815</c:v>
                </c:pt>
                <c:pt idx="34">
                  <c:v>1707.9806860160134</c:v>
                </c:pt>
                <c:pt idx="35">
                  <c:v>1766.4490638031134</c:v>
                </c:pt>
                <c:pt idx="36">
                  <c:v>1783.2627623699618</c:v>
                </c:pt>
                <c:pt idx="37">
                  <c:v>1788.207485226078</c:v>
                </c:pt>
                <c:pt idx="38">
                  <c:v>1794.448401685135</c:v>
                </c:pt>
                <c:pt idx="39">
                  <c:v>1835.1558621955623</c:v>
                </c:pt>
                <c:pt idx="40">
                  <c:v>1841.5239668211777</c:v>
                </c:pt>
                <c:pt idx="41">
                  <c:v>1848.2675073653459</c:v>
                </c:pt>
                <c:pt idx="42">
                  <c:v>1865.2334825373073</c:v>
                </c:pt>
                <c:pt idx="43">
                  <c:v>1877.9577586492942</c:v>
                </c:pt>
                <c:pt idx="44">
                  <c:v>1971.958115185899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4F-4097-894A-B324A3834923}"/>
            </c:ext>
          </c:extLst>
        </c:ser>
        <c:ser>
          <c:idx val="5"/>
          <c:order val="5"/>
          <c:tx>
            <c:strRef>
              <c:f>'Lognormal NLL'!$Y$15</c:f>
              <c:strCache>
                <c:ptCount val="1"/>
                <c:pt idx="0">
                  <c:v>Froese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'Lognormal NLL'!$S$16:$S$60</c:f>
              <c:numCache>
                <c:formatCode>General</c:formatCode>
                <c:ptCount val="45"/>
                <c:pt idx="0">
                  <c:v>158</c:v>
                </c:pt>
                <c:pt idx="1">
                  <c:v>163</c:v>
                </c:pt>
                <c:pt idx="2">
                  <c:v>173</c:v>
                </c:pt>
                <c:pt idx="3">
                  <c:v>224</c:v>
                </c:pt>
                <c:pt idx="4">
                  <c:v>244</c:v>
                </c:pt>
                <c:pt idx="5">
                  <c:v>272</c:v>
                </c:pt>
                <c:pt idx="6">
                  <c:v>297</c:v>
                </c:pt>
                <c:pt idx="7">
                  <c:v>305</c:v>
                </c:pt>
                <c:pt idx="8">
                  <c:v>307</c:v>
                </c:pt>
                <c:pt idx="9">
                  <c:v>310</c:v>
                </c:pt>
                <c:pt idx="10">
                  <c:v>310</c:v>
                </c:pt>
                <c:pt idx="11">
                  <c:v>320</c:v>
                </c:pt>
                <c:pt idx="12">
                  <c:v>340</c:v>
                </c:pt>
                <c:pt idx="13">
                  <c:v>382</c:v>
                </c:pt>
                <c:pt idx="14">
                  <c:v>393</c:v>
                </c:pt>
                <c:pt idx="15">
                  <c:v>444</c:v>
                </c:pt>
                <c:pt idx="16">
                  <c:v>480</c:v>
                </c:pt>
                <c:pt idx="17">
                  <c:v>486</c:v>
                </c:pt>
                <c:pt idx="18">
                  <c:v>510</c:v>
                </c:pt>
                <c:pt idx="19">
                  <c:v>546</c:v>
                </c:pt>
                <c:pt idx="20">
                  <c:v>549</c:v>
                </c:pt>
                <c:pt idx="21">
                  <c:v>554</c:v>
                </c:pt>
                <c:pt idx="22">
                  <c:v>556</c:v>
                </c:pt>
                <c:pt idx="23">
                  <c:v>565</c:v>
                </c:pt>
                <c:pt idx="24">
                  <c:v>572</c:v>
                </c:pt>
                <c:pt idx="25">
                  <c:v>598</c:v>
                </c:pt>
                <c:pt idx="26">
                  <c:v>623</c:v>
                </c:pt>
                <c:pt idx="27">
                  <c:v>624</c:v>
                </c:pt>
                <c:pt idx="28">
                  <c:v>635</c:v>
                </c:pt>
                <c:pt idx="29">
                  <c:v>706</c:v>
                </c:pt>
                <c:pt idx="30">
                  <c:v>742</c:v>
                </c:pt>
                <c:pt idx="31">
                  <c:v>765</c:v>
                </c:pt>
                <c:pt idx="32">
                  <c:v>771</c:v>
                </c:pt>
                <c:pt idx="33">
                  <c:v>824</c:v>
                </c:pt>
                <c:pt idx="34">
                  <c:v>868</c:v>
                </c:pt>
                <c:pt idx="35">
                  <c:v>940</c:v>
                </c:pt>
                <c:pt idx="36">
                  <c:v>963</c:v>
                </c:pt>
                <c:pt idx="37">
                  <c:v>970</c:v>
                </c:pt>
                <c:pt idx="38">
                  <c:v>979</c:v>
                </c:pt>
                <c:pt idx="39">
                  <c:v>1043</c:v>
                </c:pt>
                <c:pt idx="40">
                  <c:v>1054</c:v>
                </c:pt>
                <c:pt idx="41">
                  <c:v>1066</c:v>
                </c:pt>
                <c:pt idx="42">
                  <c:v>1098</c:v>
                </c:pt>
                <c:pt idx="43">
                  <c:v>1124</c:v>
                </c:pt>
                <c:pt idx="44">
                  <c:v>1506</c:v>
                </c:pt>
              </c:numCache>
            </c:numRef>
          </c:xVal>
          <c:yVal>
            <c:numRef>
              <c:f>'Lognormal NLL'!$Y$16:$Y$60</c:f>
              <c:numCache>
                <c:formatCode>0.0</c:formatCode>
                <c:ptCount val="45"/>
                <c:pt idx="0">
                  <c:v>494.05555113408127</c:v>
                </c:pt>
                <c:pt idx="1">
                  <c:v>507.85541520698303</c:v>
                </c:pt>
                <c:pt idx="2">
                  <c:v>535.14598603169395</c:v>
                </c:pt>
                <c:pt idx="3">
                  <c:v>668.12333254500436</c:v>
                </c:pt>
                <c:pt idx="4">
                  <c:v>717.5517466516917</c:v>
                </c:pt>
                <c:pt idx="5">
                  <c:v>784.30241318866081</c:v>
                </c:pt>
                <c:pt idx="6">
                  <c:v>841.57338271633728</c:v>
                </c:pt>
                <c:pt idx="7">
                  <c:v>859.45027544900609</c:v>
                </c:pt>
                <c:pt idx="8">
                  <c:v>863.88601553462581</c:v>
                </c:pt>
                <c:pt idx="9">
                  <c:v>870.5146764557046</c:v>
                </c:pt>
                <c:pt idx="10">
                  <c:v>870.5146764557046</c:v>
                </c:pt>
                <c:pt idx="11">
                  <c:v>892.39560352217097</c:v>
                </c:pt>
                <c:pt idx="12">
                  <c:v>935.18315904832161</c:v>
                </c:pt>
                <c:pt idx="13">
                  <c:v>1020.9577820883926</c:v>
                </c:pt>
                <c:pt idx="14">
                  <c:v>1042.5421090665484</c:v>
                </c:pt>
                <c:pt idx="15">
                  <c:v>1138.0817623456674</c:v>
                </c:pt>
                <c:pt idx="16">
                  <c:v>1201.2458460555997</c:v>
                </c:pt>
                <c:pt idx="17">
                  <c:v>1211.4449202649678</c:v>
                </c:pt>
                <c:pt idx="18">
                  <c:v>1251.3338435738542</c:v>
                </c:pt>
                <c:pt idx="19">
                  <c:v>1308.5333129399173</c:v>
                </c:pt>
                <c:pt idx="20">
                  <c:v>1313.1617088593987</c:v>
                </c:pt>
                <c:pt idx="21">
                  <c:v>1320.8294793560779</c:v>
                </c:pt>
                <c:pt idx="22">
                  <c:v>1323.8804904622721</c:v>
                </c:pt>
                <c:pt idx="23">
                  <c:v>1337.49711929513</c:v>
                </c:pt>
                <c:pt idx="24">
                  <c:v>1347.961227504803</c:v>
                </c:pt>
                <c:pt idx="25">
                  <c:v>1385.8781959041926</c:v>
                </c:pt>
                <c:pt idx="26">
                  <c:v>1420.9658499769102</c:v>
                </c:pt>
                <c:pt idx="27">
                  <c:v>1422.342120219397</c:v>
                </c:pt>
                <c:pt idx="28">
                  <c:v>1437.3453620502391</c:v>
                </c:pt>
                <c:pt idx="29">
                  <c:v>1528.4396501429676</c:v>
                </c:pt>
                <c:pt idx="30">
                  <c:v>1571.0448687835062</c:v>
                </c:pt>
                <c:pt idx="31">
                  <c:v>1597.0825397863948</c:v>
                </c:pt>
                <c:pt idx="32">
                  <c:v>1603.7282476980947</c:v>
                </c:pt>
                <c:pt idx="33">
                  <c:v>1659.9008510516949</c:v>
                </c:pt>
                <c:pt idx="34">
                  <c:v>1703.2529101398513</c:v>
                </c:pt>
                <c:pt idx="35">
                  <c:v>1768.2906867011168</c:v>
                </c:pt>
                <c:pt idx="36">
                  <c:v>1787.6267266039908</c:v>
                </c:pt>
                <c:pt idx="37">
                  <c:v>1793.3801670081623</c:v>
                </c:pt>
                <c:pt idx="38">
                  <c:v>1800.689063242653</c:v>
                </c:pt>
                <c:pt idx="39">
                  <c:v>1849.9077249585632</c:v>
                </c:pt>
                <c:pt idx="40">
                  <c:v>1857.9006144075627</c:v>
                </c:pt>
                <c:pt idx="41">
                  <c:v>1866.4707413943152</c:v>
                </c:pt>
                <c:pt idx="42">
                  <c:v>1888.5829720661882</c:v>
                </c:pt>
                <c:pt idx="43">
                  <c:v>1905.7823762488767</c:v>
                </c:pt>
                <c:pt idx="44">
                  <c:v>2094.3091236884202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4F-4097-894A-B324A3834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40544"/>
        <c:axId val="492736608"/>
      </c:scatterChart>
      <c:valAx>
        <c:axId val="49274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Spawners</a:t>
                </a:r>
                <a:r>
                  <a:rPr lang="en-US" baseline="0"/>
                  <a:t> (thousands)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36608"/>
        <c:crosses val="autoZero"/>
        <c:crossBetween val="midCat"/>
      </c:valAx>
      <c:valAx>
        <c:axId val="492736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 (thousands)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4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333333333333333E-2"/>
          <c:y val="5.150408282298042E-2"/>
          <c:w val="0.9"/>
          <c:h val="4.8239573178568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53340</xdr:rowOff>
        </xdr:from>
        <xdr:to>
          <xdr:col>4</xdr:col>
          <xdr:colOff>93980</xdr:colOff>
          <xdr:row>2</xdr:row>
          <xdr:rowOff>91440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45719</xdr:colOff>
          <xdr:row>1</xdr:row>
          <xdr:rowOff>7620</xdr:rowOff>
        </xdr:from>
        <xdr:to>
          <xdr:col>7</xdr:col>
          <xdr:colOff>546462</xdr:colOff>
          <xdr:row>2</xdr:row>
          <xdr:rowOff>53340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609599</xdr:colOff>
          <xdr:row>0</xdr:row>
          <xdr:rowOff>0</xdr:rowOff>
        </xdr:from>
        <xdr:to>
          <xdr:col>10</xdr:col>
          <xdr:colOff>329340</xdr:colOff>
          <xdr:row>4</xdr:row>
          <xdr:rowOff>15240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4</xdr:row>
          <xdr:rowOff>15240</xdr:rowOff>
        </xdr:from>
        <xdr:to>
          <xdr:col>2</xdr:col>
          <xdr:colOff>487680</xdr:colOff>
          <xdr:row>6</xdr:row>
          <xdr:rowOff>137160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0</xdr:row>
          <xdr:rowOff>60960</xdr:rowOff>
        </xdr:from>
        <xdr:to>
          <xdr:col>13</xdr:col>
          <xdr:colOff>534439</xdr:colOff>
          <xdr:row>3</xdr:row>
          <xdr:rowOff>106680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30479</xdr:colOff>
          <xdr:row>0</xdr:row>
          <xdr:rowOff>45720</xdr:rowOff>
        </xdr:from>
        <xdr:to>
          <xdr:col>18</xdr:col>
          <xdr:colOff>7188</xdr:colOff>
          <xdr:row>3</xdr:row>
          <xdr:rowOff>91440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222740</xdr:colOff>
      <xdr:row>18</xdr:row>
      <xdr:rowOff>123437</xdr:rowOff>
    </xdr:from>
    <xdr:to>
      <xdr:col>14</xdr:col>
      <xdr:colOff>527540</xdr:colOff>
      <xdr:row>43</xdr:row>
      <xdr:rowOff>23445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586740</xdr:colOff>
          <xdr:row>1</xdr:row>
          <xdr:rowOff>137160</xdr:rowOff>
        </xdr:from>
        <xdr:to>
          <xdr:col>10</xdr:col>
          <xdr:colOff>0</xdr:colOff>
          <xdr:row>7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Y62"/>
  <sheetViews>
    <sheetView tabSelected="1" zoomScale="130" zoomScaleNormal="130" workbookViewId="0">
      <selection activeCell="B12" sqref="B12"/>
    </sheetView>
  </sheetViews>
  <sheetFormatPr defaultRowHeight="14.4" x14ac:dyDescent="0.3"/>
  <sheetData>
    <row r="4" spans="1:25" x14ac:dyDescent="0.3">
      <c r="A4" t="s">
        <v>19</v>
      </c>
    </row>
    <row r="5" spans="1:25" x14ac:dyDescent="0.3">
      <c r="D5" s="4" t="s">
        <v>2</v>
      </c>
      <c r="G5" s="4" t="s">
        <v>9</v>
      </c>
      <c r="J5" s="4" t="s">
        <v>11</v>
      </c>
      <c r="M5" s="4" t="s">
        <v>14</v>
      </c>
      <c r="P5" s="4" t="s">
        <v>16</v>
      </c>
    </row>
    <row r="6" spans="1:25" x14ac:dyDescent="0.3">
      <c r="D6" t="s">
        <v>3</v>
      </c>
      <c r="E6" s="1">
        <v>0.27276467277087818</v>
      </c>
      <c r="G6" t="s">
        <v>3</v>
      </c>
      <c r="H6">
        <v>3.4298966725007074</v>
      </c>
      <c r="J6" t="s">
        <v>3</v>
      </c>
      <c r="K6">
        <v>2.8801436889892327</v>
      </c>
      <c r="M6" t="s">
        <v>3</v>
      </c>
      <c r="N6">
        <v>3.4316628289006079</v>
      </c>
      <c r="P6" t="s">
        <v>17</v>
      </c>
      <c r="Q6">
        <v>3.512870449272222</v>
      </c>
    </row>
    <row r="7" spans="1:25" x14ac:dyDescent="0.3">
      <c r="D7" t="s">
        <v>4</v>
      </c>
      <c r="E7">
        <v>2.7239848174034225E-4</v>
      </c>
      <c r="G7" t="s">
        <v>4</v>
      </c>
      <c r="H7">
        <v>6.4101515891187236E-4</v>
      </c>
      <c r="J7" t="s">
        <v>12</v>
      </c>
      <c r="K7">
        <v>1246.7711265779437</v>
      </c>
      <c r="M7" t="s">
        <v>4</v>
      </c>
      <c r="N7">
        <v>4.8740192730118629E-6</v>
      </c>
      <c r="P7" t="s">
        <v>18</v>
      </c>
      <c r="Q7">
        <v>2337.3988558931842</v>
      </c>
    </row>
    <row r="8" spans="1:25" x14ac:dyDescent="0.3">
      <c r="J8" t="s">
        <v>13</v>
      </c>
      <c r="K8">
        <v>2.3047142712855431</v>
      </c>
      <c r="M8" t="s">
        <v>15</v>
      </c>
      <c r="N8">
        <v>131.73989824689207</v>
      </c>
    </row>
    <row r="9" spans="1:25" x14ac:dyDescent="0.3">
      <c r="D9" t="s">
        <v>5</v>
      </c>
      <c r="E9" s="1">
        <v>0.46539844668569175</v>
      </c>
      <c r="G9" t="s">
        <v>5</v>
      </c>
      <c r="H9">
        <v>0.46318324590432569</v>
      </c>
      <c r="J9" t="s">
        <v>5</v>
      </c>
      <c r="K9">
        <v>0.46152501346260716</v>
      </c>
      <c r="M9" t="s">
        <v>5</v>
      </c>
      <c r="N9">
        <v>0.46152501346260716</v>
      </c>
      <c r="P9" t="s">
        <v>5</v>
      </c>
      <c r="Q9">
        <v>0.4641547889822456</v>
      </c>
    </row>
    <row r="10" spans="1:25" x14ac:dyDescent="0.3">
      <c r="D10" t="s">
        <v>10</v>
      </c>
      <c r="E10" s="5">
        <v>3</v>
      </c>
      <c r="G10" t="s">
        <v>10</v>
      </c>
      <c r="H10">
        <v>3</v>
      </c>
      <c r="J10" t="s">
        <v>10</v>
      </c>
      <c r="K10">
        <v>4</v>
      </c>
      <c r="M10" t="s">
        <v>10</v>
      </c>
      <c r="N10">
        <v>4</v>
      </c>
      <c r="P10" t="s">
        <v>10</v>
      </c>
      <c r="Q10">
        <v>3</v>
      </c>
    </row>
    <row r="11" spans="1:25" x14ac:dyDescent="0.3">
      <c r="D11" t="s">
        <v>21</v>
      </c>
      <c r="E11">
        <f>COUNT($C$16:$C$60)</f>
        <v>45</v>
      </c>
      <c r="G11" t="s">
        <v>21</v>
      </c>
      <c r="H11">
        <f>COUNT($C$16:$C$60)</f>
        <v>45</v>
      </c>
      <c r="J11" t="s">
        <v>21</v>
      </c>
      <c r="K11">
        <f>COUNT($C$16:$C$60)</f>
        <v>45</v>
      </c>
      <c r="M11" t="s">
        <v>21</v>
      </c>
      <c r="N11">
        <f>COUNT($C$16:$C$60)</f>
        <v>45</v>
      </c>
      <c r="P11" t="s">
        <v>21</v>
      </c>
      <c r="Q11">
        <f>COUNT($C$16:$C$60)</f>
        <v>45</v>
      </c>
    </row>
    <row r="12" spans="1:25" x14ac:dyDescent="0.3">
      <c r="D12" t="s">
        <v>6</v>
      </c>
      <c r="E12" s="2">
        <f>SUM(E16:E60)</f>
        <v>-11.918742282716497</v>
      </c>
      <c r="G12" t="s">
        <v>6</v>
      </c>
      <c r="H12" s="2">
        <f>SUM(H16:H60)</f>
        <v>-12.133463630047197</v>
      </c>
      <c r="J12" t="s">
        <v>6</v>
      </c>
      <c r="K12" s="2">
        <f>SUM(K16:K60)</f>
        <v>-12.294858165247449</v>
      </c>
      <c r="M12" t="s">
        <v>6</v>
      </c>
      <c r="N12" s="2">
        <f>SUM(N16:N60)</f>
        <v>-12.131411178798389</v>
      </c>
      <c r="P12" t="s">
        <v>6</v>
      </c>
      <c r="Q12" s="2">
        <f>SUM(Q16:Q60)</f>
        <v>-12.039171746158766</v>
      </c>
      <c r="S12" t="s">
        <v>22</v>
      </c>
      <c r="V12" t="s">
        <v>25</v>
      </c>
    </row>
    <row r="13" spans="1:25" x14ac:dyDescent="0.3">
      <c r="D13" s="24"/>
      <c r="E13" s="25"/>
      <c r="F13" s="24"/>
      <c r="G13" s="24"/>
      <c r="H13" s="25"/>
      <c r="I13" s="24"/>
      <c r="J13" s="24"/>
      <c r="K13" s="25"/>
      <c r="L13" s="24"/>
      <c r="M13" s="24"/>
      <c r="N13" s="25"/>
      <c r="O13" s="24"/>
      <c r="P13" s="24"/>
      <c r="Q13" s="25"/>
    </row>
    <row r="15" spans="1:25" x14ac:dyDescent="0.3">
      <c r="A15" t="s">
        <v>0</v>
      </c>
      <c r="B15" t="s">
        <v>1</v>
      </c>
      <c r="C15" t="s">
        <v>8</v>
      </c>
      <c r="D15" t="s">
        <v>7</v>
      </c>
      <c r="E15" t="s">
        <v>6</v>
      </c>
      <c r="G15" t="s">
        <v>7</v>
      </c>
      <c r="H15" t="s">
        <v>6</v>
      </c>
      <c r="J15" t="s">
        <v>7</v>
      </c>
      <c r="K15" t="s">
        <v>6</v>
      </c>
      <c r="M15" t="s">
        <v>7</v>
      </c>
      <c r="N15" t="s">
        <v>6</v>
      </c>
      <c r="P15" t="s">
        <v>7</v>
      </c>
      <c r="Q15" t="s">
        <v>6</v>
      </c>
      <c r="S15" t="s">
        <v>1</v>
      </c>
      <c r="T15" t="s">
        <v>8</v>
      </c>
      <c r="U15" t="s">
        <v>23</v>
      </c>
      <c r="V15" t="s">
        <v>9</v>
      </c>
      <c r="W15" t="s">
        <v>11</v>
      </c>
      <c r="X15" t="s">
        <v>14</v>
      </c>
      <c r="Y15" t="s">
        <v>24</v>
      </c>
    </row>
    <row r="16" spans="1:25" x14ac:dyDescent="0.3">
      <c r="A16">
        <v>1908</v>
      </c>
      <c r="B16">
        <v>1124</v>
      </c>
      <c r="C16">
        <v>1658</v>
      </c>
      <c r="D16" s="3">
        <f>B16/($E$6+$E$7*B16)</f>
        <v>1941.4773562791086</v>
      </c>
      <c r="E16" s="2">
        <f>LN($E$9)+(LN(C16/D16))^2/(2*$E$9^2)</f>
        <v>-0.70735199590802422</v>
      </c>
      <c r="G16" s="3">
        <f>$H$6*B16*EXP(-1*$H$7*B16)</f>
        <v>1875.5891979067651</v>
      </c>
      <c r="H16" s="2">
        <f>LN($H$9)+(LN(C16/G16))^2/(2*$H$9^2)</f>
        <v>-0.73419474461546497</v>
      </c>
      <c r="J16" s="3">
        <f>$K$6*B16/(1+(B16/$K$7)^$K$8)</f>
        <v>1811.0845412869926</v>
      </c>
      <c r="K16" s="2">
        <f>LN($K$9)+(LN(C16/J16))^2/(2*$K$9^2)</f>
        <v>-0.75491120366840414</v>
      </c>
      <c r="M16" s="3">
        <f>$N$6*B16/((1+$N$7*B16)^$N$8)</f>
        <v>1877.9577586492942</v>
      </c>
      <c r="N16" s="2">
        <f>LN($N$9)+(LN(C16/M16))^2/(2*$N$9^2)</f>
        <v>-0.73679179295291686</v>
      </c>
      <c r="P16" s="3">
        <f>$Q$7*(1-EXP(-1*$Q$6/$Q$7*B16))</f>
        <v>1905.7823762488767</v>
      </c>
      <c r="Q16" s="2">
        <f>LN($Q$9)+(LN(C16/P16))^2/(2*$Q$9^2)</f>
        <v>-0.72251512519356942</v>
      </c>
      <c r="S16">
        <v>158</v>
      </c>
      <c r="T16">
        <v>637</v>
      </c>
      <c r="U16" s="3">
        <f>S16/($E$6+$E$7*S16)</f>
        <v>500.31090065740119</v>
      </c>
      <c r="V16" s="3">
        <f>$H$6*S16*EXP(-1*$H$7*S16)</f>
        <v>489.72537460948234</v>
      </c>
      <c r="W16" s="3">
        <f>$K$6*S16/(1+(S16/$K$7)^$K$8)</f>
        <v>451.20132007547625</v>
      </c>
      <c r="X16" s="3">
        <f>$N$6*S16/((1+$N$7*S16)^$N$8)</f>
        <v>489.91248225206698</v>
      </c>
      <c r="Y16" s="3">
        <f>$Q$7*(1-EXP(-1*$Q$6/$Q$7*S16))</f>
        <v>494.05555113408127</v>
      </c>
    </row>
    <row r="17" spans="1:25" x14ac:dyDescent="0.3">
      <c r="A17">
        <v>1909</v>
      </c>
      <c r="B17">
        <v>706</v>
      </c>
      <c r="C17">
        <v>2380</v>
      </c>
      <c r="D17" s="3">
        <f>B17/($E$6+$E$7*B17)</f>
        <v>1518.0249305811203</v>
      </c>
      <c r="E17" s="2">
        <f>LN($E$9)+(LN(C17/D17))^2/(2*$E$9^2)</f>
        <v>-0.2980436273887867</v>
      </c>
      <c r="G17" s="3">
        <f t="shared" ref="G17:G60" si="0">$H$6*B17*EXP(-1*$H$7*B17)</f>
        <v>1540.0785050139921</v>
      </c>
      <c r="H17" s="2">
        <f t="shared" ref="H17:H60" si="1">LN($H$9)+(LN(C17/G17))^2/(2*$H$9^2)</f>
        <v>-0.3280864828328568</v>
      </c>
      <c r="J17" s="3">
        <f t="shared" ref="J17:J60" si="2">$K$6*B17/(1+(B17/$K$7)^$K$8)</f>
        <v>1601.5474798133923</v>
      </c>
      <c r="K17" s="2">
        <f t="shared" ref="K17:K60" si="3">LN($K$9)+(LN(C17/J17))^2/(2*$K$9^2)</f>
        <v>-0.40487357073162894</v>
      </c>
      <c r="M17" s="3">
        <f t="shared" ref="M17:M60" si="4">$N$6*B17/((1+$N$7*B17)^$N$8)</f>
        <v>1540.8874032710414</v>
      </c>
      <c r="N17" s="2">
        <f t="shared" ref="N17:N60" si="5">LN($N$9)+(LN(C17/M17))^2/(2*$N$9^2)</f>
        <v>-0.32956674624759036</v>
      </c>
      <c r="P17" s="3">
        <f t="shared" ref="P17:P60" si="6">$Q$7*(1-EXP(-1*$Q$6/$Q$7*B17))</f>
        <v>1528.4396501429676</v>
      </c>
      <c r="Q17" s="2">
        <f t="shared" ref="Q17:Q60" si="7">LN($Q$9)+(LN(C17/P17))^2/(2*$Q$9^2)</f>
        <v>-0.31237756232692448</v>
      </c>
      <c r="S17">
        <v>163</v>
      </c>
      <c r="T17">
        <v>184</v>
      </c>
      <c r="U17" s="3">
        <f t="shared" ref="U17:U60" si="8">S17/($E$6+$E$7*S17)</f>
        <v>513.92706838460424</v>
      </c>
      <c r="V17" s="3">
        <f t="shared" ref="V17:V60" si="9">$H$6*S17*EXP(-1*$H$7*S17)</f>
        <v>503.60632718084094</v>
      </c>
      <c r="W17" s="3">
        <f t="shared" ref="W17:W60" si="10">$K$6*S17/(1+(S17/$K$7)^$K$8)</f>
        <v>465.18598947156016</v>
      </c>
      <c r="X17" s="3">
        <f t="shared" ref="X17:X60" si="11">$N$6*S17/((1+$N$7*S17)^$N$8)</f>
        <v>503.79726281536205</v>
      </c>
      <c r="Y17" s="3">
        <f t="shared" ref="Y17:Y60" si="12">$Q$7*(1-EXP(-1*$Q$6/$Q$7*S17))</f>
        <v>507.85541520698303</v>
      </c>
    </row>
    <row r="18" spans="1:25" x14ac:dyDescent="0.3">
      <c r="A18">
        <v>1910</v>
      </c>
      <c r="B18">
        <v>1506</v>
      </c>
      <c r="C18">
        <v>1921</v>
      </c>
      <c r="D18" s="3">
        <f>B18/($E$6+$E$7*B18)</f>
        <v>2204.9884132260181</v>
      </c>
      <c r="E18" s="2">
        <f>LN($E$9)+(LN(C18/D18))^2/(2*$E$9^2)</f>
        <v>-0.72097801010739215</v>
      </c>
      <c r="G18" s="3">
        <f t="shared" si="0"/>
        <v>1967.2142115473571</v>
      </c>
      <c r="H18" s="2">
        <f t="shared" si="1"/>
        <v>-0.7683154322085457</v>
      </c>
      <c r="J18" s="3">
        <f t="shared" si="2"/>
        <v>1703.9724738837867</v>
      </c>
      <c r="K18" s="2">
        <f t="shared" si="3"/>
        <v>-0.73948259513856973</v>
      </c>
      <c r="M18" s="3">
        <f t="shared" si="4"/>
        <v>1971.958115185899</v>
      </c>
      <c r="N18" s="2">
        <f t="shared" si="5"/>
        <v>-0.77161002494409858</v>
      </c>
      <c r="P18" s="3">
        <f t="shared" si="6"/>
        <v>2094.3091236884202</v>
      </c>
      <c r="Q18" s="2">
        <f t="shared" si="7"/>
        <v>-0.75022112769642268</v>
      </c>
      <c r="S18">
        <v>173</v>
      </c>
      <c r="T18">
        <v>640</v>
      </c>
      <c r="U18" s="3">
        <f t="shared" si="8"/>
        <v>540.81156289962701</v>
      </c>
      <c r="V18" s="3">
        <f t="shared" si="9"/>
        <v>531.08713726768997</v>
      </c>
      <c r="W18" s="3">
        <f t="shared" si="10"/>
        <v>493.06422273376631</v>
      </c>
      <c r="X18" s="3">
        <f t="shared" si="11"/>
        <v>531.28550446898498</v>
      </c>
      <c r="Y18" s="3">
        <f t="shared" si="12"/>
        <v>535.14598603169395</v>
      </c>
    </row>
    <row r="19" spans="1:25" x14ac:dyDescent="0.3">
      <c r="A19">
        <v>1911</v>
      </c>
      <c r="B19">
        <v>1054</v>
      </c>
      <c r="C19">
        <v>1239</v>
      </c>
      <c r="D19" s="3">
        <f>B19/($E$6+$E$7*B19)</f>
        <v>1882.5708982117917</v>
      </c>
      <c r="E19" s="2">
        <f>LN($E$9)+(LN(C19/D19))^2/(2*$E$9^2)</f>
        <v>-0.36087572382453187</v>
      </c>
      <c r="G19" s="3">
        <f t="shared" si="0"/>
        <v>1839.4978167945753</v>
      </c>
      <c r="H19" s="2">
        <f t="shared" si="1"/>
        <v>-0.4056572919630046</v>
      </c>
      <c r="J19" s="3">
        <f t="shared" si="2"/>
        <v>1808.0062382663054</v>
      </c>
      <c r="K19" s="2">
        <f t="shared" si="3"/>
        <v>-0.43796073964712867</v>
      </c>
      <c r="M19" s="3">
        <f t="shared" si="4"/>
        <v>1841.5239668211777</v>
      </c>
      <c r="N19" s="2">
        <f t="shared" si="5"/>
        <v>-0.40457834058449615</v>
      </c>
      <c r="P19" s="3">
        <f t="shared" si="6"/>
        <v>1857.9006144075627</v>
      </c>
      <c r="Q19" s="2">
        <f t="shared" si="7"/>
        <v>-0.38659414987419233</v>
      </c>
      <c r="S19">
        <v>224</v>
      </c>
      <c r="T19">
        <v>679</v>
      </c>
      <c r="U19" s="3">
        <f t="shared" si="8"/>
        <v>671.09683918773169</v>
      </c>
      <c r="V19" s="3">
        <f t="shared" si="9"/>
        <v>665.53337866500362</v>
      </c>
      <c r="W19" s="3">
        <f t="shared" si="10"/>
        <v>633.0412344962142</v>
      </c>
      <c r="X19" s="3">
        <f t="shared" si="11"/>
        <v>665.76610574222798</v>
      </c>
      <c r="Y19" s="3">
        <f t="shared" si="12"/>
        <v>668.12333254500436</v>
      </c>
    </row>
    <row r="20" spans="1:25" x14ac:dyDescent="0.3">
      <c r="A20">
        <v>1912</v>
      </c>
      <c r="B20">
        <v>765</v>
      </c>
      <c r="C20">
        <v>894</v>
      </c>
      <c r="D20" s="3">
        <f>B20/($E$6+$E$7*B20)</f>
        <v>1589.9423817962806</v>
      </c>
      <c r="E20" s="2">
        <f>LN($E$9)+(LN(C20/D20))^2/(2*$E$9^2)</f>
        <v>3.5444993300703942E-4</v>
      </c>
      <c r="G20" s="3">
        <f t="shared" si="0"/>
        <v>1606.8473544797414</v>
      </c>
      <c r="H20" s="2">
        <f t="shared" si="1"/>
        <v>3.1564022352703613E-2</v>
      </c>
      <c r="J20" s="3">
        <f t="shared" si="2"/>
        <v>1663.5997174892143</v>
      </c>
      <c r="K20" s="2">
        <f t="shared" si="3"/>
        <v>0.13211582865729177</v>
      </c>
      <c r="M20" s="3">
        <f t="shared" si="4"/>
        <v>1607.8057163539072</v>
      </c>
      <c r="N20" s="2">
        <f t="shared" si="5"/>
        <v>3.538724294635176E-2</v>
      </c>
      <c r="P20" s="3">
        <f t="shared" si="6"/>
        <v>1597.0825397863948</v>
      </c>
      <c r="Q20" s="2">
        <f t="shared" si="7"/>
        <v>1.3805915995138696E-2</v>
      </c>
      <c r="S20">
        <v>244</v>
      </c>
      <c r="T20">
        <v>1296</v>
      </c>
      <c r="U20" s="3">
        <f t="shared" si="8"/>
        <v>719.27621455095891</v>
      </c>
      <c r="V20" s="3">
        <f t="shared" si="9"/>
        <v>715.72116918953384</v>
      </c>
      <c r="W20" s="3">
        <f t="shared" si="10"/>
        <v>686.75400096392582</v>
      </c>
      <c r="X20" s="3">
        <f t="shared" si="11"/>
        <v>715.96634637581644</v>
      </c>
      <c r="Y20" s="3">
        <f t="shared" si="12"/>
        <v>717.5517466516917</v>
      </c>
    </row>
    <row r="21" spans="1:25" x14ac:dyDescent="0.3">
      <c r="A21">
        <v>1913</v>
      </c>
      <c r="B21">
        <v>444</v>
      </c>
      <c r="C21">
        <v>1737</v>
      </c>
      <c r="D21" s="3">
        <f>B21/($E$6+$E$7*B21)</f>
        <v>1127.7347606131927</v>
      </c>
      <c r="E21" s="2">
        <f>LN($E$9)+(LN(C21/D21))^2/(2*$E$9^2)</f>
        <v>-0.33415222156068147</v>
      </c>
      <c r="G21" s="3">
        <f t="shared" si="0"/>
        <v>1145.6689348395687</v>
      </c>
      <c r="H21" s="2">
        <f t="shared" si="1"/>
        <v>-0.36598013425616843</v>
      </c>
      <c r="J21" s="3">
        <f t="shared" si="2"/>
        <v>1170.4165839654709</v>
      </c>
      <c r="K21" s="2">
        <f t="shared" si="3"/>
        <v>-0.40734359370006751</v>
      </c>
      <c r="M21" s="3">
        <f t="shared" si="4"/>
        <v>1146.0584363293065</v>
      </c>
      <c r="N21" s="2">
        <f t="shared" si="5"/>
        <v>-0.36732469208335905</v>
      </c>
      <c r="P21" s="3">
        <f t="shared" si="6"/>
        <v>1138.0817623456674</v>
      </c>
      <c r="Q21" s="2">
        <f t="shared" si="7"/>
        <v>-0.35263498763886819</v>
      </c>
      <c r="S21">
        <v>272</v>
      </c>
      <c r="T21">
        <v>477</v>
      </c>
      <c r="U21" s="3">
        <f t="shared" si="8"/>
        <v>784.1847017716841</v>
      </c>
      <c r="V21" s="3">
        <f t="shared" si="9"/>
        <v>783.66064757239042</v>
      </c>
      <c r="W21" s="3">
        <f t="shared" si="10"/>
        <v>760.63459472766556</v>
      </c>
      <c r="X21" s="3">
        <f t="shared" si="11"/>
        <v>783.92292539091795</v>
      </c>
      <c r="Y21" s="3">
        <f t="shared" si="12"/>
        <v>784.30241318866081</v>
      </c>
    </row>
    <row r="22" spans="1:25" x14ac:dyDescent="0.3">
      <c r="A22">
        <v>1914</v>
      </c>
      <c r="B22">
        <v>979</v>
      </c>
      <c r="C22">
        <v>3657</v>
      </c>
      <c r="D22" s="3">
        <f>B22/($E$6+$E$7*B22)</f>
        <v>1814.8356502143174</v>
      </c>
      <c r="E22" s="2">
        <f>LN($E$9)+(LN(C22/D22))^2/(2*$E$9^2)</f>
        <v>0.36837420872676785</v>
      </c>
      <c r="G22" s="3">
        <f t="shared" si="0"/>
        <v>1792.7534156972608</v>
      </c>
      <c r="H22" s="2">
        <f t="shared" si="1"/>
        <v>0.41479898197943033</v>
      </c>
      <c r="J22" s="3">
        <f t="shared" si="2"/>
        <v>1792.7759411937466</v>
      </c>
      <c r="K22" s="2">
        <f t="shared" si="3"/>
        <v>0.41969690487976063</v>
      </c>
      <c r="M22" s="3">
        <f t="shared" si="4"/>
        <v>1794.448401685135</v>
      </c>
      <c r="N22" s="2">
        <f t="shared" si="5"/>
        <v>0.41657824577545333</v>
      </c>
      <c r="P22" s="3">
        <f t="shared" si="6"/>
        <v>1800.689063242653</v>
      </c>
      <c r="Q22" s="2">
        <f t="shared" si="7"/>
        <v>0.39737138727379784</v>
      </c>
      <c r="S22">
        <v>297</v>
      </c>
      <c r="T22">
        <v>535</v>
      </c>
      <c r="U22" s="3">
        <f t="shared" si="8"/>
        <v>839.77295493456324</v>
      </c>
      <c r="V22" s="3">
        <f t="shared" si="9"/>
        <v>842.08484289106468</v>
      </c>
      <c r="W22" s="3">
        <f t="shared" si="10"/>
        <v>825.15925016390099</v>
      </c>
      <c r="X22" s="3">
        <f t="shared" si="11"/>
        <v>842.36249404184173</v>
      </c>
      <c r="Y22" s="3">
        <f t="shared" si="12"/>
        <v>841.57338271633728</v>
      </c>
    </row>
    <row r="23" spans="1:25" x14ac:dyDescent="0.3">
      <c r="A23">
        <v>1915</v>
      </c>
      <c r="B23">
        <v>771</v>
      </c>
      <c r="C23">
        <v>2160</v>
      </c>
      <c r="D23" s="3">
        <f>B23/($E$6+$E$7*B23)</f>
        <v>1596.9877961926929</v>
      </c>
      <c r="E23" s="2">
        <f>LN($E$9)+(LN(C23/D23))^2/(2*$E$9^2)</f>
        <v>-0.5543369955380385</v>
      </c>
      <c r="G23" s="3">
        <f t="shared" si="0"/>
        <v>1613.2334889790086</v>
      </c>
      <c r="H23" s="2">
        <f t="shared" si="1"/>
        <v>-0.57109786743439206</v>
      </c>
      <c r="J23" s="3">
        <f t="shared" si="2"/>
        <v>1669.2186782236324</v>
      </c>
      <c r="K23" s="2">
        <f t="shared" si="3"/>
        <v>-0.61726898312920697</v>
      </c>
      <c r="M23" s="3">
        <f t="shared" si="4"/>
        <v>1614.2083177009324</v>
      </c>
      <c r="N23" s="2">
        <f t="shared" si="5"/>
        <v>-0.5740820463024221</v>
      </c>
      <c r="P23" s="3">
        <f t="shared" si="6"/>
        <v>1603.7282476980947</v>
      </c>
      <c r="Q23" s="2">
        <f t="shared" si="7"/>
        <v>-0.56174585931071142</v>
      </c>
      <c r="S23">
        <v>305</v>
      </c>
      <c r="T23">
        <v>905</v>
      </c>
      <c r="U23" s="3">
        <f t="shared" si="8"/>
        <v>857.11184125212799</v>
      </c>
      <c r="V23" s="3">
        <f t="shared" si="9"/>
        <v>860.34398275796696</v>
      </c>
      <c r="W23" s="3">
        <f t="shared" si="10"/>
        <v>845.49729773769729</v>
      </c>
      <c r="X23" s="3">
        <f t="shared" si="11"/>
        <v>860.62664213539733</v>
      </c>
      <c r="Y23" s="3">
        <f t="shared" si="12"/>
        <v>859.45027544900609</v>
      </c>
    </row>
    <row r="24" spans="1:25" x14ac:dyDescent="0.3">
      <c r="A24">
        <v>1916</v>
      </c>
      <c r="B24">
        <v>393</v>
      </c>
      <c r="C24">
        <v>450</v>
      </c>
      <c r="D24" s="3">
        <f>B24/($E$6+$E$7*B24)</f>
        <v>1034.7080681550565</v>
      </c>
      <c r="E24" s="2">
        <f>LN($E$9)+(LN(C24/D24))^2/(2*$E$9^2)</f>
        <v>0.83551139032765787</v>
      </c>
      <c r="G24" s="3">
        <f t="shared" si="0"/>
        <v>1047.7714829723805</v>
      </c>
      <c r="H24" s="2">
        <f t="shared" si="1"/>
        <v>0.89514331130373981</v>
      </c>
      <c r="J24" s="3">
        <f t="shared" si="2"/>
        <v>1057.9536026190374</v>
      </c>
      <c r="K24" s="2">
        <f t="shared" si="3"/>
        <v>0.94213367329674991</v>
      </c>
      <c r="M24" s="3">
        <f t="shared" si="4"/>
        <v>1048.1159719291568</v>
      </c>
      <c r="N24" s="2">
        <f t="shared" si="5"/>
        <v>0.9048457836535585</v>
      </c>
      <c r="P24" s="3">
        <f t="shared" si="6"/>
        <v>1042.5421090665484</v>
      </c>
      <c r="Q24" s="2">
        <f t="shared" si="7"/>
        <v>0.87070621676050819</v>
      </c>
      <c r="S24">
        <v>307</v>
      </c>
      <c r="T24">
        <v>911</v>
      </c>
      <c r="U24" s="3">
        <f t="shared" si="8"/>
        <v>861.41343147986015</v>
      </c>
      <c r="V24" s="3">
        <f t="shared" si="9"/>
        <v>864.87607423682971</v>
      </c>
      <c r="W24" s="3">
        <f t="shared" si="10"/>
        <v>850.55736818091134</v>
      </c>
      <c r="X24" s="3">
        <f t="shared" si="11"/>
        <v>865.15999522316463</v>
      </c>
      <c r="Y24" s="3">
        <f t="shared" si="12"/>
        <v>863.88601553462581</v>
      </c>
    </row>
    <row r="25" spans="1:25" x14ac:dyDescent="0.3">
      <c r="A25">
        <v>1917</v>
      </c>
      <c r="B25">
        <v>623</v>
      </c>
      <c r="C25">
        <v>848</v>
      </c>
      <c r="D25" s="3">
        <f>B25/($E$6+$E$7*B25)</f>
        <v>1408.0084772770585</v>
      </c>
      <c r="E25" s="2">
        <f>LN($E$9)+(LN(C25/D25))^2/(2*$E$9^2)</f>
        <v>-0.17135784655032327</v>
      </c>
      <c r="G25" s="3">
        <f t="shared" si="0"/>
        <v>1433.2848844189548</v>
      </c>
      <c r="H25" s="2">
        <f t="shared" si="1"/>
        <v>-0.1276486915528886</v>
      </c>
      <c r="J25" s="3">
        <f t="shared" si="2"/>
        <v>1492.6472436382892</v>
      </c>
      <c r="K25" s="2">
        <f t="shared" si="3"/>
        <v>-2.2753318500795872E-2</v>
      </c>
      <c r="M25" s="3">
        <f t="shared" si="4"/>
        <v>1433.9204245470401</v>
      </c>
      <c r="N25" s="2">
        <f t="shared" si="5"/>
        <v>-0.12552089496071361</v>
      </c>
      <c r="P25" s="3">
        <f t="shared" si="6"/>
        <v>1420.9658499769102</v>
      </c>
      <c r="Q25" s="2">
        <f t="shared" si="7"/>
        <v>-0.14909427435166012</v>
      </c>
      <c r="S25">
        <v>310</v>
      </c>
      <c r="T25">
        <v>1556</v>
      </c>
      <c r="U25" s="3">
        <f t="shared" si="8"/>
        <v>867.84121464322914</v>
      </c>
      <c r="V25" s="3">
        <f t="shared" si="9"/>
        <v>871.64979700670028</v>
      </c>
      <c r="W25" s="3">
        <f t="shared" si="10"/>
        <v>858.12887798250813</v>
      </c>
      <c r="X25" s="3">
        <f t="shared" si="11"/>
        <v>871.93561833834178</v>
      </c>
      <c r="Y25" s="3">
        <f t="shared" si="12"/>
        <v>870.5146764557046</v>
      </c>
    </row>
    <row r="26" spans="1:25" x14ac:dyDescent="0.3">
      <c r="A26">
        <v>1918</v>
      </c>
      <c r="B26">
        <v>970</v>
      </c>
      <c r="C26">
        <v>2452</v>
      </c>
      <c r="D26" s="3">
        <f>B26/($E$6+$E$7*B26)</f>
        <v>1806.3610723851828</v>
      </c>
      <c r="E26" s="2">
        <f>LN($E$9)+(LN(C26/D26))^2/(2*$E$9^2)</f>
        <v>-0.5492868405674971</v>
      </c>
      <c r="G26" s="3">
        <f t="shared" si="0"/>
        <v>1786.5497118016519</v>
      </c>
      <c r="H26" s="2">
        <f t="shared" si="1"/>
        <v>-0.5359991087980901</v>
      </c>
      <c r="J26" s="3">
        <f t="shared" si="2"/>
        <v>1790.0242292220541</v>
      </c>
      <c r="K26" s="2">
        <f t="shared" si="3"/>
        <v>-0.54078290517859506</v>
      </c>
      <c r="M26" s="3">
        <f t="shared" si="4"/>
        <v>1788.207485226078</v>
      </c>
      <c r="N26" s="2">
        <f t="shared" si="5"/>
        <v>-0.5392803617621118</v>
      </c>
      <c r="P26" s="3">
        <f t="shared" si="6"/>
        <v>1793.3801670081623</v>
      </c>
      <c r="Q26" s="2">
        <f t="shared" si="7"/>
        <v>-0.54045510287137111</v>
      </c>
      <c r="S26">
        <v>310</v>
      </c>
      <c r="T26">
        <v>1183</v>
      </c>
      <c r="U26" s="3">
        <f t="shared" si="8"/>
        <v>867.84121464322914</v>
      </c>
      <c r="V26" s="3">
        <f t="shared" si="9"/>
        <v>871.64979700670028</v>
      </c>
      <c r="W26" s="3">
        <f t="shared" si="10"/>
        <v>858.12887798250813</v>
      </c>
      <c r="X26" s="3">
        <f t="shared" si="11"/>
        <v>871.93561833834178</v>
      </c>
      <c r="Y26" s="3">
        <f t="shared" si="12"/>
        <v>870.5146764557046</v>
      </c>
    </row>
    <row r="27" spans="1:25" x14ac:dyDescent="0.3">
      <c r="A27">
        <v>1919</v>
      </c>
      <c r="B27">
        <v>868</v>
      </c>
      <c r="C27">
        <v>3838</v>
      </c>
      <c r="D27" s="3">
        <f>B27/($E$6+$E$7*B27)</f>
        <v>1704.6127776847261</v>
      </c>
      <c r="E27" s="2">
        <f>LN($E$9)+(LN(C27/D27))^2/(2*$E$9^2)</f>
        <v>0.75575124219237311</v>
      </c>
      <c r="G27" s="3">
        <f t="shared" si="0"/>
        <v>1706.706370079962</v>
      </c>
      <c r="H27" s="2">
        <f t="shared" si="1"/>
        <v>0.76091973476206498</v>
      </c>
      <c r="J27" s="3">
        <f t="shared" si="2"/>
        <v>1743.2840605626534</v>
      </c>
      <c r="K27" s="2">
        <f t="shared" si="3"/>
        <v>0.68873056378861819</v>
      </c>
      <c r="M27" s="3">
        <f t="shared" si="4"/>
        <v>1707.9806860160134</v>
      </c>
      <c r="N27" s="2">
        <f t="shared" si="5"/>
        <v>0.76551306492571747</v>
      </c>
      <c r="P27" s="3">
        <f t="shared" si="6"/>
        <v>1703.2529101398513</v>
      </c>
      <c r="Q27" s="2">
        <f t="shared" si="7"/>
        <v>0.76424303019655082</v>
      </c>
      <c r="S27">
        <v>320</v>
      </c>
      <c r="T27">
        <v>1220</v>
      </c>
      <c r="U27" s="3">
        <f t="shared" si="8"/>
        <v>889.05636011985996</v>
      </c>
      <c r="V27" s="3">
        <f t="shared" si="9"/>
        <v>894.01833242428768</v>
      </c>
      <c r="W27" s="3">
        <f t="shared" si="10"/>
        <v>883.20346486685594</v>
      </c>
      <c r="X27" s="3">
        <f t="shared" si="11"/>
        <v>894.31056454270049</v>
      </c>
      <c r="Y27" s="3">
        <f t="shared" si="12"/>
        <v>892.39560352217097</v>
      </c>
    </row>
    <row r="28" spans="1:25" x14ac:dyDescent="0.3">
      <c r="A28">
        <v>1920</v>
      </c>
      <c r="B28">
        <v>546</v>
      </c>
      <c r="C28">
        <v>1623</v>
      </c>
      <c r="D28" s="3">
        <f>B28/($E$6+$E$7*B28)</f>
        <v>1295.3913559437524</v>
      </c>
      <c r="E28" s="2">
        <f>LN($E$9)+(LN(C28/D28))^2/(2*$E$9^2)</f>
        <v>-0.64751426095005582</v>
      </c>
      <c r="G28" s="3">
        <f t="shared" si="0"/>
        <v>1319.6935572996724</v>
      </c>
      <c r="H28" s="2">
        <f t="shared" si="1"/>
        <v>-0.66988833167701001</v>
      </c>
      <c r="J28" s="3">
        <f t="shared" si="2"/>
        <v>1368.486389765096</v>
      </c>
      <c r="K28" s="2">
        <f t="shared" si="3"/>
        <v>-0.70492388153039043</v>
      </c>
      <c r="M28" s="3">
        <f t="shared" si="4"/>
        <v>1320.2038663596381</v>
      </c>
      <c r="N28" s="2">
        <f t="shared" si="5"/>
        <v>-0.67313193467221255</v>
      </c>
      <c r="P28" s="3">
        <f t="shared" si="6"/>
        <v>1308.5333129399173</v>
      </c>
      <c r="Q28" s="2">
        <f t="shared" si="7"/>
        <v>-0.65988762105447807</v>
      </c>
      <c r="S28">
        <v>340</v>
      </c>
      <c r="T28">
        <v>1202</v>
      </c>
      <c r="U28" s="3">
        <f t="shared" si="8"/>
        <v>930.53767122614227</v>
      </c>
      <c r="V28" s="3">
        <f t="shared" si="9"/>
        <v>937.79427288546822</v>
      </c>
      <c r="W28" s="3">
        <f t="shared" si="10"/>
        <v>932.57071969234823</v>
      </c>
      <c r="X28" s="3">
        <f t="shared" si="11"/>
        <v>938.09975367830418</v>
      </c>
      <c r="Y28" s="3">
        <f t="shared" si="12"/>
        <v>935.18315904832161</v>
      </c>
    </row>
    <row r="29" spans="1:25" x14ac:dyDescent="0.3">
      <c r="A29">
        <v>1921</v>
      </c>
      <c r="B29">
        <v>244</v>
      </c>
      <c r="C29">
        <v>1296</v>
      </c>
      <c r="D29" s="3">
        <f>B29/($E$6+$E$7*B29)</f>
        <v>719.27621455095891</v>
      </c>
      <c r="E29" s="2">
        <f>LN($E$9)+(LN(C29/D29))^2/(2*$E$9^2)</f>
        <v>3.5423452209292994E-2</v>
      </c>
      <c r="G29" s="3">
        <f t="shared" si="0"/>
        <v>715.72116918953384</v>
      </c>
      <c r="H29" s="2">
        <f t="shared" si="1"/>
        <v>5.1980832772573482E-2</v>
      </c>
      <c r="J29" s="3">
        <f t="shared" si="2"/>
        <v>686.75400096392582</v>
      </c>
      <c r="K29" s="2">
        <f t="shared" si="3"/>
        <v>0.17347883488691618</v>
      </c>
      <c r="M29" s="3">
        <f t="shared" si="4"/>
        <v>715.96634637581644</v>
      </c>
      <c r="N29" s="2">
        <f t="shared" si="5"/>
        <v>5.3354516593955181E-2</v>
      </c>
      <c r="P29" s="3">
        <f t="shared" si="6"/>
        <v>717.5517466516917</v>
      </c>
      <c r="Q29" s="2">
        <f t="shared" si="7"/>
        <v>4.3615521330676588E-2</v>
      </c>
      <c r="S29">
        <v>382</v>
      </c>
      <c r="T29">
        <v>601</v>
      </c>
      <c r="U29" s="3">
        <f t="shared" si="8"/>
        <v>1013.7442145680578</v>
      </c>
      <c r="V29" s="3">
        <f t="shared" si="9"/>
        <v>1025.6511457161257</v>
      </c>
      <c r="W29" s="3">
        <f t="shared" si="10"/>
        <v>1032.6139984394554</v>
      </c>
      <c r="X29" s="3">
        <f t="shared" si="11"/>
        <v>1025.9869760126771</v>
      </c>
      <c r="Y29" s="3">
        <f t="shared" si="12"/>
        <v>1020.9577820883926</v>
      </c>
    </row>
    <row r="30" spans="1:25" x14ac:dyDescent="0.3">
      <c r="A30">
        <v>1922</v>
      </c>
      <c r="B30">
        <v>635</v>
      </c>
      <c r="C30">
        <v>1487</v>
      </c>
      <c r="D30" s="3">
        <f>B30/($E$6+$E$7*B30)</f>
        <v>1424.6046220459627</v>
      </c>
      <c r="E30" s="2">
        <f>LN($E$9)+(LN(C30/D30))^2/(2*$E$9^2)</f>
        <v>-0.76061953661881232</v>
      </c>
      <c r="G30" s="3">
        <f t="shared" si="0"/>
        <v>1449.6979582664735</v>
      </c>
      <c r="H30" s="2">
        <f t="shared" si="1"/>
        <v>-0.76812828183428605</v>
      </c>
      <c r="J30" s="3">
        <f t="shared" si="2"/>
        <v>1509.9860034261455</v>
      </c>
      <c r="K30" s="2">
        <f t="shared" si="3"/>
        <v>-0.77266667655415755</v>
      </c>
      <c r="M30" s="3">
        <f t="shared" si="4"/>
        <v>1450.356002610866</v>
      </c>
      <c r="N30" s="2">
        <f t="shared" si="5"/>
        <v>-0.77175759928948695</v>
      </c>
      <c r="P30" s="3">
        <f t="shared" si="6"/>
        <v>1437.3453620502391</v>
      </c>
      <c r="Q30" s="2">
        <f t="shared" si="7"/>
        <v>-0.76486017462144629</v>
      </c>
      <c r="S30">
        <v>393</v>
      </c>
      <c r="T30">
        <v>450</v>
      </c>
      <c r="U30" s="3">
        <f t="shared" si="8"/>
        <v>1034.7080681550565</v>
      </c>
      <c r="V30" s="3">
        <f t="shared" si="9"/>
        <v>1047.7714829723805</v>
      </c>
      <c r="W30" s="3">
        <f t="shared" si="10"/>
        <v>1057.9536026190374</v>
      </c>
      <c r="X30" s="3">
        <f t="shared" si="11"/>
        <v>1048.1159719291568</v>
      </c>
      <c r="Y30" s="3">
        <f t="shared" si="12"/>
        <v>1042.5421090665484</v>
      </c>
    </row>
    <row r="31" spans="1:25" x14ac:dyDescent="0.3">
      <c r="A31">
        <v>1923</v>
      </c>
      <c r="B31">
        <v>1043</v>
      </c>
      <c r="C31">
        <v>1497</v>
      </c>
      <c r="D31" s="3">
        <f>B31/($E$6+$E$7*B31)</f>
        <v>1872.9474035419214</v>
      </c>
      <c r="E31" s="2">
        <f>LN($E$9)+(LN(C31/D31))^2/(2*$E$9^2)</f>
        <v>-0.6489807063287707</v>
      </c>
      <c r="G31" s="3">
        <f t="shared" si="0"/>
        <v>1833.1806189794165</v>
      </c>
      <c r="H31" s="2">
        <f t="shared" si="1"/>
        <v>-0.67397971222721431</v>
      </c>
      <c r="J31" s="3">
        <f t="shared" si="2"/>
        <v>1806.5909201334769</v>
      </c>
      <c r="K31" s="2">
        <f t="shared" si="3"/>
        <v>-0.69027294917429804</v>
      </c>
      <c r="M31" s="3">
        <f t="shared" si="4"/>
        <v>1835.1558621955623</v>
      </c>
      <c r="N31" s="2">
        <f t="shared" si="5"/>
        <v>-0.67585065358120888</v>
      </c>
      <c r="P31" s="3">
        <f t="shared" si="6"/>
        <v>1849.9077249585632</v>
      </c>
      <c r="Q31" s="2">
        <f t="shared" si="7"/>
        <v>-0.66355143193054333</v>
      </c>
      <c r="S31">
        <v>444</v>
      </c>
      <c r="T31">
        <v>1737</v>
      </c>
      <c r="U31" s="3">
        <f t="shared" si="8"/>
        <v>1127.7347606131927</v>
      </c>
      <c r="V31" s="3">
        <f t="shared" si="9"/>
        <v>1145.6689348395687</v>
      </c>
      <c r="W31" s="3">
        <f t="shared" si="10"/>
        <v>1170.4165839654709</v>
      </c>
      <c r="X31" s="3">
        <f t="shared" si="11"/>
        <v>1146.0584363293065</v>
      </c>
      <c r="Y31" s="3">
        <f t="shared" si="12"/>
        <v>1138.0817623456674</v>
      </c>
    </row>
    <row r="32" spans="1:25" x14ac:dyDescent="0.3">
      <c r="A32">
        <v>1924</v>
      </c>
      <c r="B32">
        <v>1098</v>
      </c>
      <c r="C32">
        <v>858</v>
      </c>
      <c r="D32" s="3">
        <f>B32/($E$6+$E$7*B32)</f>
        <v>1920.0563863801747</v>
      </c>
      <c r="E32" s="2">
        <f>LN($E$9)+(LN(C32/D32))^2/(2*$E$9^2)</f>
        <v>0.73295101800832407</v>
      </c>
      <c r="G32" s="3">
        <f t="shared" si="0"/>
        <v>1862.9957953467294</v>
      </c>
      <c r="H32" s="2">
        <f t="shared" si="1"/>
        <v>0.63139076841842712</v>
      </c>
      <c r="J32" s="3">
        <f t="shared" si="2"/>
        <v>1811.0873386118474</v>
      </c>
      <c r="K32" s="2">
        <f t="shared" si="3"/>
        <v>0.53690403396060005</v>
      </c>
      <c r="M32" s="3">
        <f t="shared" si="4"/>
        <v>1865.2334825373073</v>
      </c>
      <c r="N32" s="2">
        <f t="shared" si="5"/>
        <v>0.6422627751055664</v>
      </c>
      <c r="P32" s="3">
        <f t="shared" si="6"/>
        <v>1888.5829720661882</v>
      </c>
      <c r="Q32" s="2">
        <f t="shared" si="7"/>
        <v>0.67715091166845287</v>
      </c>
      <c r="S32">
        <v>480</v>
      </c>
      <c r="T32">
        <v>1363</v>
      </c>
      <c r="U32" s="3">
        <f t="shared" si="8"/>
        <v>1189.5440741062125</v>
      </c>
      <c r="V32" s="3">
        <f t="shared" si="9"/>
        <v>1210.3065622261568</v>
      </c>
      <c r="W32" s="3">
        <f t="shared" si="10"/>
        <v>1244.5558849588685</v>
      </c>
      <c r="X32" s="3">
        <f t="shared" si="11"/>
        <v>1210.733511718546</v>
      </c>
      <c r="Y32" s="3">
        <f t="shared" si="12"/>
        <v>1201.2458460555997</v>
      </c>
    </row>
    <row r="33" spans="1:25" x14ac:dyDescent="0.3">
      <c r="A33">
        <v>1925</v>
      </c>
      <c r="B33">
        <v>624</v>
      </c>
      <c r="C33">
        <v>2346</v>
      </c>
      <c r="D33" s="3">
        <f>B33/($E$6+$E$7*B33)</f>
        <v>1409.4008492856744</v>
      </c>
      <c r="E33" s="2">
        <f>LN($E$9)+(LN(C33/D33))^2/(2*$E$9^2)</f>
        <v>-0.16549998595137894</v>
      </c>
      <c r="G33" s="3">
        <f t="shared" si="0"/>
        <v>1434.6655650204702</v>
      </c>
      <c r="H33" s="2">
        <f t="shared" si="1"/>
        <v>-0.20598705824994534</v>
      </c>
      <c r="J33" s="3">
        <f t="shared" si="2"/>
        <v>1494.1128640749546</v>
      </c>
      <c r="K33" s="2">
        <f t="shared" si="3"/>
        <v>-0.29538452322852465</v>
      </c>
      <c r="M33" s="3">
        <f t="shared" si="4"/>
        <v>1435.3029485121313</v>
      </c>
      <c r="N33" s="2">
        <f t="shared" si="5"/>
        <v>-0.2065410269959651</v>
      </c>
      <c r="P33" s="3">
        <f t="shared" si="6"/>
        <v>1422.342120219397</v>
      </c>
      <c r="Q33" s="2">
        <f t="shared" si="7"/>
        <v>-0.18638371306650936</v>
      </c>
      <c r="S33">
        <v>486</v>
      </c>
      <c r="T33">
        <v>1112</v>
      </c>
      <c r="U33" s="3">
        <f t="shared" si="8"/>
        <v>1199.5547285526311</v>
      </c>
      <c r="V33" s="3">
        <f t="shared" si="9"/>
        <v>1220.7313102363014</v>
      </c>
      <c r="W33" s="3">
        <f t="shared" si="10"/>
        <v>1256.4723284210829</v>
      </c>
      <c r="X33" s="3">
        <f t="shared" si="11"/>
        <v>1221.1650175340305</v>
      </c>
      <c r="Y33" s="3">
        <f t="shared" si="12"/>
        <v>1211.4449202649678</v>
      </c>
    </row>
    <row r="34" spans="1:25" x14ac:dyDescent="0.3">
      <c r="A34">
        <v>1926</v>
      </c>
      <c r="B34">
        <v>554</v>
      </c>
      <c r="C34">
        <v>1582</v>
      </c>
      <c r="D34" s="3">
        <f>B34/($E$6+$E$7*B34)</f>
        <v>1307.6109064376956</v>
      </c>
      <c r="E34" s="2">
        <f>LN($E$9)+(LN(C34/D34))^2/(2*$E$9^2)</f>
        <v>-0.68109763834334403</v>
      </c>
      <c r="G34" s="3">
        <f t="shared" si="0"/>
        <v>1332.1805964081902</v>
      </c>
      <c r="H34" s="2">
        <f t="shared" si="1"/>
        <v>-0.70078659884943528</v>
      </c>
      <c r="J34" s="3">
        <f t="shared" si="2"/>
        <v>1382.4214483260421</v>
      </c>
      <c r="K34" s="2">
        <f t="shared" si="3"/>
        <v>-0.73053137525547152</v>
      </c>
      <c r="M34" s="3">
        <f t="shared" si="4"/>
        <v>1332.7024406785333</v>
      </c>
      <c r="N34" s="2">
        <f t="shared" si="5"/>
        <v>-0.70419314984167136</v>
      </c>
      <c r="P34" s="3">
        <f t="shared" si="6"/>
        <v>1320.8294793560779</v>
      </c>
      <c r="Q34" s="2">
        <f t="shared" si="7"/>
        <v>-0.69198247835887194</v>
      </c>
      <c r="S34">
        <v>510</v>
      </c>
      <c r="T34">
        <v>889</v>
      </c>
      <c r="U34" s="3">
        <f t="shared" si="8"/>
        <v>1238.8025052707953</v>
      </c>
      <c r="V34" s="3">
        <f t="shared" si="9"/>
        <v>1261.457567235665</v>
      </c>
      <c r="W34" s="3">
        <f t="shared" si="10"/>
        <v>1302.8509569048272</v>
      </c>
      <c r="X34" s="3">
        <f t="shared" si="11"/>
        <v>1261.9198914927376</v>
      </c>
      <c r="Y34" s="3">
        <f t="shared" si="12"/>
        <v>1251.3338435738542</v>
      </c>
    </row>
    <row r="35" spans="1:25" x14ac:dyDescent="0.3">
      <c r="A35">
        <v>1927</v>
      </c>
      <c r="B35">
        <v>549</v>
      </c>
      <c r="C35">
        <v>1344</v>
      </c>
      <c r="D35" s="3">
        <f>B35/($E$6+$E$7*B35)</f>
        <v>1299.9884658103683</v>
      </c>
      <c r="E35" s="2">
        <f>LN($E$9)+(LN(C35/D35))^2/(2*$E$9^2)</f>
        <v>-0.76230234220985627</v>
      </c>
      <c r="G35" s="3">
        <f t="shared" si="0"/>
        <v>1324.3952979679184</v>
      </c>
      <c r="H35" s="2">
        <f t="shared" si="1"/>
        <v>-0.7691293011491761</v>
      </c>
      <c r="J35" s="3">
        <f t="shared" si="2"/>
        <v>1373.7399535018785</v>
      </c>
      <c r="K35" s="2">
        <f t="shared" si="3"/>
        <v>-0.77209457925205427</v>
      </c>
      <c r="M35" s="3">
        <f t="shared" si="4"/>
        <v>1324.9098944837974</v>
      </c>
      <c r="N35" s="2">
        <f t="shared" si="5"/>
        <v>-0.77273862598180165</v>
      </c>
      <c r="P35" s="3">
        <f t="shared" si="6"/>
        <v>1313.1617088593987</v>
      </c>
      <c r="Q35" s="2">
        <f t="shared" si="7"/>
        <v>-0.76628667315971988</v>
      </c>
      <c r="S35">
        <v>546</v>
      </c>
      <c r="T35">
        <v>1623</v>
      </c>
      <c r="U35" s="3">
        <f t="shared" si="8"/>
        <v>1295.3913559437524</v>
      </c>
      <c r="V35" s="3">
        <f t="shared" si="9"/>
        <v>1319.6935572996724</v>
      </c>
      <c r="W35" s="3">
        <f t="shared" si="10"/>
        <v>1368.486389765096</v>
      </c>
      <c r="X35" s="3">
        <f t="shared" si="11"/>
        <v>1320.2038663596381</v>
      </c>
      <c r="Y35" s="3">
        <f t="shared" si="12"/>
        <v>1308.5333129399173</v>
      </c>
    </row>
    <row r="36" spans="1:25" x14ac:dyDescent="0.3">
      <c r="A36">
        <v>1928</v>
      </c>
      <c r="B36">
        <v>224</v>
      </c>
      <c r="C36">
        <v>679</v>
      </c>
      <c r="D36" s="3">
        <f>B36/($E$6+$E$7*B36)</f>
        <v>671.09683918773169</v>
      </c>
      <c r="E36" s="2">
        <f>LN($E$9)+(LN(C36/D36))^2/(2*$E$9^2)</f>
        <v>-0.76454494721833166</v>
      </c>
      <c r="G36" s="3">
        <f t="shared" si="0"/>
        <v>665.53337866500362</v>
      </c>
      <c r="H36" s="2">
        <f t="shared" si="1"/>
        <v>-0.76869727421865075</v>
      </c>
      <c r="J36" s="3">
        <f t="shared" si="2"/>
        <v>633.0412344962142</v>
      </c>
      <c r="K36" s="2">
        <f t="shared" si="3"/>
        <v>-0.76168883018086098</v>
      </c>
      <c r="M36" s="3">
        <f t="shared" si="4"/>
        <v>665.76610574222798</v>
      </c>
      <c r="N36" s="2">
        <f t="shared" si="5"/>
        <v>-0.7723096378584593</v>
      </c>
      <c r="P36" s="3">
        <f t="shared" si="6"/>
        <v>668.12333254500436</v>
      </c>
      <c r="Q36" s="2">
        <f t="shared" si="7"/>
        <v>-0.76693198368079762</v>
      </c>
      <c r="S36">
        <v>549</v>
      </c>
      <c r="T36">
        <v>1344</v>
      </c>
      <c r="U36" s="3">
        <f t="shared" si="8"/>
        <v>1299.9884658103683</v>
      </c>
      <c r="V36" s="3">
        <f t="shared" si="9"/>
        <v>1324.3952979679184</v>
      </c>
      <c r="W36" s="3">
        <f t="shared" si="10"/>
        <v>1373.7399535018785</v>
      </c>
      <c r="X36" s="3">
        <f t="shared" si="11"/>
        <v>1324.9098944837974</v>
      </c>
      <c r="Y36" s="3">
        <f t="shared" si="12"/>
        <v>1313.1617088593987</v>
      </c>
    </row>
    <row r="37" spans="1:25" x14ac:dyDescent="0.3">
      <c r="A37">
        <v>1929</v>
      </c>
      <c r="B37">
        <v>565</v>
      </c>
      <c r="C37">
        <v>677</v>
      </c>
      <c r="D37" s="3">
        <f>B37/($E$6+$E$7*B37)</f>
        <v>1324.2089789283229</v>
      </c>
      <c r="E37" s="2">
        <f>LN($E$9)+(LN(C37/D37))^2/(2*$E$9^2)</f>
        <v>0.27418471906436492</v>
      </c>
      <c r="G37" s="3">
        <f t="shared" si="0"/>
        <v>1349.0855916959449</v>
      </c>
      <c r="H37" s="2">
        <f t="shared" si="1"/>
        <v>0.33838532369185559</v>
      </c>
      <c r="J37" s="3">
        <f t="shared" si="2"/>
        <v>1401.1923032083548</v>
      </c>
      <c r="K37" s="2">
        <f t="shared" si="3"/>
        <v>0.46881958386807188</v>
      </c>
      <c r="M37" s="3">
        <f t="shared" si="4"/>
        <v>1349.6238357213704</v>
      </c>
      <c r="N37" s="2">
        <f t="shared" si="5"/>
        <v>0.34406681597263977</v>
      </c>
      <c r="P37" s="3">
        <f t="shared" si="6"/>
        <v>1337.49711929513</v>
      </c>
      <c r="Q37" s="2">
        <f t="shared" si="7"/>
        <v>0.30840926480792863</v>
      </c>
      <c r="S37">
        <v>554</v>
      </c>
      <c r="T37">
        <v>1582</v>
      </c>
      <c r="U37" s="3">
        <f t="shared" si="8"/>
        <v>1307.6109064376956</v>
      </c>
      <c r="V37" s="3">
        <f t="shared" si="9"/>
        <v>1332.1805964081902</v>
      </c>
      <c r="W37" s="3">
        <f t="shared" si="10"/>
        <v>1382.4214483260421</v>
      </c>
      <c r="X37" s="3">
        <f t="shared" si="11"/>
        <v>1332.7024406785333</v>
      </c>
      <c r="Y37" s="3">
        <f t="shared" si="12"/>
        <v>1320.8294793560779</v>
      </c>
    </row>
    <row r="38" spans="1:25" x14ac:dyDescent="0.3">
      <c r="A38">
        <v>1930</v>
      </c>
      <c r="B38">
        <v>742</v>
      </c>
      <c r="C38">
        <v>981</v>
      </c>
      <c r="D38" s="3">
        <f>B38/($E$6+$E$7*B38)</f>
        <v>1562.4856997345555</v>
      </c>
      <c r="E38" s="2">
        <f>LN($E$9)+(LN(C38/D38))^2/(2*$E$9^2)</f>
        <v>-0.26472744321533059</v>
      </c>
      <c r="G38" s="3">
        <f t="shared" si="0"/>
        <v>1581.685186458817</v>
      </c>
      <c r="H38" s="2">
        <f t="shared" si="1"/>
        <v>-0.2378587313823346</v>
      </c>
      <c r="J38" s="3">
        <f t="shared" si="2"/>
        <v>1640.8898703852708</v>
      </c>
      <c r="K38" s="2">
        <f t="shared" si="3"/>
        <v>-0.1520385886329424</v>
      </c>
      <c r="M38" s="3">
        <f t="shared" si="4"/>
        <v>1582.5826080932416</v>
      </c>
      <c r="N38" s="2">
        <f t="shared" si="5"/>
        <v>-0.23634432883812173</v>
      </c>
      <c r="P38" s="3">
        <f t="shared" si="6"/>
        <v>1571.0448687835062</v>
      </c>
      <c r="Q38" s="2">
        <f t="shared" si="7"/>
        <v>-0.25284745858964275</v>
      </c>
      <c r="S38">
        <v>556</v>
      </c>
      <c r="T38">
        <v>2944</v>
      </c>
      <c r="U38" s="3">
        <f t="shared" si="8"/>
        <v>1310.6461780547399</v>
      </c>
      <c r="V38" s="3">
        <f t="shared" si="9"/>
        <v>1335.2769493081626</v>
      </c>
      <c r="W38" s="3">
        <f t="shared" si="10"/>
        <v>1385.8679523619137</v>
      </c>
      <c r="X38" s="3">
        <f t="shared" si="11"/>
        <v>1335.8017286284237</v>
      </c>
      <c r="Y38" s="3">
        <f t="shared" si="12"/>
        <v>1323.8804904622721</v>
      </c>
    </row>
    <row r="39" spans="1:25" x14ac:dyDescent="0.3">
      <c r="A39">
        <v>1931</v>
      </c>
      <c r="B39">
        <v>510</v>
      </c>
      <c r="C39">
        <v>889</v>
      </c>
      <c r="D39" s="3">
        <f>B39/($E$6+$E$7*B39)</f>
        <v>1238.8025052707953</v>
      </c>
      <c r="E39" s="2">
        <f>LN($E$9)+(LN(C39/D39))^2/(2*$E$9^2)</f>
        <v>-0.51071647849081958</v>
      </c>
      <c r="G39" s="3">
        <f t="shared" si="0"/>
        <v>1261.457567235665</v>
      </c>
      <c r="H39" s="2">
        <f t="shared" si="1"/>
        <v>-0.4842571551643482</v>
      </c>
      <c r="J39" s="3">
        <f t="shared" si="2"/>
        <v>1302.8509569048272</v>
      </c>
      <c r="K39" s="2">
        <f t="shared" si="3"/>
        <v>-0.43030100150718226</v>
      </c>
      <c r="M39" s="3">
        <f t="shared" si="4"/>
        <v>1261.9198914927376</v>
      </c>
      <c r="N39" s="2">
        <f t="shared" si="5"/>
        <v>-0.48518700713900592</v>
      </c>
      <c r="P39" s="3">
        <f t="shared" si="6"/>
        <v>1251.3338435738542</v>
      </c>
      <c r="Q39" s="2">
        <f t="shared" si="7"/>
        <v>-0.49629234157780355</v>
      </c>
      <c r="S39">
        <v>565</v>
      </c>
      <c r="T39">
        <v>677</v>
      </c>
      <c r="U39" s="3">
        <f t="shared" si="8"/>
        <v>1324.2089789283229</v>
      </c>
      <c r="V39" s="3">
        <f t="shared" si="9"/>
        <v>1349.0855916959449</v>
      </c>
      <c r="W39" s="3">
        <f t="shared" si="10"/>
        <v>1401.1923032083548</v>
      </c>
      <c r="X39" s="3">
        <f t="shared" si="11"/>
        <v>1349.6238357213704</v>
      </c>
      <c r="Y39" s="3">
        <f t="shared" si="12"/>
        <v>1337.49711929513</v>
      </c>
    </row>
    <row r="40" spans="1:25" x14ac:dyDescent="0.3">
      <c r="A40">
        <v>1932</v>
      </c>
      <c r="B40">
        <v>310</v>
      </c>
      <c r="C40">
        <v>1556</v>
      </c>
      <c r="D40" s="3">
        <f>B40/($E$6+$E$7*B40)</f>
        <v>867.84121464322914</v>
      </c>
      <c r="E40" s="2">
        <f>LN($E$9)+(LN(C40/D40))^2/(2*$E$9^2)</f>
        <v>2.2084647006063052E-2</v>
      </c>
      <c r="G40" s="3">
        <f t="shared" si="0"/>
        <v>871.64979700670028</v>
      </c>
      <c r="H40" s="2">
        <f t="shared" si="1"/>
        <v>1.2986089489043673E-2</v>
      </c>
      <c r="J40" s="3">
        <f t="shared" si="2"/>
        <v>858.12887798250813</v>
      </c>
      <c r="K40" s="2">
        <f t="shared" si="3"/>
        <v>5.8138333986153201E-2</v>
      </c>
      <c r="M40" s="3">
        <f t="shared" si="4"/>
        <v>871.93561833834178</v>
      </c>
      <c r="N40" s="2">
        <f t="shared" si="5"/>
        <v>1.4141812053449221E-2</v>
      </c>
      <c r="P40" s="3">
        <f t="shared" si="6"/>
        <v>870.5146764557046</v>
      </c>
      <c r="Q40" s="2">
        <f t="shared" si="7"/>
        <v>1.5317627666819211E-2</v>
      </c>
      <c r="S40">
        <v>572</v>
      </c>
      <c r="T40">
        <v>1183</v>
      </c>
      <c r="U40" s="3">
        <f t="shared" si="8"/>
        <v>1334.6505484103177</v>
      </c>
      <c r="V40" s="3">
        <f t="shared" si="9"/>
        <v>1359.6851663104358</v>
      </c>
      <c r="W40" s="3">
        <f t="shared" si="10"/>
        <v>1412.901594875359</v>
      </c>
      <c r="X40" s="3">
        <f t="shared" si="11"/>
        <v>1360.234177063398</v>
      </c>
      <c r="Y40" s="3">
        <f t="shared" si="12"/>
        <v>1347.961227504803</v>
      </c>
    </row>
    <row r="41" spans="1:25" x14ac:dyDescent="0.3">
      <c r="A41">
        <v>1933</v>
      </c>
      <c r="B41">
        <v>173</v>
      </c>
      <c r="C41">
        <v>640</v>
      </c>
      <c r="D41" s="3">
        <f>B41/($E$6+$E$7*B41)</f>
        <v>540.81156289962701</v>
      </c>
      <c r="E41" s="2">
        <f>LN($E$9)+(LN(C41/D41))^2/(2*$E$9^2)</f>
        <v>-0.69939921909101477</v>
      </c>
      <c r="G41" s="3">
        <f t="shared" si="0"/>
        <v>531.08713726768997</v>
      </c>
      <c r="H41" s="2">
        <f t="shared" si="1"/>
        <v>-0.68853307614121817</v>
      </c>
      <c r="J41" s="3">
        <f t="shared" si="2"/>
        <v>493.06422273376631</v>
      </c>
      <c r="K41" s="2">
        <f t="shared" si="3"/>
        <v>-0.61352436064808591</v>
      </c>
      <c r="M41" s="3">
        <f t="shared" si="4"/>
        <v>531.28550446898498</v>
      </c>
      <c r="N41" s="2">
        <f t="shared" si="5"/>
        <v>-0.69186247947202795</v>
      </c>
      <c r="P41" s="3">
        <f t="shared" si="6"/>
        <v>535.14598603169395</v>
      </c>
      <c r="Q41" s="2">
        <f t="shared" si="7"/>
        <v>-0.69323461480170012</v>
      </c>
      <c r="S41">
        <v>598</v>
      </c>
      <c r="T41">
        <v>1318</v>
      </c>
      <c r="U41" s="3">
        <f t="shared" si="8"/>
        <v>1372.6332940346927</v>
      </c>
      <c r="V41" s="3">
        <f t="shared" si="9"/>
        <v>1397.9942713101343</v>
      </c>
      <c r="W41" s="3">
        <f t="shared" si="10"/>
        <v>1454.7810646887824</v>
      </c>
      <c r="X41" s="3">
        <f t="shared" si="11"/>
        <v>1398.5855854382562</v>
      </c>
      <c r="Y41" s="3">
        <f t="shared" si="12"/>
        <v>1385.8781959041926</v>
      </c>
    </row>
    <row r="42" spans="1:25" x14ac:dyDescent="0.3">
      <c r="A42">
        <v>1934</v>
      </c>
      <c r="B42">
        <v>320</v>
      </c>
      <c r="C42">
        <v>1220</v>
      </c>
      <c r="D42" s="3">
        <f>B42/($E$6+$E$7*B42)</f>
        <v>889.05636011985996</v>
      </c>
      <c r="E42" s="2">
        <f>LN($E$9)+(LN(C42/D42))^2/(2*$E$9^2)</f>
        <v>-0.53369853017304913</v>
      </c>
      <c r="G42" s="3">
        <f t="shared" si="0"/>
        <v>894.01833242428768</v>
      </c>
      <c r="H42" s="2">
        <f t="shared" si="1"/>
        <v>-0.54439046571856953</v>
      </c>
      <c r="J42" s="3">
        <f t="shared" si="2"/>
        <v>883.20346486685594</v>
      </c>
      <c r="K42" s="2">
        <f t="shared" si="3"/>
        <v>-0.52824476450977087</v>
      </c>
      <c r="M42" s="3">
        <f t="shared" si="4"/>
        <v>894.31056454270049</v>
      </c>
      <c r="N42" s="2">
        <f t="shared" si="5"/>
        <v>-0.54683224030458988</v>
      </c>
      <c r="P42" s="3">
        <f t="shared" si="6"/>
        <v>892.39560352217097</v>
      </c>
      <c r="Q42" s="2">
        <f t="shared" si="7"/>
        <v>-0.54060784230484371</v>
      </c>
      <c r="S42">
        <v>623</v>
      </c>
      <c r="T42">
        <v>848</v>
      </c>
      <c r="U42" s="3">
        <f t="shared" si="8"/>
        <v>1408.0084772770585</v>
      </c>
      <c r="V42" s="3">
        <f t="shared" si="9"/>
        <v>1433.2848844189548</v>
      </c>
      <c r="W42" s="3">
        <f t="shared" si="10"/>
        <v>1492.6472436382892</v>
      </c>
      <c r="X42" s="3">
        <f t="shared" si="11"/>
        <v>1433.9204245470401</v>
      </c>
      <c r="Y42" s="3">
        <f t="shared" si="12"/>
        <v>1420.9658499769102</v>
      </c>
    </row>
    <row r="43" spans="1:25" x14ac:dyDescent="0.3">
      <c r="A43">
        <v>1935</v>
      </c>
      <c r="B43">
        <v>310</v>
      </c>
      <c r="C43">
        <v>1183</v>
      </c>
      <c r="D43" s="3">
        <f>B43/($E$6+$E$7*B43)</f>
        <v>867.84121464322914</v>
      </c>
      <c r="E43" s="2">
        <f>LN($E$9)+(LN(C43/D43))^2/(2*$E$9^2)</f>
        <v>-0.54330550208239259</v>
      </c>
      <c r="G43" s="3">
        <f t="shared" si="0"/>
        <v>871.64979700670028</v>
      </c>
      <c r="H43" s="2">
        <f t="shared" si="1"/>
        <v>-0.55223105239697134</v>
      </c>
      <c r="J43" s="3">
        <f t="shared" si="2"/>
        <v>858.12887798250813</v>
      </c>
      <c r="K43" s="2">
        <f t="shared" si="3"/>
        <v>-0.53126256443169639</v>
      </c>
      <c r="M43" s="3">
        <f t="shared" si="4"/>
        <v>871.93561833834178</v>
      </c>
      <c r="N43" s="2">
        <f t="shared" si="5"/>
        <v>-0.55472237417747527</v>
      </c>
      <c r="P43" s="3">
        <f t="shared" si="6"/>
        <v>870.5146764557046</v>
      </c>
      <c r="Q43" s="2">
        <f t="shared" si="7"/>
        <v>-0.54919354577253177</v>
      </c>
      <c r="S43">
        <v>624</v>
      </c>
      <c r="T43">
        <v>2346</v>
      </c>
      <c r="U43" s="3">
        <f t="shared" si="8"/>
        <v>1409.4008492856744</v>
      </c>
      <c r="V43" s="3">
        <f t="shared" si="9"/>
        <v>1434.6655650204702</v>
      </c>
      <c r="W43" s="3">
        <f t="shared" si="10"/>
        <v>1494.1128640749546</v>
      </c>
      <c r="X43" s="3">
        <f t="shared" si="11"/>
        <v>1435.3029485121313</v>
      </c>
      <c r="Y43" s="3">
        <f t="shared" si="12"/>
        <v>1422.342120219397</v>
      </c>
    </row>
    <row r="44" spans="1:25" x14ac:dyDescent="0.3">
      <c r="A44">
        <v>1936</v>
      </c>
      <c r="B44">
        <v>556</v>
      </c>
      <c r="C44">
        <v>2944</v>
      </c>
      <c r="D44" s="3">
        <f>B44/($E$6+$E$7*B44)</f>
        <v>1310.6461780547399</v>
      </c>
      <c r="E44" s="2">
        <f>LN($E$9)+(LN(C44/D44))^2/(2*$E$9^2)</f>
        <v>0.74690403631140101</v>
      </c>
      <c r="G44" s="3">
        <f t="shared" si="0"/>
        <v>1335.2769493081626</v>
      </c>
      <c r="H44" s="2">
        <f t="shared" si="1"/>
        <v>0.68720602415059806</v>
      </c>
      <c r="J44" s="3">
        <f t="shared" si="2"/>
        <v>1385.8679523619137</v>
      </c>
      <c r="K44" s="2">
        <f t="shared" si="3"/>
        <v>0.55931968434159252</v>
      </c>
      <c r="M44" s="3">
        <f t="shared" si="4"/>
        <v>1335.8017286284237</v>
      </c>
      <c r="N44" s="2">
        <f t="shared" si="5"/>
        <v>0.69264887377251394</v>
      </c>
      <c r="P44" s="3">
        <f t="shared" si="6"/>
        <v>1323.8804904622721</v>
      </c>
      <c r="Q44" s="2">
        <f t="shared" si="7"/>
        <v>0.71483572340484502</v>
      </c>
      <c r="S44">
        <v>635</v>
      </c>
      <c r="T44">
        <v>1487</v>
      </c>
      <c r="U44" s="3">
        <f t="shared" si="8"/>
        <v>1424.6046220459627</v>
      </c>
      <c r="V44" s="3">
        <f t="shared" si="9"/>
        <v>1449.6979582664735</v>
      </c>
      <c r="W44" s="3">
        <f t="shared" si="10"/>
        <v>1509.9860034261455</v>
      </c>
      <c r="X44" s="3">
        <f t="shared" si="11"/>
        <v>1450.356002610866</v>
      </c>
      <c r="Y44" s="3">
        <f t="shared" si="12"/>
        <v>1437.3453620502391</v>
      </c>
    </row>
    <row r="45" spans="1:25" x14ac:dyDescent="0.3">
      <c r="A45">
        <v>1937</v>
      </c>
      <c r="B45">
        <v>340</v>
      </c>
      <c r="C45">
        <v>1202</v>
      </c>
      <c r="D45" s="3">
        <f>B45/($E$6+$E$7*B45)</f>
        <v>930.53767122614227</v>
      </c>
      <c r="E45" s="2">
        <f>LN($E$9)+(LN(C45/D45))^2/(2*$E$9^2)</f>
        <v>-0.61359906401165998</v>
      </c>
      <c r="G45" s="3">
        <f t="shared" si="0"/>
        <v>937.79427288546822</v>
      </c>
      <c r="H45" s="2">
        <f t="shared" si="1"/>
        <v>-0.62604782115080027</v>
      </c>
      <c r="J45" s="3">
        <f t="shared" si="2"/>
        <v>932.57071969234823</v>
      </c>
      <c r="K45" s="2">
        <f t="shared" si="3"/>
        <v>-0.62201863233499588</v>
      </c>
      <c r="M45" s="3">
        <f t="shared" si="4"/>
        <v>938.09975367830418</v>
      </c>
      <c r="N45" s="2">
        <f t="shared" si="5"/>
        <v>-0.62897996020285496</v>
      </c>
      <c r="P45" s="3">
        <f t="shared" si="6"/>
        <v>935.18315904832161</v>
      </c>
      <c r="Q45" s="2">
        <f t="shared" si="7"/>
        <v>-0.62132257127323731</v>
      </c>
      <c r="S45">
        <v>706</v>
      </c>
      <c r="T45">
        <v>2380</v>
      </c>
      <c r="U45" s="3">
        <f t="shared" si="8"/>
        <v>1518.0249305811203</v>
      </c>
      <c r="V45" s="3">
        <f t="shared" si="9"/>
        <v>1540.0785050139921</v>
      </c>
      <c r="W45" s="3">
        <f t="shared" si="10"/>
        <v>1601.5474798133923</v>
      </c>
      <c r="X45" s="3">
        <f t="shared" si="11"/>
        <v>1540.8874032710414</v>
      </c>
      <c r="Y45" s="3">
        <f t="shared" si="12"/>
        <v>1528.4396501429676</v>
      </c>
    </row>
    <row r="46" spans="1:25" x14ac:dyDescent="0.3">
      <c r="A46">
        <v>1938</v>
      </c>
      <c r="B46">
        <v>297</v>
      </c>
      <c r="C46">
        <v>535</v>
      </c>
      <c r="D46" s="3">
        <f>B46/($E$6+$E$7*B46)</f>
        <v>839.77295493456324</v>
      </c>
      <c r="E46" s="2">
        <f>LN($E$9)+(LN(C46/D46))^2/(2*$E$9^2)</f>
        <v>-0.2956021200334103</v>
      </c>
      <c r="G46" s="3">
        <f t="shared" si="0"/>
        <v>842.08484289106468</v>
      </c>
      <c r="H46" s="2">
        <f t="shared" si="1"/>
        <v>-0.2900787977258823</v>
      </c>
      <c r="J46" s="3">
        <f t="shared" si="2"/>
        <v>825.15925016390099</v>
      </c>
      <c r="K46" s="2">
        <f t="shared" si="3"/>
        <v>-0.33248534399104407</v>
      </c>
      <c r="M46" s="3">
        <f t="shared" si="4"/>
        <v>842.36249404184173</v>
      </c>
      <c r="N46" s="2">
        <f t="shared" si="5"/>
        <v>-0.28951078731905705</v>
      </c>
      <c r="P46" s="3">
        <f t="shared" si="6"/>
        <v>841.57338271633728</v>
      </c>
      <c r="Q46" s="2">
        <f t="shared" si="7"/>
        <v>-0.29126728247669048</v>
      </c>
      <c r="S46">
        <v>742</v>
      </c>
      <c r="T46">
        <v>981</v>
      </c>
      <c r="U46" s="3">
        <f t="shared" si="8"/>
        <v>1562.4856997345555</v>
      </c>
      <c r="V46" s="3">
        <f t="shared" si="9"/>
        <v>1581.685186458817</v>
      </c>
      <c r="W46" s="3">
        <f t="shared" si="10"/>
        <v>1640.8898703852708</v>
      </c>
      <c r="X46" s="3">
        <f t="shared" si="11"/>
        <v>1582.5826080932416</v>
      </c>
      <c r="Y46" s="3">
        <f t="shared" si="12"/>
        <v>1571.0448687835062</v>
      </c>
    </row>
    <row r="47" spans="1:25" x14ac:dyDescent="0.3">
      <c r="A47">
        <v>1939</v>
      </c>
      <c r="B47">
        <v>598</v>
      </c>
      <c r="C47">
        <v>1318</v>
      </c>
      <c r="D47" s="3">
        <f>B47/($E$6+$E$7*B47)</f>
        <v>1372.6332940346927</v>
      </c>
      <c r="E47" s="2">
        <f>LN($E$9)+(LN(C47/D47))^2/(2*$E$9^2)</f>
        <v>-0.7610532925943293</v>
      </c>
      <c r="G47" s="3">
        <f t="shared" si="0"/>
        <v>1397.9942713101343</v>
      </c>
      <c r="H47" s="2">
        <f t="shared" si="1"/>
        <v>-0.76154090066963021</v>
      </c>
      <c r="J47" s="3">
        <f t="shared" si="2"/>
        <v>1454.7810646887824</v>
      </c>
      <c r="K47" s="2">
        <f t="shared" si="3"/>
        <v>-0.75033325207745805</v>
      </c>
      <c r="M47" s="3">
        <f t="shared" si="4"/>
        <v>1398.5855854382562</v>
      </c>
      <c r="N47" s="2">
        <f t="shared" si="5"/>
        <v>-0.76495175218901146</v>
      </c>
      <c r="P47" s="3">
        <f t="shared" si="6"/>
        <v>1385.8781959041926</v>
      </c>
      <c r="Q47" s="2">
        <f t="shared" si="7"/>
        <v>-0.76168425755110547</v>
      </c>
      <c r="S47">
        <v>765</v>
      </c>
      <c r="T47">
        <v>894</v>
      </c>
      <c r="U47" s="3">
        <f t="shared" si="8"/>
        <v>1589.9423817962806</v>
      </c>
      <c r="V47" s="3">
        <f t="shared" si="9"/>
        <v>1606.8473544797414</v>
      </c>
      <c r="W47" s="3">
        <f t="shared" si="10"/>
        <v>1663.5997174892143</v>
      </c>
      <c r="X47" s="3">
        <f t="shared" si="11"/>
        <v>1607.8057163539072</v>
      </c>
      <c r="Y47" s="3">
        <f t="shared" si="12"/>
        <v>1597.0825397863948</v>
      </c>
    </row>
    <row r="48" spans="1:25" x14ac:dyDescent="0.3">
      <c r="A48">
        <v>1940</v>
      </c>
      <c r="B48">
        <v>963</v>
      </c>
      <c r="C48">
        <v>2285</v>
      </c>
      <c r="D48" s="3">
        <f>B48/($E$6+$E$7*B48)</f>
        <v>1799.7160462288653</v>
      </c>
      <c r="E48" s="2">
        <f>LN($E$9)+(LN(C48/D48))^2/(2*$E$9^2)</f>
        <v>-0.63329040045673235</v>
      </c>
      <c r="G48" s="3">
        <f t="shared" si="0"/>
        <v>1781.6335548128272</v>
      </c>
      <c r="H48" s="2">
        <f t="shared" si="1"/>
        <v>-0.6253251619749709</v>
      </c>
      <c r="J48" s="3">
        <f t="shared" si="2"/>
        <v>1787.7387541022511</v>
      </c>
      <c r="K48" s="2">
        <f t="shared" si="3"/>
        <v>-0.63184167354690113</v>
      </c>
      <c r="M48" s="3">
        <f t="shared" si="4"/>
        <v>1783.2627623699618</v>
      </c>
      <c r="N48" s="2">
        <f t="shared" si="5"/>
        <v>-0.62893864298208624</v>
      </c>
      <c r="P48" s="3">
        <f t="shared" si="6"/>
        <v>1787.6267266039908</v>
      </c>
      <c r="Q48" s="2">
        <f t="shared" si="7"/>
        <v>-0.6276859118529452</v>
      </c>
      <c r="S48">
        <v>771</v>
      </c>
      <c r="T48">
        <v>2160</v>
      </c>
      <c r="U48" s="3">
        <f t="shared" si="8"/>
        <v>1596.9877961926929</v>
      </c>
      <c r="V48" s="3">
        <f t="shared" si="9"/>
        <v>1613.2334889790086</v>
      </c>
      <c r="W48" s="3">
        <f t="shared" si="10"/>
        <v>1669.2186782236324</v>
      </c>
      <c r="X48" s="3">
        <f t="shared" si="11"/>
        <v>1614.2083177009324</v>
      </c>
      <c r="Y48" s="3">
        <f t="shared" si="12"/>
        <v>1603.7282476980947</v>
      </c>
    </row>
    <row r="49" spans="1:25" x14ac:dyDescent="0.3">
      <c r="A49">
        <v>1941</v>
      </c>
      <c r="B49">
        <v>572</v>
      </c>
      <c r="C49">
        <v>1183</v>
      </c>
      <c r="D49" s="3">
        <f>B49/($E$6+$E$7*B49)</f>
        <v>1334.6505484103177</v>
      </c>
      <c r="E49" s="2">
        <f>LN($E$9)+(LN(C49/D49))^2/(2*$E$9^2)</f>
        <v>-0.73127760329340563</v>
      </c>
      <c r="G49" s="3">
        <f t="shared" si="0"/>
        <v>1359.6851663104358</v>
      </c>
      <c r="H49" s="2">
        <f t="shared" si="1"/>
        <v>-0.72447394663697151</v>
      </c>
      <c r="J49" s="3">
        <f t="shared" si="2"/>
        <v>1412.901594875359</v>
      </c>
      <c r="K49" s="2">
        <f t="shared" si="3"/>
        <v>-0.69918596704759106</v>
      </c>
      <c r="M49" s="3">
        <f t="shared" si="4"/>
        <v>1360.234177063398</v>
      </c>
      <c r="N49" s="2">
        <f t="shared" si="5"/>
        <v>-0.72747116259781475</v>
      </c>
      <c r="P49" s="3">
        <f t="shared" si="6"/>
        <v>1347.961227504803</v>
      </c>
      <c r="Q49" s="2">
        <f t="shared" si="7"/>
        <v>-0.72798874932749658</v>
      </c>
      <c r="S49">
        <v>824</v>
      </c>
      <c r="T49">
        <v>3156</v>
      </c>
      <c r="U49" s="3">
        <f t="shared" si="8"/>
        <v>1657.2107050933682</v>
      </c>
      <c r="V49" s="3">
        <f t="shared" si="9"/>
        <v>1666.5387920836426</v>
      </c>
      <c r="W49" s="3">
        <f t="shared" si="10"/>
        <v>1713.5136733891184</v>
      </c>
      <c r="X49" s="3">
        <f t="shared" si="11"/>
        <v>1667.6694409460815</v>
      </c>
      <c r="Y49" s="3">
        <f t="shared" si="12"/>
        <v>1659.9008510516949</v>
      </c>
    </row>
    <row r="50" spans="1:25" x14ac:dyDescent="0.3">
      <c r="A50">
        <v>1942</v>
      </c>
      <c r="B50">
        <v>305</v>
      </c>
      <c r="C50">
        <v>905</v>
      </c>
      <c r="D50" s="3">
        <f>B50/($E$6+$E$7*B50)</f>
        <v>857.11184125212799</v>
      </c>
      <c r="E50" s="2">
        <f>LN($E$9)+(LN(C50/D50))^2/(2*$E$9^2)</f>
        <v>-0.75803823986965324</v>
      </c>
      <c r="G50" s="3">
        <f t="shared" si="0"/>
        <v>860.34398275796696</v>
      </c>
      <c r="H50" s="2">
        <f t="shared" si="1"/>
        <v>-0.76366476961348795</v>
      </c>
      <c r="J50" s="3">
        <f t="shared" si="2"/>
        <v>845.49729773769729</v>
      </c>
      <c r="K50" s="2">
        <f t="shared" si="3"/>
        <v>-0.76236165456420513</v>
      </c>
      <c r="M50" s="3">
        <f t="shared" si="4"/>
        <v>860.62664213539733</v>
      </c>
      <c r="N50" s="2">
        <f t="shared" si="5"/>
        <v>-0.76728609554283189</v>
      </c>
      <c r="P50" s="3">
        <f t="shared" si="6"/>
        <v>859.45027544900609</v>
      </c>
      <c r="Q50" s="2">
        <f t="shared" si="7"/>
        <v>-0.76134776488923228</v>
      </c>
      <c r="S50">
        <v>868</v>
      </c>
      <c r="T50">
        <v>3838</v>
      </c>
      <c r="U50" s="3">
        <f t="shared" si="8"/>
        <v>1704.6127776847261</v>
      </c>
      <c r="V50" s="3">
        <f t="shared" si="9"/>
        <v>1706.706370079962</v>
      </c>
      <c r="W50" s="3">
        <f t="shared" si="10"/>
        <v>1743.2840605626534</v>
      </c>
      <c r="X50" s="3">
        <f t="shared" si="11"/>
        <v>1707.9806860160134</v>
      </c>
      <c r="Y50" s="3">
        <f t="shared" si="12"/>
        <v>1703.2529101398513</v>
      </c>
    </row>
    <row r="51" spans="1:25" x14ac:dyDescent="0.3">
      <c r="A51">
        <v>1943</v>
      </c>
      <c r="B51">
        <v>272</v>
      </c>
      <c r="C51">
        <v>477</v>
      </c>
      <c r="D51" s="3">
        <f>B51/($E$6+$E$7*B51)</f>
        <v>784.1847017716841</v>
      </c>
      <c r="E51" s="2">
        <f>LN($E$9)+(LN(C51/D51))^2/(2*$E$9^2)</f>
        <v>-0.19435991439640377</v>
      </c>
      <c r="G51" s="3">
        <f t="shared" si="0"/>
        <v>783.66064757239042</v>
      </c>
      <c r="H51" s="2">
        <f t="shared" si="1"/>
        <v>-0.19520911983805533</v>
      </c>
      <c r="J51" s="3">
        <f t="shared" si="2"/>
        <v>760.63459472766556</v>
      </c>
      <c r="K51" s="2">
        <f t="shared" si="3"/>
        <v>-0.26208229512835413</v>
      </c>
      <c r="M51" s="3">
        <f t="shared" si="4"/>
        <v>783.92292539091795</v>
      </c>
      <c r="N51" s="2">
        <f t="shared" si="5"/>
        <v>-0.1938802769655511</v>
      </c>
      <c r="P51" s="3">
        <f t="shared" si="6"/>
        <v>784.30241318866081</v>
      </c>
      <c r="Q51" s="2">
        <f t="shared" si="7"/>
        <v>-0.19362803350720581</v>
      </c>
      <c r="S51">
        <v>940</v>
      </c>
      <c r="T51">
        <v>795</v>
      </c>
      <c r="U51" s="3">
        <f t="shared" si="8"/>
        <v>1777.5449887822933</v>
      </c>
      <c r="V51" s="3">
        <f t="shared" si="9"/>
        <v>1764.9113861780663</v>
      </c>
      <c r="W51" s="3">
        <f t="shared" si="10"/>
        <v>1779.3124785478976</v>
      </c>
      <c r="X51" s="3">
        <f t="shared" si="11"/>
        <v>1766.4490638031134</v>
      </c>
      <c r="Y51" s="3">
        <f t="shared" si="12"/>
        <v>1768.2906867011168</v>
      </c>
    </row>
    <row r="52" spans="1:25" x14ac:dyDescent="0.3">
      <c r="A52">
        <v>1944</v>
      </c>
      <c r="B52">
        <v>824</v>
      </c>
      <c r="C52">
        <v>3156</v>
      </c>
      <c r="D52" s="3">
        <f>B52/($E$6+$E$7*B52)</f>
        <v>1657.2107050933682</v>
      </c>
      <c r="E52" s="2">
        <f>LN($E$9)+(LN(C52/D52))^2/(2*$E$9^2)</f>
        <v>0.19303930608493636</v>
      </c>
      <c r="G52" s="3">
        <f t="shared" si="0"/>
        <v>1666.5387920836426</v>
      </c>
      <c r="H52" s="2">
        <f t="shared" si="1"/>
        <v>0.18067242328655597</v>
      </c>
      <c r="J52" s="3">
        <f t="shared" si="2"/>
        <v>1713.5136733891184</v>
      </c>
      <c r="K52" s="2">
        <f t="shared" si="3"/>
        <v>0.10240925695893144</v>
      </c>
      <c r="M52" s="3">
        <f t="shared" si="4"/>
        <v>1667.6694409460815</v>
      </c>
      <c r="N52" s="2">
        <f t="shared" si="5"/>
        <v>0.18189487777436375</v>
      </c>
      <c r="P52" s="3">
        <f t="shared" si="6"/>
        <v>1659.9008510516949</v>
      </c>
      <c r="Q52" s="2">
        <f t="shared" si="7"/>
        <v>0.19065991158740603</v>
      </c>
      <c r="S52">
        <v>963</v>
      </c>
      <c r="T52">
        <v>2285</v>
      </c>
      <c r="U52" s="3">
        <f t="shared" si="8"/>
        <v>1799.7160462288653</v>
      </c>
      <c r="V52" s="3">
        <f t="shared" si="9"/>
        <v>1781.6335548128272</v>
      </c>
      <c r="W52" s="3">
        <f t="shared" si="10"/>
        <v>1787.7387541022511</v>
      </c>
      <c r="X52" s="3">
        <f t="shared" si="11"/>
        <v>1783.2627623699618</v>
      </c>
      <c r="Y52" s="3">
        <f t="shared" si="12"/>
        <v>1787.6267266039908</v>
      </c>
    </row>
    <row r="53" spans="1:25" x14ac:dyDescent="0.3">
      <c r="A53">
        <v>1945</v>
      </c>
      <c r="B53">
        <v>940</v>
      </c>
      <c r="C53">
        <v>795</v>
      </c>
      <c r="D53" s="3">
        <f>B53/($E$6+$E$7*B53)</f>
        <v>1777.5449887822933</v>
      </c>
      <c r="E53" s="2">
        <f>LN($E$9)+(LN(C53/D53))^2/(2*$E$9^2)</f>
        <v>0.72975675738409662</v>
      </c>
      <c r="G53" s="3">
        <f t="shared" si="0"/>
        <v>1764.9113861780663</v>
      </c>
      <c r="H53" s="2">
        <f t="shared" si="1"/>
        <v>0.71268269608162271</v>
      </c>
      <c r="J53" s="3">
        <f t="shared" si="2"/>
        <v>1779.3124785478976</v>
      </c>
      <c r="K53" s="2">
        <f t="shared" si="3"/>
        <v>0.75034875735612994</v>
      </c>
      <c r="M53" s="3">
        <f t="shared" si="4"/>
        <v>1766.4490638031134</v>
      </c>
      <c r="N53" s="2">
        <f t="shared" si="5"/>
        <v>0.723029479008655</v>
      </c>
      <c r="P53" s="3">
        <f t="shared" si="6"/>
        <v>1768.2906867011168</v>
      </c>
      <c r="Q53" s="2">
        <f t="shared" si="7"/>
        <v>0.71566872397189973</v>
      </c>
      <c r="S53">
        <v>970</v>
      </c>
      <c r="T53">
        <v>2452</v>
      </c>
      <c r="U53" s="3">
        <f t="shared" si="8"/>
        <v>1806.3610723851828</v>
      </c>
      <c r="V53" s="3">
        <f t="shared" si="9"/>
        <v>1786.5497118016519</v>
      </c>
      <c r="W53" s="3">
        <f t="shared" si="10"/>
        <v>1790.0242292220541</v>
      </c>
      <c r="X53" s="3">
        <f t="shared" si="11"/>
        <v>1788.207485226078</v>
      </c>
      <c r="Y53" s="3">
        <f t="shared" si="12"/>
        <v>1793.3801670081623</v>
      </c>
    </row>
    <row r="54" spans="1:25" x14ac:dyDescent="0.3">
      <c r="A54">
        <v>1946</v>
      </c>
      <c r="B54">
        <v>486</v>
      </c>
      <c r="C54">
        <v>1112</v>
      </c>
      <c r="D54" s="3">
        <f>B54/($E$6+$E$7*B54)</f>
        <v>1199.5547285526311</v>
      </c>
      <c r="E54" s="2">
        <f>LN($E$9)+(LN(C54/D54))^2/(2*$E$9^2)</f>
        <v>-0.75160127103413099</v>
      </c>
      <c r="G54" s="3">
        <f t="shared" si="0"/>
        <v>1220.7313102363014</v>
      </c>
      <c r="H54" s="2">
        <f t="shared" si="1"/>
        <v>-0.74934945121436158</v>
      </c>
      <c r="J54" s="3">
        <f t="shared" si="2"/>
        <v>1256.4723284210829</v>
      </c>
      <c r="K54" s="2">
        <f t="shared" si="3"/>
        <v>-0.73819619611738285</v>
      </c>
      <c r="M54" s="3">
        <f t="shared" si="4"/>
        <v>1221.1650175340305</v>
      </c>
      <c r="N54" s="2">
        <f t="shared" si="5"/>
        <v>-0.75263406743381323</v>
      </c>
      <c r="P54" s="3">
        <f t="shared" si="6"/>
        <v>1211.4449202649678</v>
      </c>
      <c r="Q54" s="2">
        <f t="shared" si="7"/>
        <v>-0.75051028572356315</v>
      </c>
      <c r="S54">
        <v>979</v>
      </c>
      <c r="T54">
        <v>3657</v>
      </c>
      <c r="U54" s="3">
        <f t="shared" si="8"/>
        <v>1814.8356502143174</v>
      </c>
      <c r="V54" s="3">
        <f t="shared" si="9"/>
        <v>1792.7534156972608</v>
      </c>
      <c r="W54" s="3">
        <f t="shared" si="10"/>
        <v>1792.7759411937466</v>
      </c>
      <c r="X54" s="3">
        <f t="shared" si="11"/>
        <v>1794.448401685135</v>
      </c>
      <c r="Y54" s="3">
        <f t="shared" si="12"/>
        <v>1800.689063242653</v>
      </c>
    </row>
    <row r="55" spans="1:25" x14ac:dyDescent="0.3">
      <c r="A55">
        <v>1947</v>
      </c>
      <c r="B55">
        <v>307</v>
      </c>
      <c r="C55">
        <v>911</v>
      </c>
      <c r="D55" s="3">
        <f>B55/($E$6+$E$7*B55)</f>
        <v>861.41343147986015</v>
      </c>
      <c r="E55" s="2">
        <f>LN($E$9)+(LN(C55/D55))^2/(2*$E$9^2)</f>
        <v>-0.75763025724769373</v>
      </c>
      <c r="G55" s="3">
        <f t="shared" si="0"/>
        <v>864.87607423682971</v>
      </c>
      <c r="H55" s="2">
        <f t="shared" si="1"/>
        <v>-0.76334112956134925</v>
      </c>
      <c r="J55" s="3">
        <f t="shared" si="2"/>
        <v>850.55736818091134</v>
      </c>
      <c r="K55" s="2">
        <f t="shared" si="3"/>
        <v>-0.7621560060818996</v>
      </c>
      <c r="M55" s="3">
        <f t="shared" si="4"/>
        <v>865.15999522316463</v>
      </c>
      <c r="N55" s="2">
        <f t="shared" si="5"/>
        <v>-0.76696215007716806</v>
      </c>
      <c r="P55" s="3">
        <f t="shared" si="6"/>
        <v>863.88601553462581</v>
      </c>
      <c r="Q55" s="2">
        <f t="shared" si="7"/>
        <v>-0.76099282621308084</v>
      </c>
      <c r="S55">
        <v>1043</v>
      </c>
      <c r="T55">
        <v>1497</v>
      </c>
      <c r="U55" s="3">
        <f t="shared" si="8"/>
        <v>1872.9474035419214</v>
      </c>
      <c r="V55" s="3">
        <f t="shared" si="9"/>
        <v>1833.1806189794165</v>
      </c>
      <c r="W55" s="3">
        <f t="shared" si="10"/>
        <v>1806.5909201334769</v>
      </c>
      <c r="X55" s="3">
        <f t="shared" si="11"/>
        <v>1835.1558621955623</v>
      </c>
      <c r="Y55" s="3">
        <f t="shared" si="12"/>
        <v>1849.9077249585632</v>
      </c>
    </row>
    <row r="56" spans="1:25" x14ac:dyDescent="0.3">
      <c r="A56">
        <v>1948</v>
      </c>
      <c r="B56">
        <v>1066</v>
      </c>
      <c r="C56">
        <v>2427</v>
      </c>
      <c r="D56" s="3">
        <f>B56/($E$6+$E$7*B56)</f>
        <v>1892.9524577684513</v>
      </c>
      <c r="E56" s="2">
        <f>LN($E$9)+(LN(C56/D56))^2/(2*$E$9^2)</f>
        <v>-0.6222886447997189</v>
      </c>
      <c r="G56" s="3">
        <f t="shared" si="0"/>
        <v>1846.1849163462202</v>
      </c>
      <c r="H56" s="2">
        <f t="shared" si="1"/>
        <v>-0.59525563046529628</v>
      </c>
      <c r="J56" s="3">
        <f t="shared" si="2"/>
        <v>1809.2488735226518</v>
      </c>
      <c r="K56" s="2">
        <f t="shared" si="3"/>
        <v>-0.57067567876370107</v>
      </c>
      <c r="M56" s="3">
        <f t="shared" si="4"/>
        <v>1848.2675073653459</v>
      </c>
      <c r="N56" s="2">
        <f t="shared" si="5"/>
        <v>-0.59903163686885741</v>
      </c>
      <c r="P56" s="3">
        <f t="shared" si="6"/>
        <v>1866.4707413943152</v>
      </c>
      <c r="Q56" s="2">
        <f t="shared" si="7"/>
        <v>-0.60748723245718284</v>
      </c>
      <c r="S56">
        <v>1054</v>
      </c>
      <c r="T56">
        <v>1239</v>
      </c>
      <c r="U56" s="3">
        <f t="shared" si="8"/>
        <v>1882.5708982117917</v>
      </c>
      <c r="V56" s="3">
        <f t="shared" si="9"/>
        <v>1839.4978167945753</v>
      </c>
      <c r="W56" s="3">
        <f t="shared" si="10"/>
        <v>1808.0062382663054</v>
      </c>
      <c r="X56" s="3">
        <f t="shared" si="11"/>
        <v>1841.5239668211777</v>
      </c>
      <c r="Y56" s="3">
        <f t="shared" si="12"/>
        <v>1857.9006144075627</v>
      </c>
    </row>
    <row r="57" spans="1:25" x14ac:dyDescent="0.3">
      <c r="A57">
        <v>1949</v>
      </c>
      <c r="B57">
        <v>480</v>
      </c>
      <c r="C57">
        <v>1363</v>
      </c>
      <c r="D57" s="3">
        <f>B57/($E$6+$E$7*B57)</f>
        <v>1189.5440741062125</v>
      </c>
      <c r="E57" s="2">
        <f>LN($E$9)+(LN(C57/D57))^2/(2*$E$9^2)</f>
        <v>-0.72209015112593145</v>
      </c>
      <c r="G57" s="3">
        <f t="shared" si="0"/>
        <v>1210.3065622261568</v>
      </c>
      <c r="H57" s="2">
        <f t="shared" si="1"/>
        <v>-0.73673198750066171</v>
      </c>
      <c r="J57" s="3">
        <f t="shared" si="2"/>
        <v>1244.5558849588685</v>
      </c>
      <c r="K57" s="2">
        <f t="shared" si="3"/>
        <v>-0.75381923069541834</v>
      </c>
      <c r="M57" s="3">
        <f t="shared" si="4"/>
        <v>1210.733511718546</v>
      </c>
      <c r="N57" s="2">
        <f t="shared" si="5"/>
        <v>-0.7402780895992005</v>
      </c>
      <c r="P57" s="3">
        <f t="shared" si="6"/>
        <v>1201.2458460555997</v>
      </c>
      <c r="Q57" s="2">
        <f t="shared" si="7"/>
        <v>-0.73049897759837756</v>
      </c>
      <c r="S57">
        <v>1066</v>
      </c>
      <c r="T57">
        <v>2427</v>
      </c>
      <c r="U57" s="3">
        <f t="shared" si="8"/>
        <v>1892.9524577684513</v>
      </c>
      <c r="V57" s="3">
        <f t="shared" si="9"/>
        <v>1846.1849163462202</v>
      </c>
      <c r="W57" s="3">
        <f t="shared" si="10"/>
        <v>1809.2488735226518</v>
      </c>
      <c r="X57" s="3">
        <f t="shared" si="11"/>
        <v>1848.2675073653459</v>
      </c>
      <c r="Y57" s="3">
        <f t="shared" si="12"/>
        <v>1866.4707413943152</v>
      </c>
    </row>
    <row r="58" spans="1:25" x14ac:dyDescent="0.3">
      <c r="A58">
        <v>1950</v>
      </c>
      <c r="B58">
        <v>382</v>
      </c>
      <c r="C58">
        <v>601</v>
      </c>
      <c r="D58" s="3">
        <f>B58/($E$6+$E$7*B58)</f>
        <v>1013.7442145680578</v>
      </c>
      <c r="E58" s="2">
        <f>LN($E$9)+(LN(C58/D58))^2/(2*$E$9^2)</f>
        <v>-0.13389019199585128</v>
      </c>
      <c r="G58" s="3">
        <f t="shared" si="0"/>
        <v>1025.6511457161257</v>
      </c>
      <c r="H58" s="2">
        <f t="shared" si="1"/>
        <v>-0.10383792053991037</v>
      </c>
      <c r="J58" s="3">
        <f t="shared" si="2"/>
        <v>1032.6139984394554</v>
      </c>
      <c r="K58" s="2">
        <f t="shared" si="3"/>
        <v>-8.5546894224148406E-2</v>
      </c>
      <c r="M58" s="3">
        <f t="shared" si="4"/>
        <v>1025.9869760126771</v>
      </c>
      <c r="N58" s="2">
        <f t="shared" si="5"/>
        <v>-0.10180977494496435</v>
      </c>
      <c r="P58" s="3">
        <f t="shared" si="6"/>
        <v>1020.9577820883926</v>
      </c>
      <c r="Q58" s="2">
        <f t="shared" si="7"/>
        <v>-0.11585674673211599</v>
      </c>
      <c r="S58">
        <v>1098</v>
      </c>
      <c r="T58">
        <v>858</v>
      </c>
      <c r="U58" s="3">
        <f t="shared" si="8"/>
        <v>1920.0563863801747</v>
      </c>
      <c r="V58" s="3">
        <f t="shared" si="9"/>
        <v>1862.9957953467294</v>
      </c>
      <c r="W58" s="3">
        <f t="shared" si="10"/>
        <v>1811.0873386118474</v>
      </c>
      <c r="X58" s="3">
        <f t="shared" si="11"/>
        <v>1865.2334825373073</v>
      </c>
      <c r="Y58" s="3">
        <f t="shared" si="12"/>
        <v>1888.5829720661882</v>
      </c>
    </row>
    <row r="59" spans="1:25" x14ac:dyDescent="0.3">
      <c r="A59">
        <v>1951</v>
      </c>
      <c r="B59">
        <v>163</v>
      </c>
      <c r="C59">
        <v>184</v>
      </c>
      <c r="D59" s="3">
        <f>B59/($E$6+$E$7*B59)</f>
        <v>513.92706838460424</v>
      </c>
      <c r="E59" s="2">
        <f>LN($E$9)+(LN(C59/D59))^2/(2*$E$9^2)</f>
        <v>1.6706164159374213</v>
      </c>
      <c r="G59" s="3">
        <f t="shared" si="0"/>
        <v>503.60632718084094</v>
      </c>
      <c r="H59" s="2">
        <f t="shared" si="1"/>
        <v>1.5930301870337815</v>
      </c>
      <c r="J59" s="3">
        <f t="shared" si="2"/>
        <v>465.18598947156016</v>
      </c>
      <c r="K59" s="2">
        <f t="shared" si="3"/>
        <v>1.246117964472782</v>
      </c>
      <c r="M59" s="3">
        <f t="shared" si="4"/>
        <v>503.79726281536205</v>
      </c>
      <c r="N59" s="2">
        <f t="shared" si="5"/>
        <v>1.6082441495212403</v>
      </c>
      <c r="P59" s="3">
        <f t="shared" si="6"/>
        <v>507.85541520698303</v>
      </c>
      <c r="Q59" s="2">
        <f t="shared" si="7"/>
        <v>1.6246753897102157</v>
      </c>
      <c r="S59">
        <v>1124</v>
      </c>
      <c r="T59">
        <v>1658</v>
      </c>
      <c r="U59" s="3">
        <f t="shared" si="8"/>
        <v>1941.4773562791086</v>
      </c>
      <c r="V59" s="3">
        <f t="shared" si="9"/>
        <v>1875.5891979067651</v>
      </c>
      <c r="W59" s="3">
        <f t="shared" si="10"/>
        <v>1811.0845412869926</v>
      </c>
      <c r="X59" s="3">
        <f t="shared" si="11"/>
        <v>1877.9577586492942</v>
      </c>
      <c r="Y59" s="3">
        <f t="shared" si="12"/>
        <v>1905.7823762488767</v>
      </c>
    </row>
    <row r="60" spans="1:25" x14ac:dyDescent="0.3">
      <c r="A60">
        <v>1952</v>
      </c>
      <c r="B60">
        <v>158</v>
      </c>
      <c r="C60">
        <v>637</v>
      </c>
      <c r="D60" s="3">
        <f>B60/($E$6+$E$7*B60)</f>
        <v>500.31090065740119</v>
      </c>
      <c r="E60" s="2">
        <f>LN($E$9)+(LN(C60/D60))^2/(2*$E$9^2)</f>
        <v>-0.63018292292484857</v>
      </c>
      <c r="G60" s="3">
        <f t="shared" si="0"/>
        <v>489.72537460948234</v>
      </c>
      <c r="H60" s="2">
        <f t="shared" si="1"/>
        <v>-0.60852059580764462</v>
      </c>
      <c r="J60" s="3">
        <f t="shared" si="2"/>
        <v>451.20132007547625</v>
      </c>
      <c r="K60" s="2">
        <f t="shared" si="3"/>
        <v>-0.49405775652811729</v>
      </c>
      <c r="M60" s="3">
        <f t="shared" si="4"/>
        <v>489.91248225206698</v>
      </c>
      <c r="N60" s="2">
        <f t="shared" si="5"/>
        <v>-0.61141846118890619</v>
      </c>
      <c r="P60" s="3">
        <f t="shared" si="6"/>
        <v>494.05555113408127</v>
      </c>
      <c r="Q60" s="2">
        <f t="shared" si="7"/>
        <v>-0.61766266274816828</v>
      </c>
      <c r="S60">
        <v>1506</v>
      </c>
      <c r="T60">
        <v>1921</v>
      </c>
      <c r="U60" s="3">
        <f t="shared" si="8"/>
        <v>2204.9884132260181</v>
      </c>
      <c r="V60" s="3">
        <f t="shared" si="9"/>
        <v>1967.2142115473571</v>
      </c>
      <c r="W60" s="3">
        <f t="shared" si="10"/>
        <v>1703.9724738837867</v>
      </c>
      <c r="X60" s="3">
        <f t="shared" si="11"/>
        <v>1971.958115185899</v>
      </c>
      <c r="Y60" s="3">
        <f t="shared" si="12"/>
        <v>2094.3091236884202</v>
      </c>
    </row>
    <row r="62" spans="1:25" x14ac:dyDescent="0.3">
      <c r="S62">
        <v>3000</v>
      </c>
      <c r="T62">
        <v>1921</v>
      </c>
      <c r="U62" s="3">
        <f t="shared" ref="U62" si="13">S62/($E$6+$E$7*S62)</f>
        <v>2752.394285331347</v>
      </c>
      <c r="V62" s="3">
        <f t="shared" ref="V62" si="14">$H$6*S62*EXP(-1*$H$7*S62)</f>
        <v>1503.9529593659972</v>
      </c>
      <c r="W62" s="3">
        <f t="shared" ref="W62" si="15">$K$6*S62/(1+(S62/$K$7)^$K$8)</f>
        <v>1008.6875474240206</v>
      </c>
      <c r="X62" s="3">
        <f t="shared" ref="X62" si="16">$N$6*S62/((1+$N$7*S62)^$N$8)</f>
        <v>1520.8909477719847</v>
      </c>
      <c r="Y62" s="3">
        <f t="shared" ref="Y62" si="17">$Q$7*(1-EXP(-1*$Q$6/$Q$7*S62))</f>
        <v>2311.6574179514205</v>
      </c>
    </row>
  </sheetData>
  <sortState ref="S15:T59">
    <sortCondition ref="S15:S59"/>
  </sortState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3</xdr:col>
                <xdr:colOff>30480</xdr:colOff>
                <xdr:row>0</xdr:row>
                <xdr:rowOff>53340</xdr:rowOff>
              </from>
              <to>
                <xdr:col>4</xdr:col>
                <xdr:colOff>91440</xdr:colOff>
                <xdr:row>2</xdr:row>
                <xdr:rowOff>91440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6</xdr:col>
                <xdr:colOff>45720</xdr:colOff>
                <xdr:row>1</xdr:row>
                <xdr:rowOff>7620</xdr:rowOff>
              </from>
              <to>
                <xdr:col>7</xdr:col>
                <xdr:colOff>548640</xdr:colOff>
                <xdr:row>2</xdr:row>
                <xdr:rowOff>53340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8</xdr:col>
                <xdr:colOff>609600</xdr:colOff>
                <xdr:row>0</xdr:row>
                <xdr:rowOff>0</xdr:rowOff>
              </from>
              <to>
                <xdr:col>10</xdr:col>
                <xdr:colOff>327660</xdr:colOff>
                <xdr:row>4</xdr:row>
                <xdr:rowOff>15240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0</xdr:col>
                <xdr:colOff>30480</xdr:colOff>
                <xdr:row>4</xdr:row>
                <xdr:rowOff>15240</xdr:rowOff>
              </from>
              <to>
                <xdr:col>2</xdr:col>
                <xdr:colOff>487680</xdr:colOff>
                <xdr:row>6</xdr:row>
                <xdr:rowOff>137160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12</xdr:col>
                <xdr:colOff>22860</xdr:colOff>
                <xdr:row>0</xdr:row>
                <xdr:rowOff>60960</xdr:rowOff>
              </from>
              <to>
                <xdr:col>13</xdr:col>
                <xdr:colOff>533400</xdr:colOff>
                <xdr:row>3</xdr:row>
                <xdr:rowOff>106680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2" r:id="rId14">
          <objectPr defaultSize="0" autoPict="0" r:id="rId15">
            <anchor moveWithCells="1">
              <from>
                <xdr:col>15</xdr:col>
                <xdr:colOff>30480</xdr:colOff>
                <xdr:row>0</xdr:row>
                <xdr:rowOff>45720</xdr:rowOff>
              </from>
              <to>
                <xdr:col>18</xdr:col>
                <xdr:colOff>7620</xdr:colOff>
                <xdr:row>3</xdr:row>
                <xdr:rowOff>91440</xdr:rowOff>
              </to>
            </anchor>
          </objectPr>
        </oleObject>
      </mc:Choice>
      <mc:Fallback>
        <oleObject progId="Equation.DSMT4" shapeId="1032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24" sqref="D24"/>
    </sheetView>
  </sheetViews>
  <sheetFormatPr defaultRowHeight="14.4" x14ac:dyDescent="0.3"/>
  <cols>
    <col min="2" max="2" width="18.109375" customWidth="1"/>
    <col min="3" max="3" width="6.21875" customWidth="1"/>
    <col min="8" max="8" width="10.44140625" customWidth="1"/>
    <col min="9" max="9" width="7" customWidth="1"/>
  </cols>
  <sheetData>
    <row r="2" spans="2:9" x14ac:dyDescent="0.3">
      <c r="C2" t="s">
        <v>27</v>
      </c>
      <c r="D2" t="s">
        <v>28</v>
      </c>
      <c r="G2" t="s">
        <v>32</v>
      </c>
    </row>
    <row r="3" spans="2:9" x14ac:dyDescent="0.3">
      <c r="B3" s="7" t="s">
        <v>26</v>
      </c>
      <c r="C3" s="7" t="s">
        <v>10</v>
      </c>
      <c r="D3" s="7" t="s">
        <v>21</v>
      </c>
      <c r="E3" s="7" t="s">
        <v>6</v>
      </c>
      <c r="F3" s="7" t="s">
        <v>20</v>
      </c>
      <c r="G3" s="8" t="s">
        <v>29</v>
      </c>
      <c r="H3" s="8" t="s">
        <v>31</v>
      </c>
      <c r="I3" s="8" t="s">
        <v>30</v>
      </c>
    </row>
    <row r="4" spans="2:9" x14ac:dyDescent="0.3">
      <c r="B4" s="9" t="s">
        <v>2</v>
      </c>
      <c r="C4" s="10">
        <f>'Lognormal NLL'!E10</f>
        <v>3</v>
      </c>
      <c r="D4" s="10">
        <f>'Lognormal NLL'!E11</f>
        <v>45</v>
      </c>
      <c r="E4" s="11">
        <f>'Lognormal NLL'!E12</f>
        <v>-11.918742282716497</v>
      </c>
      <c r="F4" s="11">
        <f>2*E4+2*C4+2*C4*(C4+1)/(D4-C4-1)</f>
        <v>-17.252118711774457</v>
      </c>
      <c r="G4" s="11">
        <f>F4-MIN($F$4:$F$8)</f>
        <v>0.42944269466140028</v>
      </c>
      <c r="H4" s="12">
        <f>EXP(-G4/2)</f>
        <v>0.80676621641832857</v>
      </c>
      <c r="I4" s="12">
        <f>H4/SUM($H$4:$H$8)</f>
        <v>0.23964281742761226</v>
      </c>
    </row>
    <row r="5" spans="2:9" x14ac:dyDescent="0.3">
      <c r="B5" s="9" t="s">
        <v>9</v>
      </c>
      <c r="C5" s="10">
        <f>'Lognormal NLL'!H10</f>
        <v>3</v>
      </c>
      <c r="D5" s="10">
        <f>D4</f>
        <v>45</v>
      </c>
      <c r="E5" s="11">
        <f>'Lognormal NLL'!H12</f>
        <v>-12.133463630047197</v>
      </c>
      <c r="F5" s="11">
        <f t="shared" ref="F5:F8" si="0">2*E5+2*C5+2*C5*(C5+1)/(D5-C5-1)</f>
        <v>-17.681561406435858</v>
      </c>
      <c r="G5" s="11">
        <f t="shared" ref="G5:G9" si="1">F5-MIN($F$4:$F$8)</f>
        <v>0</v>
      </c>
      <c r="H5" s="12">
        <f t="shared" ref="H5:H8" si="2">EXP(-G5/2)</f>
        <v>1</v>
      </c>
      <c r="I5" s="12">
        <f t="shared" ref="I5:I8" si="3">H5/SUM($H$4:$H$8)</f>
        <v>0.29704121534924488</v>
      </c>
    </row>
    <row r="6" spans="2:9" x14ac:dyDescent="0.3">
      <c r="B6" s="9" t="s">
        <v>11</v>
      </c>
      <c r="C6" s="10">
        <f>'Lognormal NLL'!K10</f>
        <v>4</v>
      </c>
      <c r="D6" s="10">
        <f t="shared" ref="D6:D8" si="4">D5</f>
        <v>45</v>
      </c>
      <c r="E6" s="11">
        <f>'Lognormal NLL'!K12</f>
        <v>-12.294858165247449</v>
      </c>
      <c r="F6" s="11">
        <f t="shared" si="0"/>
        <v>-15.589716330494898</v>
      </c>
      <c r="G6" s="11">
        <f t="shared" si="1"/>
        <v>2.0918450759409595</v>
      </c>
      <c r="H6" s="12">
        <f t="shared" si="2"/>
        <v>0.3513675199330597</v>
      </c>
      <c r="I6" s="12">
        <f t="shared" si="3"/>
        <v>0.10437063515516609</v>
      </c>
    </row>
    <row r="7" spans="2:9" x14ac:dyDescent="0.3">
      <c r="B7" s="9" t="s">
        <v>14</v>
      </c>
      <c r="C7" s="10">
        <f>'Lognormal NLL'!N10</f>
        <v>4</v>
      </c>
      <c r="D7" s="10">
        <f t="shared" si="4"/>
        <v>45</v>
      </c>
      <c r="E7" s="11">
        <f>'Lognormal NLL'!N12</f>
        <v>-12.131411178798389</v>
      </c>
      <c r="F7" s="11">
        <f t="shared" si="0"/>
        <v>-15.262822357596779</v>
      </c>
      <c r="G7" s="11">
        <f t="shared" si="1"/>
        <v>2.418739048839079</v>
      </c>
      <c r="H7" s="12">
        <f t="shared" si="2"/>
        <v>0.29838534481181345</v>
      </c>
      <c r="I7" s="12">
        <f t="shared" si="3"/>
        <v>8.8632745465304572E-2</v>
      </c>
    </row>
    <row r="8" spans="2:9" x14ac:dyDescent="0.3">
      <c r="B8" s="13" t="s">
        <v>16</v>
      </c>
      <c r="C8" s="6">
        <f>'Lognormal NLL'!Q10</f>
        <v>3</v>
      </c>
      <c r="D8" s="6">
        <f t="shared" si="4"/>
        <v>45</v>
      </c>
      <c r="E8" s="14">
        <f>'Lognormal NLL'!Q12</f>
        <v>-12.039171746158766</v>
      </c>
      <c r="F8" s="14">
        <f t="shared" si="0"/>
        <v>-17.492977638658996</v>
      </c>
      <c r="G8" s="14">
        <f t="shared" si="1"/>
        <v>0.18858376777686203</v>
      </c>
      <c r="H8" s="15">
        <f t="shared" si="2"/>
        <v>0.91001710414109804</v>
      </c>
      <c r="I8" s="15">
        <f t="shared" si="3"/>
        <v>0.27031258660267216</v>
      </c>
    </row>
    <row r="9" spans="2:9" x14ac:dyDescent="0.3">
      <c r="C9" s="26"/>
      <c r="D9" s="26"/>
      <c r="E9" s="26"/>
      <c r="F9" s="27"/>
      <c r="G9" s="27"/>
    </row>
    <row r="10" spans="2:9" x14ac:dyDescent="0.3">
      <c r="B10" t="s">
        <v>34</v>
      </c>
    </row>
    <row r="11" spans="2:9" x14ac:dyDescent="0.3">
      <c r="B11" s="16" t="s">
        <v>26</v>
      </c>
      <c r="C11" s="7" t="s">
        <v>33</v>
      </c>
      <c r="D11" s="7" t="s">
        <v>35</v>
      </c>
    </row>
    <row r="12" spans="2:9" x14ac:dyDescent="0.3">
      <c r="B12" s="17" t="s">
        <v>2</v>
      </c>
      <c r="C12" s="18">
        <f>'Lognormal NLL'!U62</f>
        <v>2752.394285331347</v>
      </c>
      <c r="D12" s="19">
        <f>SUMPRODUCT(C12:C16,I4:I8)</f>
        <v>1971.2757323244473</v>
      </c>
    </row>
    <row r="13" spans="2:9" x14ac:dyDescent="0.3">
      <c r="B13" s="9" t="s">
        <v>9</v>
      </c>
      <c r="C13" s="20">
        <f>'Lognormal NLL'!V62</f>
        <v>1503.9529593659972</v>
      </c>
      <c r="D13" s="21"/>
    </row>
    <row r="14" spans="2:9" x14ac:dyDescent="0.3">
      <c r="B14" s="9" t="s">
        <v>11</v>
      </c>
      <c r="C14" s="20">
        <f>'Lognormal NLL'!W62</f>
        <v>1008.6875474240206</v>
      </c>
      <c r="D14" s="21"/>
    </row>
    <row r="15" spans="2:9" x14ac:dyDescent="0.3">
      <c r="B15" s="9" t="s">
        <v>14</v>
      </c>
      <c r="C15" s="20">
        <f>'Lognormal NLL'!X62</f>
        <v>1520.8909477719847</v>
      </c>
      <c r="D15" s="21"/>
    </row>
    <row r="16" spans="2:9" x14ac:dyDescent="0.3">
      <c r="B16" s="13" t="s">
        <v>16</v>
      </c>
      <c r="C16" s="22">
        <f>'Lognormal NLL'!Y62</f>
        <v>2311.6574179514205</v>
      </c>
      <c r="D16" s="23"/>
    </row>
    <row r="18" spans="2:4" x14ac:dyDescent="0.3">
      <c r="B18" t="s">
        <v>36</v>
      </c>
    </row>
    <row r="19" spans="2:4" x14ac:dyDescent="0.3">
      <c r="B19" s="16" t="s">
        <v>26</v>
      </c>
      <c r="C19" s="7" t="s">
        <v>33</v>
      </c>
      <c r="D19" s="7" t="s">
        <v>35</v>
      </c>
    </row>
    <row r="20" spans="2:4" x14ac:dyDescent="0.3">
      <c r="B20" s="17" t="s">
        <v>2</v>
      </c>
      <c r="C20" s="18">
        <f>C12</f>
        <v>2752.394285331347</v>
      </c>
      <c r="D20" s="19">
        <f>I4*C20+I5*C21+I8*C22</f>
        <v>1731.1976320723354</v>
      </c>
    </row>
    <row r="21" spans="2:4" x14ac:dyDescent="0.3">
      <c r="B21" s="9" t="s">
        <v>9</v>
      </c>
      <c r="C21" s="20">
        <f>C13</f>
        <v>1503.9529593659972</v>
      </c>
      <c r="D21" s="21"/>
    </row>
    <row r="22" spans="2:4" x14ac:dyDescent="0.3">
      <c r="B22" s="13" t="s">
        <v>16</v>
      </c>
      <c r="C22" s="22">
        <f>C16</f>
        <v>2311.6574179514205</v>
      </c>
      <c r="D22" s="23"/>
    </row>
  </sheetData>
  <mergeCells count="2">
    <mergeCell ref="D12:D16"/>
    <mergeCell ref="D20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r:id="rId4">
            <anchor moveWithCells="1">
              <from>
                <xdr:col>0</xdr:col>
                <xdr:colOff>586740</xdr:colOff>
                <xdr:row>1</xdr:row>
                <xdr:rowOff>137160</xdr:rowOff>
              </from>
              <to>
                <xdr:col>10</xdr:col>
                <xdr:colOff>0</xdr:colOff>
                <xdr:row>7</xdr:row>
                <xdr:rowOff>68580</xdr:rowOff>
              </to>
            </anchor>
          </objectPr>
        </oleObject>
      </mc:Choice>
      <mc:Fallback>
        <oleObject progId="Equation.DSMT4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Lognormal NLL</vt:lpstr>
      <vt:lpstr>AIC table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Branch</dc:creator>
  <cp:lastModifiedBy>Trevor Branch</cp:lastModifiedBy>
  <dcterms:created xsi:type="dcterms:W3CDTF">2020-04-24T15:55:09Z</dcterms:created>
  <dcterms:modified xsi:type="dcterms:W3CDTF">2020-04-24T17:32:59Z</dcterms:modified>
</cp:coreProperties>
</file>