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6515" windowHeight="4935" activeTab="4"/>
  </bookViews>
  <sheets>
    <sheet name="Hoja1" sheetId="1" r:id="rId1"/>
    <sheet name="Hoja2" sheetId="2" r:id="rId2"/>
    <sheet name="d" sheetId="3" r:id="rId3"/>
    <sheet name="new" sheetId="4" r:id="rId4"/>
    <sheet name="Interpolation" sheetId="5" r:id="rId5"/>
  </sheets>
  <calcPr calcId="145621"/>
</workbook>
</file>

<file path=xl/calcChain.xml><?xml version="1.0" encoding="utf-8"?>
<calcChain xmlns="http://schemas.openxmlformats.org/spreadsheetml/2006/main">
  <c r="C7" i="5" l="1"/>
  <c r="D7" i="5"/>
  <c r="H30" i="5"/>
  <c r="H29" i="5"/>
  <c r="I26" i="5"/>
  <c r="I25" i="5"/>
  <c r="H26" i="5"/>
  <c r="H25" i="5"/>
  <c r="G26" i="5"/>
  <c r="G25" i="5"/>
  <c r="G24" i="5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6" i="5"/>
  <c r="F6" i="5" s="1"/>
  <c r="D8" i="5"/>
  <c r="D9" i="5"/>
  <c r="D10" i="5"/>
  <c r="D11" i="5"/>
  <c r="D12" i="5"/>
  <c r="D13" i="5"/>
  <c r="D6" i="5"/>
  <c r="E7" i="5" l="1"/>
  <c r="F7" i="5" s="1"/>
  <c r="I17" i="4"/>
  <c r="P21" i="4"/>
  <c r="P20" i="4"/>
  <c r="L20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L17" i="4"/>
  <c r="K17" i="4"/>
  <c r="N20" i="4" s="1"/>
  <c r="M23" i="4"/>
  <c r="M24" i="4"/>
  <c r="M25" i="4"/>
  <c r="M26" i="4"/>
  <c r="M27" i="4"/>
  <c r="M28" i="4"/>
  <c r="M29" i="4"/>
  <c r="M30" i="4"/>
  <c r="M31" i="4"/>
  <c r="M32" i="4"/>
  <c r="M33" i="4"/>
  <c r="M22" i="4"/>
  <c r="D32" i="4"/>
  <c r="D33" i="4"/>
  <c r="D34" i="4"/>
  <c r="D35" i="4"/>
  <c r="D36" i="4"/>
  <c r="D37" i="4"/>
  <c r="D38" i="4"/>
  <c r="D31" i="4"/>
  <c r="G31" i="4"/>
  <c r="N21" i="4"/>
  <c r="J17" i="4"/>
  <c r="L21" i="4" s="1"/>
  <c r="G30" i="4"/>
  <c r="D30" i="4"/>
  <c r="G20" i="4"/>
  <c r="D20" i="4"/>
  <c r="G19" i="4"/>
  <c r="D19" i="4"/>
  <c r="G25" i="4"/>
  <c r="D25" i="4"/>
  <c r="F28" i="4"/>
  <c r="G28" i="4" s="1"/>
  <c r="D28" i="4"/>
  <c r="G26" i="4"/>
  <c r="D26" i="4"/>
  <c r="G23" i="4"/>
  <c r="F23" i="4"/>
  <c r="D23" i="4"/>
  <c r="G21" i="4"/>
  <c r="D21" i="4"/>
  <c r="F22" i="4"/>
  <c r="G22" i="4" s="1"/>
  <c r="D22" i="4"/>
  <c r="G29" i="4"/>
  <c r="D29" i="4"/>
  <c r="G27" i="4"/>
  <c r="F27" i="4"/>
  <c r="D27" i="4"/>
  <c r="G24" i="4"/>
  <c r="D24" i="4"/>
  <c r="D5" i="4"/>
  <c r="D6" i="4"/>
  <c r="D7" i="4"/>
  <c r="D8" i="4"/>
  <c r="D9" i="4"/>
  <c r="D10" i="4"/>
  <c r="D11" i="4"/>
  <c r="D12" i="4"/>
  <c r="D13" i="4"/>
  <c r="D14" i="4"/>
  <c r="D15" i="4"/>
  <c r="D4" i="4"/>
  <c r="F7" i="4"/>
  <c r="G7" i="4" s="1"/>
  <c r="G6" i="4"/>
  <c r="G8" i="4"/>
  <c r="G10" i="4"/>
  <c r="G12" i="4"/>
  <c r="G13" i="4"/>
  <c r="G14" i="4"/>
  <c r="G15" i="4"/>
  <c r="G4" i="4"/>
  <c r="F11" i="4"/>
  <c r="G11" i="4" s="1"/>
  <c r="F9" i="4"/>
  <c r="G9" i="4" s="1"/>
  <c r="F5" i="4"/>
  <c r="G5" i="4" s="1"/>
  <c r="P40" i="4" l="1"/>
  <c r="P24" i="4"/>
  <c r="P26" i="4"/>
  <c r="P28" i="4"/>
  <c r="P30" i="4"/>
  <c r="P32" i="4"/>
  <c r="P35" i="4"/>
  <c r="P37" i="4"/>
  <c r="P39" i="4"/>
  <c r="P23" i="4"/>
  <c r="P25" i="4"/>
  <c r="P27" i="4"/>
  <c r="P29" i="4"/>
  <c r="P31" i="4"/>
  <c r="P34" i="4"/>
  <c r="P36" i="4"/>
  <c r="P38" i="4"/>
  <c r="L35" i="4"/>
  <c r="L37" i="4"/>
  <c r="L39" i="4"/>
  <c r="L23" i="4"/>
  <c r="L25" i="4"/>
  <c r="L27" i="4"/>
  <c r="L29" i="4"/>
  <c r="L31" i="4"/>
  <c r="L33" i="4"/>
  <c r="L34" i="4"/>
  <c r="L36" i="4"/>
  <c r="L38" i="4"/>
  <c r="L40" i="4"/>
  <c r="L22" i="4"/>
  <c r="L24" i="4"/>
  <c r="L26" i="4"/>
  <c r="L28" i="4"/>
  <c r="L30" i="4"/>
  <c r="L32" i="4"/>
  <c r="H30" i="4"/>
  <c r="H35" i="4"/>
  <c r="H37" i="4"/>
  <c r="N33" i="4"/>
  <c r="N25" i="4"/>
  <c r="N26" i="4"/>
  <c r="N27" i="4"/>
  <c r="N28" i="4"/>
  <c r="N29" i="4"/>
  <c r="N30" i="4"/>
  <c r="N31" i="4"/>
  <c r="H38" i="4"/>
  <c r="H36" i="4"/>
  <c r="H34" i="4"/>
  <c r="H32" i="4"/>
  <c r="H33" i="4"/>
  <c r="H31" i="4"/>
  <c r="N32" i="4"/>
  <c r="N24" i="4"/>
  <c r="N23" i="4"/>
  <c r="N22" i="4"/>
  <c r="H21" i="4"/>
  <c r="H28" i="4"/>
  <c r="H26" i="4"/>
  <c r="H24" i="4"/>
  <c r="H22" i="4"/>
  <c r="H20" i="4"/>
  <c r="I20" i="4" s="1"/>
  <c r="H19" i="4"/>
  <c r="I19" i="4" s="1"/>
  <c r="H29" i="4"/>
  <c r="H27" i="4"/>
  <c r="H25" i="4"/>
  <c r="H23" i="4"/>
  <c r="M1" i="3"/>
  <c r="K1" i="3"/>
  <c r="M3" i="3"/>
  <c r="Q5" i="3"/>
  <c r="L18" i="3"/>
  <c r="L14" i="3"/>
  <c r="L13" i="3"/>
  <c r="L12" i="3"/>
  <c r="L10" i="3"/>
  <c r="L9" i="3"/>
  <c r="L15" i="3"/>
  <c r="L16" i="3"/>
  <c r="L17" i="3"/>
  <c r="L11" i="3"/>
  <c r="I21" i="4" l="1"/>
  <c r="I23" i="4"/>
  <c r="I25" i="4" s="1"/>
  <c r="I27" i="4" s="1"/>
  <c r="I29" i="4" s="1"/>
  <c r="I22" i="4"/>
  <c r="I24" i="4" s="1"/>
  <c r="I26" i="4" s="1"/>
  <c r="I28" i="4" s="1"/>
  <c r="C3" i="3"/>
  <c r="E3" i="3" s="1"/>
  <c r="F8" i="3" l="1"/>
  <c r="E118" i="1"/>
  <c r="D18" i="2"/>
  <c r="F18" i="2" s="1"/>
  <c r="D107" i="1" s="1"/>
  <c r="F60" i="3" l="1"/>
  <c r="K16" i="3"/>
  <c r="J16" i="3" s="1"/>
  <c r="F23" i="3"/>
  <c r="F59" i="3"/>
  <c r="K10" i="3"/>
  <c r="J10" i="3" s="1"/>
  <c r="F44" i="3"/>
  <c r="K18" i="3"/>
  <c r="J18" i="3" s="1"/>
  <c r="F43" i="3"/>
  <c r="F22" i="3"/>
  <c r="F68" i="3"/>
  <c r="F52" i="3"/>
  <c r="F36" i="3"/>
  <c r="F15" i="3"/>
  <c r="F67" i="3"/>
  <c r="F51" i="3"/>
  <c r="F35" i="3"/>
  <c r="F14" i="3"/>
  <c r="K12" i="3"/>
  <c r="J12" i="3" s="1"/>
  <c r="F33" i="3"/>
  <c r="F64" i="3"/>
  <c r="F56" i="3"/>
  <c r="F48" i="3"/>
  <c r="F40" i="3"/>
  <c r="F27" i="3"/>
  <c r="F19" i="3"/>
  <c r="F11" i="3"/>
  <c r="F32" i="3"/>
  <c r="F63" i="3"/>
  <c r="F55" i="3"/>
  <c r="F47" i="3"/>
  <c r="F39" i="3"/>
  <c r="F26" i="3"/>
  <c r="F18" i="3"/>
  <c r="F10" i="3"/>
  <c r="K17" i="3"/>
  <c r="J17" i="3" s="1"/>
  <c r="F30" i="3"/>
  <c r="F31" i="3"/>
  <c r="F66" i="3"/>
  <c r="F62" i="3"/>
  <c r="F58" i="3"/>
  <c r="F54" i="3"/>
  <c r="F50" i="3"/>
  <c r="F46" i="3"/>
  <c r="F42" i="3"/>
  <c r="F38" i="3"/>
  <c r="F29" i="3"/>
  <c r="F25" i="3"/>
  <c r="F21" i="3"/>
  <c r="F17" i="3"/>
  <c r="F13" i="3"/>
  <c r="F9" i="3"/>
  <c r="E9" i="3" s="1"/>
  <c r="F34" i="3"/>
  <c r="F69" i="3"/>
  <c r="F65" i="3"/>
  <c r="F61" i="3"/>
  <c r="F57" i="3"/>
  <c r="F53" i="3"/>
  <c r="F49" i="3"/>
  <c r="F45" i="3"/>
  <c r="F41" i="3"/>
  <c r="F37" i="3"/>
  <c r="F28" i="3"/>
  <c r="F24" i="3"/>
  <c r="F20" i="3"/>
  <c r="F16" i="3"/>
  <c r="F12" i="3"/>
  <c r="K11" i="3"/>
  <c r="J11" i="3" s="1"/>
  <c r="K9" i="3"/>
  <c r="J9" i="3" s="1"/>
  <c r="K13" i="3"/>
  <c r="J13" i="3" s="1"/>
  <c r="K15" i="3"/>
  <c r="J15" i="3" s="1"/>
  <c r="K14" i="3"/>
  <c r="J14" i="3" s="1"/>
  <c r="B107" i="1"/>
  <c r="E117" i="1" s="1"/>
  <c r="A14" i="2"/>
  <c r="A13" i="2"/>
  <c r="D9" i="2"/>
  <c r="F9" i="2" s="1"/>
  <c r="D4" i="2"/>
  <c r="D2" i="2"/>
  <c r="J19" i="3" l="1"/>
  <c r="E10" i="3"/>
  <c r="E11" i="3"/>
  <c r="E114" i="1"/>
  <c r="E116" i="1"/>
  <c r="E112" i="1"/>
  <c r="E115" i="1"/>
  <c r="E113" i="1"/>
  <c r="E111" i="1"/>
  <c r="E98" i="1"/>
  <c r="E97" i="1"/>
  <c r="E96" i="1"/>
  <c r="E95" i="1"/>
  <c r="E94" i="1"/>
  <c r="E93" i="1"/>
  <c r="B89" i="1" l="1"/>
  <c r="D89" i="1" s="1"/>
  <c r="E77" i="1"/>
  <c r="E76" i="1"/>
  <c r="B72" i="1"/>
  <c r="D72" i="1" s="1"/>
  <c r="B65" i="1"/>
  <c r="D65" i="1" s="1"/>
  <c r="B54" i="1"/>
  <c r="D54" i="1" s="1"/>
  <c r="B50" i="1"/>
  <c r="D50" i="1" s="1"/>
  <c r="K41" i="1"/>
  <c r="L41" i="1" s="1"/>
  <c r="M41" i="1" s="1"/>
  <c r="K40" i="1"/>
  <c r="L40" i="1" s="1"/>
  <c r="M40" i="1" s="1"/>
  <c r="N37" i="1"/>
  <c r="B40" i="1"/>
  <c r="D40" i="1" s="1"/>
  <c r="E36" i="1"/>
  <c r="E35" i="1"/>
  <c r="B10" i="1"/>
  <c r="D10" i="1" s="1"/>
  <c r="L28" i="1"/>
  <c r="K28" i="1"/>
  <c r="E6" i="1"/>
  <c r="B5" i="1" s="1"/>
  <c r="E5" i="1"/>
  <c r="E69" i="1" l="1"/>
  <c r="L43" i="1"/>
  <c r="D5" i="1"/>
  <c r="E13" i="1"/>
  <c r="E15" i="1"/>
  <c r="E17" i="1"/>
  <c r="G19" i="1"/>
  <c r="H19" i="1" s="1"/>
  <c r="E23" i="1"/>
  <c r="B23" i="1" s="1"/>
  <c r="E25" i="1"/>
  <c r="E14" i="1"/>
  <c r="E16" i="1"/>
  <c r="E18" i="1"/>
  <c r="C18" i="1" s="1"/>
  <c r="E19" i="1"/>
  <c r="C19" i="1" s="1"/>
  <c r="E20" i="1"/>
  <c r="G20" i="1"/>
  <c r="E22" i="1"/>
  <c r="E24" i="1"/>
  <c r="B24" i="1" s="1"/>
  <c r="E26" i="1"/>
  <c r="B35" i="1"/>
  <c r="D35" i="1" s="1"/>
  <c r="E57" i="1"/>
  <c r="H57" i="1" s="1"/>
  <c r="E60" i="1"/>
  <c r="E58" i="1"/>
  <c r="E61" i="1"/>
  <c r="E43" i="1"/>
  <c r="I19" i="1" l="1"/>
  <c r="H20" i="1"/>
  <c r="I20" i="1" s="1"/>
  <c r="D20" i="1"/>
  <c r="L50" i="1"/>
  <c r="N43" i="1"/>
  <c r="O48" i="1" s="1"/>
  <c r="L49" i="1"/>
  <c r="L45" i="1"/>
  <c r="I30" i="4"/>
  <c r="O20" i="4"/>
  <c r="O21" i="4" l="1"/>
  <c r="O26" i="4" s="1"/>
  <c r="O27" i="4" l="1"/>
  <c r="O28" i="4"/>
  <c r="O31" i="4"/>
  <c r="O30" i="4"/>
  <c r="O32" i="4"/>
  <c r="O25" i="4"/>
  <c r="O23" i="4"/>
  <c r="O24" i="4"/>
  <c r="O29" i="4"/>
  <c r="O39" i="4"/>
  <c r="O35" i="4"/>
  <c r="O38" i="4"/>
  <c r="O40" i="4"/>
  <c r="O37" i="4"/>
  <c r="O34" i="4"/>
  <c r="O36" i="4"/>
</calcChain>
</file>

<file path=xl/sharedStrings.xml><?xml version="1.0" encoding="utf-8"?>
<sst xmlns="http://schemas.openxmlformats.org/spreadsheetml/2006/main" count="131" uniqueCount="47">
  <si>
    <t>y</t>
  </si>
  <si>
    <t>x</t>
  </si>
  <si>
    <t>m</t>
  </si>
  <si>
    <t>n</t>
  </si>
  <si>
    <t>Temp °C</t>
  </si>
  <si>
    <t>Pt100 °C</t>
  </si>
  <si>
    <t>Medida desde carriots</t>
  </si>
  <si>
    <t>i</t>
  </si>
  <si>
    <t>v</t>
  </si>
  <si>
    <t>T</t>
  </si>
  <si>
    <t>Dig</t>
  </si>
  <si>
    <t>V</t>
  </si>
  <si>
    <t>Temp</t>
  </si>
  <si>
    <t>termoc</t>
  </si>
  <si>
    <t>afuera</t>
  </si>
  <si>
    <t>TermoC</t>
  </si>
  <si>
    <t>Camara</t>
  </si>
  <si>
    <t>Yo</t>
  </si>
  <si>
    <t>// existe una rlacion lineal 0-1024 digital  rep 0-5V anal  -&gt; m = 204.8   y=204.8 * x</t>
  </si>
  <si>
    <t>// voltage entrada de y(4.4)= 4.4*204.8= 901.1 (máx)-&gt;+40°C  y(0.88)= 0.88*204.8= 180.2 (min)-&gt;-10°C</t>
  </si>
  <si>
    <t>//m = 40--10/880-176= 0,069358132  n = -22.5</t>
  </si>
  <si>
    <t>// La pt100 a sido configurada para un rango de -10°C (4ma) a +40°C (20mA)</t>
  </si>
  <si>
    <t>//  Y °C = 0,069358132 X -22.5</t>
  </si>
  <si>
    <t>//[-22.5°C  [ -10°C , +40°C ]  +48.52°C] {Teorico[Pt100] ]</t>
  </si>
  <si>
    <t>//  4 a 20ma -&gt; 0 a 5 Volt   --&gt; 0  a 1024 bits</t>
  </si>
  <si>
    <t xml:space="preserve"> "{\"protocol\":\"v2\",\"device\":\""+DEVICE_ID+"\",\"at\":\"now\",\"data\":{\"Temp\":\""+String(t1)+"\",\t\":\""+Crono+"\"}}";</t>
  </si>
  <si>
    <t>ZERO</t>
  </si>
  <si>
    <t>Pronostico</t>
  </si>
  <si>
    <t>Medidas</t>
  </si>
  <si>
    <t>error</t>
  </si>
  <si>
    <t>pt100</t>
  </si>
  <si>
    <t>delta</t>
  </si>
  <si>
    <t xml:space="preserve"> 11:</t>
  </si>
  <si>
    <t>hr</t>
  </si>
  <si>
    <t>sensor</t>
  </si>
  <si>
    <t>fx</t>
  </si>
  <si>
    <t>Sensor</t>
  </si>
  <si>
    <t>nueva</t>
  </si>
  <si>
    <t>antigua</t>
  </si>
  <si>
    <t>sobre 6</t>
  </si>
  <si>
    <t>data</t>
  </si>
  <si>
    <t>Interpola</t>
  </si>
  <si>
    <t>e%</t>
  </si>
  <si>
    <t>Interpolacion de Wolfram Alpha</t>
  </si>
  <si>
    <t>1pt = 4/3 px</t>
  </si>
  <si>
    <t>Se da un polinomio de grado cualquiera Ax^3+Bx^2*Cx*D = Y   se le  aplican los valores de x e y y se tien un ssitema de equcaiones que se requslve</t>
  </si>
  <si>
    <t>para obener los parametros A;B;C;D;E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</si>
</sst>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000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3" borderId="1" xfId="0" applyFill="1" applyBorder="1" applyAlignment="1">
      <alignment horizontal="center"/>
    </xf>
    <xf numFmtId="164" fontId="0" fillId="0" borderId="0" xfId="0" applyNumberFormat="1"/>
    <xf numFmtId="2" fontId="0" fillId="3" borderId="0" xfId="0" applyNumberFormat="1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2" borderId="0" xfId="0" applyFill="1"/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2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43" fontId="0" fillId="0" borderId="1" xfId="1" applyNumberFormat="1" applyFont="1" applyBorder="1"/>
    <xf numFmtId="0" fontId="0" fillId="0" borderId="3" xfId="0" applyFill="1" applyBorder="1"/>
    <xf numFmtId="43" fontId="0" fillId="0" borderId="0" xfId="1" applyNumberFormat="1" applyFont="1"/>
    <xf numFmtId="0" fontId="0" fillId="2" borderId="1" xfId="0" applyFill="1" applyBorder="1" applyAlignment="1">
      <alignment horizontal="right"/>
    </xf>
    <xf numFmtId="43" fontId="0" fillId="2" borderId="1" xfId="1" applyNumberFormat="1" applyFont="1" applyFill="1" applyBorder="1"/>
    <xf numFmtId="43" fontId="0" fillId="0" borderId="0" xfId="0" applyNumberFormat="1"/>
    <xf numFmtId="0" fontId="0" fillId="5" borderId="0" xfId="0" applyFill="1"/>
    <xf numFmtId="43" fontId="0" fillId="5" borderId="0" xfId="1" applyNumberFormat="1" applyFont="1" applyFill="1"/>
    <xf numFmtId="0" fontId="0" fillId="6" borderId="0" xfId="0" applyFill="1"/>
    <xf numFmtId="43" fontId="0" fillId="6" borderId="0" xfId="1" applyNumberFormat="1" applyFont="1" applyFill="1"/>
    <xf numFmtId="0" fontId="1" fillId="2" borderId="1" xfId="0" applyFont="1" applyFill="1" applyBorder="1" applyAlignment="1">
      <alignment horizontal="center"/>
    </xf>
    <xf numFmtId="9" fontId="0" fillId="0" borderId="1" xfId="2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1" applyNumberFormat="1" applyFont="1"/>
    <xf numFmtId="0" fontId="1" fillId="2" borderId="2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Interpolation!$B$5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Interpolation!$B$6:$B$13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Interpolation!$C$5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Interpolation!$C$6:$C$13</c:f>
              <c:numCache>
                <c:formatCode>General</c:formatCode>
                <c:ptCount val="8"/>
                <c:pt idx="0">
                  <c:v>0.63</c:v>
                </c:pt>
                <c:pt idx="1">
                  <c:v>0.6578689685937511</c:v>
                </c:pt>
                <c:pt idx="2">
                  <c:v>0.82</c:v>
                </c:pt>
                <c:pt idx="3">
                  <c:v>1</c:v>
                </c:pt>
                <c:pt idx="4">
                  <c:v>1.1299999999999999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84832"/>
        <c:axId val="69386624"/>
      </c:lineChart>
      <c:catAx>
        <c:axId val="693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9386624"/>
        <c:crosses val="autoZero"/>
        <c:auto val="1"/>
        <c:lblAlgn val="ctr"/>
        <c:lblOffset val="100"/>
        <c:noMultiLvlLbl val="0"/>
      </c:catAx>
      <c:valAx>
        <c:axId val="693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8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166687</xdr:rowOff>
    </xdr:from>
    <xdr:to>
      <xdr:col>11</xdr:col>
      <xdr:colOff>676275</xdr:colOff>
      <xdr:row>17</xdr:row>
      <xdr:rowOff>52387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8"/>
  <sheetViews>
    <sheetView topLeftCell="A79" workbookViewId="0">
      <selection activeCell="F90" sqref="A88:F90"/>
    </sheetView>
  </sheetViews>
  <sheetFormatPr baseColWidth="10" defaultRowHeight="15" x14ac:dyDescent="0.25"/>
  <cols>
    <col min="3" max="3" width="4.140625" customWidth="1"/>
    <col min="4" max="4" width="7.28515625" customWidth="1"/>
    <col min="10" max="10" width="4" bestFit="1" customWidth="1"/>
    <col min="11" max="11" width="7" bestFit="1" customWidth="1"/>
    <col min="12" max="12" width="9.42578125" bestFit="1" customWidth="1"/>
    <col min="13" max="13" width="8.5703125" bestFit="1" customWidth="1"/>
  </cols>
  <sheetData>
    <row r="2" spans="1:12" x14ac:dyDescent="0.25">
      <c r="E2" s="2" t="s">
        <v>0</v>
      </c>
      <c r="F2" s="2" t="s">
        <v>2</v>
      </c>
      <c r="G2" s="2" t="s">
        <v>3</v>
      </c>
    </row>
    <row r="3" spans="1:12" x14ac:dyDescent="0.25">
      <c r="E3" s="2">
        <v>100</v>
      </c>
      <c r="F3" s="2">
        <v>4</v>
      </c>
      <c r="G3" s="2">
        <v>20</v>
      </c>
    </row>
    <row r="4" spans="1:12" x14ac:dyDescent="0.25">
      <c r="E4" s="3" t="s">
        <v>0</v>
      </c>
      <c r="F4" s="3" t="s">
        <v>1</v>
      </c>
    </row>
    <row r="5" spans="1:12" x14ac:dyDescent="0.25">
      <c r="A5" s="2" t="s">
        <v>2</v>
      </c>
      <c r="B5" s="2">
        <f>+(E6-E5)/(F6-F5)</f>
        <v>4</v>
      </c>
      <c r="C5" s="2" t="s">
        <v>3</v>
      </c>
      <c r="D5" s="2">
        <f>+E6-B5*F6</f>
        <v>20</v>
      </c>
      <c r="E5" s="2">
        <f>+F5*$F$3+$G$3</f>
        <v>36</v>
      </c>
      <c r="F5" s="2">
        <v>4</v>
      </c>
    </row>
    <row r="6" spans="1:12" x14ac:dyDescent="0.25">
      <c r="E6" s="2">
        <f>+F6*$F$3+$G$3</f>
        <v>60</v>
      </c>
      <c r="F6" s="2">
        <v>10</v>
      </c>
    </row>
    <row r="8" spans="1:12" x14ac:dyDescent="0.25">
      <c r="K8">
        <v>345</v>
      </c>
      <c r="L8">
        <v>694</v>
      </c>
    </row>
    <row r="9" spans="1:12" x14ac:dyDescent="0.25">
      <c r="E9" s="4" t="s">
        <v>4</v>
      </c>
      <c r="F9" t="s">
        <v>5</v>
      </c>
      <c r="K9">
        <v>345</v>
      </c>
      <c r="L9">
        <v>689</v>
      </c>
    </row>
    <row r="10" spans="1:12" x14ac:dyDescent="0.25">
      <c r="A10" s="2" t="s">
        <v>2</v>
      </c>
      <c r="B10" s="2">
        <f>+(E11-E10)/(F11-F10)</f>
        <v>0.12848837209302327</v>
      </c>
      <c r="C10" s="2" t="s">
        <v>3</v>
      </c>
      <c r="D10" s="2">
        <f>+E11-B10*F11</f>
        <v>-43.400000000000006</v>
      </c>
      <c r="E10" s="1">
        <v>0.8</v>
      </c>
      <c r="F10" s="1">
        <v>344</v>
      </c>
      <c r="K10">
        <v>342</v>
      </c>
      <c r="L10">
        <v>689</v>
      </c>
    </row>
    <row r="11" spans="1:12" x14ac:dyDescent="0.25">
      <c r="C11" s="2"/>
      <c r="D11" s="2"/>
      <c r="E11" s="1">
        <v>45</v>
      </c>
      <c r="F11" s="1">
        <v>688</v>
      </c>
      <c r="K11">
        <v>345</v>
      </c>
      <c r="L11">
        <v>691</v>
      </c>
    </row>
    <row r="12" spans="1:12" x14ac:dyDescent="0.25">
      <c r="K12">
        <v>342</v>
      </c>
      <c r="L12">
        <v>693</v>
      </c>
    </row>
    <row r="13" spans="1:12" x14ac:dyDescent="0.25">
      <c r="E13">
        <f t="shared" ref="E13:E20" si="0">+F13*$B$10+$D$10</f>
        <v>42.173255813953489</v>
      </c>
      <c r="F13">
        <v>666</v>
      </c>
      <c r="K13">
        <v>345</v>
      </c>
      <c r="L13">
        <v>692</v>
      </c>
    </row>
    <row r="14" spans="1:12" x14ac:dyDescent="0.25">
      <c r="E14">
        <f t="shared" si="0"/>
        <v>40.374418604651169</v>
      </c>
      <c r="F14">
        <v>652</v>
      </c>
      <c r="K14">
        <v>343</v>
      </c>
      <c r="L14">
        <v>693</v>
      </c>
    </row>
    <row r="15" spans="1:12" x14ac:dyDescent="0.25">
      <c r="E15">
        <f t="shared" si="0"/>
        <v>37.804651162790705</v>
      </c>
      <c r="F15">
        <v>632</v>
      </c>
      <c r="K15">
        <v>345</v>
      </c>
      <c r="L15">
        <v>695</v>
      </c>
    </row>
    <row r="16" spans="1:12" x14ac:dyDescent="0.25">
      <c r="E16">
        <f t="shared" si="0"/>
        <v>19.944767441860471</v>
      </c>
      <c r="F16">
        <v>493</v>
      </c>
      <c r="K16">
        <v>340</v>
      </c>
      <c r="L16">
        <v>698</v>
      </c>
    </row>
    <row r="17" spans="2:12" x14ac:dyDescent="0.25">
      <c r="E17">
        <f t="shared" si="0"/>
        <v>37.547674418604657</v>
      </c>
      <c r="F17">
        <v>630</v>
      </c>
      <c r="K17">
        <v>346</v>
      </c>
      <c r="L17">
        <v>673</v>
      </c>
    </row>
    <row r="18" spans="2:12" x14ac:dyDescent="0.25">
      <c r="C18">
        <f>+D18-E18</f>
        <v>16.583139534883721</v>
      </c>
      <c r="D18">
        <v>35.5</v>
      </c>
      <c r="E18">
        <f t="shared" si="0"/>
        <v>18.916860465116279</v>
      </c>
      <c r="F18">
        <v>485</v>
      </c>
      <c r="K18">
        <v>345</v>
      </c>
      <c r="L18">
        <v>686</v>
      </c>
    </row>
    <row r="19" spans="2:12" x14ac:dyDescent="0.25">
      <c r="C19">
        <f>+D19-E19</f>
        <v>48.419186046511633</v>
      </c>
      <c r="D19">
        <v>34.700000000000003</v>
      </c>
      <c r="E19">
        <f t="shared" si="0"/>
        <v>-13.719186046511631</v>
      </c>
      <c r="F19">
        <v>231</v>
      </c>
      <c r="G19">
        <f>+F19*$B$10</f>
        <v>29.680813953488375</v>
      </c>
      <c r="H19">
        <f>+D19-G19</f>
        <v>5.0191860465116278</v>
      </c>
      <c r="I19">
        <f>+H19+G19</f>
        <v>34.700000000000003</v>
      </c>
      <c r="K19">
        <v>344</v>
      </c>
      <c r="L19">
        <v>683</v>
      </c>
    </row>
    <row r="20" spans="2:12" x14ac:dyDescent="0.25">
      <c r="D20">
        <f>+E20+C19</f>
        <v>34.186046511627907</v>
      </c>
      <c r="E20">
        <f t="shared" si="0"/>
        <v>-14.233139534883723</v>
      </c>
      <c r="F20">
        <v>227</v>
      </c>
      <c r="G20">
        <f>+F20*$B$10</f>
        <v>29.166860465116283</v>
      </c>
      <c r="H20">
        <f>+H19</f>
        <v>5.0191860465116278</v>
      </c>
      <c r="I20">
        <f>+H20+G20</f>
        <v>34.186046511627907</v>
      </c>
      <c r="K20">
        <v>343</v>
      </c>
      <c r="L20">
        <v>685</v>
      </c>
    </row>
    <row r="21" spans="2:12" x14ac:dyDescent="0.25">
      <c r="K21">
        <v>344</v>
      </c>
      <c r="L21">
        <v>686</v>
      </c>
    </row>
    <row r="22" spans="2:12" x14ac:dyDescent="0.25">
      <c r="E22">
        <f>+F22*$B$10+$D$10</f>
        <v>3.11279069767442</v>
      </c>
      <c r="F22">
        <v>362</v>
      </c>
      <c r="K22">
        <v>347</v>
      </c>
      <c r="L22">
        <v>687</v>
      </c>
    </row>
    <row r="23" spans="2:12" x14ac:dyDescent="0.25">
      <c r="B23">
        <f>+C23+E23</f>
        <v>6.696511627906979</v>
      </c>
      <c r="C23">
        <v>0.5</v>
      </c>
      <c r="E23">
        <f>+F23*$B$10+$D$10</f>
        <v>6.196511627906979</v>
      </c>
      <c r="F23">
        <v>386</v>
      </c>
      <c r="K23">
        <v>342</v>
      </c>
      <c r="L23">
        <v>686</v>
      </c>
    </row>
    <row r="24" spans="2:12" x14ac:dyDescent="0.25">
      <c r="B24">
        <f>+C24+E24</f>
        <v>7.2104651162790674</v>
      </c>
      <c r="C24">
        <v>0.5</v>
      </c>
      <c r="E24">
        <f>+F24*$B$10+$D$10</f>
        <v>6.7104651162790674</v>
      </c>
      <c r="F24">
        <v>390</v>
      </c>
      <c r="K24">
        <v>345</v>
      </c>
      <c r="L24">
        <v>686</v>
      </c>
    </row>
    <row r="25" spans="2:12" x14ac:dyDescent="0.25">
      <c r="E25">
        <f>+F25*$B$10+$D$10</f>
        <v>9.1517441860465141</v>
      </c>
      <c r="F25">
        <v>409</v>
      </c>
      <c r="K25">
        <v>347</v>
      </c>
      <c r="L25">
        <v>686</v>
      </c>
    </row>
    <row r="26" spans="2:12" x14ac:dyDescent="0.25">
      <c r="E26">
        <f>+F26*$B$10+$D$10</f>
        <v>13.134883720930233</v>
      </c>
      <c r="F26">
        <v>440</v>
      </c>
      <c r="K26">
        <v>345</v>
      </c>
      <c r="L26">
        <v>687</v>
      </c>
    </row>
    <row r="27" spans="2:12" x14ac:dyDescent="0.25">
      <c r="K27">
        <v>343</v>
      </c>
      <c r="L27">
        <v>687</v>
      </c>
    </row>
    <row r="28" spans="2:12" x14ac:dyDescent="0.25">
      <c r="K28">
        <f>+AVERAGE(K8:K27)</f>
        <v>344.15</v>
      </c>
      <c r="L28">
        <f>+AVERAGE(L8:L27)</f>
        <v>688.3</v>
      </c>
    </row>
    <row r="34" spans="1:15" x14ac:dyDescent="0.25">
      <c r="E34" s="3" t="s">
        <v>0</v>
      </c>
      <c r="F34" s="3" t="s">
        <v>1</v>
      </c>
    </row>
    <row r="35" spans="1:15" x14ac:dyDescent="0.25">
      <c r="A35" s="2" t="s">
        <v>2</v>
      </c>
      <c r="B35" s="2">
        <f>+(E36-E35)/(F36-F35)</f>
        <v>4</v>
      </c>
      <c r="C35" s="2" t="s">
        <v>3</v>
      </c>
      <c r="D35" s="2">
        <f>+E36-B35*F36</f>
        <v>20</v>
      </c>
      <c r="E35" s="2">
        <f>+F35*$F$3+$G$3</f>
        <v>36</v>
      </c>
      <c r="F35" s="2">
        <v>4</v>
      </c>
    </row>
    <row r="36" spans="1:15" x14ac:dyDescent="0.25">
      <c r="E36" s="2">
        <f>+F36*$F$3+$G$3</f>
        <v>60</v>
      </c>
      <c r="F36" s="2">
        <v>10</v>
      </c>
    </row>
    <row r="37" spans="1:15" x14ac:dyDescent="0.25">
      <c r="J37" t="s">
        <v>10</v>
      </c>
      <c r="K37">
        <v>0</v>
      </c>
      <c r="L37">
        <v>1024</v>
      </c>
      <c r="M37" t="s">
        <v>2</v>
      </c>
      <c r="N37" s="6">
        <f>+L37/L38</f>
        <v>204.8</v>
      </c>
    </row>
    <row r="38" spans="1:15" x14ac:dyDescent="0.25">
      <c r="F38" t="s">
        <v>6</v>
      </c>
      <c r="J38" t="s">
        <v>11</v>
      </c>
      <c r="K38">
        <v>0</v>
      </c>
      <c r="L38">
        <v>5</v>
      </c>
    </row>
    <row r="39" spans="1:15" x14ac:dyDescent="0.25">
      <c r="E39" s="4" t="s">
        <v>4</v>
      </c>
      <c r="F39" t="s">
        <v>5</v>
      </c>
      <c r="K39" s="7" t="s">
        <v>7</v>
      </c>
      <c r="L39" s="7" t="s">
        <v>8</v>
      </c>
      <c r="M39" t="s">
        <v>10</v>
      </c>
      <c r="N39" s="7" t="s">
        <v>9</v>
      </c>
    </row>
    <row r="40" spans="1:15" x14ac:dyDescent="0.25">
      <c r="A40" s="2" t="s">
        <v>2</v>
      </c>
      <c r="B40" s="2">
        <f>+(E41-E40)/(F41-F40)</f>
        <v>6.0106382978723408E-2</v>
      </c>
      <c r="C40" s="2" t="s">
        <v>3</v>
      </c>
      <c r="D40" s="2">
        <f>+E41-B40*F41</f>
        <v>-23.888829787234048</v>
      </c>
      <c r="E40" s="1">
        <v>37.6</v>
      </c>
      <c r="F40" s="1">
        <v>1023</v>
      </c>
      <c r="K40">
        <f>4/1000</f>
        <v>4.0000000000000001E-3</v>
      </c>
      <c r="L40" s="6">
        <f>+K40*220</f>
        <v>0.88</v>
      </c>
      <c r="M40" s="8">
        <f>+L40*$N$37</f>
        <v>180.22400000000002</v>
      </c>
      <c r="N40">
        <v>-10</v>
      </c>
    </row>
    <row r="41" spans="1:15" x14ac:dyDescent="0.25">
      <c r="C41" s="2"/>
      <c r="D41" s="2"/>
      <c r="E41" s="1">
        <v>26.3</v>
      </c>
      <c r="F41" s="1">
        <v>835</v>
      </c>
      <c r="K41">
        <f>20/1000</f>
        <v>0.02</v>
      </c>
      <c r="L41" s="6">
        <f>+K41*220</f>
        <v>4.4000000000000004</v>
      </c>
      <c r="M41" s="8">
        <f>+L41*$N$37</f>
        <v>901.12000000000012</v>
      </c>
      <c r="N41">
        <v>40</v>
      </c>
    </row>
    <row r="43" spans="1:15" x14ac:dyDescent="0.25">
      <c r="E43">
        <f>+F43*B40+D40</f>
        <v>25.278191489361699</v>
      </c>
      <c r="F43">
        <v>818</v>
      </c>
      <c r="K43" t="s">
        <v>2</v>
      </c>
      <c r="L43">
        <f>+(N41-N40)/(M41-M40)</f>
        <v>6.9358132102272721E-2</v>
      </c>
      <c r="M43" t="s">
        <v>3</v>
      </c>
      <c r="N43" s="8">
        <f>+N41-L43*M41</f>
        <v>-22.5</v>
      </c>
    </row>
    <row r="45" spans="1:15" x14ac:dyDescent="0.25">
      <c r="L45">
        <f>+L43*1024+N43</f>
        <v>48.522727272727266</v>
      </c>
    </row>
    <row r="48" spans="1:15" x14ac:dyDescent="0.25">
      <c r="K48" t="s">
        <v>10</v>
      </c>
      <c r="L48" t="s">
        <v>12</v>
      </c>
      <c r="N48">
        <v>11.7</v>
      </c>
      <c r="O48" s="8">
        <f>+(N48-N43)/L43</f>
        <v>493.09286400000008</v>
      </c>
    </row>
    <row r="49" spans="1:15" x14ac:dyDescent="0.25">
      <c r="E49" s="4" t="s">
        <v>4</v>
      </c>
      <c r="F49" t="s">
        <v>5</v>
      </c>
      <c r="K49">
        <v>1000</v>
      </c>
      <c r="L49">
        <f>+$L$43*K49+$N$43</f>
        <v>46.85813210227272</v>
      </c>
    </row>
    <row r="50" spans="1:15" x14ac:dyDescent="0.25">
      <c r="A50" s="2" t="s">
        <v>2</v>
      </c>
      <c r="B50" s="2">
        <f>+(E51-E50)/(F51-F50)</f>
        <v>4.1733547351524881E-2</v>
      </c>
      <c r="C50" s="2" t="s">
        <v>3</v>
      </c>
      <c r="D50" s="2">
        <f>+E51-B50*F51</f>
        <v>-12.693418940609952</v>
      </c>
      <c r="E50">
        <v>4</v>
      </c>
      <c r="F50" s="1">
        <v>400</v>
      </c>
      <c r="K50">
        <v>751</v>
      </c>
      <c r="L50">
        <f>+$L$43*K50+$N$43</f>
        <v>29.587957208806813</v>
      </c>
    </row>
    <row r="51" spans="1:15" x14ac:dyDescent="0.25">
      <c r="C51" s="2"/>
      <c r="D51" s="2"/>
      <c r="E51">
        <v>30</v>
      </c>
      <c r="F51" s="1">
        <v>1023</v>
      </c>
    </row>
    <row r="52" spans="1:15" x14ac:dyDescent="0.25">
      <c r="E52">
        <v>10.7</v>
      </c>
    </row>
    <row r="54" spans="1:15" x14ac:dyDescent="0.25">
      <c r="A54" s="2" t="s">
        <v>2</v>
      </c>
      <c r="B54" s="2">
        <f>+(E55-E54)/(F55-F54)</f>
        <v>6.0883280757097792E-2</v>
      </c>
      <c r="C54" s="2" t="s">
        <v>3</v>
      </c>
      <c r="D54" s="2">
        <f>+E55-B54*F55</f>
        <v>-32.344479495268139</v>
      </c>
      <c r="E54">
        <v>10.7</v>
      </c>
      <c r="F54">
        <v>707</v>
      </c>
    </row>
    <row r="55" spans="1:15" x14ac:dyDescent="0.25">
      <c r="C55" s="2"/>
      <c r="D55" s="2"/>
      <c r="E55">
        <v>30</v>
      </c>
      <c r="F55">
        <v>1024</v>
      </c>
      <c r="L55" t="s">
        <v>13</v>
      </c>
      <c r="M55" t="s">
        <v>14</v>
      </c>
    </row>
    <row r="56" spans="1:15" x14ac:dyDescent="0.25">
      <c r="F56">
        <v>413</v>
      </c>
      <c r="L56">
        <v>5.0999999999999996</v>
      </c>
      <c r="M56">
        <v>4</v>
      </c>
      <c r="N56">
        <v>413</v>
      </c>
      <c r="O56">
        <v>4.54</v>
      </c>
    </row>
    <row r="57" spans="1:15" x14ac:dyDescent="0.25">
      <c r="E57" s="9">
        <f>+F57*$B$50+$D$50</f>
        <v>4.5425361155698241</v>
      </c>
      <c r="F57">
        <v>413</v>
      </c>
      <c r="G57">
        <v>5.2</v>
      </c>
      <c r="H57" s="6">
        <f>+G57-E57</f>
        <v>0.65746388443017612</v>
      </c>
    </row>
    <row r="58" spans="1:15" x14ac:dyDescent="0.25">
      <c r="E58" s="6">
        <f>+F58*$B$54+$D$54</f>
        <v>17.336277602523658</v>
      </c>
      <c r="F58">
        <v>816</v>
      </c>
    </row>
    <row r="60" spans="1:15" x14ac:dyDescent="0.25">
      <c r="E60" s="9">
        <f>+F60*$B$50+$D$50</f>
        <v>16.812199036918138</v>
      </c>
      <c r="F60">
        <v>707</v>
      </c>
    </row>
    <row r="61" spans="1:15" x14ac:dyDescent="0.25">
      <c r="E61" s="6">
        <f>+F61*$B$54+$D$54</f>
        <v>10.700000000000003</v>
      </c>
      <c r="F61">
        <v>707</v>
      </c>
    </row>
    <row r="64" spans="1:15" x14ac:dyDescent="0.25">
      <c r="E64" s="4" t="s">
        <v>4</v>
      </c>
      <c r="F64" t="s">
        <v>5</v>
      </c>
    </row>
    <row r="65" spans="1:6" x14ac:dyDescent="0.25">
      <c r="A65" s="2" t="s">
        <v>2</v>
      </c>
      <c r="B65" s="2">
        <f>+(E66-E65)/(F66-F65)</f>
        <v>4.3017656500802567E-2</v>
      </c>
      <c r="C65" s="2" t="s">
        <v>3</v>
      </c>
      <c r="D65" s="2">
        <f>+E66-B65*F66</f>
        <v>-14.007062600321028</v>
      </c>
      <c r="E65">
        <v>3.2</v>
      </c>
      <c r="F65" s="1">
        <v>400</v>
      </c>
    </row>
    <row r="66" spans="1:6" x14ac:dyDescent="0.25">
      <c r="C66" s="2"/>
      <c r="D66" s="2"/>
      <c r="E66">
        <v>30</v>
      </c>
      <c r="F66" s="1">
        <v>1023</v>
      </c>
    </row>
    <row r="67" spans="1:6" x14ac:dyDescent="0.25">
      <c r="E67">
        <v>10.7</v>
      </c>
    </row>
    <row r="69" spans="1:6" x14ac:dyDescent="0.25">
      <c r="E69">
        <f>+F69*$B$65+$D$65</f>
        <v>2.5117174959871562</v>
      </c>
      <c r="F69">
        <v>384</v>
      </c>
    </row>
    <row r="71" spans="1:6" x14ac:dyDescent="0.25">
      <c r="E71" s="4" t="s">
        <v>4</v>
      </c>
      <c r="F71" t="s">
        <v>5</v>
      </c>
    </row>
    <row r="72" spans="1:6" x14ac:dyDescent="0.25">
      <c r="A72" s="2" t="s">
        <v>2</v>
      </c>
      <c r="B72" s="2">
        <f>+(E73-E72)/(F73-F72)</f>
        <v>4.3750000000000011E-2</v>
      </c>
      <c r="C72" s="2" t="s">
        <v>3</v>
      </c>
      <c r="D72" s="2">
        <f>+E73-B72*F73</f>
        <v>-14.300000000000004</v>
      </c>
      <c r="E72">
        <v>3.2</v>
      </c>
      <c r="F72" s="1">
        <v>400</v>
      </c>
    </row>
    <row r="73" spans="1:6" x14ac:dyDescent="0.25">
      <c r="C73" s="2"/>
      <c r="D73" s="2"/>
      <c r="E73">
        <v>2.5</v>
      </c>
      <c r="F73" s="1">
        <v>384</v>
      </c>
    </row>
    <row r="76" spans="1:6" x14ac:dyDescent="0.25">
      <c r="E76">
        <f>+F76*$B$72+$D$72</f>
        <v>2.9375</v>
      </c>
      <c r="F76">
        <v>394</v>
      </c>
    </row>
    <row r="77" spans="1:6" x14ac:dyDescent="0.25">
      <c r="E77">
        <f>+F77*$B$72+$D$72</f>
        <v>3.2437499999999986</v>
      </c>
      <c r="F77">
        <v>401</v>
      </c>
    </row>
    <row r="80" spans="1:6" x14ac:dyDescent="0.25">
      <c r="E80">
        <v>4.8</v>
      </c>
      <c r="F80">
        <v>403</v>
      </c>
    </row>
    <row r="87" spans="1:14" x14ac:dyDescent="0.25">
      <c r="L87" t="s">
        <v>15</v>
      </c>
      <c r="M87" t="s">
        <v>16</v>
      </c>
      <c r="N87" t="s">
        <v>17</v>
      </c>
    </row>
    <row r="88" spans="1:14" x14ac:dyDescent="0.25">
      <c r="A88" s="5"/>
      <c r="E88" s="4" t="s">
        <v>4</v>
      </c>
      <c r="F88" t="s">
        <v>5</v>
      </c>
      <c r="L88">
        <v>5.0999999999999996</v>
      </c>
      <c r="M88">
        <v>3.6</v>
      </c>
      <c r="N88">
        <v>580</v>
      </c>
    </row>
    <row r="89" spans="1:14" x14ac:dyDescent="0.25">
      <c r="A89" s="2" t="s">
        <v>2</v>
      </c>
      <c r="B89" s="2">
        <f>+(E90-E89)/(F90-F89)</f>
        <v>5.0000000000000044E-2</v>
      </c>
      <c r="C89" s="2" t="s">
        <v>3</v>
      </c>
      <c r="D89" s="2">
        <f>+E90-B89*F90</f>
        <v>-23.900000000000027</v>
      </c>
      <c r="E89" s="2">
        <v>5.0999999999999996</v>
      </c>
      <c r="F89" s="2">
        <v>580</v>
      </c>
      <c r="L89">
        <v>5.3</v>
      </c>
      <c r="M89">
        <v>3.7</v>
      </c>
      <c r="N89">
        <v>584</v>
      </c>
    </row>
    <row r="90" spans="1:14" x14ac:dyDescent="0.25">
      <c r="C90" s="2"/>
      <c r="D90" s="2"/>
      <c r="E90" s="2">
        <v>5.5</v>
      </c>
      <c r="F90" s="2">
        <v>588</v>
      </c>
      <c r="L90">
        <v>5.5</v>
      </c>
      <c r="M90">
        <v>3.8</v>
      </c>
      <c r="N90">
        <v>588</v>
      </c>
    </row>
    <row r="91" spans="1:14" x14ac:dyDescent="0.25">
      <c r="L91">
        <v>5.6</v>
      </c>
      <c r="M91">
        <v>4</v>
      </c>
      <c r="N91">
        <v>589</v>
      </c>
    </row>
    <row r="92" spans="1:14" x14ac:dyDescent="0.25">
      <c r="L92">
        <v>5</v>
      </c>
      <c r="M92">
        <v>3.7</v>
      </c>
      <c r="N92">
        <v>593</v>
      </c>
    </row>
    <row r="93" spans="1:14" x14ac:dyDescent="0.25">
      <c r="E93">
        <f t="shared" ref="E93:E98" si="1">+F93*$B$89+$D$89</f>
        <v>4.1999999999999993</v>
      </c>
      <c r="F93">
        <v>562</v>
      </c>
      <c r="L93">
        <v>3.9</v>
      </c>
      <c r="N93">
        <v>560</v>
      </c>
    </row>
    <row r="94" spans="1:14" x14ac:dyDescent="0.25">
      <c r="E94">
        <f t="shared" si="1"/>
        <v>4.0999999999999979</v>
      </c>
      <c r="F94">
        <v>560</v>
      </c>
      <c r="L94">
        <v>4.5</v>
      </c>
      <c r="N94">
        <v>569</v>
      </c>
    </row>
    <row r="95" spans="1:14" x14ac:dyDescent="0.25">
      <c r="E95">
        <f t="shared" si="1"/>
        <v>4.5499999999999972</v>
      </c>
      <c r="F95">
        <v>569</v>
      </c>
    </row>
    <row r="96" spans="1:14" x14ac:dyDescent="0.25">
      <c r="E96">
        <f t="shared" si="1"/>
        <v>4.8499999999999979</v>
      </c>
      <c r="F96">
        <v>575</v>
      </c>
    </row>
    <row r="97" spans="1:6" x14ac:dyDescent="0.25">
      <c r="E97">
        <f t="shared" si="1"/>
        <v>5.2999999999999972</v>
      </c>
      <c r="F97">
        <v>584</v>
      </c>
    </row>
    <row r="98" spans="1:6" x14ac:dyDescent="0.25">
      <c r="E98">
        <f t="shared" si="1"/>
        <v>7.3000000000000007</v>
      </c>
      <c r="F98">
        <v>624</v>
      </c>
    </row>
    <row r="106" spans="1:6" x14ac:dyDescent="0.25">
      <c r="A106" s="10"/>
      <c r="B106" s="10"/>
      <c r="C106" s="10"/>
      <c r="D106" s="10"/>
      <c r="E106" s="11" t="s">
        <v>4</v>
      </c>
      <c r="F106" s="10" t="s">
        <v>5</v>
      </c>
    </row>
    <row r="107" spans="1:6" x14ac:dyDescent="0.25">
      <c r="A107" s="2" t="s">
        <v>2</v>
      </c>
      <c r="B107" s="2">
        <f>+Hoja2!D18</f>
        <v>4.9062499999999995E-2</v>
      </c>
      <c r="C107" s="2" t="s">
        <v>3</v>
      </c>
      <c r="D107" s="2">
        <f>+Hoja2!F18</f>
        <v>-24.950624999999995</v>
      </c>
      <c r="E107" s="2">
        <v>5.0999999999999996</v>
      </c>
      <c r="F107" s="2">
        <v>580</v>
      </c>
    </row>
    <row r="108" spans="1:6" x14ac:dyDescent="0.25">
      <c r="C108" s="2"/>
      <c r="D108" s="2"/>
      <c r="E108" s="2">
        <v>5.5</v>
      </c>
      <c r="F108" s="2">
        <v>588</v>
      </c>
    </row>
    <row r="111" spans="1:6" x14ac:dyDescent="0.25">
      <c r="E111">
        <f>+F111*$B$107+$D$107</f>
        <v>7.0381250000000009</v>
      </c>
      <c r="F111">
        <v>652</v>
      </c>
    </row>
    <row r="112" spans="1:6" x14ac:dyDescent="0.25">
      <c r="E112">
        <f>+F112*$B$107+$D$107</f>
        <v>5.6643750000000033</v>
      </c>
      <c r="F112">
        <v>624</v>
      </c>
    </row>
    <row r="113" spans="4:6" x14ac:dyDescent="0.25">
      <c r="D113" s="2">
        <v>4.4000000000000004</v>
      </c>
      <c r="E113">
        <f>+F113*$B$107+$D$107</f>
        <v>4.2906250000000021</v>
      </c>
      <c r="F113" s="2">
        <v>596</v>
      </c>
    </row>
    <row r="114" spans="4:6" x14ac:dyDescent="0.25">
      <c r="D114" s="2">
        <v>5.3</v>
      </c>
      <c r="E114">
        <f t="shared" ref="E114:E118" si="2">+F114*$B$107+$D$107</f>
        <v>5.0756250000000023</v>
      </c>
      <c r="F114" s="2">
        <v>612</v>
      </c>
    </row>
    <row r="115" spans="4:6" x14ac:dyDescent="0.25">
      <c r="D115" s="13">
        <v>5.6</v>
      </c>
      <c r="E115">
        <f t="shared" si="2"/>
        <v>5.1737500000000018</v>
      </c>
      <c r="F115" s="13">
        <v>614</v>
      </c>
    </row>
    <row r="116" spans="4:6" x14ac:dyDescent="0.25">
      <c r="D116" s="2">
        <v>8.4</v>
      </c>
      <c r="E116">
        <f t="shared" si="2"/>
        <v>7.7250000000000014</v>
      </c>
      <c r="F116" s="2">
        <v>666</v>
      </c>
    </row>
    <row r="117" spans="4:6" x14ac:dyDescent="0.25">
      <c r="D117" s="12">
        <v>192</v>
      </c>
      <c r="E117" s="14">
        <f t="shared" si="2"/>
        <v>19.5</v>
      </c>
      <c r="F117" s="12">
        <v>906</v>
      </c>
    </row>
    <row r="118" spans="4:6" x14ac:dyDescent="0.25">
      <c r="D118" s="12">
        <v>19.2</v>
      </c>
      <c r="E118" s="14">
        <f t="shared" si="2"/>
        <v>19.058437500000004</v>
      </c>
      <c r="F118" s="12">
        <v>897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G20" sqref="G20"/>
    </sheetView>
  </sheetViews>
  <sheetFormatPr baseColWidth="10" defaultRowHeight="15" x14ac:dyDescent="0.25"/>
  <cols>
    <col min="1" max="1" width="71" customWidth="1"/>
    <col min="3" max="3" width="7.140625" customWidth="1"/>
    <col min="5" max="5" width="6.140625" customWidth="1"/>
    <col min="6" max="6" width="6" customWidth="1"/>
    <col min="7" max="7" width="8.28515625" bestFit="1" customWidth="1"/>
    <col min="8" max="8" width="8.140625" bestFit="1" customWidth="1"/>
  </cols>
  <sheetData>
    <row r="1" spans="1:8" x14ac:dyDescent="0.25">
      <c r="A1" t="s">
        <v>24</v>
      </c>
    </row>
    <row r="2" spans="1:8" x14ac:dyDescent="0.25">
      <c r="A2" t="s">
        <v>18</v>
      </c>
      <c r="D2">
        <f>50/1024</f>
        <v>4.8828125E-2</v>
      </c>
    </row>
    <row r="3" spans="1:8" x14ac:dyDescent="0.25">
      <c r="A3" t="s">
        <v>19</v>
      </c>
    </row>
    <row r="4" spans="1:8" x14ac:dyDescent="0.25">
      <c r="A4" t="s">
        <v>20</v>
      </c>
      <c r="D4">
        <f>50/1000</f>
        <v>0.05</v>
      </c>
    </row>
    <row r="5" spans="1:8" x14ac:dyDescent="0.25">
      <c r="A5" t="s">
        <v>21</v>
      </c>
    </row>
    <row r="6" spans="1:8" x14ac:dyDescent="0.25">
      <c r="A6" t="s">
        <v>22</v>
      </c>
    </row>
    <row r="7" spans="1:8" x14ac:dyDescent="0.25">
      <c r="A7" t="s">
        <v>23</v>
      </c>
    </row>
    <row r="8" spans="1:8" x14ac:dyDescent="0.25">
      <c r="C8" s="5"/>
      <c r="G8" s="4" t="s">
        <v>4</v>
      </c>
      <c r="H8" t="s">
        <v>5</v>
      </c>
    </row>
    <row r="9" spans="1:8" x14ac:dyDescent="0.25">
      <c r="C9" s="2" t="s">
        <v>2</v>
      </c>
      <c r="D9" s="2">
        <f>+(G10-G9)/(H10-H9)</f>
        <v>4.8828125E-2</v>
      </c>
      <c r="E9" s="2" t="s">
        <v>3</v>
      </c>
      <c r="F9" s="2">
        <f>+G10-D9*H10</f>
        <v>-10</v>
      </c>
      <c r="G9" s="2">
        <v>-10</v>
      </c>
      <c r="H9" s="2">
        <v>0</v>
      </c>
    </row>
    <row r="10" spans="1:8" x14ac:dyDescent="0.25">
      <c r="E10" s="2"/>
      <c r="F10" s="2"/>
      <c r="G10" s="2">
        <v>40</v>
      </c>
      <c r="H10" s="2">
        <v>1024</v>
      </c>
    </row>
    <row r="12" spans="1:8" x14ac:dyDescent="0.25">
      <c r="A12" t="s">
        <v>25</v>
      </c>
    </row>
    <row r="13" spans="1:8" x14ac:dyDescent="0.25">
      <c r="A13">
        <f>+LEN(A12)-22</f>
        <v>105</v>
      </c>
    </row>
    <row r="14" spans="1:8" x14ac:dyDescent="0.25">
      <c r="A14">
        <f>+A13*8</f>
        <v>840</v>
      </c>
    </row>
    <row r="17" spans="3:8" x14ac:dyDescent="0.25">
      <c r="C17" s="5"/>
      <c r="G17" s="4" t="s">
        <v>4</v>
      </c>
      <c r="H17" t="s">
        <v>5</v>
      </c>
    </row>
    <row r="18" spans="3:8" x14ac:dyDescent="0.25">
      <c r="C18" s="2" t="s">
        <v>2</v>
      </c>
      <c r="D18" s="2">
        <f>+(G19-G18)/(H19-H18)</f>
        <v>4.9062499999999995E-2</v>
      </c>
      <c r="E18" s="2" t="s">
        <v>3</v>
      </c>
      <c r="F18" s="2">
        <f>+G19-D18*H19</f>
        <v>-24.950624999999995</v>
      </c>
      <c r="G18" s="2">
        <v>3.8</v>
      </c>
      <c r="H18" s="2">
        <v>586</v>
      </c>
    </row>
    <row r="19" spans="3:8" x14ac:dyDescent="0.25">
      <c r="E19" s="2"/>
      <c r="F19" s="2"/>
      <c r="G19" s="2">
        <v>19.5</v>
      </c>
      <c r="H19" s="2">
        <v>906</v>
      </c>
    </row>
    <row r="20" spans="3:8" x14ac:dyDescent="0.25">
      <c r="G20" s="1"/>
      <c r="H20" s="1"/>
    </row>
    <row r="21" spans="3:8" x14ac:dyDescent="0.25">
      <c r="G21" s="2">
        <v>3.8</v>
      </c>
      <c r="H21" s="2">
        <v>586</v>
      </c>
    </row>
    <row r="22" spans="3:8" x14ac:dyDescent="0.25">
      <c r="G22" s="2">
        <v>4.4000000000000004</v>
      </c>
      <c r="H22" s="2">
        <v>596</v>
      </c>
    </row>
    <row r="23" spans="3:8" x14ac:dyDescent="0.25">
      <c r="G23" s="2">
        <v>5.3</v>
      </c>
      <c r="H23" s="2">
        <v>612</v>
      </c>
    </row>
    <row r="24" spans="3:8" x14ac:dyDescent="0.25">
      <c r="G24" s="13">
        <v>5.6</v>
      </c>
      <c r="H24" s="13">
        <v>614</v>
      </c>
    </row>
    <row r="25" spans="3:8" x14ac:dyDescent="0.25">
      <c r="G25" s="2">
        <v>8.4</v>
      </c>
      <c r="H25" s="2">
        <v>666</v>
      </c>
    </row>
    <row r="26" spans="3:8" x14ac:dyDescent="0.25">
      <c r="G26" s="1"/>
      <c r="H26" s="1"/>
    </row>
    <row r="27" spans="3:8" x14ac:dyDescent="0.25">
      <c r="G27" s="1"/>
      <c r="H27" s="1"/>
    </row>
    <row r="28" spans="3:8" x14ac:dyDescent="0.25">
      <c r="G28" s="1"/>
      <c r="H28" s="1"/>
    </row>
    <row r="29" spans="3:8" x14ac:dyDescent="0.25">
      <c r="G29" s="1"/>
      <c r="H29" s="1"/>
    </row>
    <row r="30" spans="3:8" x14ac:dyDescent="0.25">
      <c r="G30" s="1"/>
      <c r="H30" s="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workbookViewId="0">
      <selection activeCell="K1" sqref="K1"/>
    </sheetView>
  </sheetViews>
  <sheetFormatPr baseColWidth="10" defaultRowHeight="15" x14ac:dyDescent="0.25"/>
  <cols>
    <col min="1" max="1" width="3.5703125" customWidth="1"/>
    <col min="2" max="2" width="3.42578125" customWidth="1"/>
    <col min="3" max="3" width="12" bestFit="1" customWidth="1"/>
    <col min="4" max="4" width="2.140625" bestFit="1" customWidth="1"/>
    <col min="5" max="5" width="5.7109375" bestFit="1" customWidth="1"/>
    <col min="6" max="6" width="8.28515625" bestFit="1" customWidth="1"/>
    <col min="7" max="7" width="8.140625" bestFit="1" customWidth="1"/>
  </cols>
  <sheetData>
    <row r="1" spans="2:17" x14ac:dyDescent="0.25">
      <c r="K1">
        <f>+(N4-N3)/(O4-O3)</f>
        <v>0.10666666666666669</v>
      </c>
      <c r="M1">
        <f>+N4-K1*O4</f>
        <v>-58.486666666666679</v>
      </c>
    </row>
    <row r="2" spans="2:17" x14ac:dyDescent="0.25">
      <c r="B2" s="5"/>
      <c r="F2" s="4" t="s">
        <v>4</v>
      </c>
      <c r="G2" t="s">
        <v>5</v>
      </c>
      <c r="J2" s="5"/>
      <c r="N2" s="4" t="s">
        <v>4</v>
      </c>
      <c r="O2" t="s">
        <v>5</v>
      </c>
    </row>
    <row r="3" spans="2:17" x14ac:dyDescent="0.25">
      <c r="B3" s="2" t="s">
        <v>2</v>
      </c>
      <c r="C3" s="2">
        <f>+(F4-F3)/(G4-G3)</f>
        <v>0.57600000000000007</v>
      </c>
      <c r="D3" s="2" t="s">
        <v>3</v>
      </c>
      <c r="E3" s="2">
        <f>+F4-C3*G4</f>
        <v>-208.51200000000003</v>
      </c>
      <c r="F3" s="3">
        <v>28.8</v>
      </c>
      <c r="G3" s="3">
        <v>412</v>
      </c>
      <c r="J3" s="2" t="s">
        <v>2</v>
      </c>
      <c r="K3" s="16">
        <v>0.05</v>
      </c>
      <c r="L3" s="2" t="s">
        <v>3</v>
      </c>
      <c r="M3" s="2">
        <f>+N4-K3*O4</f>
        <v>-26.3</v>
      </c>
      <c r="N3">
        <v>6.9</v>
      </c>
      <c r="O3">
        <v>613</v>
      </c>
    </row>
    <row r="4" spans="2:17" x14ac:dyDescent="0.25">
      <c r="D4" s="2"/>
      <c r="E4" s="2"/>
      <c r="F4" s="2">
        <v>0</v>
      </c>
      <c r="G4" s="2">
        <v>362</v>
      </c>
      <c r="L4" s="2"/>
      <c r="M4" s="2"/>
      <c r="N4">
        <v>2.1</v>
      </c>
      <c r="O4">
        <v>568</v>
      </c>
    </row>
    <row r="5" spans="2:17" x14ac:dyDescent="0.25">
      <c r="Q5">
        <f>1/0.1</f>
        <v>10</v>
      </c>
    </row>
    <row r="7" spans="2:17" x14ac:dyDescent="0.25">
      <c r="C7" s="15" t="s">
        <v>26</v>
      </c>
      <c r="K7" s="15"/>
    </row>
    <row r="8" spans="2:17" x14ac:dyDescent="0.25">
      <c r="F8" s="6">
        <f t="shared" ref="F8:F29" si="0">+G8*$K$3+$M$3</f>
        <v>-5.8000000000000007</v>
      </c>
      <c r="G8">
        <v>410</v>
      </c>
      <c r="J8" t="s">
        <v>29</v>
      </c>
      <c r="K8" t="s">
        <v>27</v>
      </c>
      <c r="N8" t="s">
        <v>28</v>
      </c>
    </row>
    <row r="9" spans="2:17" x14ac:dyDescent="0.25">
      <c r="E9" s="6">
        <f>+F9-F8</f>
        <v>0.5</v>
      </c>
      <c r="F9" s="6">
        <f t="shared" si="0"/>
        <v>-5.3000000000000007</v>
      </c>
      <c r="G9">
        <v>420</v>
      </c>
      <c r="H9">
        <v>10</v>
      </c>
      <c r="J9" s="17">
        <f t="shared" ref="J9:J18" si="1">+K9-N9</f>
        <v>-0.54999999999999805</v>
      </c>
      <c r="K9" s="6">
        <f t="shared" ref="K9:K18" si="2">+L9*$K$3+$M$3</f>
        <v>2.1500000000000021</v>
      </c>
      <c r="L9">
        <f t="shared" ref="L9:L18" si="3">+O9</f>
        <v>569</v>
      </c>
      <c r="N9">
        <v>2.7</v>
      </c>
      <c r="O9">
        <v>569</v>
      </c>
    </row>
    <row r="10" spans="2:17" x14ac:dyDescent="0.25">
      <c r="E10" s="6">
        <f>+F10-F9</f>
        <v>0.5</v>
      </c>
      <c r="F10" s="6">
        <f t="shared" si="0"/>
        <v>-4.8000000000000007</v>
      </c>
      <c r="G10">
        <v>430</v>
      </c>
      <c r="H10">
        <v>10</v>
      </c>
      <c r="J10" s="17">
        <f t="shared" si="1"/>
        <v>-0.75</v>
      </c>
      <c r="K10" s="6">
        <f t="shared" si="2"/>
        <v>2.25</v>
      </c>
      <c r="L10">
        <f t="shared" si="3"/>
        <v>571</v>
      </c>
      <c r="N10">
        <v>3</v>
      </c>
      <c r="O10">
        <v>571</v>
      </c>
    </row>
    <row r="11" spans="2:17" x14ac:dyDescent="0.25">
      <c r="E11" s="6">
        <f>+F11-F10</f>
        <v>0.5</v>
      </c>
      <c r="F11" s="6">
        <f t="shared" si="0"/>
        <v>-4.3000000000000007</v>
      </c>
      <c r="G11">
        <v>440</v>
      </c>
      <c r="H11">
        <v>10</v>
      </c>
      <c r="J11" s="17">
        <f t="shared" si="1"/>
        <v>-1.9499999999999984</v>
      </c>
      <c r="K11" s="6">
        <f t="shared" si="2"/>
        <v>1.3500000000000014</v>
      </c>
      <c r="L11">
        <f t="shared" si="3"/>
        <v>553</v>
      </c>
      <c r="N11">
        <v>3.3</v>
      </c>
      <c r="O11">
        <v>553</v>
      </c>
    </row>
    <row r="12" spans="2:17" x14ac:dyDescent="0.25">
      <c r="F12" s="6">
        <f t="shared" si="0"/>
        <v>-3.8000000000000007</v>
      </c>
      <c r="G12">
        <v>450</v>
      </c>
      <c r="J12" s="17">
        <f t="shared" si="1"/>
        <v>-0.14999999999999991</v>
      </c>
      <c r="K12" s="6">
        <f t="shared" si="2"/>
        <v>3.25</v>
      </c>
      <c r="L12">
        <f t="shared" si="3"/>
        <v>591</v>
      </c>
      <c r="N12">
        <v>3.4</v>
      </c>
      <c r="O12">
        <v>591</v>
      </c>
    </row>
    <row r="13" spans="2:17" x14ac:dyDescent="0.25">
      <c r="F13" s="6">
        <f t="shared" si="0"/>
        <v>-3.3000000000000007</v>
      </c>
      <c r="G13">
        <v>460</v>
      </c>
      <c r="J13" s="17">
        <f t="shared" si="1"/>
        <v>-1.9500000000000002</v>
      </c>
      <c r="K13" s="6">
        <f t="shared" si="2"/>
        <v>2.25</v>
      </c>
      <c r="L13">
        <f t="shared" si="3"/>
        <v>571</v>
      </c>
      <c r="N13">
        <v>4.2</v>
      </c>
      <c r="O13">
        <v>571</v>
      </c>
    </row>
    <row r="14" spans="2:17" x14ac:dyDescent="0.25">
      <c r="F14" s="6">
        <f t="shared" si="0"/>
        <v>-2.8000000000000007</v>
      </c>
      <c r="G14">
        <v>470</v>
      </c>
      <c r="J14" s="17">
        <f t="shared" si="1"/>
        <v>-2.3499999999999996</v>
      </c>
      <c r="K14" s="6">
        <f t="shared" si="2"/>
        <v>3.0500000000000007</v>
      </c>
      <c r="L14">
        <f t="shared" si="3"/>
        <v>587</v>
      </c>
      <c r="N14">
        <v>5.4</v>
      </c>
      <c r="O14">
        <v>587</v>
      </c>
    </row>
    <row r="15" spans="2:17" x14ac:dyDescent="0.25">
      <c r="F15" s="6">
        <f t="shared" si="0"/>
        <v>-2.3000000000000007</v>
      </c>
      <c r="G15">
        <v>480</v>
      </c>
      <c r="J15" s="17">
        <f t="shared" si="1"/>
        <v>-2.5999999999999996</v>
      </c>
      <c r="K15" s="6">
        <f t="shared" si="2"/>
        <v>3.3000000000000007</v>
      </c>
      <c r="L15">
        <f t="shared" si="3"/>
        <v>592</v>
      </c>
      <c r="N15">
        <v>5.9</v>
      </c>
      <c r="O15">
        <v>592</v>
      </c>
    </row>
    <row r="16" spans="2:17" x14ac:dyDescent="0.25">
      <c r="F16" s="6">
        <f t="shared" si="0"/>
        <v>-1.8000000000000007</v>
      </c>
      <c r="G16">
        <v>490</v>
      </c>
      <c r="J16" s="17">
        <f t="shared" si="1"/>
        <v>-2.6499999999999986</v>
      </c>
      <c r="K16" s="6">
        <f t="shared" si="2"/>
        <v>3.8500000000000014</v>
      </c>
      <c r="L16">
        <f t="shared" si="3"/>
        <v>603</v>
      </c>
      <c r="N16">
        <v>6.5</v>
      </c>
      <c r="O16">
        <v>603</v>
      </c>
    </row>
    <row r="17" spans="6:15" x14ac:dyDescent="0.25">
      <c r="F17" s="6">
        <f t="shared" si="0"/>
        <v>-1.3000000000000007</v>
      </c>
      <c r="G17">
        <v>500</v>
      </c>
      <c r="J17" s="17">
        <f t="shared" si="1"/>
        <v>-2.5499999999999989</v>
      </c>
      <c r="K17" s="6">
        <f t="shared" si="2"/>
        <v>4.3500000000000014</v>
      </c>
      <c r="L17">
        <f t="shared" si="3"/>
        <v>613</v>
      </c>
      <c r="N17">
        <v>6.9</v>
      </c>
      <c r="O17">
        <v>613</v>
      </c>
    </row>
    <row r="18" spans="6:15" x14ac:dyDescent="0.25">
      <c r="F18" s="6">
        <f t="shared" si="0"/>
        <v>-0.80000000000000071</v>
      </c>
      <c r="G18">
        <v>510</v>
      </c>
      <c r="J18" s="17">
        <f t="shared" si="1"/>
        <v>0</v>
      </c>
      <c r="K18" s="6">
        <f t="shared" si="2"/>
        <v>2.1000000000000014</v>
      </c>
      <c r="L18">
        <f t="shared" si="3"/>
        <v>568</v>
      </c>
      <c r="N18">
        <v>2.1</v>
      </c>
      <c r="O18">
        <v>568</v>
      </c>
    </row>
    <row r="19" spans="6:15" x14ac:dyDescent="0.25">
      <c r="F19" s="6">
        <f t="shared" si="0"/>
        <v>-0.30000000000000071</v>
      </c>
      <c r="G19">
        <v>520</v>
      </c>
      <c r="J19" s="8">
        <f>SUM(J9:J18)</f>
        <v>-15.499999999999993</v>
      </c>
    </row>
    <row r="20" spans="6:15" x14ac:dyDescent="0.25">
      <c r="F20" s="6">
        <f t="shared" si="0"/>
        <v>0.19999999999999929</v>
      </c>
      <c r="G20">
        <v>530</v>
      </c>
    </row>
    <row r="21" spans="6:15" x14ac:dyDescent="0.25">
      <c r="F21" s="6">
        <f t="shared" si="0"/>
        <v>0.69999999999999929</v>
      </c>
      <c r="G21">
        <v>540</v>
      </c>
    </row>
    <row r="22" spans="6:15" x14ac:dyDescent="0.25">
      <c r="F22" s="6">
        <f t="shared" si="0"/>
        <v>1.1999999999999993</v>
      </c>
      <c r="G22">
        <v>550</v>
      </c>
    </row>
    <row r="23" spans="6:15" x14ac:dyDescent="0.25">
      <c r="F23" s="6">
        <f t="shared" si="0"/>
        <v>1.6999999999999993</v>
      </c>
      <c r="G23">
        <v>560</v>
      </c>
    </row>
    <row r="24" spans="6:15" x14ac:dyDescent="0.25">
      <c r="F24" s="6">
        <f t="shared" si="0"/>
        <v>2.1999999999999993</v>
      </c>
      <c r="G24">
        <v>570</v>
      </c>
    </row>
    <row r="25" spans="6:15" x14ac:dyDescent="0.25">
      <c r="F25" s="6">
        <f t="shared" si="0"/>
        <v>2.6999999999999993</v>
      </c>
      <c r="G25">
        <v>580</v>
      </c>
    </row>
    <row r="26" spans="6:15" x14ac:dyDescent="0.25">
      <c r="F26" s="6">
        <f t="shared" si="0"/>
        <v>3.1999999999999993</v>
      </c>
      <c r="G26">
        <v>590</v>
      </c>
    </row>
    <row r="27" spans="6:15" x14ac:dyDescent="0.25">
      <c r="F27" s="6">
        <f t="shared" si="0"/>
        <v>3.6999999999999993</v>
      </c>
      <c r="G27">
        <v>600</v>
      </c>
    </row>
    <row r="28" spans="6:15" x14ac:dyDescent="0.25">
      <c r="F28" s="6">
        <f t="shared" si="0"/>
        <v>4.1999999999999993</v>
      </c>
      <c r="G28">
        <v>610</v>
      </c>
    </row>
    <row r="29" spans="6:15" x14ac:dyDescent="0.25">
      <c r="F29" s="6">
        <f t="shared" si="0"/>
        <v>4.6999999999999993</v>
      </c>
      <c r="G29">
        <v>620</v>
      </c>
    </row>
    <row r="30" spans="6:15" x14ac:dyDescent="0.25">
      <c r="F30" s="6">
        <f>+G30*$K$3+$M$3</f>
        <v>5.1999999999999993</v>
      </c>
      <c r="G30">
        <v>630</v>
      </c>
    </row>
    <row r="31" spans="6:15" x14ac:dyDescent="0.25">
      <c r="F31" s="6">
        <f t="shared" ref="F31:F69" si="4">+G31*$K$3+$M$3</f>
        <v>5.6999999999999993</v>
      </c>
      <c r="G31">
        <v>640</v>
      </c>
    </row>
    <row r="32" spans="6:15" x14ac:dyDescent="0.25">
      <c r="F32" s="6">
        <f t="shared" si="4"/>
        <v>6.1999999999999993</v>
      </c>
      <c r="G32">
        <v>650</v>
      </c>
    </row>
    <row r="33" spans="6:7" x14ac:dyDescent="0.25">
      <c r="F33" s="6">
        <f t="shared" si="4"/>
        <v>6.6999999999999993</v>
      </c>
      <c r="G33">
        <v>660</v>
      </c>
    </row>
    <row r="34" spans="6:7" x14ac:dyDescent="0.25">
      <c r="F34" s="6">
        <f t="shared" si="4"/>
        <v>7.1999999999999993</v>
      </c>
      <c r="G34">
        <v>670</v>
      </c>
    </row>
    <row r="35" spans="6:7" x14ac:dyDescent="0.25">
      <c r="F35" s="6">
        <f t="shared" si="4"/>
        <v>7.6999999999999993</v>
      </c>
      <c r="G35">
        <v>680</v>
      </c>
    </row>
    <row r="36" spans="6:7" x14ac:dyDescent="0.25">
      <c r="F36" s="6">
        <f t="shared" si="4"/>
        <v>8.1999999999999993</v>
      </c>
      <c r="G36">
        <v>690</v>
      </c>
    </row>
    <row r="37" spans="6:7" x14ac:dyDescent="0.25">
      <c r="F37" s="6">
        <f t="shared" si="4"/>
        <v>8.6999999999999993</v>
      </c>
      <c r="G37">
        <v>700</v>
      </c>
    </row>
    <row r="38" spans="6:7" x14ac:dyDescent="0.25">
      <c r="F38" s="6">
        <f t="shared" si="4"/>
        <v>9.1999999999999993</v>
      </c>
      <c r="G38">
        <v>710</v>
      </c>
    </row>
    <row r="39" spans="6:7" x14ac:dyDescent="0.25">
      <c r="F39" s="6">
        <f t="shared" si="4"/>
        <v>9.6999999999999993</v>
      </c>
      <c r="G39">
        <v>720</v>
      </c>
    </row>
    <row r="40" spans="6:7" x14ac:dyDescent="0.25">
      <c r="F40" s="6">
        <f t="shared" si="4"/>
        <v>10.199999999999999</v>
      </c>
      <c r="G40">
        <v>730</v>
      </c>
    </row>
    <row r="41" spans="6:7" x14ac:dyDescent="0.25">
      <c r="F41" s="6">
        <f t="shared" si="4"/>
        <v>10.7</v>
      </c>
      <c r="G41">
        <v>740</v>
      </c>
    </row>
    <row r="42" spans="6:7" x14ac:dyDescent="0.25">
      <c r="F42" s="6">
        <f t="shared" si="4"/>
        <v>11.2</v>
      </c>
      <c r="G42">
        <v>750</v>
      </c>
    </row>
    <row r="43" spans="6:7" x14ac:dyDescent="0.25">
      <c r="F43" s="6">
        <f t="shared" si="4"/>
        <v>11.7</v>
      </c>
      <c r="G43">
        <v>760</v>
      </c>
    </row>
    <row r="44" spans="6:7" x14ac:dyDescent="0.25">
      <c r="F44" s="6">
        <f t="shared" si="4"/>
        <v>12.2</v>
      </c>
      <c r="G44">
        <v>770</v>
      </c>
    </row>
    <row r="45" spans="6:7" x14ac:dyDescent="0.25">
      <c r="F45" s="6">
        <f t="shared" si="4"/>
        <v>12.7</v>
      </c>
      <c r="G45">
        <v>780</v>
      </c>
    </row>
    <row r="46" spans="6:7" x14ac:dyDescent="0.25">
      <c r="F46" s="6">
        <f t="shared" si="4"/>
        <v>13.2</v>
      </c>
      <c r="G46">
        <v>790</v>
      </c>
    </row>
    <row r="47" spans="6:7" x14ac:dyDescent="0.25">
      <c r="F47" s="6">
        <f t="shared" si="4"/>
        <v>13.7</v>
      </c>
      <c r="G47">
        <v>800</v>
      </c>
    </row>
    <row r="48" spans="6:7" x14ac:dyDescent="0.25">
      <c r="F48" s="6">
        <f t="shared" si="4"/>
        <v>14.2</v>
      </c>
      <c r="G48">
        <v>810</v>
      </c>
    </row>
    <row r="49" spans="6:7" x14ac:dyDescent="0.25">
      <c r="F49" s="6">
        <f t="shared" si="4"/>
        <v>14.7</v>
      </c>
      <c r="G49">
        <v>820</v>
      </c>
    </row>
    <row r="50" spans="6:7" x14ac:dyDescent="0.25">
      <c r="F50" s="6">
        <f t="shared" si="4"/>
        <v>15.2</v>
      </c>
      <c r="G50">
        <v>830</v>
      </c>
    </row>
    <row r="51" spans="6:7" x14ac:dyDescent="0.25">
      <c r="F51" s="6">
        <f t="shared" si="4"/>
        <v>15.7</v>
      </c>
      <c r="G51">
        <v>840</v>
      </c>
    </row>
    <row r="52" spans="6:7" x14ac:dyDescent="0.25">
      <c r="F52" s="6">
        <f t="shared" si="4"/>
        <v>16.2</v>
      </c>
      <c r="G52">
        <v>850</v>
      </c>
    </row>
    <row r="53" spans="6:7" x14ac:dyDescent="0.25">
      <c r="F53" s="6">
        <f t="shared" si="4"/>
        <v>16.7</v>
      </c>
      <c r="G53">
        <v>860</v>
      </c>
    </row>
    <row r="54" spans="6:7" x14ac:dyDescent="0.25">
      <c r="F54" s="6">
        <f t="shared" si="4"/>
        <v>17.2</v>
      </c>
      <c r="G54">
        <v>870</v>
      </c>
    </row>
    <row r="55" spans="6:7" x14ac:dyDescent="0.25">
      <c r="F55" s="6">
        <f t="shared" si="4"/>
        <v>17.7</v>
      </c>
      <c r="G55">
        <v>880</v>
      </c>
    </row>
    <row r="56" spans="6:7" x14ac:dyDescent="0.25">
      <c r="F56" s="6">
        <f t="shared" si="4"/>
        <v>18.2</v>
      </c>
      <c r="G56">
        <v>890</v>
      </c>
    </row>
    <row r="57" spans="6:7" x14ac:dyDescent="0.25">
      <c r="F57" s="6">
        <f t="shared" si="4"/>
        <v>18.7</v>
      </c>
      <c r="G57">
        <v>900</v>
      </c>
    </row>
    <row r="58" spans="6:7" x14ac:dyDescent="0.25">
      <c r="F58" s="6">
        <f t="shared" si="4"/>
        <v>19.2</v>
      </c>
      <c r="G58">
        <v>910</v>
      </c>
    </row>
    <row r="59" spans="6:7" x14ac:dyDescent="0.25">
      <c r="F59" s="6">
        <f t="shared" si="4"/>
        <v>19.7</v>
      </c>
      <c r="G59">
        <v>920</v>
      </c>
    </row>
    <row r="60" spans="6:7" x14ac:dyDescent="0.25">
      <c r="F60" s="6">
        <f t="shared" si="4"/>
        <v>20.2</v>
      </c>
      <c r="G60">
        <v>930</v>
      </c>
    </row>
    <row r="61" spans="6:7" x14ac:dyDescent="0.25">
      <c r="F61" s="6">
        <f t="shared" si="4"/>
        <v>20.7</v>
      </c>
      <c r="G61">
        <v>940</v>
      </c>
    </row>
    <row r="62" spans="6:7" x14ac:dyDescent="0.25">
      <c r="F62" s="6">
        <f t="shared" si="4"/>
        <v>21.2</v>
      </c>
      <c r="G62">
        <v>950</v>
      </c>
    </row>
    <row r="63" spans="6:7" x14ac:dyDescent="0.25">
      <c r="F63" s="6">
        <f t="shared" si="4"/>
        <v>21.7</v>
      </c>
      <c r="G63">
        <v>960</v>
      </c>
    </row>
    <row r="64" spans="6:7" x14ac:dyDescent="0.25">
      <c r="F64" s="6">
        <f t="shared" si="4"/>
        <v>22.2</v>
      </c>
      <c r="G64">
        <v>970</v>
      </c>
    </row>
    <row r="65" spans="6:7" x14ac:dyDescent="0.25">
      <c r="F65" s="6">
        <f t="shared" si="4"/>
        <v>22.7</v>
      </c>
      <c r="G65">
        <v>980</v>
      </c>
    </row>
    <row r="66" spans="6:7" x14ac:dyDescent="0.25">
      <c r="F66" s="6">
        <f t="shared" si="4"/>
        <v>23.2</v>
      </c>
      <c r="G66">
        <v>990</v>
      </c>
    </row>
    <row r="67" spans="6:7" x14ac:dyDescent="0.25">
      <c r="F67" s="6">
        <f t="shared" si="4"/>
        <v>23.7</v>
      </c>
      <c r="G67">
        <v>1000</v>
      </c>
    </row>
    <row r="68" spans="6:7" x14ac:dyDescent="0.25">
      <c r="F68" s="6">
        <f t="shared" si="4"/>
        <v>24.2</v>
      </c>
      <c r="G68">
        <v>1010</v>
      </c>
    </row>
    <row r="69" spans="6:7" x14ac:dyDescent="0.25">
      <c r="F69" s="6">
        <f t="shared" si="4"/>
        <v>24.7</v>
      </c>
      <c r="G69">
        <v>1020</v>
      </c>
    </row>
  </sheetData>
  <sortState ref="J9:O18">
    <sortCondition ref="N9:N1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0"/>
  <sheetViews>
    <sheetView topLeftCell="A15" workbookViewId="0">
      <selection activeCell="P20" sqref="P20"/>
    </sheetView>
  </sheetViews>
  <sheetFormatPr baseColWidth="10" defaultRowHeight="15" x14ac:dyDescent="0.25"/>
  <cols>
    <col min="1" max="1" width="4" bestFit="1" customWidth="1"/>
    <col min="2" max="2" width="3.140625" customWidth="1"/>
    <col min="3" max="3" width="6.42578125" customWidth="1"/>
    <col min="4" max="4" width="6.85546875" bestFit="1" customWidth="1"/>
    <col min="5" max="5" width="3.7109375" customWidth="1"/>
    <col min="6" max="6" width="5" bestFit="1" customWidth="1"/>
    <col min="7" max="7" width="5.5703125" bestFit="1" customWidth="1"/>
    <col min="8" max="8" width="8.85546875" customWidth="1"/>
    <col min="9" max="9" width="6" bestFit="1" customWidth="1"/>
    <col min="11" max="11" width="12" bestFit="1" customWidth="1"/>
    <col min="12" max="12" width="9.28515625" customWidth="1"/>
  </cols>
  <sheetData>
    <row r="3" spans="1:12" x14ac:dyDescent="0.25">
      <c r="A3" s="36" t="s">
        <v>33</v>
      </c>
      <c r="B3" s="36"/>
      <c r="C3" s="21" t="s">
        <v>30</v>
      </c>
      <c r="D3" s="21" t="s">
        <v>34</v>
      </c>
      <c r="E3" s="18"/>
      <c r="F3" s="21" t="s">
        <v>9</v>
      </c>
      <c r="G3" s="21" t="s">
        <v>31</v>
      </c>
      <c r="H3" s="18"/>
      <c r="I3" s="18"/>
    </row>
    <row r="4" spans="1:12" x14ac:dyDescent="0.25">
      <c r="A4" s="20" t="s">
        <v>32</v>
      </c>
      <c r="B4" s="19">
        <v>5</v>
      </c>
      <c r="C4" s="19">
        <v>1.9</v>
      </c>
      <c r="D4" s="19">
        <f>+(C4+26.3)/0.05</f>
        <v>564</v>
      </c>
      <c r="E4" s="19"/>
      <c r="F4" s="19">
        <v>5.3</v>
      </c>
      <c r="G4" s="19">
        <f t="shared" ref="G4:G15" si="0">+F4-C4</f>
        <v>3.4</v>
      </c>
      <c r="H4" s="19"/>
      <c r="I4" s="19"/>
    </row>
    <row r="5" spans="1:12" x14ac:dyDescent="0.25">
      <c r="A5" s="20" t="s">
        <v>32</v>
      </c>
      <c r="B5" s="19">
        <v>8</v>
      </c>
      <c r="C5" s="19">
        <v>3.45</v>
      </c>
      <c r="D5" s="19">
        <f t="shared" ref="D5:D15" si="1">+(C5+26.3)/0.05</f>
        <v>595</v>
      </c>
      <c r="E5" s="19"/>
      <c r="F5" s="19">
        <f>+(6+5.5)/2</f>
        <v>5.75</v>
      </c>
      <c r="G5" s="19">
        <f t="shared" si="0"/>
        <v>2.2999999999999998</v>
      </c>
      <c r="H5" s="19"/>
      <c r="I5" s="19"/>
    </row>
    <row r="6" spans="1:12" x14ac:dyDescent="0.25">
      <c r="A6" s="20" t="s">
        <v>32</v>
      </c>
      <c r="B6" s="19">
        <v>11</v>
      </c>
      <c r="C6" s="19">
        <v>3.85</v>
      </c>
      <c r="D6" s="19">
        <f t="shared" si="1"/>
        <v>603</v>
      </c>
      <c r="E6" s="19"/>
      <c r="F6" s="19">
        <v>6</v>
      </c>
      <c r="G6" s="19">
        <f t="shared" si="0"/>
        <v>2.15</v>
      </c>
      <c r="H6" s="19"/>
      <c r="I6" s="19"/>
    </row>
    <row r="7" spans="1:12" x14ac:dyDescent="0.25">
      <c r="A7" s="20" t="s">
        <v>32</v>
      </c>
      <c r="B7" s="19">
        <v>14</v>
      </c>
      <c r="C7" s="19">
        <v>2.35</v>
      </c>
      <c r="D7" s="19">
        <f t="shared" si="1"/>
        <v>573</v>
      </c>
      <c r="E7" s="19"/>
      <c r="F7" s="19">
        <f>+(4.9+2)/2</f>
        <v>3.45</v>
      </c>
      <c r="G7" s="19">
        <f t="shared" si="0"/>
        <v>1.1000000000000001</v>
      </c>
      <c r="H7" s="19"/>
      <c r="I7" s="19"/>
    </row>
    <row r="8" spans="1:12" x14ac:dyDescent="0.25">
      <c r="A8" s="20" t="s">
        <v>32</v>
      </c>
      <c r="B8" s="19">
        <v>17</v>
      </c>
      <c r="C8" s="19">
        <v>1.1499999999999999</v>
      </c>
      <c r="D8" s="19">
        <f t="shared" si="1"/>
        <v>549</v>
      </c>
      <c r="E8" s="19"/>
      <c r="F8" s="19">
        <v>2.6</v>
      </c>
      <c r="G8" s="19">
        <f t="shared" si="0"/>
        <v>1.4500000000000002</v>
      </c>
      <c r="H8" s="19"/>
      <c r="I8" s="19"/>
    </row>
    <row r="9" spans="1:12" x14ac:dyDescent="0.25">
      <c r="A9" s="20" t="s">
        <v>32</v>
      </c>
      <c r="B9" s="19">
        <v>20</v>
      </c>
      <c r="C9" s="19">
        <v>1.85</v>
      </c>
      <c r="D9" s="19">
        <f t="shared" si="1"/>
        <v>563</v>
      </c>
      <c r="E9" s="19"/>
      <c r="F9" s="19">
        <f>+(3.5+5)/2</f>
        <v>4.25</v>
      </c>
      <c r="G9" s="19">
        <f t="shared" si="0"/>
        <v>2.4</v>
      </c>
      <c r="H9" s="19"/>
      <c r="I9" s="19"/>
    </row>
    <row r="10" spans="1:12" x14ac:dyDescent="0.25">
      <c r="A10" s="20" t="s">
        <v>32</v>
      </c>
      <c r="B10" s="19">
        <v>23</v>
      </c>
      <c r="C10" s="19">
        <v>3.25</v>
      </c>
      <c r="D10" s="19">
        <f t="shared" si="1"/>
        <v>591</v>
      </c>
      <c r="E10" s="19"/>
      <c r="F10" s="19">
        <v>5.7</v>
      </c>
      <c r="G10" s="19">
        <f t="shared" si="0"/>
        <v>2.4500000000000002</v>
      </c>
      <c r="H10" s="19"/>
      <c r="I10" s="19"/>
    </row>
    <row r="11" spans="1:12" x14ac:dyDescent="0.25">
      <c r="A11" s="20" t="s">
        <v>32</v>
      </c>
      <c r="B11" s="19">
        <v>26</v>
      </c>
      <c r="C11" s="19">
        <v>3.35</v>
      </c>
      <c r="D11" s="19">
        <f t="shared" si="1"/>
        <v>593</v>
      </c>
      <c r="E11" s="19"/>
      <c r="F11" s="19">
        <f>+(5.6+5.9)/2</f>
        <v>5.75</v>
      </c>
      <c r="G11" s="19">
        <f t="shared" si="0"/>
        <v>2.4</v>
      </c>
      <c r="H11" s="19"/>
      <c r="I11" s="19"/>
    </row>
    <row r="12" spans="1:12" x14ac:dyDescent="0.25">
      <c r="A12" s="20" t="s">
        <v>32</v>
      </c>
      <c r="B12" s="19">
        <v>29</v>
      </c>
      <c r="C12" s="19">
        <v>3.5</v>
      </c>
      <c r="D12" s="19">
        <f t="shared" si="1"/>
        <v>596</v>
      </c>
      <c r="E12" s="19"/>
      <c r="F12" s="19">
        <v>5.5</v>
      </c>
      <c r="G12" s="19">
        <f t="shared" si="0"/>
        <v>2</v>
      </c>
      <c r="H12" s="19"/>
      <c r="I12" s="19"/>
    </row>
    <row r="13" spans="1:12" x14ac:dyDescent="0.25">
      <c r="A13" s="20" t="s">
        <v>32</v>
      </c>
      <c r="B13" s="19">
        <v>32</v>
      </c>
      <c r="C13" s="19">
        <v>1.8</v>
      </c>
      <c r="D13" s="19">
        <f t="shared" si="1"/>
        <v>562</v>
      </c>
      <c r="E13" s="19"/>
      <c r="F13" s="19">
        <v>2</v>
      </c>
      <c r="G13" s="19">
        <f t="shared" si="0"/>
        <v>0.19999999999999996</v>
      </c>
      <c r="H13" s="19"/>
      <c r="I13" s="19"/>
    </row>
    <row r="14" spans="1:12" x14ac:dyDescent="0.25">
      <c r="A14" s="20" t="s">
        <v>32</v>
      </c>
      <c r="B14" s="19">
        <v>35</v>
      </c>
      <c r="C14" s="19">
        <v>0.95</v>
      </c>
      <c r="D14" s="19">
        <f t="shared" si="1"/>
        <v>545</v>
      </c>
      <c r="E14" s="19"/>
      <c r="F14" s="19">
        <v>2.4</v>
      </c>
      <c r="G14" s="19">
        <f t="shared" si="0"/>
        <v>1.45</v>
      </c>
      <c r="H14" s="19"/>
      <c r="I14" s="19"/>
    </row>
    <row r="15" spans="1:12" x14ac:dyDescent="0.25">
      <c r="A15" s="20" t="s">
        <v>32</v>
      </c>
      <c r="B15" s="19">
        <v>38</v>
      </c>
      <c r="C15" s="19">
        <v>4.2</v>
      </c>
      <c r="D15" s="19">
        <f t="shared" si="1"/>
        <v>610</v>
      </c>
      <c r="E15" s="19"/>
      <c r="F15" s="19">
        <v>8</v>
      </c>
      <c r="G15" s="19">
        <f t="shared" si="0"/>
        <v>3.8</v>
      </c>
      <c r="H15" s="19"/>
      <c r="I15" s="19"/>
    </row>
    <row r="16" spans="1:12" x14ac:dyDescent="0.25">
      <c r="I16" t="s">
        <v>2</v>
      </c>
      <c r="J16" t="s">
        <v>3</v>
      </c>
      <c r="K16" t="s">
        <v>2</v>
      </c>
      <c r="L16" t="s">
        <v>3</v>
      </c>
    </row>
    <row r="17" spans="3:16" x14ac:dyDescent="0.25">
      <c r="I17">
        <f>+(F29-F20)/(D29-D20)</f>
        <v>6.2068965517241378E-2</v>
      </c>
      <c r="J17">
        <f>+F29-D29*I17</f>
        <v>-31.427586206896549</v>
      </c>
      <c r="K17">
        <f>+(F30-F29)/(D30-D29)</f>
        <v>0.2857142857142857</v>
      </c>
      <c r="L17">
        <f>+F30-D30*K17</f>
        <v>-166.28571428571428</v>
      </c>
    </row>
    <row r="18" spans="3:16" x14ac:dyDescent="0.25">
      <c r="C18" s="21" t="s">
        <v>30</v>
      </c>
      <c r="D18" s="21" t="s">
        <v>34</v>
      </c>
      <c r="E18" s="18"/>
      <c r="F18" s="21" t="s">
        <v>9</v>
      </c>
      <c r="G18" s="21" t="s">
        <v>31</v>
      </c>
      <c r="H18" s="18" t="s">
        <v>35</v>
      </c>
      <c r="I18" s="21" t="s">
        <v>31</v>
      </c>
    </row>
    <row r="19" spans="3:16" x14ac:dyDescent="0.25">
      <c r="C19" s="19">
        <v>1.8</v>
      </c>
      <c r="D19" s="19">
        <f t="shared" ref="D19:D31" si="2">+(C19+26.3)/0.05</f>
        <v>562</v>
      </c>
      <c r="E19" s="19"/>
      <c r="F19" s="19">
        <v>2</v>
      </c>
      <c r="G19" s="19">
        <f t="shared" ref="G19:G31" si="3">+F19-C19</f>
        <v>0.19999999999999996</v>
      </c>
      <c r="H19" s="19">
        <f>+$I$17*D19+$J$17</f>
        <v>3.4551724137931075</v>
      </c>
      <c r="I19" s="22">
        <f>+F19-H19</f>
        <v>-1.4551724137931075</v>
      </c>
      <c r="K19" s="4" t="s">
        <v>36</v>
      </c>
      <c r="L19" s="30" t="s">
        <v>37</v>
      </c>
      <c r="M19" t="s">
        <v>38</v>
      </c>
      <c r="N19" t="s">
        <v>39</v>
      </c>
      <c r="O19" s="30" t="s">
        <v>39</v>
      </c>
      <c r="P19" s="30" t="s">
        <v>39</v>
      </c>
    </row>
    <row r="20" spans="3:16" x14ac:dyDescent="0.25">
      <c r="C20" s="19">
        <v>0.95</v>
      </c>
      <c r="D20" s="19">
        <f t="shared" si="2"/>
        <v>545</v>
      </c>
      <c r="E20" s="19"/>
      <c r="F20" s="19">
        <v>2.4</v>
      </c>
      <c r="G20" s="19">
        <f t="shared" si="3"/>
        <v>1.45</v>
      </c>
      <c r="H20" s="19">
        <f t="shared" ref="H20:H29" si="4">+$I$17*D20+$J$17</f>
        <v>2.3999999999999986</v>
      </c>
      <c r="I20" s="22">
        <f t="shared" ref="I20:I30" si="5">+F20-H20</f>
        <v>0</v>
      </c>
      <c r="K20" s="25" t="s">
        <v>2</v>
      </c>
      <c r="L20" s="26">
        <f>+I17</f>
        <v>6.2068965517241378E-2</v>
      </c>
      <c r="M20" s="26">
        <v>0.05</v>
      </c>
      <c r="N20" s="26">
        <f>+K17</f>
        <v>0.2857142857142857</v>
      </c>
      <c r="O20" s="27">
        <f>+(O33-O22)/(K33-K22)</f>
        <v>1.8181818181818181E-2</v>
      </c>
      <c r="P20" s="27">
        <f>+(P33-P22)/(K33-K22)</f>
        <v>1.1818181818181816E-2</v>
      </c>
    </row>
    <row r="21" spans="3:16" x14ac:dyDescent="0.25">
      <c r="C21" s="19">
        <v>1.1499999999999999</v>
      </c>
      <c r="D21" s="19">
        <f t="shared" si="2"/>
        <v>549</v>
      </c>
      <c r="E21" s="19"/>
      <c r="F21" s="19">
        <v>2.6</v>
      </c>
      <c r="G21" s="19">
        <f t="shared" si="3"/>
        <v>1.4500000000000002</v>
      </c>
      <c r="H21" s="19">
        <f t="shared" si="4"/>
        <v>2.6482758620689708</v>
      </c>
      <c r="I21" s="22">
        <f t="shared" si="5"/>
        <v>-4.8275862068970721E-2</v>
      </c>
      <c r="K21" s="25" t="s">
        <v>3</v>
      </c>
      <c r="L21" s="26">
        <f>+J17</f>
        <v>-31.427586206896549</v>
      </c>
      <c r="M21" s="26">
        <v>-26.3</v>
      </c>
      <c r="N21" s="26">
        <f>+L17</f>
        <v>-166.28571428571428</v>
      </c>
      <c r="O21" s="27">
        <f>+O22-O20*K22</f>
        <v>-4.9090909090909083</v>
      </c>
      <c r="P21" s="27">
        <f>+P22-P20*K22</f>
        <v>-1.0909090909090899</v>
      </c>
    </row>
    <row r="22" spans="3:16" x14ac:dyDescent="0.25">
      <c r="C22" s="19">
        <v>2.35</v>
      </c>
      <c r="D22" s="19">
        <f t="shared" si="2"/>
        <v>573</v>
      </c>
      <c r="E22" s="19"/>
      <c r="F22" s="19">
        <f>+(4.9+2)/2</f>
        <v>3.45</v>
      </c>
      <c r="G22" s="19">
        <f t="shared" si="3"/>
        <v>1.1000000000000001</v>
      </c>
      <c r="H22" s="19">
        <f t="shared" si="4"/>
        <v>4.1379310344827616</v>
      </c>
      <c r="I22" s="22">
        <f t="shared" si="5"/>
        <v>-0.68793103448276138</v>
      </c>
      <c r="K22" s="28">
        <v>600</v>
      </c>
      <c r="L22" s="24">
        <f t="shared" ref="L22:N33" si="6">+$K22*L$20+L$21</f>
        <v>5.8137931034482762</v>
      </c>
      <c r="M22" s="24">
        <f t="shared" si="6"/>
        <v>3.6999999999999993</v>
      </c>
      <c r="N22" s="24">
        <f t="shared" si="6"/>
        <v>5.1428571428571388</v>
      </c>
      <c r="O22" s="29">
        <v>6</v>
      </c>
      <c r="P22" s="29">
        <v>6</v>
      </c>
    </row>
    <row r="23" spans="3:16" x14ac:dyDescent="0.25">
      <c r="C23" s="19">
        <v>1.85</v>
      </c>
      <c r="D23" s="19">
        <f t="shared" si="2"/>
        <v>563</v>
      </c>
      <c r="E23" s="19"/>
      <c r="F23" s="19">
        <f>+(3.5+5)/2</f>
        <v>4.25</v>
      </c>
      <c r="G23" s="19">
        <f t="shared" si="3"/>
        <v>2.4</v>
      </c>
      <c r="H23" s="19">
        <f t="shared" si="4"/>
        <v>3.5172413793103487</v>
      </c>
      <c r="I23" s="22">
        <f t="shared" si="5"/>
        <v>0.73275862068965125</v>
      </c>
      <c r="K23">
        <v>610</v>
      </c>
      <c r="L23" s="24">
        <f t="shared" si="6"/>
        <v>6.434482758620689</v>
      </c>
      <c r="M23" s="24">
        <f t="shared" si="6"/>
        <v>4.1999999999999993</v>
      </c>
      <c r="N23" s="24">
        <f t="shared" si="6"/>
        <v>8</v>
      </c>
      <c r="O23" s="24">
        <f t="shared" ref="O23:P32" si="7">+$K23*O$20+O$21</f>
        <v>6.1818181818181817</v>
      </c>
      <c r="P23" s="24">
        <f t="shared" si="7"/>
        <v>6.1181818181818182</v>
      </c>
    </row>
    <row r="24" spans="3:16" x14ac:dyDescent="0.25">
      <c r="C24" s="19">
        <v>1.9</v>
      </c>
      <c r="D24" s="19">
        <f t="shared" si="2"/>
        <v>564</v>
      </c>
      <c r="E24" s="19"/>
      <c r="F24" s="19">
        <v>5.3</v>
      </c>
      <c r="G24" s="19">
        <f t="shared" si="3"/>
        <v>3.4</v>
      </c>
      <c r="H24" s="19">
        <f t="shared" si="4"/>
        <v>3.57931034482759</v>
      </c>
      <c r="I24" s="22">
        <f t="shared" si="5"/>
        <v>1.7206896551724098</v>
      </c>
      <c r="K24">
        <v>620</v>
      </c>
      <c r="L24" s="24">
        <f t="shared" si="6"/>
        <v>7.0551724137931018</v>
      </c>
      <c r="M24" s="24">
        <f t="shared" si="6"/>
        <v>4.6999999999999993</v>
      </c>
      <c r="N24" s="24">
        <f t="shared" si="6"/>
        <v>10.857142857142861</v>
      </c>
      <c r="O24" s="24">
        <f t="shared" si="7"/>
        <v>6.3636363636363633</v>
      </c>
      <c r="P24" s="24">
        <f t="shared" si="7"/>
        <v>6.2363636363636363</v>
      </c>
    </row>
    <row r="25" spans="3:16" x14ac:dyDescent="0.25">
      <c r="C25" s="19">
        <v>3.5</v>
      </c>
      <c r="D25" s="19">
        <f t="shared" si="2"/>
        <v>596</v>
      </c>
      <c r="E25" s="19"/>
      <c r="F25" s="19">
        <v>5.5</v>
      </c>
      <c r="G25" s="19">
        <f t="shared" si="3"/>
        <v>2</v>
      </c>
      <c r="H25" s="19">
        <f t="shared" si="4"/>
        <v>5.565517241379311</v>
      </c>
      <c r="I25" s="22">
        <f t="shared" si="5"/>
        <v>-6.5517241379311031E-2</v>
      </c>
      <c r="K25">
        <v>630</v>
      </c>
      <c r="L25" s="24">
        <f t="shared" si="6"/>
        <v>7.6758620689655217</v>
      </c>
      <c r="M25" s="24">
        <f t="shared" si="6"/>
        <v>5.1999999999999993</v>
      </c>
      <c r="N25" s="24">
        <f t="shared" si="6"/>
        <v>13.714285714285722</v>
      </c>
      <c r="O25" s="24">
        <f t="shared" si="7"/>
        <v>6.545454545454545</v>
      </c>
      <c r="P25" s="24">
        <f t="shared" si="7"/>
        <v>6.3545454545454545</v>
      </c>
    </row>
    <row r="26" spans="3:16" x14ac:dyDescent="0.25">
      <c r="C26" s="19">
        <v>3.25</v>
      </c>
      <c r="D26" s="19">
        <f t="shared" si="2"/>
        <v>591</v>
      </c>
      <c r="E26" s="19"/>
      <c r="F26" s="19">
        <v>5.7</v>
      </c>
      <c r="G26" s="19">
        <f t="shared" si="3"/>
        <v>2.4500000000000002</v>
      </c>
      <c r="H26" s="19">
        <f t="shared" si="4"/>
        <v>5.2551724137931046</v>
      </c>
      <c r="I26" s="22">
        <f t="shared" si="5"/>
        <v>0.44482758620689555</v>
      </c>
      <c r="K26">
        <v>640</v>
      </c>
      <c r="L26" s="24">
        <f t="shared" si="6"/>
        <v>8.2965517241379345</v>
      </c>
      <c r="M26" s="24">
        <f t="shared" si="6"/>
        <v>5.6999999999999993</v>
      </c>
      <c r="N26" s="24">
        <f t="shared" si="6"/>
        <v>16.571428571428555</v>
      </c>
      <c r="O26" s="24">
        <f t="shared" si="7"/>
        <v>6.7272727272727284</v>
      </c>
      <c r="P26" s="24">
        <f t="shared" si="7"/>
        <v>6.4727272727272727</v>
      </c>
    </row>
    <row r="27" spans="3:16" x14ac:dyDescent="0.25">
      <c r="C27" s="19">
        <v>3.45</v>
      </c>
      <c r="D27" s="19">
        <f t="shared" si="2"/>
        <v>595</v>
      </c>
      <c r="E27" s="19"/>
      <c r="F27" s="19">
        <f>+(6+5.5)/2</f>
        <v>5.75</v>
      </c>
      <c r="G27" s="19">
        <f t="shared" si="3"/>
        <v>2.2999999999999998</v>
      </c>
      <c r="H27" s="19">
        <f t="shared" si="4"/>
        <v>5.5034482758620697</v>
      </c>
      <c r="I27" s="22">
        <f t="shared" si="5"/>
        <v>0.24655172413793025</v>
      </c>
      <c r="K27">
        <v>650</v>
      </c>
      <c r="L27" s="24">
        <f t="shared" si="6"/>
        <v>8.9172413793103473</v>
      </c>
      <c r="M27" s="24">
        <f t="shared" si="6"/>
        <v>6.1999999999999993</v>
      </c>
      <c r="N27" s="24">
        <f t="shared" si="6"/>
        <v>19.428571428571416</v>
      </c>
      <c r="O27" s="24">
        <f t="shared" si="7"/>
        <v>6.9090909090909101</v>
      </c>
      <c r="P27" s="24">
        <f t="shared" si="7"/>
        <v>6.5909090909090908</v>
      </c>
    </row>
    <row r="28" spans="3:16" x14ac:dyDescent="0.25">
      <c r="C28" s="19">
        <v>3.35</v>
      </c>
      <c r="D28" s="19">
        <f t="shared" si="2"/>
        <v>593</v>
      </c>
      <c r="E28" s="19"/>
      <c r="F28" s="19">
        <f>+(5.6+5.9)/2</f>
        <v>5.75</v>
      </c>
      <c r="G28" s="19">
        <f t="shared" si="3"/>
        <v>2.4</v>
      </c>
      <c r="H28" s="19">
        <f t="shared" si="4"/>
        <v>5.3793103448275872</v>
      </c>
      <c r="I28" s="22">
        <f t="shared" si="5"/>
        <v>0.37068965517241281</v>
      </c>
      <c r="K28">
        <v>660</v>
      </c>
      <c r="L28" s="24">
        <f t="shared" si="6"/>
        <v>9.5379310344827601</v>
      </c>
      <c r="M28" s="24">
        <f t="shared" si="6"/>
        <v>6.6999999999999993</v>
      </c>
      <c r="N28" s="24">
        <f t="shared" si="6"/>
        <v>22.285714285714278</v>
      </c>
      <c r="O28" s="24">
        <f t="shared" si="7"/>
        <v>7.0909090909090917</v>
      </c>
      <c r="P28" s="24">
        <f t="shared" si="7"/>
        <v>6.709090909090909</v>
      </c>
    </row>
    <row r="29" spans="3:16" x14ac:dyDescent="0.25">
      <c r="C29" s="19">
        <v>3.85</v>
      </c>
      <c r="D29" s="19">
        <f t="shared" si="2"/>
        <v>603</v>
      </c>
      <c r="E29" s="19"/>
      <c r="F29" s="19">
        <v>6</v>
      </c>
      <c r="G29" s="19">
        <f t="shared" si="3"/>
        <v>2.15</v>
      </c>
      <c r="H29" s="19">
        <f t="shared" si="4"/>
        <v>6</v>
      </c>
      <c r="I29" s="22">
        <f t="shared" si="5"/>
        <v>0</v>
      </c>
      <c r="K29" s="30">
        <v>670</v>
      </c>
      <c r="L29" s="31">
        <f t="shared" si="6"/>
        <v>10.158620689655173</v>
      </c>
      <c r="M29" s="31">
        <f t="shared" si="6"/>
        <v>7.1999999999999993</v>
      </c>
      <c r="N29" s="31">
        <f t="shared" si="6"/>
        <v>25.142857142857139</v>
      </c>
      <c r="O29" s="31">
        <f t="shared" si="7"/>
        <v>7.2727272727272734</v>
      </c>
      <c r="P29" s="31">
        <f t="shared" si="7"/>
        <v>6.8272727272727272</v>
      </c>
    </row>
    <row r="30" spans="3:16" x14ac:dyDescent="0.25">
      <c r="C30" s="19">
        <v>4.2</v>
      </c>
      <c r="D30" s="19">
        <f t="shared" si="2"/>
        <v>610</v>
      </c>
      <c r="E30" s="19"/>
      <c r="F30" s="19">
        <v>8</v>
      </c>
      <c r="G30" s="19">
        <f t="shared" si="3"/>
        <v>3.8</v>
      </c>
      <c r="H30" s="19">
        <f>+$K$17*D30+$L$17</f>
        <v>8</v>
      </c>
      <c r="I30" s="22">
        <f t="shared" si="5"/>
        <v>0</v>
      </c>
      <c r="K30">
        <v>680</v>
      </c>
      <c r="L30" s="24">
        <f t="shared" si="6"/>
        <v>10.779310344827586</v>
      </c>
      <c r="M30" s="24">
        <f t="shared" si="6"/>
        <v>7.6999999999999993</v>
      </c>
      <c r="N30" s="24">
        <f t="shared" si="6"/>
        <v>28</v>
      </c>
      <c r="O30" s="24">
        <f t="shared" si="7"/>
        <v>7.454545454545455</v>
      </c>
      <c r="P30" s="24">
        <f t="shared" si="7"/>
        <v>6.9454545454545453</v>
      </c>
    </row>
    <row r="31" spans="3:16" x14ac:dyDescent="0.25">
      <c r="C31" s="23">
        <v>9</v>
      </c>
      <c r="D31" s="23">
        <f t="shared" si="2"/>
        <v>705.99999999999989</v>
      </c>
      <c r="F31" s="23">
        <v>9</v>
      </c>
      <c r="G31" s="23">
        <f t="shared" si="3"/>
        <v>0</v>
      </c>
      <c r="H31" s="19">
        <f t="shared" ref="H31:H38" si="8">+$K$17*D31+$L$17</f>
        <v>35.428571428571388</v>
      </c>
      <c r="K31">
        <v>690</v>
      </c>
      <c r="L31" s="24">
        <f t="shared" si="6"/>
        <v>11.399999999999999</v>
      </c>
      <c r="M31" s="24">
        <f t="shared" si="6"/>
        <v>8.1999999999999993</v>
      </c>
      <c r="N31" s="24">
        <f t="shared" si="6"/>
        <v>30.857142857142861</v>
      </c>
      <c r="O31" s="24">
        <f t="shared" si="7"/>
        <v>7.6363636363636367</v>
      </c>
      <c r="P31" s="24">
        <f t="shared" si="7"/>
        <v>7.0636363636363626</v>
      </c>
    </row>
    <row r="32" spans="3:16" x14ac:dyDescent="0.25">
      <c r="C32" s="23">
        <v>10</v>
      </c>
      <c r="D32" s="23">
        <f t="shared" ref="D32:D38" si="9">+(C32+26.3)/0.05</f>
        <v>725.99999999999989</v>
      </c>
      <c r="F32" s="23">
        <v>10</v>
      </c>
      <c r="H32" s="19">
        <f t="shared" si="8"/>
        <v>41.14285714285711</v>
      </c>
      <c r="K32">
        <v>700</v>
      </c>
      <c r="L32" s="24">
        <f t="shared" si="6"/>
        <v>12.020689655172418</v>
      </c>
      <c r="M32" s="24">
        <f t="shared" si="6"/>
        <v>8.6999999999999993</v>
      </c>
      <c r="N32" s="24">
        <f t="shared" si="6"/>
        <v>33.714285714285722</v>
      </c>
      <c r="O32" s="24">
        <f t="shared" si="7"/>
        <v>7.8181818181818183</v>
      </c>
      <c r="P32" s="24">
        <f t="shared" si="7"/>
        <v>7.1818181818181817</v>
      </c>
    </row>
    <row r="33" spans="3:16" x14ac:dyDescent="0.25">
      <c r="C33" s="23">
        <v>11</v>
      </c>
      <c r="D33" s="23">
        <f t="shared" si="9"/>
        <v>745.99999999999989</v>
      </c>
      <c r="F33" s="23">
        <v>11</v>
      </c>
      <c r="H33" s="19">
        <f t="shared" si="8"/>
        <v>46.857142857142833</v>
      </c>
      <c r="K33" s="28">
        <v>710</v>
      </c>
      <c r="L33" s="24">
        <f t="shared" si="6"/>
        <v>12.641379310344831</v>
      </c>
      <c r="M33" s="24">
        <f t="shared" si="6"/>
        <v>9.1999999999999993</v>
      </c>
      <c r="N33" s="24">
        <f t="shared" si="6"/>
        <v>36.571428571428555</v>
      </c>
      <c r="O33" s="29">
        <v>8</v>
      </c>
      <c r="P33" s="29">
        <v>7.3</v>
      </c>
    </row>
    <row r="34" spans="3:16" x14ac:dyDescent="0.25">
      <c r="C34" s="23">
        <v>12</v>
      </c>
      <c r="D34" s="23">
        <f t="shared" si="9"/>
        <v>765.99999999999989</v>
      </c>
      <c r="F34" s="23">
        <v>12</v>
      </c>
      <c r="H34" s="19">
        <f t="shared" si="8"/>
        <v>52.571428571428527</v>
      </c>
      <c r="K34">
        <v>720</v>
      </c>
      <c r="L34" s="24">
        <f t="shared" ref="L34:P40" si="10">+$K34*L$20+L$21</f>
        <v>13.262068965517244</v>
      </c>
      <c r="M34" s="24">
        <f t="shared" si="10"/>
        <v>9.6999999999999993</v>
      </c>
      <c r="N34" s="24">
        <f t="shared" si="10"/>
        <v>39.428571428571416</v>
      </c>
      <c r="O34" s="24">
        <f>+$K34*O$20+O$21</f>
        <v>8.1818181818181817</v>
      </c>
      <c r="P34" s="24">
        <f>+$K34*P$20+P$21</f>
        <v>7.418181818181818</v>
      </c>
    </row>
    <row r="35" spans="3:16" x14ac:dyDescent="0.25">
      <c r="C35" s="23">
        <v>13</v>
      </c>
      <c r="D35" s="23">
        <f t="shared" si="9"/>
        <v>785.99999999999989</v>
      </c>
      <c r="F35" s="23">
        <v>13</v>
      </c>
      <c r="H35" s="19">
        <f t="shared" si="8"/>
        <v>58.285714285714249</v>
      </c>
      <c r="K35">
        <v>730</v>
      </c>
      <c r="L35" s="24">
        <f t="shared" si="10"/>
        <v>13.882758620689657</v>
      </c>
      <c r="M35" s="24">
        <f t="shared" si="10"/>
        <v>10.199999999999999</v>
      </c>
      <c r="N35" s="24">
        <f t="shared" si="10"/>
        <v>42.285714285714278</v>
      </c>
      <c r="O35" s="24">
        <f t="shared" si="10"/>
        <v>8.3636363636363633</v>
      </c>
      <c r="P35" s="24">
        <f t="shared" si="10"/>
        <v>7.5363636363636353</v>
      </c>
    </row>
    <row r="36" spans="3:16" x14ac:dyDescent="0.25">
      <c r="C36" s="23">
        <v>14</v>
      </c>
      <c r="D36" s="23">
        <f t="shared" si="9"/>
        <v>805.99999999999989</v>
      </c>
      <c r="F36" s="23">
        <v>14</v>
      </c>
      <c r="H36" s="19">
        <f t="shared" si="8"/>
        <v>63.999999999999972</v>
      </c>
      <c r="K36">
        <v>740</v>
      </c>
      <c r="L36" s="24">
        <f t="shared" si="10"/>
        <v>14.50344827586207</v>
      </c>
      <c r="M36" s="24">
        <f t="shared" si="10"/>
        <v>10.7</v>
      </c>
      <c r="N36" s="24">
        <f t="shared" si="10"/>
        <v>45.142857142857139</v>
      </c>
      <c r="O36" s="24">
        <f t="shared" si="10"/>
        <v>8.545454545454545</v>
      </c>
      <c r="P36" s="24">
        <f t="shared" si="10"/>
        <v>7.6545454545454543</v>
      </c>
    </row>
    <row r="37" spans="3:16" x14ac:dyDescent="0.25">
      <c r="C37" s="23">
        <v>15</v>
      </c>
      <c r="D37" s="23">
        <f t="shared" si="9"/>
        <v>825.99999999999989</v>
      </c>
      <c r="F37" s="23">
        <v>15</v>
      </c>
      <c r="H37" s="19">
        <f t="shared" si="8"/>
        <v>69.714285714285666</v>
      </c>
      <c r="K37">
        <v>750</v>
      </c>
      <c r="L37" s="24">
        <f t="shared" si="10"/>
        <v>15.124137931034483</v>
      </c>
      <c r="M37" s="24">
        <f t="shared" si="10"/>
        <v>11.2</v>
      </c>
      <c r="N37" s="24">
        <f t="shared" si="10"/>
        <v>48</v>
      </c>
      <c r="O37" s="24">
        <f t="shared" si="10"/>
        <v>8.7272727272727266</v>
      </c>
      <c r="P37" s="24">
        <f t="shared" si="10"/>
        <v>7.7727272727272716</v>
      </c>
    </row>
    <row r="38" spans="3:16" x14ac:dyDescent="0.25">
      <c r="C38" s="23">
        <v>16</v>
      </c>
      <c r="D38" s="23">
        <f t="shared" si="9"/>
        <v>845.99999999999989</v>
      </c>
      <c r="F38" s="23">
        <v>16</v>
      </c>
      <c r="H38" s="19">
        <f t="shared" si="8"/>
        <v>75.428571428571388</v>
      </c>
      <c r="K38">
        <v>760</v>
      </c>
      <c r="L38" s="24">
        <f t="shared" si="10"/>
        <v>15.744827586206895</v>
      </c>
      <c r="M38" s="24">
        <f t="shared" si="10"/>
        <v>11.7</v>
      </c>
      <c r="N38" s="24">
        <f t="shared" si="10"/>
        <v>50.857142857142861</v>
      </c>
      <c r="O38" s="24">
        <f t="shared" si="10"/>
        <v>8.9090909090909101</v>
      </c>
      <c r="P38" s="24">
        <f t="shared" si="10"/>
        <v>7.8909090909090907</v>
      </c>
    </row>
    <row r="39" spans="3:16" x14ac:dyDescent="0.25">
      <c r="K39">
        <v>770</v>
      </c>
      <c r="L39" s="24">
        <f t="shared" si="10"/>
        <v>16.365517241379315</v>
      </c>
      <c r="M39" s="24">
        <f t="shared" si="10"/>
        <v>12.2</v>
      </c>
      <c r="N39" s="24">
        <f t="shared" si="10"/>
        <v>53.714285714285722</v>
      </c>
      <c r="O39" s="24">
        <f t="shared" si="10"/>
        <v>9.0909090909090917</v>
      </c>
      <c r="P39" s="24">
        <f t="shared" si="10"/>
        <v>8.0090909090909079</v>
      </c>
    </row>
    <row r="40" spans="3:16" x14ac:dyDescent="0.25">
      <c r="K40">
        <v>780</v>
      </c>
      <c r="L40" s="24">
        <f t="shared" si="10"/>
        <v>16.986206896551728</v>
      </c>
      <c r="M40" s="24">
        <f t="shared" si="10"/>
        <v>12.7</v>
      </c>
      <c r="N40" s="24">
        <f t="shared" si="10"/>
        <v>56.571428571428555</v>
      </c>
      <c r="O40" s="24">
        <f>+$K40*O$20+O$21</f>
        <v>9.2727272727272734</v>
      </c>
      <c r="P40" s="24">
        <f>+$K40*P$20+P$21</f>
        <v>8.127272727272727</v>
      </c>
    </row>
  </sheetData>
  <sortState ref="C19:I30">
    <sortCondition ref="F19:F30"/>
  </sortState>
  <mergeCells count="1"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topLeftCell="A19" workbookViewId="0">
      <selection activeCell="G31" sqref="G31"/>
    </sheetView>
  </sheetViews>
  <sheetFormatPr baseColWidth="10" defaultRowHeight="15" x14ac:dyDescent="0.25"/>
  <cols>
    <col min="1" max="1" width="8" customWidth="1"/>
    <col min="2" max="2" width="4.140625" customWidth="1"/>
    <col min="3" max="3" width="5" bestFit="1" customWidth="1"/>
    <col min="7" max="7" width="16.28515625" customWidth="1"/>
  </cols>
  <sheetData>
    <row r="2" spans="2:6" x14ac:dyDescent="0.25">
      <c r="B2" t="s">
        <v>43</v>
      </c>
    </row>
    <row r="4" spans="2:6" x14ac:dyDescent="0.25">
      <c r="B4" t="s">
        <v>40</v>
      </c>
    </row>
    <row r="5" spans="2:6" x14ac:dyDescent="0.25">
      <c r="B5" s="32" t="s">
        <v>1</v>
      </c>
      <c r="C5" s="32" t="s">
        <v>0</v>
      </c>
      <c r="D5" s="32" t="s">
        <v>41</v>
      </c>
      <c r="E5" s="32" t="s">
        <v>29</v>
      </c>
      <c r="F5" s="32" t="s">
        <v>42</v>
      </c>
    </row>
    <row r="6" spans="2:6" x14ac:dyDescent="0.25">
      <c r="B6" s="2">
        <v>1</v>
      </c>
      <c r="C6" s="2">
        <v>0.63</v>
      </c>
      <c r="D6" s="2">
        <f>+(0.00223611*B6^6-0.0530417*B6^5+0.496319*B6^4-2.30479*B6^3+5.51644*B6^2-6.16717*B6+3.14)</f>
        <v>0.62999341000000042</v>
      </c>
      <c r="E6" s="34">
        <f>+C6-D6</f>
        <v>6.5899999995844283E-6</v>
      </c>
      <c r="F6" s="33">
        <f>+E6/B6</f>
        <v>6.5899999995844283E-6</v>
      </c>
    </row>
    <row r="7" spans="2:6" x14ac:dyDescent="0.25">
      <c r="B7" s="2">
        <v>1.5</v>
      </c>
      <c r="C7" s="2">
        <f>+D7</f>
        <v>0.6578689685937511</v>
      </c>
      <c r="D7" s="2">
        <f>+(0.00223611*B7^6-0.0530417*B7^5+0.496319*B7^4-2.30479*B7^3+5.51644*B7^2-6.16717*B7+3.14)</f>
        <v>0.6578689685937511</v>
      </c>
      <c r="E7" s="34">
        <f>+C7-D7</f>
        <v>0</v>
      </c>
      <c r="F7" s="33">
        <f>+E7/B7</f>
        <v>0</v>
      </c>
    </row>
    <row r="8" spans="2:6" x14ac:dyDescent="0.25">
      <c r="B8" s="2">
        <v>2</v>
      </c>
      <c r="C8" s="2">
        <v>0.82</v>
      </c>
      <c r="D8" s="2">
        <f t="shared" ref="D8:D13" si="0">+(0.00223611*B8^6-0.0530417*B8^5+0.496319*B8^4-2.30479*B8^3+5.51644*B8^2-6.16717*B8+3.14)</f>
        <v>0.81998064000000204</v>
      </c>
      <c r="E8" s="34">
        <f t="shared" ref="E8:E13" si="1">+C8-D8</f>
        <v>1.9359999997914379E-5</v>
      </c>
      <c r="F8" s="33">
        <f t="shared" ref="F8:F13" si="2">+E8/B8</f>
        <v>9.6799999989571894E-6</v>
      </c>
    </row>
    <row r="9" spans="2:6" x14ac:dyDescent="0.25">
      <c r="B9" s="2">
        <v>3</v>
      </c>
      <c r="C9" s="2">
        <v>1</v>
      </c>
      <c r="D9" s="2">
        <f t="shared" si="0"/>
        <v>0.99995009000000179</v>
      </c>
      <c r="E9" s="34">
        <f t="shared" si="1"/>
        <v>4.9909999998209997E-5</v>
      </c>
      <c r="F9" s="33">
        <f t="shared" si="2"/>
        <v>1.6636666666069999E-5</v>
      </c>
    </row>
    <row r="10" spans="2:6" x14ac:dyDescent="0.25">
      <c r="B10" s="2">
        <v>4</v>
      </c>
      <c r="C10" s="2">
        <v>1.1299999999999999</v>
      </c>
      <c r="D10" s="2">
        <f t="shared" si="0"/>
        <v>1.1298697600000014</v>
      </c>
      <c r="E10" s="34">
        <f t="shared" si="1"/>
        <v>1.3023999999850489E-4</v>
      </c>
      <c r="F10" s="33">
        <f t="shared" si="2"/>
        <v>3.2559999999626221E-5</v>
      </c>
    </row>
    <row r="11" spans="2:6" x14ac:dyDescent="0.25">
      <c r="B11" s="2">
        <v>5</v>
      </c>
      <c r="C11" s="2">
        <v>1.5</v>
      </c>
      <c r="D11" s="2">
        <f t="shared" si="0"/>
        <v>1.4996812500000476</v>
      </c>
      <c r="E11" s="34">
        <f t="shared" si="1"/>
        <v>3.1874999995240572E-4</v>
      </c>
      <c r="F11" s="33">
        <f t="shared" si="2"/>
        <v>6.3749999990481143E-5</v>
      </c>
    </row>
    <row r="12" spans="2:6" x14ac:dyDescent="0.25">
      <c r="B12" s="2">
        <v>6</v>
      </c>
      <c r="C12" s="2">
        <v>2</v>
      </c>
      <c r="D12" s="2">
        <f t="shared" si="0"/>
        <v>1.9992929600000262</v>
      </c>
      <c r="E12" s="34">
        <f t="shared" si="1"/>
        <v>7.0703999997379086E-4</v>
      </c>
      <c r="F12" s="33">
        <f t="shared" si="2"/>
        <v>1.1783999999563181E-4</v>
      </c>
    </row>
    <row r="13" spans="2:6" x14ac:dyDescent="0.25">
      <c r="B13" s="2">
        <v>7</v>
      </c>
      <c r="C13" s="2">
        <v>3</v>
      </c>
      <c r="D13" s="2">
        <f t="shared" si="0"/>
        <v>2.9985724900000785</v>
      </c>
      <c r="E13" s="34">
        <f t="shared" si="1"/>
        <v>1.4275099999214724E-3</v>
      </c>
      <c r="F13" s="33">
        <f t="shared" si="2"/>
        <v>2.0392999998878177E-4</v>
      </c>
    </row>
    <row r="14" spans="2:6" x14ac:dyDescent="0.25">
      <c r="B14" s="1"/>
      <c r="C14" s="1"/>
    </row>
    <row r="20" spans="3:9" x14ac:dyDescent="0.25">
      <c r="C20" t="s">
        <v>45</v>
      </c>
    </row>
    <row r="21" spans="3:9" x14ac:dyDescent="0.25">
      <c r="C21" t="s">
        <v>46</v>
      </c>
    </row>
    <row r="24" spans="3:9" x14ac:dyDescent="0.25">
      <c r="G24">
        <f>1/72*2.54</f>
        <v>3.5277777777777776E-2</v>
      </c>
      <c r="H24">
        <v>2048</v>
      </c>
      <c r="I24">
        <v>72</v>
      </c>
    </row>
    <row r="25" spans="3:9" x14ac:dyDescent="0.25">
      <c r="F25">
        <v>254000</v>
      </c>
      <c r="G25" s="35">
        <f>+F25*G24</f>
        <v>8960.5555555555547</v>
      </c>
      <c r="H25">
        <f>+F25/H24</f>
        <v>124.0234375</v>
      </c>
      <c r="I25">
        <f>+H25/I24</f>
        <v>1.7225477430555556</v>
      </c>
    </row>
    <row r="26" spans="3:9" x14ac:dyDescent="0.25">
      <c r="F26">
        <v>177800</v>
      </c>
      <c r="G26" s="35">
        <f>+F26*G24</f>
        <v>6272.3888888888887</v>
      </c>
      <c r="H26">
        <f>+F26/H24</f>
        <v>86.81640625</v>
      </c>
      <c r="I26">
        <f>+H26/I24</f>
        <v>1.2057834201388888</v>
      </c>
    </row>
    <row r="29" spans="3:9" x14ac:dyDescent="0.25">
      <c r="H29">
        <f>H25/10*4/3</f>
        <v>16.536458333333332</v>
      </c>
    </row>
    <row r="30" spans="3:9" x14ac:dyDescent="0.25">
      <c r="H30">
        <f>H26/10*4/3</f>
        <v>11.575520833333334</v>
      </c>
    </row>
    <row r="32" spans="3:9" x14ac:dyDescent="0.25">
      <c r="F32" t="s">
        <v>44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d</vt:lpstr>
      <vt:lpstr>new</vt:lpstr>
      <vt:lpstr>Interpolation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Induccion 1</dc:creator>
  <cp:lastModifiedBy>Induccion 1</cp:lastModifiedBy>
  <dcterms:created xsi:type="dcterms:W3CDTF">2018-09-25T16:39:11Z</dcterms:created>
  <dcterms:modified xsi:type="dcterms:W3CDTF">2018-11-03T16:47:37Z</dcterms:modified>
</cp:coreProperties>
</file>