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1\Documents\Physics 133\Atomic Spectra\"/>
    </mc:Choice>
  </mc:AlternateContent>
  <xr:revisionPtr revIDLastSave="0" documentId="8_{B85149E2-AF1E-4792-8130-09C9CDF2CF69}" xr6:coauthVersionLast="28" xr6:coauthVersionMax="28" xr10:uidLastSave="{00000000-0000-0000-0000-000000000000}"/>
  <bookViews>
    <workbookView xWindow="0" yWindow="0" windowWidth="17985" windowHeight="3735" activeTab="1" xr2:uid="{BF59C083-D9C1-4353-9579-BAF79DE900F5}"/>
  </bookViews>
  <sheets>
    <sheet name="He Lines" sheetId="1" r:id="rId1"/>
    <sheet name="H Lines" sheetId="2" r:id="rId2"/>
    <sheet name="He-Ne Las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2" l="1"/>
  <c r="J20" i="2"/>
  <c r="S32" i="1"/>
  <c r="S33" i="1"/>
  <c r="S34" i="1"/>
  <c r="S29" i="1"/>
  <c r="S17" i="1"/>
  <c r="S18" i="1"/>
  <c r="S19" i="1"/>
  <c r="S20" i="1"/>
  <c r="S21" i="1"/>
  <c r="S22" i="1"/>
  <c r="S16" i="1"/>
  <c r="S26" i="1"/>
  <c r="I5" i="3" l="1"/>
  <c r="I6" i="3"/>
  <c r="I7" i="3"/>
  <c r="I8" i="3"/>
  <c r="I9" i="3"/>
  <c r="E5" i="3"/>
  <c r="E6" i="3"/>
  <c r="E7" i="3"/>
  <c r="F7" i="3" s="1"/>
  <c r="E8" i="3"/>
  <c r="E9" i="3"/>
  <c r="I10" i="3"/>
  <c r="E10" i="3"/>
  <c r="E3" i="3"/>
  <c r="J7" i="3" l="1"/>
  <c r="F9" i="3"/>
  <c r="F5" i="3"/>
  <c r="J6" i="3"/>
  <c r="L6" i="3" s="1"/>
  <c r="J8" i="3"/>
  <c r="F10" i="3"/>
  <c r="F6" i="3"/>
  <c r="F8" i="3"/>
  <c r="L8" i="3" s="1"/>
  <c r="J9" i="3"/>
  <c r="J5" i="3"/>
  <c r="L5" i="3" s="1"/>
  <c r="J10" i="3"/>
  <c r="K8" i="3"/>
  <c r="K7" i="3"/>
  <c r="L7" i="3"/>
  <c r="K6" i="3"/>
  <c r="K9" i="3"/>
  <c r="L9" i="3"/>
  <c r="K5" i="3"/>
  <c r="K10" i="3"/>
  <c r="T33" i="1"/>
  <c r="U33" i="1" s="1"/>
  <c r="T32" i="1"/>
  <c r="U32" i="1" s="1"/>
  <c r="T29" i="1"/>
  <c r="U29" i="1" s="1"/>
  <c r="T34" i="1"/>
  <c r="U34" i="1" s="1"/>
  <c r="T22" i="1"/>
  <c r="U22" i="1" s="1"/>
  <c r="T21" i="1"/>
  <c r="U21" i="1" s="1"/>
  <c r="T20" i="1"/>
  <c r="U20" i="1" s="1"/>
  <c r="T19" i="1"/>
  <c r="U19" i="1" s="1"/>
  <c r="T18" i="1"/>
  <c r="U18" i="1" s="1"/>
  <c r="V18" i="1" s="1"/>
  <c r="T17" i="1"/>
  <c r="U17" i="1" s="1"/>
  <c r="T16" i="1"/>
  <c r="U16" i="1" s="1"/>
  <c r="S13" i="1"/>
  <c r="R17" i="1"/>
  <c r="R18" i="1"/>
  <c r="R19" i="1"/>
  <c r="R20" i="1"/>
  <c r="R21" i="1"/>
  <c r="R22" i="1"/>
  <c r="R29" i="1"/>
  <c r="R32" i="1"/>
  <c r="R33" i="1"/>
  <c r="R34" i="1"/>
  <c r="R16" i="1"/>
  <c r="I17" i="2"/>
  <c r="E17" i="2"/>
  <c r="I16" i="2"/>
  <c r="E16" i="2"/>
  <c r="I15" i="2"/>
  <c r="E15" i="2"/>
  <c r="I13" i="2"/>
  <c r="E13" i="2"/>
  <c r="I12" i="2"/>
  <c r="E12" i="2"/>
  <c r="I11" i="2"/>
  <c r="E11" i="2"/>
  <c r="P30" i="1"/>
  <c r="P31" i="1"/>
  <c r="E29" i="1"/>
  <c r="F29" i="1" s="1"/>
  <c r="E35" i="1"/>
  <c r="I34" i="1"/>
  <c r="E34" i="1"/>
  <c r="I33" i="1"/>
  <c r="E33" i="1"/>
  <c r="I32" i="1"/>
  <c r="E32" i="1"/>
  <c r="I31" i="1"/>
  <c r="E31" i="1"/>
  <c r="I30" i="1"/>
  <c r="E30" i="1"/>
  <c r="I29" i="1"/>
  <c r="J29" i="1" s="1"/>
  <c r="E27" i="1"/>
  <c r="V34" i="1" l="1"/>
  <c r="I32" i="2"/>
  <c r="J32" i="2"/>
  <c r="V33" i="1"/>
  <c r="J31" i="2"/>
  <c r="I31" i="2"/>
  <c r="V32" i="1"/>
  <c r="I30" i="2"/>
  <c r="J30" i="2"/>
  <c r="I29" i="2"/>
  <c r="J29" i="2"/>
  <c r="V29" i="1"/>
  <c r="J25" i="2"/>
  <c r="I25" i="2"/>
  <c r="V19" i="1"/>
  <c r="I26" i="2"/>
  <c r="J26" i="2"/>
  <c r="V20" i="1"/>
  <c r="J23" i="2"/>
  <c r="I23" i="2"/>
  <c r="V17" i="1"/>
  <c r="I27" i="2"/>
  <c r="J27" i="2"/>
  <c r="V21" i="1"/>
  <c r="J28" i="2"/>
  <c r="I28" i="2"/>
  <c r="V22" i="1"/>
  <c r="J24" i="2"/>
  <c r="I24" i="2"/>
  <c r="I22" i="2"/>
  <c r="J22" i="2"/>
  <c r="V16" i="1"/>
  <c r="V37" i="1" s="1"/>
  <c r="J19" i="2" s="1"/>
  <c r="L10" i="3"/>
  <c r="M9" i="3"/>
  <c r="N9" i="3" s="1"/>
  <c r="O9" i="3" s="1"/>
  <c r="M7" i="3"/>
  <c r="N7" i="3" s="1"/>
  <c r="O7" i="3" s="1"/>
  <c r="M5" i="3"/>
  <c r="N5" i="3" s="1"/>
  <c r="O5" i="3" s="1"/>
  <c r="M6" i="3"/>
  <c r="N6" i="3" s="1"/>
  <c r="O6" i="3" s="1"/>
  <c r="M8" i="3"/>
  <c r="N8" i="3" s="1"/>
  <c r="O8" i="3" s="1"/>
  <c r="M10" i="3"/>
  <c r="N10" i="3" s="1"/>
  <c r="O10" i="3" s="1"/>
  <c r="J34" i="1"/>
  <c r="F31" i="1"/>
  <c r="F33" i="1"/>
  <c r="F35" i="1"/>
  <c r="J33" i="1"/>
  <c r="F34" i="1"/>
  <c r="J35" i="1"/>
  <c r="F30" i="1"/>
  <c r="J31" i="1"/>
  <c r="F32" i="1"/>
  <c r="J30" i="1"/>
  <c r="J32" i="1"/>
  <c r="P16" i="1"/>
  <c r="I9" i="2"/>
  <c r="E9" i="2"/>
  <c r="I8" i="2"/>
  <c r="E8" i="2"/>
  <c r="I7" i="2"/>
  <c r="E7" i="2"/>
  <c r="E5" i="2"/>
  <c r="F11" i="2" s="1"/>
  <c r="E14" i="1"/>
  <c r="S6" i="1" l="1"/>
  <c r="J17" i="2"/>
  <c r="J12" i="2"/>
  <c r="J16" i="2"/>
  <c r="J11" i="2"/>
  <c r="L11" i="2" s="1"/>
  <c r="J15" i="2"/>
  <c r="F17" i="2"/>
  <c r="F12" i="2"/>
  <c r="J13" i="2"/>
  <c r="F16" i="2"/>
  <c r="F15" i="2"/>
  <c r="F13" i="2"/>
  <c r="M31" i="1"/>
  <c r="L29" i="1"/>
  <c r="M35" i="1"/>
  <c r="M33" i="1"/>
  <c r="N33" i="1" s="1"/>
  <c r="O33" i="1" s="1"/>
  <c r="P33" i="1" s="1"/>
  <c r="L33" i="1"/>
  <c r="L32" i="1"/>
  <c r="M32" i="1"/>
  <c r="M29" i="1"/>
  <c r="N29" i="1" s="1"/>
  <c r="O29" i="1" s="1"/>
  <c r="P29" i="1" s="1"/>
  <c r="L34" i="1"/>
  <c r="M34" i="1"/>
  <c r="L31" i="1"/>
  <c r="L35" i="1"/>
  <c r="N35" i="1" s="1"/>
  <c r="L30" i="1"/>
  <c r="M30" i="1"/>
  <c r="F8" i="2"/>
  <c r="F7" i="2"/>
  <c r="F9" i="2"/>
  <c r="J7" i="2"/>
  <c r="J8" i="2"/>
  <c r="J9" i="2"/>
  <c r="I17" i="1"/>
  <c r="J17" i="1" s="1"/>
  <c r="E17" i="1"/>
  <c r="I22" i="1"/>
  <c r="J22" i="1" s="1"/>
  <c r="E22" i="1"/>
  <c r="F22" i="1" s="1"/>
  <c r="I21" i="1"/>
  <c r="J21" i="1" s="1"/>
  <c r="E21" i="1"/>
  <c r="I20" i="1"/>
  <c r="J20" i="1" s="1"/>
  <c r="E20" i="1"/>
  <c r="F20" i="1" s="1"/>
  <c r="I19" i="1"/>
  <c r="J19" i="1" s="1"/>
  <c r="E19" i="1"/>
  <c r="I18" i="1"/>
  <c r="J18" i="1" s="1"/>
  <c r="E18" i="1"/>
  <c r="F18" i="1" s="1"/>
  <c r="I16" i="1"/>
  <c r="J16" i="1" s="1"/>
  <c r="E16" i="1"/>
  <c r="I5" i="1"/>
  <c r="I6" i="1"/>
  <c r="E5" i="1"/>
  <c r="L5" i="1" s="1"/>
  <c r="E6" i="1"/>
  <c r="I10" i="1"/>
  <c r="I9" i="1"/>
  <c r="I8" i="1"/>
  <c r="L8" i="1" s="1"/>
  <c r="I7" i="1"/>
  <c r="I4" i="1"/>
  <c r="E4" i="1"/>
  <c r="E7" i="1"/>
  <c r="L7" i="1" s="1"/>
  <c r="E8" i="1"/>
  <c r="E9" i="1"/>
  <c r="E10" i="1"/>
  <c r="E2" i="1"/>
  <c r="A9" i="3" l="1"/>
  <c r="P9" i="3" s="1"/>
  <c r="R9" i="3" s="1"/>
  <c r="C1" i="3"/>
  <c r="S7" i="1"/>
  <c r="A8" i="2"/>
  <c r="A10" i="3"/>
  <c r="P10" i="3" s="1"/>
  <c r="R10" i="3" s="1"/>
  <c r="A5" i="3"/>
  <c r="P5" i="3" s="1"/>
  <c r="R5" i="3" s="1"/>
  <c r="A15" i="2"/>
  <c r="A17" i="2"/>
  <c r="A8" i="3"/>
  <c r="P8" i="3" s="1"/>
  <c r="R8" i="3" s="1"/>
  <c r="A16" i="2"/>
  <c r="A9" i="2"/>
  <c r="A12" i="2"/>
  <c r="A6" i="3"/>
  <c r="P6" i="3" s="1"/>
  <c r="R6" i="3" s="1"/>
  <c r="A7" i="3"/>
  <c r="P7" i="3" s="1"/>
  <c r="R7" i="3" s="1"/>
  <c r="A11" i="2"/>
  <c r="A13" i="2"/>
  <c r="A7" i="2"/>
  <c r="L15" i="2"/>
  <c r="K16" i="2"/>
  <c r="L16" i="2"/>
  <c r="M16" i="2" s="1"/>
  <c r="N16" i="2" s="1"/>
  <c r="O16" i="2" s="1"/>
  <c r="K11" i="2"/>
  <c r="M11" i="2" s="1"/>
  <c r="N11" i="2" s="1"/>
  <c r="O11" i="2" s="1"/>
  <c r="L17" i="2"/>
  <c r="K17" i="2"/>
  <c r="K15" i="2"/>
  <c r="L13" i="2"/>
  <c r="K13" i="2"/>
  <c r="L12" i="2"/>
  <c r="K12" i="2"/>
  <c r="Q33" i="1"/>
  <c r="Q29" i="1"/>
  <c r="N32" i="1"/>
  <c r="O32" i="1" s="1"/>
  <c r="P32" i="1" s="1"/>
  <c r="O35" i="1"/>
  <c r="P35" i="1" s="1"/>
  <c r="N30" i="1"/>
  <c r="O30" i="1" s="1"/>
  <c r="N34" i="1"/>
  <c r="O34" i="1" s="1"/>
  <c r="P34" i="1" s="1"/>
  <c r="N31" i="1"/>
  <c r="O31" i="1" s="1"/>
  <c r="L9" i="2"/>
  <c r="K8" i="2"/>
  <c r="K7" i="2"/>
  <c r="K9" i="2"/>
  <c r="L7" i="2"/>
  <c r="L8" i="2"/>
  <c r="M8" i="2" s="1"/>
  <c r="N8" i="2" s="1"/>
  <c r="M10" i="1"/>
  <c r="M9" i="1"/>
  <c r="L18" i="1"/>
  <c r="M18" i="1"/>
  <c r="L20" i="1"/>
  <c r="M20" i="1"/>
  <c r="N20" i="1" s="1"/>
  <c r="L22" i="1"/>
  <c r="M22" i="1"/>
  <c r="N22" i="1" s="1"/>
  <c r="F16" i="1"/>
  <c r="F19" i="1"/>
  <c r="F21" i="1"/>
  <c r="F17" i="1"/>
  <c r="M5" i="1"/>
  <c r="L9" i="1"/>
  <c r="M8" i="1"/>
  <c r="L10" i="1"/>
  <c r="M7" i="1"/>
  <c r="M4" i="1"/>
  <c r="M6" i="1"/>
  <c r="L6" i="1"/>
  <c r="L4" i="1"/>
  <c r="P11" i="2" l="1"/>
  <c r="C25" i="2" s="1"/>
  <c r="D25" i="2" s="1"/>
  <c r="F25" i="2" s="1"/>
  <c r="P16" i="2"/>
  <c r="C29" i="2" s="1"/>
  <c r="D29" i="2" s="1"/>
  <c r="F29" i="2" s="1"/>
  <c r="M15" i="2"/>
  <c r="N15" i="2" s="1"/>
  <c r="O15" i="2" s="1"/>
  <c r="P15" i="2" s="1"/>
  <c r="C28" i="2" s="1"/>
  <c r="D28" i="2" s="1"/>
  <c r="M13" i="2"/>
  <c r="N13" i="2" s="1"/>
  <c r="O13" i="2" s="1"/>
  <c r="P13" i="2" s="1"/>
  <c r="C27" i="2" s="1"/>
  <c r="D27" i="2" s="1"/>
  <c r="M12" i="2"/>
  <c r="N12" i="2" s="1"/>
  <c r="O12" i="2" s="1"/>
  <c r="P12" i="2" s="1"/>
  <c r="C26" i="2" s="1"/>
  <c r="D26" i="2" s="1"/>
  <c r="M17" i="2"/>
  <c r="N17" i="2" s="1"/>
  <c r="O17" i="2" s="1"/>
  <c r="P17" i="2" s="1"/>
  <c r="C30" i="2" s="1"/>
  <c r="D30" i="2" s="1"/>
  <c r="O8" i="2"/>
  <c r="P8" i="2" s="1"/>
  <c r="C23" i="2" s="1"/>
  <c r="D23" i="2" s="1"/>
  <c r="Q32" i="1"/>
  <c r="Q34" i="1"/>
  <c r="Q30" i="1"/>
  <c r="Q31" i="1"/>
  <c r="Q35" i="1"/>
  <c r="M9" i="2"/>
  <c r="N9" i="2" s="1"/>
  <c r="O9" i="2" s="1"/>
  <c r="P9" i="2" s="1"/>
  <c r="C24" i="2" s="1"/>
  <c r="D24" i="2" s="1"/>
  <c r="M7" i="2"/>
  <c r="N7" i="2" s="1"/>
  <c r="O7" i="2" s="1"/>
  <c r="P7" i="2" s="1"/>
  <c r="C22" i="2" s="1"/>
  <c r="D22" i="2" s="1"/>
  <c r="L16" i="1"/>
  <c r="M16" i="1"/>
  <c r="N16" i="1" s="1"/>
  <c r="O20" i="1"/>
  <c r="L17" i="1"/>
  <c r="M17" i="1"/>
  <c r="L21" i="1"/>
  <c r="M21" i="1"/>
  <c r="N21" i="1" s="1"/>
  <c r="O22" i="1"/>
  <c r="M19" i="1"/>
  <c r="N19" i="1" s="1"/>
  <c r="L19" i="1"/>
  <c r="N18" i="1"/>
  <c r="O18" i="1" s="1"/>
  <c r="P18" i="1" s="1"/>
  <c r="Q18" i="1" s="1"/>
  <c r="P20" i="1"/>
  <c r="Q20" i="1" s="1"/>
  <c r="P22" i="1"/>
  <c r="Q22" i="1" s="1"/>
  <c r="R11" i="2" l="1"/>
  <c r="R16" i="2"/>
  <c r="F30" i="2"/>
  <c r="R17" i="2"/>
  <c r="F24" i="2"/>
  <c r="R9" i="2"/>
  <c r="F27" i="2"/>
  <c r="R13" i="2"/>
  <c r="R7" i="2"/>
  <c r="F26" i="2"/>
  <c r="R12" i="2"/>
  <c r="F23" i="2"/>
  <c r="R8" i="2"/>
  <c r="F28" i="2"/>
  <c r="R15" i="2"/>
  <c r="N17" i="1"/>
  <c r="O17" i="1" s="1"/>
  <c r="P17" i="1" s="1"/>
  <c r="Q17" i="1" s="1"/>
  <c r="O19" i="1"/>
  <c r="P19" i="1" s="1"/>
  <c r="Q19" i="1" s="1"/>
  <c r="O21" i="1"/>
  <c r="P21" i="1" s="1"/>
  <c r="Q21" i="1" s="1"/>
  <c r="O16" i="1"/>
  <c r="Q16" i="1" s="1"/>
  <c r="D31" i="2" l="1"/>
  <c r="F31" i="2" s="1"/>
  <c r="F22" i="2"/>
</calcChain>
</file>

<file path=xl/sharedStrings.xml><?xml version="1.0" encoding="utf-8"?>
<sst xmlns="http://schemas.openxmlformats.org/spreadsheetml/2006/main" count="179" uniqueCount="72">
  <si>
    <t>φ:</t>
  </si>
  <si>
    <t>V2</t>
  </si>
  <si>
    <t>G1</t>
  </si>
  <si>
    <t>O</t>
  </si>
  <si>
    <t>R1</t>
  </si>
  <si>
    <t>R2</t>
  </si>
  <si>
    <t>V</t>
  </si>
  <si>
    <t>m=1</t>
  </si>
  <si>
    <t>Deg</t>
  </si>
  <si>
    <t>Min</t>
  </si>
  <si>
    <t>Dec. Deg.</t>
  </si>
  <si>
    <t>m=-1</t>
  </si>
  <si>
    <t>λ (nm)</t>
  </si>
  <si>
    <t>d</t>
  </si>
  <si>
    <t>θ</t>
  </si>
  <si>
    <t>Δ</t>
  </si>
  <si>
    <t>V1*</t>
  </si>
  <si>
    <t>G2*</t>
  </si>
  <si>
    <t>λ (Å)</t>
  </si>
  <si>
    <t>B</t>
  </si>
  <si>
    <t>mλ/d</t>
  </si>
  <si>
    <t>True Ang.</t>
  </si>
  <si>
    <t>α₁</t>
  </si>
  <si>
    <t>α₂</t>
  </si>
  <si>
    <t>Y</t>
  </si>
  <si>
    <t>Variac:</t>
  </si>
  <si>
    <t>75V</t>
  </si>
  <si>
    <t>d:</t>
  </si>
  <si>
    <t>Color</t>
  </si>
  <si>
    <t>R</t>
  </si>
  <si>
    <t>expected:</t>
  </si>
  <si>
    <t>G</t>
  </si>
  <si>
    <t>m=-2</t>
  </si>
  <si>
    <t>m=2</t>
  </si>
  <si>
    <t>B*</t>
  </si>
  <si>
    <t>G*</t>
  </si>
  <si>
    <t>R*</t>
  </si>
  <si>
    <t>m=-3</t>
  </si>
  <si>
    <t>m=3</t>
  </si>
  <si>
    <r>
      <t>RMS(</t>
    </r>
    <r>
      <rPr>
        <sz val="11"/>
        <color theme="1"/>
        <rFont val="Calibri"/>
        <family val="2"/>
      </rPr>
      <t>Δ</t>
    </r>
    <r>
      <rPr>
        <sz val="10.8"/>
        <color theme="1"/>
        <rFont val="Calibri"/>
        <family val="2"/>
      </rPr>
      <t>):</t>
    </r>
  </si>
  <si>
    <t>Δ²</t>
  </si>
  <si>
    <t>dd/dθ:</t>
  </si>
  <si>
    <t>-mλcotθcscθ</t>
  </si>
  <si>
    <t>d'=</t>
  </si>
  <si>
    <t>d=</t>
  </si>
  <si>
    <r>
      <t>mλ/sin</t>
    </r>
    <r>
      <rPr>
        <sz val="11"/>
        <color theme="1"/>
        <rFont val="Calibri"/>
        <family val="2"/>
      </rPr>
      <t>θ</t>
    </r>
  </si>
  <si>
    <r>
      <t>σ(θ)=RMS(</t>
    </r>
    <r>
      <rPr>
        <sz val="11"/>
        <color theme="1"/>
        <rFont val="Calibri"/>
        <family val="2"/>
      </rPr>
      <t>Δ</t>
    </r>
    <r>
      <rPr>
        <sz val="10.8"/>
        <color theme="1"/>
        <rFont val="Calibri"/>
        <family val="2"/>
      </rPr>
      <t>):</t>
    </r>
  </si>
  <si>
    <t>σ(d):</t>
  </si>
  <si>
    <t>σ(d)</t>
  </si>
  <si>
    <t>Wi</t>
  </si>
  <si>
    <t>Wi*d</t>
  </si>
  <si>
    <t>đ=</t>
  </si>
  <si>
    <t>n/mm=</t>
  </si>
  <si>
    <r>
      <rPr>
        <sz val="11"/>
        <color theme="1"/>
        <rFont val="Calibri"/>
        <family val="2"/>
      </rPr>
      <t>Δ</t>
    </r>
    <r>
      <rPr>
        <sz val="11.9"/>
        <color theme="1"/>
        <rFont val="Calibri"/>
        <family val="2"/>
      </rPr>
      <t>d</t>
    </r>
  </si>
  <si>
    <t>m</t>
  </si>
  <si>
    <t>Laser:</t>
  </si>
  <si>
    <t>0.78mW</t>
  </si>
  <si>
    <t>R. Fringe</t>
  </si>
  <si>
    <t>L. Fringe</t>
  </si>
  <si>
    <t>λ (Å):</t>
  </si>
  <si>
    <t>n</t>
  </si>
  <si>
    <r>
      <t>R</t>
    </r>
    <r>
      <rPr>
        <sz val="6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(Obs.)</t>
    </r>
  </si>
  <si>
    <r>
      <t>R</t>
    </r>
    <r>
      <rPr>
        <sz val="6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(Book)</t>
    </r>
  </si>
  <si>
    <r>
      <t>Δ</t>
    </r>
    <r>
      <rPr>
        <sz val="11.9"/>
        <color theme="1"/>
        <rFont val="Calibri"/>
        <family val="2"/>
      </rPr>
      <t>d</t>
    </r>
  </si>
  <si>
    <r>
      <t>ΔR</t>
    </r>
    <r>
      <rPr>
        <sz val="6"/>
        <color theme="1"/>
        <rFont val="Calibri"/>
        <family val="2"/>
        <scheme val="minor"/>
      </rPr>
      <t>H</t>
    </r>
  </si>
  <si>
    <t>Mean:</t>
  </si>
  <si>
    <r>
      <t>R</t>
    </r>
    <r>
      <rPr>
        <sz val="6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:</t>
    </r>
  </si>
  <si>
    <t>H</t>
  </si>
  <si>
    <t>Wi*θ</t>
  </si>
  <si>
    <t>σ(θ):</t>
  </si>
  <si>
    <t>d' (dd/dθ):</t>
  </si>
  <si>
    <t>σ(R):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</si>
</sst>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.8"/>
      <color theme="1"/>
      <name val="Calibri"/>
      <family val="2"/>
    </font>
    <font>
      <sz val="11.9"/>
      <color theme="1"/>
      <name val="Calibri"/>
      <family val="2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  <xf numFmtId="2" fontId="0" fillId="0" borderId="2" xfId="0" applyNumberFormat="1" applyBorder="1"/>
    <xf numFmtId="2" fontId="0" fillId="0" borderId="3" xfId="0" applyNumberFormat="1" applyBorder="1"/>
    <xf numFmtId="2" fontId="1" fillId="0" borderId="2" xfId="0" applyNumberFormat="1" applyFont="1" applyBorder="1"/>
    <xf numFmtId="2" fontId="0" fillId="3" borderId="2" xfId="0" applyNumberFormat="1" applyFill="1" applyBorder="1"/>
    <xf numFmtId="2" fontId="0" fillId="4" borderId="2" xfId="0" applyNumberFormat="1" applyFill="1" applyBorder="1"/>
    <xf numFmtId="2" fontId="0" fillId="5" borderId="2" xfId="0" applyNumberFormat="1" applyFill="1" applyBorder="1"/>
    <xf numFmtId="2" fontId="0" fillId="6" borderId="2" xfId="0" applyNumberFormat="1" applyFill="1" applyBorder="1"/>
    <xf numFmtId="0" fontId="1" fillId="0" borderId="2" xfId="0" applyFont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7" borderId="2" xfId="0" applyFill="1" applyBorder="1"/>
    <xf numFmtId="2" fontId="0" fillId="7" borderId="2" xfId="0" applyNumberFormat="1" applyFill="1" applyBorder="1"/>
    <xf numFmtId="0" fontId="0" fillId="0" borderId="0" xfId="0" applyBorder="1"/>
    <xf numFmtId="2" fontId="0" fillId="0" borderId="0" xfId="0" applyNumberFormat="1" applyBorder="1"/>
    <xf numFmtId="0" fontId="1" fillId="3" borderId="0" xfId="0" applyFont="1" applyFill="1" applyBorder="1"/>
    <xf numFmtId="2" fontId="0" fillId="3" borderId="0" xfId="0" applyNumberFormat="1" applyFill="1" applyBorder="1"/>
    <xf numFmtId="0" fontId="1" fillId="7" borderId="0" xfId="0" applyFont="1" applyFill="1" applyBorder="1"/>
    <xf numFmtId="2" fontId="0" fillId="7" borderId="0" xfId="0" applyNumberFormat="1" applyFill="1" applyBorder="1"/>
    <xf numFmtId="0" fontId="1" fillId="4" borderId="0" xfId="0" applyFont="1" applyFill="1" applyBorder="1"/>
    <xf numFmtId="2" fontId="0" fillId="4" borderId="0" xfId="0" applyNumberFormat="1" applyFill="1" applyBorder="1"/>
    <xf numFmtId="0" fontId="1" fillId="5" borderId="0" xfId="0" applyFont="1" applyFill="1" applyBorder="1"/>
    <xf numFmtId="2" fontId="0" fillId="5" borderId="0" xfId="0" applyNumberFormat="1" applyFill="1" applyBorder="1"/>
    <xf numFmtId="0" fontId="1" fillId="6" borderId="0" xfId="0" applyFont="1" applyFill="1" applyBorder="1"/>
    <xf numFmtId="2" fontId="0" fillId="6" borderId="0" xfId="0" applyNumberFormat="1" applyFill="1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0" fontId="1" fillId="0" borderId="6" xfId="0" applyFont="1" applyBorder="1"/>
    <xf numFmtId="0" fontId="1" fillId="0" borderId="5" xfId="0" applyFont="1" applyBorder="1"/>
    <xf numFmtId="0" fontId="0" fillId="0" borderId="6" xfId="0" applyFill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0" fillId="3" borderId="10" xfId="0" applyFill="1" applyBorder="1"/>
    <xf numFmtId="0" fontId="0" fillId="3" borderId="9" xfId="0" applyFill="1" applyBorder="1"/>
    <xf numFmtId="0" fontId="0" fillId="7" borderId="10" xfId="0" applyFill="1" applyBorder="1"/>
    <xf numFmtId="0" fontId="0" fillId="7" borderId="9" xfId="0" applyFill="1" applyBorder="1"/>
    <xf numFmtId="0" fontId="0" fillId="4" borderId="10" xfId="0" applyFill="1" applyBorder="1"/>
    <xf numFmtId="0" fontId="0" fillId="4" borderId="9" xfId="0" applyFill="1" applyBorder="1"/>
    <xf numFmtId="0" fontId="0" fillId="5" borderId="10" xfId="0" applyFill="1" applyBorder="1"/>
    <xf numFmtId="0" fontId="0" fillId="5" borderId="9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2" xfId="0" applyFill="1" applyBorder="1"/>
    <xf numFmtId="2" fontId="0" fillId="6" borderId="12" xfId="0" applyNumberFormat="1" applyFill="1" applyBorder="1"/>
    <xf numFmtId="2" fontId="0" fillId="6" borderId="13" xfId="0" applyNumberFormat="1" applyFill="1" applyBorder="1"/>
    <xf numFmtId="0" fontId="0" fillId="6" borderId="13" xfId="0" applyFill="1" applyBorder="1"/>
    <xf numFmtId="0" fontId="0" fillId="6" borderId="14" xfId="0" applyFill="1" applyBorder="1"/>
    <xf numFmtId="2" fontId="0" fillId="0" borderId="0" xfId="0" applyNumberFormat="1" applyFill="1" applyBorder="1"/>
    <xf numFmtId="2" fontId="0" fillId="0" borderId="2" xfId="0" applyNumberFormat="1" applyFill="1" applyBorder="1"/>
    <xf numFmtId="0" fontId="0" fillId="0" borderId="4" xfId="0" applyFill="1" applyBorder="1"/>
    <xf numFmtId="0" fontId="0" fillId="0" borderId="5" xfId="0" applyFill="1" applyBorder="1"/>
    <xf numFmtId="2" fontId="0" fillId="0" borderId="5" xfId="0" applyNumberFormat="1" applyFill="1" applyBorder="1"/>
    <xf numFmtId="0" fontId="1" fillId="0" borderId="6" xfId="0" applyFont="1" applyFill="1" applyBorder="1"/>
    <xf numFmtId="0" fontId="1" fillId="0" borderId="5" xfId="0" applyFont="1" applyFill="1" applyBorder="1"/>
    <xf numFmtId="2" fontId="0" fillId="0" borderId="1" xfId="0" applyNumberFormat="1" applyFill="1" applyBorder="1"/>
    <xf numFmtId="0" fontId="0" fillId="0" borderId="0" xfId="0" applyFill="1" applyBorder="1"/>
    <xf numFmtId="2" fontId="1" fillId="0" borderId="2" xfId="0" applyNumberFormat="1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7" xfId="0" applyFont="1" applyFill="1" applyBorder="1"/>
    <xf numFmtId="0" fontId="0" fillId="0" borderId="15" xfId="0" applyFill="1" applyBorder="1"/>
    <xf numFmtId="0" fontId="0" fillId="6" borderId="12" xfId="0" applyFont="1" applyFill="1" applyBorder="1"/>
    <xf numFmtId="0" fontId="1" fillId="6" borderId="12" xfId="0" applyFont="1" applyFill="1" applyBorder="1"/>
    <xf numFmtId="2" fontId="0" fillId="0" borderId="9" xfId="0" applyNumberFormat="1" applyFill="1" applyBorder="1"/>
    <xf numFmtId="2" fontId="0" fillId="3" borderId="9" xfId="0" applyNumberFormat="1" applyFill="1" applyBorder="1"/>
    <xf numFmtId="2" fontId="0" fillId="7" borderId="9" xfId="0" applyNumberFormat="1" applyFill="1" applyBorder="1"/>
    <xf numFmtId="2" fontId="0" fillId="6" borderId="14" xfId="0" applyNumberFormat="1" applyFill="1" applyBorder="1"/>
    <xf numFmtId="164" fontId="0" fillId="0" borderId="9" xfId="0" applyNumberFormat="1" applyFill="1" applyBorder="1"/>
    <xf numFmtId="164" fontId="0" fillId="3" borderId="9" xfId="0" applyNumberFormat="1" applyFill="1" applyBorder="1"/>
    <xf numFmtId="164" fontId="0" fillId="7" borderId="9" xfId="0" applyNumberFormat="1" applyFill="1" applyBorder="1"/>
    <xf numFmtId="164" fontId="0" fillId="6" borderId="14" xfId="0" applyNumberFormat="1" applyFill="1" applyBorder="1"/>
    <xf numFmtId="0" fontId="1" fillId="0" borderId="0" xfId="0" applyFont="1" applyAlignment="1">
      <alignment horizontal="right"/>
    </xf>
    <xf numFmtId="0" fontId="0" fillId="0" borderId="0" xfId="0" quotePrefix="1"/>
    <xf numFmtId="0" fontId="1" fillId="0" borderId="16" xfId="0" applyFont="1" applyBorder="1" applyAlignment="1">
      <alignment horizontal="right"/>
    </xf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3" borderId="0" xfId="0" applyFill="1"/>
    <xf numFmtId="0" fontId="0" fillId="7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1" fillId="0" borderId="0" xfId="0" applyNumberFormat="1" applyFont="1" applyFill="1" applyBorder="1"/>
    <xf numFmtId="2" fontId="0" fillId="0" borderId="7" xfId="0" applyNumberFormat="1" applyFill="1" applyBorder="1"/>
    <xf numFmtId="0" fontId="0" fillId="0" borderId="8" xfId="0" applyFill="1" applyBorder="1"/>
    <xf numFmtId="2" fontId="0" fillId="0" borderId="15" xfId="0" applyNumberFormat="1" applyFill="1" applyBorder="1"/>
    <xf numFmtId="0" fontId="0" fillId="0" borderId="20" xfId="0" applyFill="1" applyBorder="1"/>
    <xf numFmtId="0" fontId="1" fillId="3" borderId="20" xfId="0" applyFont="1" applyFill="1" applyBorder="1"/>
    <xf numFmtId="0" fontId="1" fillId="7" borderId="20" xfId="0" applyFont="1" applyFill="1" applyBorder="1"/>
    <xf numFmtId="0" fontId="1" fillId="6" borderId="21" xfId="0" applyFont="1" applyFill="1" applyBorder="1"/>
    <xf numFmtId="0" fontId="0" fillId="0" borderId="22" xfId="0" applyFill="1" applyBorder="1"/>
    <xf numFmtId="0" fontId="1" fillId="0" borderId="23" xfId="0" applyFont="1" applyFill="1" applyBorder="1"/>
    <xf numFmtId="0" fontId="1" fillId="0" borderId="24" xfId="0" applyFont="1" applyFill="1" applyBorder="1"/>
    <xf numFmtId="0" fontId="0" fillId="3" borderId="24" xfId="0" applyFill="1" applyBorder="1"/>
    <xf numFmtId="0" fontId="0" fillId="7" borderId="24" xfId="0" applyFill="1" applyBorder="1"/>
    <xf numFmtId="0" fontId="0" fillId="6" borderId="25" xfId="0" applyFill="1" applyBorder="1"/>
    <xf numFmtId="11" fontId="0" fillId="0" borderId="0" xfId="0" applyNumberFormat="1"/>
    <xf numFmtId="0" fontId="0" fillId="6" borderId="24" xfId="0" applyFill="1" applyBorder="1"/>
    <xf numFmtId="0" fontId="1" fillId="6" borderId="20" xfId="0" applyFont="1" applyFill="1" applyBorder="1"/>
    <xf numFmtId="2" fontId="0" fillId="6" borderId="9" xfId="0" applyNumberFormat="1" applyFill="1" applyBorder="1"/>
    <xf numFmtId="164" fontId="0" fillId="6" borderId="9" xfId="0" applyNumberFormat="1" applyFill="1" applyBorder="1"/>
    <xf numFmtId="0" fontId="0" fillId="8" borderId="26" xfId="0" applyFill="1" applyBorder="1"/>
    <xf numFmtId="0" fontId="1" fillId="8" borderId="27" xfId="0" applyFont="1" applyFill="1" applyBorder="1"/>
    <xf numFmtId="2" fontId="0" fillId="8" borderId="27" xfId="0" applyNumberFormat="1" applyFill="1" applyBorder="1"/>
    <xf numFmtId="0" fontId="1" fillId="8" borderId="28" xfId="0" applyFont="1" applyFill="1" applyBorder="1"/>
    <xf numFmtId="2" fontId="0" fillId="8" borderId="29" xfId="0" applyNumberFormat="1" applyFill="1" applyBorder="1"/>
    <xf numFmtId="2" fontId="0" fillId="8" borderId="30" xfId="0" applyNumberFormat="1" applyFill="1" applyBorder="1"/>
    <xf numFmtId="164" fontId="0" fillId="8" borderId="29" xfId="0" applyNumberFormat="1" applyFill="1" applyBorder="1"/>
    <xf numFmtId="0" fontId="1" fillId="8" borderId="22" xfId="0" applyFont="1" applyFill="1" applyBorder="1"/>
    <xf numFmtId="0" fontId="0" fillId="8" borderId="5" xfId="0" applyFill="1" applyBorder="1"/>
    <xf numFmtId="2" fontId="0" fillId="8" borderId="5" xfId="0" applyNumberFormat="1" applyFill="1" applyBorder="1"/>
    <xf numFmtId="2" fontId="1" fillId="8" borderId="5" xfId="0" applyNumberFormat="1" applyFont="1" applyFill="1" applyBorder="1"/>
    <xf numFmtId="0" fontId="0" fillId="8" borderId="4" xfId="0" applyFill="1" applyBorder="1"/>
    <xf numFmtId="2" fontId="0" fillId="8" borderId="7" xfId="0" applyNumberFormat="1" applyFill="1" applyBorder="1"/>
    <xf numFmtId="2" fontId="1" fillId="8" borderId="6" xfId="0" applyNumberFormat="1" applyFont="1" applyFill="1" applyBorder="1"/>
    <xf numFmtId="2" fontId="0" fillId="8" borderId="6" xfId="0" applyNumberFormat="1" applyFill="1" applyBorder="1"/>
    <xf numFmtId="164" fontId="0" fillId="8" borderId="7" xfId="0" applyNumberFormat="1" applyFill="1" applyBorder="1"/>
    <xf numFmtId="0" fontId="0" fillId="8" borderId="22" xfId="0" applyFill="1" applyBorder="1"/>
    <xf numFmtId="0" fontId="1" fillId="8" borderId="5" xfId="0" applyFont="1" applyFill="1" applyBorder="1"/>
    <xf numFmtId="0" fontId="1" fillId="8" borderId="4" xfId="0" applyFont="1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0" fontId="0" fillId="0" borderId="36" xfId="0" applyBorder="1" applyAlignment="1">
      <alignment horizontal="right"/>
    </xf>
    <xf numFmtId="0" fontId="0" fillId="0" borderId="37" xfId="0" applyBorder="1"/>
    <xf numFmtId="11" fontId="0" fillId="0" borderId="31" xfId="0" applyNumberFormat="1" applyBorder="1"/>
    <xf numFmtId="164" fontId="0" fillId="7" borderId="33" xfId="0" applyNumberFormat="1" applyFill="1" applyBorder="1"/>
    <xf numFmtId="0" fontId="0" fillId="7" borderId="32" xfId="0" applyFill="1" applyBorder="1"/>
    <xf numFmtId="11" fontId="0" fillId="7" borderId="34" xfId="0" applyNumberFormat="1" applyFill="1" applyBorder="1"/>
    <xf numFmtId="164" fontId="0" fillId="6" borderId="18" xfId="0" applyNumberFormat="1" applyFill="1" applyBorder="1"/>
    <xf numFmtId="0" fontId="0" fillId="6" borderId="35" xfId="0" applyFill="1" applyBorder="1"/>
    <xf numFmtId="11" fontId="0" fillId="6" borderId="19" xfId="0" applyNumberFormat="1" applyFill="1" applyBorder="1"/>
    <xf numFmtId="164" fontId="0" fillId="6" borderId="42" xfId="0" applyNumberFormat="1" applyFill="1" applyBorder="1"/>
    <xf numFmtId="0" fontId="0" fillId="6" borderId="43" xfId="0" applyFill="1" applyBorder="1"/>
    <xf numFmtId="11" fontId="0" fillId="6" borderId="44" xfId="0" applyNumberFormat="1" applyFill="1" applyBorder="1"/>
    <xf numFmtId="164" fontId="0" fillId="3" borderId="38" xfId="0" applyNumberFormat="1" applyFill="1" applyBorder="1"/>
    <xf numFmtId="0" fontId="0" fillId="3" borderId="39" xfId="0" applyFill="1" applyBorder="1"/>
    <xf numFmtId="11" fontId="0" fillId="3" borderId="40" xfId="0" applyNumberFormat="1" applyFill="1" applyBorder="1"/>
    <xf numFmtId="164" fontId="0" fillId="3" borderId="16" xfId="0" applyNumberFormat="1" applyFill="1" applyBorder="1"/>
    <xf numFmtId="0" fontId="0" fillId="3" borderId="45" xfId="0" applyFill="1" applyBorder="1"/>
    <xf numFmtId="11" fontId="0" fillId="3" borderId="17" xfId="0" applyNumberFormat="1" applyFill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1" fillId="0" borderId="22" xfId="0" applyFont="1" applyBorder="1" applyAlignment="1">
      <alignment horizontal="left"/>
    </xf>
    <xf numFmtId="0" fontId="0" fillId="0" borderId="25" xfId="0" applyBorder="1"/>
    <xf numFmtId="0" fontId="1" fillId="0" borderId="7" xfId="0" applyFont="1" applyBorder="1" applyAlignment="1">
      <alignment horizontal="center"/>
    </xf>
    <xf numFmtId="0" fontId="0" fillId="0" borderId="14" xfId="0" applyBorder="1"/>
    <xf numFmtId="0" fontId="1" fillId="0" borderId="36" xfId="0" applyFont="1" applyBorder="1" applyAlignment="1">
      <alignment horizontal="right"/>
    </xf>
    <xf numFmtId="0" fontId="1" fillId="0" borderId="36" xfId="0" applyFont="1" applyFill="1" applyBorder="1" applyAlignment="1">
      <alignment horizontal="right"/>
    </xf>
    <xf numFmtId="0" fontId="0" fillId="0" borderId="36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835478</xdr:colOff>
      <xdr:row>19</xdr:row>
      <xdr:rowOff>22289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54EF73-4437-499E-A9BE-B067BEC9DF31}"/>
            </a:ext>
          </a:extLst>
        </xdr:cNvPr>
        <xdr:cNvSpPr txBox="1"/>
      </xdr:nvSpPr>
      <xdr:spPr>
        <a:xfrm>
          <a:off x="6919815" y="34888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CC40-AD5D-471D-A228-D79C782C8622}">
  <dimension ref="A1:V37"/>
  <sheetViews>
    <sheetView topLeftCell="G5" zoomScale="87" workbookViewId="0">
      <selection activeCell="M43" sqref="M43"/>
    </sheetView>
  </sheetViews>
  <sheetFormatPr defaultRowHeight="14.25" x14ac:dyDescent="0.45"/>
  <cols>
    <col min="2" max="2" width="4.06640625" bestFit="1" customWidth="1"/>
    <col min="3" max="3" width="6" bestFit="1" customWidth="1"/>
    <col min="4" max="4" width="4.06640625" bestFit="1" customWidth="1"/>
    <col min="5" max="5" width="8.59765625" style="3" bestFit="1" customWidth="1"/>
    <col min="6" max="6" width="8.796875" style="3" bestFit="1" customWidth="1"/>
    <col min="7" max="7" width="6" bestFit="1" customWidth="1"/>
    <col min="8" max="8" width="4.06640625" bestFit="1" customWidth="1"/>
    <col min="9" max="9" width="8.59765625" style="3" bestFit="1" customWidth="1"/>
    <col min="10" max="10" width="8.796875" style="3" bestFit="1" customWidth="1"/>
    <col min="11" max="11" width="9.06640625" bestFit="1" customWidth="1"/>
    <col min="12" max="12" width="12.19921875" bestFit="1" customWidth="1"/>
    <col min="13" max="14" width="12.796875" bestFit="1" customWidth="1"/>
    <col min="15" max="15" width="12.19921875" style="8" bestFit="1" customWidth="1"/>
    <col min="16" max="16" width="12" bestFit="1" customWidth="1"/>
    <col min="17" max="18" width="12.19921875" bestFit="1" customWidth="1"/>
    <col min="19" max="20" width="12.796875" bestFit="1" customWidth="1"/>
    <col min="21" max="22" width="12" bestFit="1" customWidth="1"/>
  </cols>
  <sheetData>
    <row r="1" spans="1:22" x14ac:dyDescent="0.45">
      <c r="A1" s="4"/>
      <c r="B1" s="4"/>
      <c r="C1" s="4" t="s">
        <v>8</v>
      </c>
      <c r="D1" s="4" t="s">
        <v>9</v>
      </c>
      <c r="E1" s="5" t="s">
        <v>10</v>
      </c>
      <c r="F1" s="5"/>
      <c r="G1" s="4" t="s">
        <v>8</v>
      </c>
      <c r="H1" s="4" t="s">
        <v>9</v>
      </c>
      <c r="I1" s="5" t="s">
        <v>10</v>
      </c>
      <c r="J1" s="5"/>
      <c r="K1" s="6" t="s">
        <v>12</v>
      </c>
      <c r="L1" s="6"/>
      <c r="M1" s="6"/>
      <c r="N1" s="6" t="s">
        <v>13</v>
      </c>
    </row>
    <row r="2" spans="1:22" x14ac:dyDescent="0.45">
      <c r="A2" s="4"/>
      <c r="B2" s="6" t="s">
        <v>0</v>
      </c>
      <c r="C2" s="4">
        <v>94</v>
      </c>
      <c r="D2" s="4">
        <v>10</v>
      </c>
      <c r="E2" s="5">
        <f>C2+D2/60</f>
        <v>94.166666666666671</v>
      </c>
      <c r="F2" s="5"/>
      <c r="G2" s="4"/>
      <c r="H2" s="4"/>
      <c r="I2" s="5"/>
      <c r="J2" s="5"/>
      <c r="K2" s="4"/>
      <c r="L2" s="4"/>
      <c r="M2" s="4"/>
      <c r="N2" s="4"/>
    </row>
    <row r="3" spans="1:22" x14ac:dyDescent="0.45">
      <c r="A3" s="4"/>
      <c r="B3" s="6"/>
      <c r="C3" s="4" t="s">
        <v>11</v>
      </c>
      <c r="D3" s="4"/>
      <c r="E3" s="5"/>
      <c r="F3" s="5"/>
      <c r="G3" s="4" t="s">
        <v>7</v>
      </c>
      <c r="H3" s="4"/>
      <c r="I3" s="5"/>
      <c r="J3" s="5"/>
      <c r="K3" s="4"/>
      <c r="L3" s="6" t="s">
        <v>14</v>
      </c>
      <c r="M3" s="4" t="s">
        <v>15</v>
      </c>
      <c r="N3" s="4"/>
    </row>
    <row r="4" spans="1:22" x14ac:dyDescent="0.45">
      <c r="A4" s="4"/>
      <c r="B4" s="4" t="s">
        <v>16</v>
      </c>
      <c r="C4" s="6"/>
      <c r="D4" s="6"/>
      <c r="E4" s="5">
        <f t="shared" ref="E4:E10" si="0">C4+D4/60</f>
        <v>0</v>
      </c>
      <c r="F4" s="5"/>
      <c r="G4" s="6">
        <v>117.5</v>
      </c>
      <c r="H4" s="6">
        <v>0</v>
      </c>
      <c r="I4" s="5">
        <f t="shared" ref="I4:I10" si="1">G4+H4/60</f>
        <v>117.5</v>
      </c>
      <c r="J4" s="5"/>
      <c r="K4" s="4">
        <v>447.1</v>
      </c>
      <c r="L4" s="4">
        <f>0.5*(E4+I4)</f>
        <v>58.75</v>
      </c>
      <c r="M4" s="4">
        <f>0.5*(E4-I4)</f>
        <v>-58.75</v>
      </c>
      <c r="N4" s="4"/>
    </row>
    <row r="5" spans="1:22" ht="14.65" thickBot="1" x14ac:dyDescent="0.5">
      <c r="A5" s="4"/>
      <c r="B5" s="4" t="s">
        <v>1</v>
      </c>
      <c r="C5" s="6"/>
      <c r="D5" s="6"/>
      <c r="E5" s="5">
        <f t="shared" si="0"/>
        <v>0</v>
      </c>
      <c r="F5" s="5"/>
      <c r="G5" s="6">
        <v>117.5</v>
      </c>
      <c r="H5" s="6">
        <v>25</v>
      </c>
      <c r="I5" s="5">
        <f t="shared" si="1"/>
        <v>117.91666666666667</v>
      </c>
      <c r="J5" s="5"/>
      <c r="K5" s="4">
        <v>471.3</v>
      </c>
      <c r="L5" s="4">
        <f t="shared" ref="L5:L10" si="2">0.5*(E5+I5)</f>
        <v>58.958333333333336</v>
      </c>
      <c r="M5" s="4">
        <f t="shared" ref="M5:M10" si="3">0.5*(E5-I5)</f>
        <v>-58.958333333333336</v>
      </c>
      <c r="N5" s="4"/>
    </row>
    <row r="6" spans="1:22" x14ac:dyDescent="0.45">
      <c r="A6" s="4"/>
      <c r="B6" s="4" t="s">
        <v>2</v>
      </c>
      <c r="C6" s="6"/>
      <c r="D6" s="6"/>
      <c r="E6" s="5">
        <f t="shared" si="0"/>
        <v>0</v>
      </c>
      <c r="F6" s="5"/>
      <c r="G6" s="6">
        <v>118</v>
      </c>
      <c r="H6" s="6">
        <v>14</v>
      </c>
      <c r="I6" s="5">
        <f t="shared" si="1"/>
        <v>118.23333333333333</v>
      </c>
      <c r="J6" s="5"/>
      <c r="K6" s="4">
        <v>492.1</v>
      </c>
      <c r="L6" s="4">
        <f t="shared" si="2"/>
        <v>59.116666666666667</v>
      </c>
      <c r="M6" s="4">
        <f t="shared" si="3"/>
        <v>-59.116666666666667</v>
      </c>
      <c r="N6" s="4"/>
      <c r="P6" s="79" t="s">
        <v>44</v>
      </c>
      <c r="Q6" t="s">
        <v>45</v>
      </c>
      <c r="R6" s="95" t="s">
        <v>51</v>
      </c>
      <c r="S6" s="96">
        <f>SUM(V16:V22,V29,V32,V33,V34)/SUM(U16:U22,U29,U32:U34)</f>
        <v>3.3797345920125879E-6</v>
      </c>
    </row>
    <row r="7" spans="1:22" ht="14.65" thickBot="1" x14ac:dyDescent="0.5">
      <c r="A7" s="7"/>
      <c r="B7" s="4" t="s">
        <v>17</v>
      </c>
      <c r="C7" s="6"/>
      <c r="D7" s="6"/>
      <c r="E7" s="5">
        <f t="shared" si="0"/>
        <v>0</v>
      </c>
      <c r="F7" s="5"/>
      <c r="G7" s="6">
        <v>118.5</v>
      </c>
      <c r="H7" s="6">
        <v>1</v>
      </c>
      <c r="I7" s="5">
        <f t="shared" si="1"/>
        <v>118.51666666666667</v>
      </c>
      <c r="J7" s="5"/>
      <c r="K7" s="4">
        <v>501.5</v>
      </c>
      <c r="L7" s="4">
        <f t="shared" si="2"/>
        <v>59.258333333333333</v>
      </c>
      <c r="M7" s="4">
        <f t="shared" si="3"/>
        <v>-59.258333333333333</v>
      </c>
      <c r="N7" s="4"/>
      <c r="P7" s="79" t="s">
        <v>43</v>
      </c>
      <c r="Q7" s="94" t="s">
        <v>42</v>
      </c>
      <c r="R7" s="97" t="s">
        <v>52</v>
      </c>
      <c r="S7" s="98">
        <f>10^-3/S6</f>
        <v>295.88122166850775</v>
      </c>
    </row>
    <row r="8" spans="1:22" x14ac:dyDescent="0.45">
      <c r="A8" s="4"/>
      <c r="B8" s="4" t="s">
        <v>3</v>
      </c>
      <c r="C8" s="6"/>
      <c r="D8" s="6"/>
      <c r="E8" s="5">
        <f t="shared" si="0"/>
        <v>0</v>
      </c>
      <c r="F8" s="5"/>
      <c r="G8" s="6">
        <v>120</v>
      </c>
      <c r="H8" s="6">
        <v>2</v>
      </c>
      <c r="I8" s="5">
        <f t="shared" si="1"/>
        <v>120.03333333333333</v>
      </c>
      <c r="J8" s="5"/>
      <c r="K8" s="4">
        <v>587.6</v>
      </c>
      <c r="L8" s="4">
        <f t="shared" si="2"/>
        <v>60.016666666666666</v>
      </c>
      <c r="M8" s="4">
        <f t="shared" si="3"/>
        <v>-60.016666666666666</v>
      </c>
      <c r="N8" s="4"/>
    </row>
    <row r="9" spans="1:22" x14ac:dyDescent="0.45">
      <c r="A9" s="4"/>
      <c r="B9" s="4" t="s">
        <v>4</v>
      </c>
      <c r="C9" s="6"/>
      <c r="D9" s="6"/>
      <c r="E9" s="5">
        <f t="shared" si="0"/>
        <v>0</v>
      </c>
      <c r="F9" s="5"/>
      <c r="G9" s="6">
        <v>121.5</v>
      </c>
      <c r="H9" s="6">
        <v>6</v>
      </c>
      <c r="I9" s="5">
        <f t="shared" si="1"/>
        <v>121.6</v>
      </c>
      <c r="J9" s="5"/>
      <c r="K9" s="4">
        <v>667.8</v>
      </c>
      <c r="L9" s="4">
        <f t="shared" si="2"/>
        <v>60.8</v>
      </c>
      <c r="M9" s="4">
        <f t="shared" si="3"/>
        <v>-60.8</v>
      </c>
      <c r="N9" s="4"/>
    </row>
    <row r="10" spans="1:22" x14ac:dyDescent="0.45">
      <c r="A10" s="4"/>
      <c r="B10" s="4" t="s">
        <v>5</v>
      </c>
      <c r="C10" s="4"/>
      <c r="D10" s="4"/>
      <c r="E10" s="5">
        <f t="shared" si="0"/>
        <v>0</v>
      </c>
      <c r="F10" s="5"/>
      <c r="G10" s="4">
        <v>122</v>
      </c>
      <c r="H10" s="4">
        <v>18</v>
      </c>
      <c r="I10" s="5">
        <f t="shared" si="1"/>
        <v>122.3</v>
      </c>
      <c r="J10" s="5"/>
      <c r="K10" s="4">
        <v>706.5</v>
      </c>
      <c r="L10" s="4">
        <f t="shared" si="2"/>
        <v>61.15</v>
      </c>
      <c r="M10" s="4">
        <f t="shared" si="3"/>
        <v>-61.15</v>
      </c>
      <c r="N10" s="4"/>
    </row>
    <row r="11" spans="1:22" x14ac:dyDescent="0.45">
      <c r="A11" s="4"/>
      <c r="B11" s="4"/>
      <c r="C11" s="4"/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</row>
    <row r="12" spans="1:22" ht="14.65" thickBot="1" x14ac:dyDescent="0.5">
      <c r="C12" s="1"/>
      <c r="D12" s="1"/>
    </row>
    <row r="13" spans="1:22" x14ac:dyDescent="0.45">
      <c r="B13" s="42"/>
      <c r="C13" s="43" t="s">
        <v>8</v>
      </c>
      <c r="D13" s="43" t="s">
        <v>9</v>
      </c>
      <c r="E13" s="44" t="s">
        <v>10</v>
      </c>
      <c r="F13" s="45" t="s">
        <v>21</v>
      </c>
      <c r="G13" s="43" t="s">
        <v>8</v>
      </c>
      <c r="H13" s="43" t="s">
        <v>9</v>
      </c>
      <c r="I13" s="44" t="s">
        <v>10</v>
      </c>
      <c r="J13" s="45" t="s">
        <v>21</v>
      </c>
      <c r="K13" s="46" t="s">
        <v>18</v>
      </c>
      <c r="L13" s="47"/>
      <c r="M13" s="47"/>
      <c r="N13" s="46"/>
      <c r="O13" s="46" t="s">
        <v>20</v>
      </c>
      <c r="P13" s="48" t="s">
        <v>13</v>
      </c>
      <c r="Q13" s="49"/>
      <c r="R13" s="79" t="s">
        <v>46</v>
      </c>
      <c r="S13" s="80">
        <f>SQRT(SUM(R16:R22)/7)</f>
        <v>4.4876373392787806E-2</v>
      </c>
    </row>
    <row r="14" spans="1:22" ht="14.65" thickBot="1" x14ac:dyDescent="0.5">
      <c r="B14" s="50" t="s">
        <v>0</v>
      </c>
      <c r="C14" s="9">
        <v>109</v>
      </c>
      <c r="D14" s="9">
        <v>13</v>
      </c>
      <c r="E14" s="10">
        <f>C14+D14/60</f>
        <v>109.21666666666667</v>
      </c>
      <c r="F14" s="13"/>
      <c r="G14" s="9"/>
      <c r="H14" s="9"/>
      <c r="I14" s="10"/>
      <c r="J14" s="13"/>
      <c r="K14" s="24"/>
      <c r="L14" s="9"/>
      <c r="M14" s="9"/>
      <c r="N14" s="24"/>
      <c r="O14" s="24"/>
      <c r="P14" s="27"/>
      <c r="Q14" s="51"/>
      <c r="R14" s="93" t="s">
        <v>47</v>
      </c>
    </row>
    <row r="15" spans="1:22" ht="14.65" thickTop="1" x14ac:dyDescent="0.45">
      <c r="B15" s="52"/>
      <c r="C15" s="30" t="s">
        <v>11</v>
      </c>
      <c r="D15" s="30"/>
      <c r="E15" s="31"/>
      <c r="F15" s="14" t="s">
        <v>22</v>
      </c>
      <c r="G15" s="30" t="s">
        <v>7</v>
      </c>
      <c r="H15" s="30"/>
      <c r="I15" s="31"/>
      <c r="J15" s="12" t="s">
        <v>23</v>
      </c>
      <c r="K15" s="25"/>
      <c r="L15" s="19" t="s">
        <v>14</v>
      </c>
      <c r="M15" s="25" t="s">
        <v>15</v>
      </c>
      <c r="N15" s="25"/>
      <c r="O15" s="25"/>
      <c r="P15" s="26"/>
      <c r="Q15" s="51"/>
      <c r="R15" s="1" t="s">
        <v>40</v>
      </c>
      <c r="S15" s="1" t="s">
        <v>70</v>
      </c>
      <c r="T15" t="s">
        <v>48</v>
      </c>
      <c r="U15" t="s">
        <v>49</v>
      </c>
      <c r="V15" t="s">
        <v>50</v>
      </c>
    </row>
    <row r="16" spans="1:22" x14ac:dyDescent="0.45">
      <c r="B16" s="53" t="s">
        <v>6</v>
      </c>
      <c r="C16" s="32">
        <v>116.5</v>
      </c>
      <c r="D16" s="32">
        <v>15</v>
      </c>
      <c r="E16" s="33">
        <f t="shared" ref="E16:E22" si="4">C16+D16/60</f>
        <v>116.75</v>
      </c>
      <c r="F16" s="15">
        <f>E16-E14</f>
        <v>7.5333333333333314</v>
      </c>
      <c r="G16" s="32">
        <v>101.5</v>
      </c>
      <c r="H16" s="32">
        <v>3</v>
      </c>
      <c r="I16" s="33">
        <f t="shared" ref="I16:I22" si="5">G16+H16/60</f>
        <v>101.55</v>
      </c>
      <c r="J16" s="15">
        <f>E14-I16</f>
        <v>7.6666666666666714</v>
      </c>
      <c r="K16" s="20">
        <v>4471.68</v>
      </c>
      <c r="L16" s="20">
        <f t="shared" ref="L16:L22" si="6">0.5*(F16+J16)</f>
        <v>7.6000000000000014</v>
      </c>
      <c r="M16" s="20">
        <f t="shared" ref="M16:M22" si="7">0.5*(F16-J16)</f>
        <v>-6.6666666666669983E-2</v>
      </c>
      <c r="N16" s="20">
        <f t="shared" ref="N16:N22" si="8">SIN(RADIANS(M16))/(COS(RADIANS(M16))-COS(RADIANS(L16)))</f>
        <v>-0.13246599965367478</v>
      </c>
      <c r="O16" s="20">
        <f t="shared" ref="O16:O22" si="9">SIN(RADIANS(L16))/SQRT((1+(N16^2)))</f>
        <v>0.13111107388362636</v>
      </c>
      <c r="P16" s="20">
        <f>((K16)*10^-10)/O16</f>
        <v>3.4106043582322E-6</v>
      </c>
      <c r="Q16" s="54">
        <f t="shared" ref="Q16:Q22" si="10">10^-3/P16</f>
        <v>293.20316722937764</v>
      </c>
      <c r="R16" s="99">
        <f>M16^2</f>
        <v>4.4444444444448868E-3</v>
      </c>
      <c r="S16" s="99">
        <f>-K16*10^-10*_xlfn.COT(RADIANS(L16))*_xlfn.CSC(RADIANS(L16))</f>
        <v>-2.5339934578733876E-5</v>
      </c>
      <c r="T16" s="99">
        <f>S13*S16</f>
        <v>-1.1371643659040767E-6</v>
      </c>
      <c r="U16" s="99">
        <f>1/(T16^2)</f>
        <v>773309802910.49182</v>
      </c>
      <c r="V16" s="99">
        <f>U16*P16</f>
        <v>2637453.7840702073</v>
      </c>
    </row>
    <row r="17" spans="1:22" x14ac:dyDescent="0.45">
      <c r="B17" s="55" t="s">
        <v>19</v>
      </c>
      <c r="C17" s="34">
        <v>117</v>
      </c>
      <c r="D17" s="34">
        <v>12</v>
      </c>
      <c r="E17" s="35">
        <f t="shared" si="4"/>
        <v>117.2</v>
      </c>
      <c r="F17" s="29">
        <f>E17-E14</f>
        <v>7.9833333333333343</v>
      </c>
      <c r="G17" s="34">
        <v>101</v>
      </c>
      <c r="H17" s="34">
        <v>9</v>
      </c>
      <c r="I17" s="35">
        <f t="shared" si="5"/>
        <v>101.15</v>
      </c>
      <c r="J17" s="29">
        <f>E14-I17</f>
        <v>8.0666666666666629</v>
      </c>
      <c r="K17" s="28">
        <v>4685.7</v>
      </c>
      <c r="L17" s="28">
        <f t="shared" si="6"/>
        <v>8.0249999999999986</v>
      </c>
      <c r="M17" s="28">
        <f t="shared" si="7"/>
        <v>-4.1666666666664298E-2</v>
      </c>
      <c r="N17" s="28">
        <f t="shared" si="8"/>
        <v>-7.4263103028766847E-2</v>
      </c>
      <c r="O17" s="28">
        <f t="shared" si="9"/>
        <v>0.13922179681540528</v>
      </c>
      <c r="P17" s="28">
        <f t="shared" ref="P17:P22" si="11">((K17)*10^-10)/O17</f>
        <v>3.3656367804337334E-6</v>
      </c>
      <c r="Q17" s="56">
        <f t="shared" si="10"/>
        <v>297.12059418103013</v>
      </c>
      <c r="R17" s="100">
        <f t="shared" ref="R17:R34" si="12">M17^2</f>
        <v>1.7361111111109137E-3</v>
      </c>
      <c r="S17" s="100">
        <f t="shared" ref="S17:S22" si="13">-K17*10^-10*_xlfn.COT(RADIANS(L17))*_xlfn.CSC(RADIANS(L17))</f>
        <v>-2.3806609840750658E-5</v>
      </c>
      <c r="T17" s="100">
        <f>S13*S17</f>
        <v>-1.0683543124299432E-6</v>
      </c>
      <c r="U17" s="100">
        <f t="shared" ref="U17:U34" si="14">1/(T17^2)</f>
        <v>876131681966.60315</v>
      </c>
      <c r="V17" s="100">
        <f t="shared" ref="V17:V22" si="15">U17*P17</f>
        <v>2948741.0133300698</v>
      </c>
    </row>
    <row r="18" spans="1:22" x14ac:dyDescent="0.45">
      <c r="B18" s="57" t="s">
        <v>31</v>
      </c>
      <c r="C18" s="36">
        <v>117.5</v>
      </c>
      <c r="D18" s="36">
        <v>7</v>
      </c>
      <c r="E18" s="37">
        <f t="shared" si="4"/>
        <v>117.61666666666666</v>
      </c>
      <c r="F18" s="16">
        <f>E18-E14</f>
        <v>8.3999999999999915</v>
      </c>
      <c r="G18" s="36">
        <v>100.5</v>
      </c>
      <c r="H18" s="36">
        <v>25</v>
      </c>
      <c r="I18" s="37">
        <f t="shared" si="5"/>
        <v>100.91666666666667</v>
      </c>
      <c r="J18" s="16">
        <f>E14-I18</f>
        <v>8.2999999999999972</v>
      </c>
      <c r="K18" s="21">
        <v>4921.9309999999996</v>
      </c>
      <c r="L18" s="21">
        <f t="shared" si="6"/>
        <v>8.3499999999999943</v>
      </c>
      <c r="M18" s="21">
        <f t="shared" si="7"/>
        <v>4.9999999999997158E-2</v>
      </c>
      <c r="N18" s="21">
        <f t="shared" si="8"/>
        <v>8.2325431610356825E-2</v>
      </c>
      <c r="O18" s="21">
        <f t="shared" si="9"/>
        <v>0.14473004602360928</v>
      </c>
      <c r="P18" s="21">
        <f t="shared" si="11"/>
        <v>3.4007665548569667E-6</v>
      </c>
      <c r="Q18" s="58">
        <f t="shared" si="10"/>
        <v>294.05135103196142</v>
      </c>
      <c r="R18" s="101">
        <f t="shared" si="12"/>
        <v>2.499999999999716E-3</v>
      </c>
      <c r="S18" s="101">
        <f t="shared" si="13"/>
        <v>-2.3091720319592859E-5</v>
      </c>
      <c r="T18" s="101">
        <f>S13*S18</f>
        <v>-1.0362726633438746E-6</v>
      </c>
      <c r="U18" s="101">
        <f t="shared" si="14"/>
        <v>931219188946.96558</v>
      </c>
      <c r="V18" s="101">
        <f t="shared" si="15"/>
        <v>3166859.073011871</v>
      </c>
    </row>
    <row r="19" spans="1:22" x14ac:dyDescent="0.45">
      <c r="A19" s="2"/>
      <c r="B19" s="57" t="s">
        <v>31</v>
      </c>
      <c r="C19" s="36">
        <v>117.5</v>
      </c>
      <c r="D19" s="36">
        <v>18</v>
      </c>
      <c r="E19" s="37">
        <f t="shared" si="4"/>
        <v>117.8</v>
      </c>
      <c r="F19" s="16">
        <f>E19-E14</f>
        <v>8.5833333333333286</v>
      </c>
      <c r="G19" s="36">
        <v>100.5</v>
      </c>
      <c r="H19" s="36">
        <v>11</v>
      </c>
      <c r="I19" s="37">
        <f t="shared" si="5"/>
        <v>100.68333333333334</v>
      </c>
      <c r="J19" s="16">
        <f>E14-I19</f>
        <v>8.5333333333333314</v>
      </c>
      <c r="K19" s="21">
        <v>5015.6779999999999</v>
      </c>
      <c r="L19" s="21">
        <f t="shared" si="6"/>
        <v>8.55833333333333</v>
      </c>
      <c r="M19" s="21">
        <f t="shared" si="7"/>
        <v>2.4999999999998579E-2</v>
      </c>
      <c r="N19" s="21">
        <f t="shared" si="8"/>
        <v>3.9185516815238741E-2</v>
      </c>
      <c r="O19" s="21">
        <f t="shared" si="9"/>
        <v>0.14870213740962476</v>
      </c>
      <c r="P19" s="21">
        <f t="shared" si="11"/>
        <v>3.372969674392427E-6</v>
      </c>
      <c r="Q19" s="58">
        <f t="shared" si="10"/>
        <v>296.47464891012697</v>
      </c>
      <c r="R19" s="101">
        <f t="shared" si="12"/>
        <v>6.24999999999929E-4</v>
      </c>
      <c r="S19" s="101">
        <f t="shared" si="13"/>
        <v>-2.2395760890397921E-5</v>
      </c>
      <c r="T19" s="101">
        <f>S13*S19</f>
        <v>-1.0050405281330911E-6</v>
      </c>
      <c r="U19" s="101">
        <f t="shared" si="14"/>
        <v>989994655456.29199</v>
      </c>
      <c r="V19" s="101">
        <f t="shared" si="15"/>
        <v>3339221.950664652</v>
      </c>
    </row>
    <row r="20" spans="1:22" x14ac:dyDescent="0.45">
      <c r="B20" s="59" t="s">
        <v>24</v>
      </c>
      <c r="C20" s="38">
        <v>119</v>
      </c>
      <c r="D20" s="38">
        <v>18</v>
      </c>
      <c r="E20" s="39">
        <f t="shared" si="4"/>
        <v>119.3</v>
      </c>
      <c r="F20" s="17">
        <f>E20-E14</f>
        <v>10.083333333333329</v>
      </c>
      <c r="G20" s="38">
        <v>99</v>
      </c>
      <c r="H20" s="38">
        <v>12</v>
      </c>
      <c r="I20" s="39">
        <f t="shared" si="5"/>
        <v>99.2</v>
      </c>
      <c r="J20" s="17">
        <f>E14-I20</f>
        <v>10.016666666666666</v>
      </c>
      <c r="K20" s="22">
        <v>5875.62</v>
      </c>
      <c r="L20" s="22">
        <f t="shared" si="6"/>
        <v>10.049999999999997</v>
      </c>
      <c r="M20" s="22">
        <f t="shared" si="7"/>
        <v>3.3333333333331439E-2</v>
      </c>
      <c r="N20" s="22">
        <f t="shared" si="8"/>
        <v>3.791558840451157E-2</v>
      </c>
      <c r="O20" s="22">
        <f t="shared" si="9"/>
        <v>0.17438221811620266</v>
      </c>
      <c r="P20" s="22">
        <f t="shared" si="11"/>
        <v>3.3693917094715913E-6</v>
      </c>
      <c r="Q20" s="60">
        <f t="shared" si="10"/>
        <v>296.78947603181052</v>
      </c>
      <c r="R20" s="102">
        <f t="shared" si="12"/>
        <v>1.1111111111109847E-3</v>
      </c>
      <c r="S20" s="102">
        <f t="shared" si="13"/>
        <v>-1.8998087221505087E-5</v>
      </c>
      <c r="T20" s="102">
        <f>S13*S20</f>
        <v>-8.5256525590101294E-7</v>
      </c>
      <c r="U20" s="102">
        <f t="shared" si="14"/>
        <v>1375766530461.0825</v>
      </c>
      <c r="V20" s="102">
        <f t="shared" si="15"/>
        <v>4635496.3419040665</v>
      </c>
    </row>
    <row r="21" spans="1:22" x14ac:dyDescent="0.45">
      <c r="B21" s="61" t="s">
        <v>29</v>
      </c>
      <c r="C21" s="40">
        <v>120.5</v>
      </c>
      <c r="D21" s="40">
        <v>9</v>
      </c>
      <c r="E21" s="41">
        <f t="shared" si="4"/>
        <v>120.65</v>
      </c>
      <c r="F21" s="18">
        <f>E21-E14</f>
        <v>11.433333333333337</v>
      </c>
      <c r="G21" s="40">
        <v>97.5</v>
      </c>
      <c r="H21" s="40">
        <v>24</v>
      </c>
      <c r="I21" s="41">
        <f t="shared" si="5"/>
        <v>97.9</v>
      </c>
      <c r="J21" s="18">
        <f>E14-I21</f>
        <v>11.316666666666663</v>
      </c>
      <c r="K21" s="23">
        <v>6678.15</v>
      </c>
      <c r="L21" s="23">
        <f t="shared" si="6"/>
        <v>11.375</v>
      </c>
      <c r="M21" s="23">
        <f t="shared" si="7"/>
        <v>5.8333333333337123E-2</v>
      </c>
      <c r="N21" s="23">
        <f t="shared" si="8"/>
        <v>5.1832830736710904E-2</v>
      </c>
      <c r="O21" s="23">
        <f t="shared" si="9"/>
        <v>0.19696518755638764</v>
      </c>
      <c r="P21" s="23">
        <f t="shared" si="11"/>
        <v>3.3905230070609119E-6</v>
      </c>
      <c r="Q21" s="62">
        <f t="shared" si="10"/>
        <v>294.93974761930724</v>
      </c>
      <c r="R21" s="103">
        <f t="shared" si="12"/>
        <v>3.4027777777782199E-3</v>
      </c>
      <c r="S21" s="103">
        <f t="shared" si="13"/>
        <v>-1.6830475687041291E-5</v>
      </c>
      <c r="T21" s="103">
        <f>S13*S21</f>
        <v>-7.552907113099019E-7</v>
      </c>
      <c r="U21" s="103">
        <f t="shared" si="14"/>
        <v>1752958814740.9114</v>
      </c>
      <c r="V21" s="103">
        <f t="shared" si="15"/>
        <v>5943447.1918092873</v>
      </c>
    </row>
    <row r="22" spans="1:22" ht="14.65" thickBot="1" x14ac:dyDescent="0.5">
      <c r="B22" s="63" t="s">
        <v>29</v>
      </c>
      <c r="C22" s="64">
        <v>121</v>
      </c>
      <c r="D22" s="64">
        <v>19</v>
      </c>
      <c r="E22" s="65">
        <f t="shared" si="4"/>
        <v>121.31666666666666</v>
      </c>
      <c r="F22" s="65">
        <f>E22-E14</f>
        <v>12.099999999999994</v>
      </c>
      <c r="G22" s="64">
        <v>97</v>
      </c>
      <c r="H22" s="64">
        <v>9</v>
      </c>
      <c r="I22" s="65">
        <f t="shared" si="5"/>
        <v>97.15</v>
      </c>
      <c r="J22" s="66">
        <f>E14-I22</f>
        <v>12.066666666666663</v>
      </c>
      <c r="K22" s="67">
        <v>7065.19</v>
      </c>
      <c r="L22" s="67">
        <f t="shared" si="6"/>
        <v>12.083333333333329</v>
      </c>
      <c r="M22" s="67">
        <f t="shared" si="7"/>
        <v>1.6666666666665719E-2</v>
      </c>
      <c r="N22" s="67">
        <f t="shared" si="8"/>
        <v>1.3129220282504009E-2</v>
      </c>
      <c r="O22" s="67">
        <f t="shared" si="9"/>
        <v>0.20931608862291798</v>
      </c>
      <c r="P22" s="67">
        <f t="shared" si="11"/>
        <v>3.3753688244805251E-6</v>
      </c>
      <c r="Q22" s="68">
        <f t="shared" si="10"/>
        <v>296.26392018178984</v>
      </c>
      <c r="R22" s="103">
        <f t="shared" si="12"/>
        <v>2.7777777777774617E-4</v>
      </c>
      <c r="S22" s="103">
        <f t="shared" si="13"/>
        <v>-1.5765705859596469E-5</v>
      </c>
      <c r="T22" s="103">
        <f>S13*S22</f>
        <v>-7.0750770295611384E-7</v>
      </c>
      <c r="U22" s="103">
        <f t="shared" si="14"/>
        <v>1997733971386.1418</v>
      </c>
      <c r="V22" s="103">
        <f t="shared" si="15"/>
        <v>6743088.9666224523</v>
      </c>
    </row>
    <row r="23" spans="1:22" x14ac:dyDescent="0.45">
      <c r="T23" s="1"/>
    </row>
    <row r="24" spans="1:22" x14ac:dyDescent="0.45">
      <c r="E24" s="3" t="s">
        <v>25</v>
      </c>
      <c r="F24" s="3" t="s">
        <v>26</v>
      </c>
    </row>
    <row r="25" spans="1:22" ht="14.65" thickBot="1" x14ac:dyDescent="0.5"/>
    <row r="26" spans="1:22" x14ac:dyDescent="0.45">
      <c r="B26" s="42"/>
      <c r="C26" s="43" t="s">
        <v>8</v>
      </c>
      <c r="D26" s="43" t="s">
        <v>9</v>
      </c>
      <c r="E26" s="44" t="s">
        <v>10</v>
      </c>
      <c r="F26" s="45" t="s">
        <v>21</v>
      </c>
      <c r="G26" s="43" t="s">
        <v>8</v>
      </c>
      <c r="H26" s="43" t="s">
        <v>9</v>
      </c>
      <c r="I26" s="44" t="s">
        <v>10</v>
      </c>
      <c r="J26" s="45" t="s">
        <v>21</v>
      </c>
      <c r="K26" s="46" t="s">
        <v>18</v>
      </c>
      <c r="L26" s="47"/>
      <c r="M26" s="47"/>
      <c r="N26" s="46"/>
      <c r="O26" s="46" t="s">
        <v>20</v>
      </c>
      <c r="P26" s="48" t="s">
        <v>13</v>
      </c>
      <c r="Q26" s="49"/>
      <c r="R26" s="79" t="s">
        <v>39</v>
      </c>
      <c r="S26" s="80">
        <f>SQRT(SUM(R29:R35)/4)</f>
        <v>9.8513253479472082E-2</v>
      </c>
    </row>
    <row r="27" spans="1:22" ht="14.65" thickBot="1" x14ac:dyDescent="0.5">
      <c r="B27" s="50" t="s">
        <v>0</v>
      </c>
      <c r="C27" s="9">
        <v>109</v>
      </c>
      <c r="D27" s="9">
        <v>13</v>
      </c>
      <c r="E27" s="10">
        <f>C27+D27/60</f>
        <v>109.21666666666667</v>
      </c>
      <c r="F27" s="13"/>
      <c r="G27" s="9"/>
      <c r="H27" s="9"/>
      <c r="I27" s="10"/>
      <c r="J27" s="13"/>
      <c r="K27" s="24"/>
      <c r="L27" s="9"/>
      <c r="M27" s="9"/>
      <c r="N27" s="24"/>
      <c r="O27" s="24"/>
      <c r="P27" s="27"/>
      <c r="Q27" s="51"/>
    </row>
    <row r="28" spans="1:22" ht="14.65" thickTop="1" x14ac:dyDescent="0.45">
      <c r="B28" s="52"/>
      <c r="C28" s="30" t="s">
        <v>32</v>
      </c>
      <c r="D28" s="30"/>
      <c r="E28" s="31"/>
      <c r="F28" s="14" t="s">
        <v>22</v>
      </c>
      <c r="G28" s="30" t="s">
        <v>33</v>
      </c>
      <c r="H28" s="30"/>
      <c r="I28" s="31"/>
      <c r="J28" s="12" t="s">
        <v>23</v>
      </c>
      <c r="K28" s="25"/>
      <c r="L28" s="19" t="s">
        <v>14</v>
      </c>
      <c r="M28" s="25" t="s">
        <v>15</v>
      </c>
      <c r="N28" s="25"/>
      <c r="O28" s="25"/>
      <c r="P28" s="26"/>
      <c r="Q28" s="51"/>
      <c r="R28" s="1" t="s">
        <v>40</v>
      </c>
      <c r="S28" s="1" t="s">
        <v>41</v>
      </c>
      <c r="T28" t="s">
        <v>48</v>
      </c>
      <c r="U28" t="s">
        <v>49</v>
      </c>
      <c r="V28" t="s">
        <v>50</v>
      </c>
    </row>
    <row r="29" spans="1:22" x14ac:dyDescent="0.45">
      <c r="B29" s="53" t="s">
        <v>6</v>
      </c>
      <c r="C29" s="32">
        <v>124.5</v>
      </c>
      <c r="D29" s="32">
        <v>13</v>
      </c>
      <c r="E29" s="33">
        <f t="shared" ref="E29:E35" si="16">C29+D29/60</f>
        <v>124.71666666666667</v>
      </c>
      <c r="F29" s="15">
        <f>E29-E27</f>
        <v>15.5</v>
      </c>
      <c r="G29" s="32">
        <v>93.5</v>
      </c>
      <c r="H29" s="32">
        <v>26</v>
      </c>
      <c r="I29" s="33">
        <f t="shared" ref="I29:I34" si="17">G29+H29/60</f>
        <v>93.933333333333337</v>
      </c>
      <c r="J29" s="15">
        <f>E27-I29</f>
        <v>15.283333333333331</v>
      </c>
      <c r="K29" s="20">
        <v>4471.68</v>
      </c>
      <c r="L29" s="20">
        <f t="shared" ref="L29:L35" si="18">0.5*(F29+J29)</f>
        <v>15.391666666666666</v>
      </c>
      <c r="M29" s="20">
        <f t="shared" ref="M29:M35" si="19">0.5*(F29-J29)</f>
        <v>0.10833333333333428</v>
      </c>
      <c r="N29" s="20">
        <f t="shared" ref="N29:N35" si="20">SIN(RADIANS(M29))/(COS(RADIANS(M29))-COS(RADIANS(L29)))</f>
        <v>5.272033112831781E-2</v>
      </c>
      <c r="O29" s="20">
        <f t="shared" ref="O29:O35" si="21">SIN(RADIANS(L29))/SQRT((1+(N29^2)))</f>
        <v>0.26504780692371915</v>
      </c>
      <c r="P29" s="20">
        <f>(2*(K29)*10^-10)/(O29)</f>
        <v>3.3742441047904627E-6</v>
      </c>
      <c r="Q29" s="54">
        <f t="shared" ref="Q29:Q35" si="22">10^-3/P29</f>
        <v>296.36267233312662</v>
      </c>
      <c r="R29" s="99">
        <f t="shared" si="12"/>
        <v>1.1736111111111317E-2</v>
      </c>
      <c r="S29" s="99">
        <f>-K29*10^-10*2*_xlfn.COT(RADIANS(L29))*_xlfn.CSC(RADIANS(L29))</f>
        <v>-1.2240080411368044E-5</v>
      </c>
      <c r="T29" s="99">
        <f>S26*S29</f>
        <v>-1.205810144174221E-6</v>
      </c>
      <c r="U29" s="99">
        <f t="shared" si="14"/>
        <v>687768266517.20654</v>
      </c>
      <c r="V29" s="99">
        <f>U29*P29</f>
        <v>2320698.0187576399</v>
      </c>
    </row>
    <row r="30" spans="1:22" x14ac:dyDescent="0.45">
      <c r="B30" s="55" t="s">
        <v>34</v>
      </c>
      <c r="C30" s="34"/>
      <c r="D30" s="34"/>
      <c r="E30" s="35">
        <f t="shared" si="16"/>
        <v>0</v>
      </c>
      <c r="F30" s="29">
        <f>E30-E27</f>
        <v>-109.21666666666667</v>
      </c>
      <c r="G30" s="34"/>
      <c r="H30" s="34"/>
      <c r="I30" s="35">
        <f t="shared" si="17"/>
        <v>0</v>
      </c>
      <c r="J30" s="29">
        <f>E27-I30</f>
        <v>109.21666666666667</v>
      </c>
      <c r="K30" s="28">
        <v>4685.7</v>
      </c>
      <c r="L30" s="28">
        <f t="shared" si="18"/>
        <v>0</v>
      </c>
      <c r="M30" s="28">
        <f t="shared" si="19"/>
        <v>-109.21666666666667</v>
      </c>
      <c r="N30" s="28">
        <f t="shared" si="20"/>
        <v>0.71044413253009575</v>
      </c>
      <c r="O30" s="28">
        <f t="shared" si="21"/>
        <v>0</v>
      </c>
      <c r="P30" s="28" t="e">
        <f t="shared" ref="P30:P35" si="23">(2*(K30)*10^-10)/(O30)</f>
        <v>#DIV/0!</v>
      </c>
      <c r="Q30" s="56" t="e">
        <f t="shared" si="22"/>
        <v>#DIV/0!</v>
      </c>
    </row>
    <row r="31" spans="1:22" x14ac:dyDescent="0.45">
      <c r="B31" s="57" t="s">
        <v>35</v>
      </c>
      <c r="C31" s="36"/>
      <c r="D31" s="36"/>
      <c r="E31" s="37">
        <f t="shared" si="16"/>
        <v>0</v>
      </c>
      <c r="F31" s="16">
        <f>E31-E27</f>
        <v>-109.21666666666667</v>
      </c>
      <c r="G31" s="36"/>
      <c r="H31" s="36"/>
      <c r="I31" s="37">
        <f t="shared" si="17"/>
        <v>0</v>
      </c>
      <c r="J31" s="16">
        <f>E27-I31</f>
        <v>109.21666666666667</v>
      </c>
      <c r="K31" s="21">
        <v>4921.9309999999996</v>
      </c>
      <c r="L31" s="21">
        <f t="shared" si="18"/>
        <v>0</v>
      </c>
      <c r="M31" s="21">
        <f t="shared" si="19"/>
        <v>-109.21666666666667</v>
      </c>
      <c r="N31" s="21">
        <f t="shared" si="20"/>
        <v>0.71044413253009575</v>
      </c>
      <c r="O31" s="21">
        <f t="shared" si="21"/>
        <v>0</v>
      </c>
      <c r="P31" s="21" t="e">
        <f t="shared" si="23"/>
        <v>#DIV/0!</v>
      </c>
      <c r="Q31" s="58" t="e">
        <f t="shared" si="22"/>
        <v>#DIV/0!</v>
      </c>
    </row>
    <row r="32" spans="1:22" x14ac:dyDescent="0.45">
      <c r="B32" s="57" t="s">
        <v>31</v>
      </c>
      <c r="C32" s="36">
        <v>126.5</v>
      </c>
      <c r="D32" s="36">
        <v>7</v>
      </c>
      <c r="E32" s="37">
        <f t="shared" si="16"/>
        <v>126.61666666666666</v>
      </c>
      <c r="F32" s="16">
        <f>E32-E27</f>
        <v>17.399999999999991</v>
      </c>
      <c r="G32" s="36">
        <v>91.5</v>
      </c>
      <c r="H32" s="36">
        <v>29</v>
      </c>
      <c r="I32" s="37">
        <f t="shared" si="17"/>
        <v>91.983333333333334</v>
      </c>
      <c r="J32" s="16">
        <f>E27-I32</f>
        <v>17.233333333333334</v>
      </c>
      <c r="K32" s="21">
        <v>5015.6779999999999</v>
      </c>
      <c r="L32" s="21">
        <f t="shared" si="18"/>
        <v>17.316666666666663</v>
      </c>
      <c r="M32" s="21">
        <f t="shared" si="19"/>
        <v>8.3333333333328596E-2</v>
      </c>
      <c r="N32" s="21">
        <f t="shared" si="20"/>
        <v>3.208936801926178E-2</v>
      </c>
      <c r="O32" s="21">
        <f t="shared" si="21"/>
        <v>0.29749945786976772</v>
      </c>
      <c r="P32" s="21">
        <f t="shared" si="23"/>
        <v>3.3718905142984461E-6</v>
      </c>
      <c r="Q32" s="58">
        <f t="shared" si="22"/>
        <v>296.56953443758522</v>
      </c>
      <c r="R32" s="101">
        <f t="shared" si="12"/>
        <v>6.9444444444436548E-3</v>
      </c>
      <c r="S32" s="101">
        <f t="shared" ref="S32:S34" si="24">-K32*10^-10*2*_xlfn.COT(RADIANS(L32))*_xlfn.CSC(RADIANS(L32))</f>
        <v>-1.0809249032037802E-5</v>
      </c>
      <c r="T32" s="101">
        <f>S26*S32</f>
        <v>-1.0648542898158783E-6</v>
      </c>
      <c r="U32" s="101">
        <f t="shared" si="14"/>
        <v>881900584377.49731</v>
      </c>
      <c r="V32" s="101">
        <f t="shared" ref="V32:V34" si="25">U32*P32</f>
        <v>2973672.2150167394</v>
      </c>
    </row>
    <row r="33" spans="2:22" x14ac:dyDescent="0.45">
      <c r="B33" s="59" t="s">
        <v>24</v>
      </c>
      <c r="C33" s="38">
        <v>129.5</v>
      </c>
      <c r="D33" s="38">
        <v>12</v>
      </c>
      <c r="E33" s="39">
        <f t="shared" si="16"/>
        <v>129.69999999999999</v>
      </c>
      <c r="F33" s="17">
        <f>E33-E27</f>
        <v>20.48333333333332</v>
      </c>
      <c r="G33" s="38">
        <v>88.5</v>
      </c>
      <c r="H33" s="38">
        <v>27</v>
      </c>
      <c r="I33" s="39">
        <f t="shared" si="17"/>
        <v>88.95</v>
      </c>
      <c r="J33" s="17">
        <f>E27-I33</f>
        <v>20.266666666666666</v>
      </c>
      <c r="K33" s="22">
        <v>5875.62</v>
      </c>
      <c r="L33" s="22">
        <f t="shared" si="18"/>
        <v>20.374999999999993</v>
      </c>
      <c r="M33" s="22">
        <f t="shared" si="19"/>
        <v>0.10833333333332718</v>
      </c>
      <c r="N33" s="22">
        <f t="shared" si="20"/>
        <v>3.022130317720682E-2</v>
      </c>
      <c r="O33" s="22">
        <f t="shared" si="21"/>
        <v>0.34800416317689425</v>
      </c>
      <c r="P33" s="22">
        <f t="shared" si="23"/>
        <v>3.3767527068423944E-6</v>
      </c>
      <c r="Q33" s="60">
        <f t="shared" si="22"/>
        <v>296.14250340976292</v>
      </c>
      <c r="R33" s="102">
        <f t="shared" si="12"/>
        <v>1.1736111111109776E-2</v>
      </c>
      <c r="S33" s="102">
        <f t="shared" si="24"/>
        <v>-9.0878059127975644E-6</v>
      </c>
      <c r="T33" s="102">
        <f>S26*S33</f>
        <v>-8.9526932745967159E-7</v>
      </c>
      <c r="U33" s="102">
        <f t="shared" si="14"/>
        <v>1247649477214.6646</v>
      </c>
      <c r="V33" s="102">
        <f t="shared" si="25"/>
        <v>4213003.749375117</v>
      </c>
    </row>
    <row r="34" spans="2:22" x14ac:dyDescent="0.45">
      <c r="B34" s="61" t="s">
        <v>29</v>
      </c>
      <c r="C34" s="40">
        <v>132.5</v>
      </c>
      <c r="D34" s="40">
        <v>7</v>
      </c>
      <c r="E34" s="41">
        <f t="shared" si="16"/>
        <v>132.61666666666667</v>
      </c>
      <c r="F34" s="18">
        <f>E34-E27</f>
        <v>23.400000000000006</v>
      </c>
      <c r="G34" s="40">
        <v>86</v>
      </c>
      <c r="H34" s="40">
        <v>0</v>
      </c>
      <c r="I34" s="41">
        <f t="shared" si="17"/>
        <v>86</v>
      </c>
      <c r="J34" s="18">
        <f>E27-I34</f>
        <v>23.216666666666669</v>
      </c>
      <c r="K34" s="23">
        <v>6678.15</v>
      </c>
      <c r="L34" s="23">
        <f t="shared" si="18"/>
        <v>23.308333333333337</v>
      </c>
      <c r="M34" s="23">
        <f t="shared" si="19"/>
        <v>9.1666666666668561E-2</v>
      </c>
      <c r="N34" s="23">
        <f t="shared" si="20"/>
        <v>1.9604054045241136E-2</v>
      </c>
      <c r="O34" s="23">
        <f t="shared" si="21"/>
        <v>0.39560306941743167</v>
      </c>
      <c r="P34" s="23">
        <f t="shared" si="23"/>
        <v>3.3761871513455637E-6</v>
      </c>
      <c r="Q34" s="62">
        <f t="shared" si="22"/>
        <v>296.19211115161511</v>
      </c>
      <c r="R34" s="103">
        <f t="shared" si="12"/>
        <v>8.4027777777781251E-3</v>
      </c>
      <c r="S34" s="103">
        <f t="shared" si="24"/>
        <v>-7.8347759806369464E-6</v>
      </c>
      <c r="T34" s="103">
        <f>S26*S34</f>
        <v>-7.7182927213536693E-7</v>
      </c>
      <c r="U34" s="103">
        <f t="shared" si="14"/>
        <v>1678639773773.7878</v>
      </c>
      <c r="V34" s="103">
        <f t="shared" si="25"/>
        <v>5667402.0359526863</v>
      </c>
    </row>
    <row r="35" spans="2:22" ht="14.65" thickBot="1" x14ac:dyDescent="0.5">
      <c r="B35" s="63" t="s">
        <v>36</v>
      </c>
      <c r="C35" s="64"/>
      <c r="D35" s="64"/>
      <c r="E35" s="65">
        <f t="shared" si="16"/>
        <v>0</v>
      </c>
      <c r="F35" s="65">
        <f>E35-E27</f>
        <v>-109.21666666666667</v>
      </c>
      <c r="G35" s="64"/>
      <c r="H35" s="64"/>
      <c r="I35" s="65">
        <v>0</v>
      </c>
      <c r="J35" s="66">
        <f>E27-I35</f>
        <v>109.21666666666667</v>
      </c>
      <c r="K35" s="67">
        <v>7065.19</v>
      </c>
      <c r="L35" s="67">
        <f t="shared" si="18"/>
        <v>0</v>
      </c>
      <c r="M35" s="67">
        <f t="shared" si="19"/>
        <v>-109.21666666666667</v>
      </c>
      <c r="N35" s="67">
        <f t="shared" si="20"/>
        <v>0.71044413253009575</v>
      </c>
      <c r="O35" s="67">
        <f t="shared" si="21"/>
        <v>0</v>
      </c>
      <c r="P35" s="67" t="e">
        <f t="shared" si="23"/>
        <v>#DIV/0!</v>
      </c>
      <c r="Q35" s="68" t="e">
        <f t="shared" si="22"/>
        <v>#DIV/0!</v>
      </c>
    </row>
    <row r="36" spans="2:22" x14ac:dyDescent="0.45">
      <c r="V36" s="165" t="s">
        <v>47</v>
      </c>
    </row>
    <row r="37" spans="2:22" ht="14.65" thickBot="1" x14ac:dyDescent="0.5">
      <c r="V37" s="166">
        <f>SUM(V16:V22,V29,V32:V34)/SUM(U16:U22,U29,U32:U34)</f>
        <v>3.3797345920125879E-6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5E8B-7D5C-4B25-99DC-EC0C67E157A4}">
  <dimension ref="A2:R32"/>
  <sheetViews>
    <sheetView tabSelected="1" topLeftCell="A9" zoomScale="108" workbookViewId="0">
      <selection activeCell="I21" sqref="I21"/>
    </sheetView>
  </sheetViews>
  <sheetFormatPr defaultRowHeight="14.25" x14ac:dyDescent="0.45"/>
  <cols>
    <col min="1" max="1" width="5.9296875" customWidth="1"/>
    <col min="2" max="2" width="5.33203125" bestFit="1" customWidth="1"/>
    <col min="3" max="3" width="8.33203125" bestFit="1" customWidth="1"/>
    <col min="4" max="4" width="12.46484375" bestFit="1" customWidth="1"/>
    <col min="5" max="6" width="9.46484375" bestFit="1" customWidth="1"/>
    <col min="7" max="7" width="8" bestFit="1" customWidth="1"/>
    <col min="8" max="8" width="4.06640625" bestFit="1" customWidth="1"/>
    <col min="9" max="11" width="11.9296875" bestFit="1" customWidth="1"/>
    <col min="12" max="13" width="5" bestFit="1" customWidth="1"/>
    <col min="14" max="14" width="4.33203125" bestFit="1" customWidth="1"/>
    <col min="15" max="15" width="5.265625" bestFit="1" customWidth="1"/>
    <col min="16" max="16" width="8.33203125" bestFit="1" customWidth="1"/>
    <col min="17" max="17" width="8.9296875" bestFit="1" customWidth="1"/>
    <col min="18" max="18" width="8" bestFit="1" customWidth="1"/>
  </cols>
  <sheetData>
    <row r="2" spans="1:18" x14ac:dyDescent="0.45">
      <c r="B2" t="s">
        <v>67</v>
      </c>
      <c r="D2" s="79" t="s">
        <v>25</v>
      </c>
      <c r="E2" s="80">
        <v>80</v>
      </c>
      <c r="F2" s="79" t="s">
        <v>27</v>
      </c>
      <c r="G2" s="80">
        <v>295.5</v>
      </c>
    </row>
    <row r="3" spans="1:18" ht="14.65" thickBot="1" x14ac:dyDescent="0.5"/>
    <row r="4" spans="1:18" x14ac:dyDescent="0.45">
      <c r="B4" s="112"/>
      <c r="C4" s="72" t="s">
        <v>8</v>
      </c>
      <c r="D4" s="72" t="s">
        <v>9</v>
      </c>
      <c r="E4" s="73" t="s">
        <v>10</v>
      </c>
      <c r="F4" s="73" t="s">
        <v>21</v>
      </c>
      <c r="G4" s="71" t="s">
        <v>8</v>
      </c>
      <c r="H4" s="72" t="s">
        <v>9</v>
      </c>
      <c r="I4" s="73" t="s">
        <v>10</v>
      </c>
      <c r="J4" s="105" t="s">
        <v>21</v>
      </c>
      <c r="K4" s="75"/>
      <c r="L4" s="75"/>
      <c r="M4" s="74"/>
      <c r="N4" s="74"/>
      <c r="O4" s="74" t="s">
        <v>20</v>
      </c>
      <c r="P4" s="81" t="s">
        <v>18</v>
      </c>
      <c r="Q4" t="s">
        <v>30</v>
      </c>
    </row>
    <row r="5" spans="1:18" ht="14.65" thickBot="1" x14ac:dyDescent="0.5">
      <c r="B5" s="113" t="s">
        <v>0</v>
      </c>
      <c r="C5" s="11">
        <v>109</v>
      </c>
      <c r="D5" s="11">
        <v>14</v>
      </c>
      <c r="E5" s="76">
        <f>C5+D5/60</f>
        <v>109.23333333333333</v>
      </c>
      <c r="F5" s="76"/>
      <c r="G5" s="106"/>
      <c r="H5" s="11"/>
      <c r="I5" s="76"/>
      <c r="J5" s="107"/>
      <c r="K5" s="11"/>
      <c r="L5" s="11"/>
      <c r="M5" s="27"/>
      <c r="N5" s="27"/>
      <c r="O5" s="27"/>
      <c r="P5" s="82"/>
    </row>
    <row r="6" spans="1:18" ht="16.149999999999999" thickTop="1" x14ac:dyDescent="0.5">
      <c r="A6" t="s">
        <v>27</v>
      </c>
      <c r="B6" s="114" t="s">
        <v>28</v>
      </c>
      <c r="C6" s="77" t="s">
        <v>11</v>
      </c>
      <c r="D6" s="77"/>
      <c r="E6" s="69"/>
      <c r="F6" s="104" t="s">
        <v>22</v>
      </c>
      <c r="G6" s="108" t="s">
        <v>7</v>
      </c>
      <c r="H6" s="77"/>
      <c r="I6" s="69"/>
      <c r="J6" s="85" t="s">
        <v>23</v>
      </c>
      <c r="K6" s="78" t="s">
        <v>14</v>
      </c>
      <c r="L6" s="70" t="s">
        <v>15</v>
      </c>
      <c r="M6" s="70"/>
      <c r="N6" s="70"/>
      <c r="O6" s="70"/>
      <c r="P6" s="89"/>
      <c r="R6" s="1" t="s">
        <v>63</v>
      </c>
    </row>
    <row r="7" spans="1:18" x14ac:dyDescent="0.45">
      <c r="A7">
        <f>'He Lines'!S6</f>
        <v>3.3797345920125879E-6</v>
      </c>
      <c r="B7" s="115" t="s">
        <v>6</v>
      </c>
      <c r="C7" s="32">
        <v>116.5</v>
      </c>
      <c r="D7" s="32">
        <v>4</v>
      </c>
      <c r="E7" s="33">
        <f t="shared" ref="E7:E9" si="0">C7+D7/60</f>
        <v>116.56666666666666</v>
      </c>
      <c r="F7" s="33">
        <f>E7-E5</f>
        <v>7.3333333333333286</v>
      </c>
      <c r="G7" s="109">
        <v>101.5</v>
      </c>
      <c r="H7" s="32">
        <v>18</v>
      </c>
      <c r="I7" s="33">
        <f t="shared" ref="I7:I9" si="1">G7+H7/60</f>
        <v>101.8</v>
      </c>
      <c r="J7" s="86">
        <f>E5-I7</f>
        <v>7.4333333333333371</v>
      </c>
      <c r="K7" s="15">
        <f>0.5*(F7+J7)</f>
        <v>7.3833333333333329</v>
      </c>
      <c r="L7" s="15">
        <f>0.5*(F7-J7)</f>
        <v>-5.0000000000004263E-2</v>
      </c>
      <c r="M7" s="15">
        <f t="shared" ref="M7:M9" si="2">SIN(RADIANS(L7))/(COS(RADIANS(L7))-COS(RADIANS(K7)))</f>
        <v>-0.10525400677652204</v>
      </c>
      <c r="N7" s="15">
        <f>SQRT(1+M7^2)</f>
        <v>1.0055239459816521</v>
      </c>
      <c r="O7" s="15">
        <f>SIN(RADIANS(K7))*N7</f>
        <v>0.12921699210507778</v>
      </c>
      <c r="P7" s="90">
        <f>A7*O7*10^10</f>
        <v>4367.1913809334883</v>
      </c>
      <c r="Q7">
        <v>4340.47</v>
      </c>
      <c r="R7" s="118">
        <f>ABS(P7-Q7)/Q7</f>
        <v>6.1563335153769138E-3</v>
      </c>
    </row>
    <row r="8" spans="1:18" x14ac:dyDescent="0.45">
      <c r="A8">
        <f>'He Lines'!S6</f>
        <v>3.3797345920125879E-6</v>
      </c>
      <c r="B8" s="116" t="s">
        <v>19</v>
      </c>
      <c r="C8" s="34">
        <v>117.5</v>
      </c>
      <c r="D8" s="34">
        <v>1</v>
      </c>
      <c r="E8" s="35">
        <f t="shared" si="0"/>
        <v>117.51666666666667</v>
      </c>
      <c r="F8" s="35">
        <f>E8-E5</f>
        <v>8.2833333333333314</v>
      </c>
      <c r="G8" s="110">
        <v>100.5</v>
      </c>
      <c r="H8" s="34">
        <v>24</v>
      </c>
      <c r="I8" s="35">
        <f t="shared" si="1"/>
        <v>100.9</v>
      </c>
      <c r="J8" s="87">
        <f>E5-I8</f>
        <v>8.3333333333333286</v>
      </c>
      <c r="K8" s="29">
        <f>0.5*(F8+J8)</f>
        <v>8.30833333333333</v>
      </c>
      <c r="L8" s="29">
        <f>0.5*(F8-J8)</f>
        <v>-2.4999999999998579E-2</v>
      </c>
      <c r="M8" s="29">
        <f t="shared" si="2"/>
        <v>-4.1574771661440101E-2</v>
      </c>
      <c r="N8" s="29">
        <f t="shared" ref="N8:N9" si="3">SQRT(1+M8^2)</f>
        <v>1.0008638576942923</v>
      </c>
      <c r="O8" s="29">
        <f t="shared" ref="O8:O9" si="4">SIN(RADIANS(K8))*N8</f>
        <v>0.14462494770634782</v>
      </c>
      <c r="P8" s="91">
        <f t="shared" ref="P8:P9" si="5">A8*O8*10^10</f>
        <v>4887.9393863115529</v>
      </c>
      <c r="Q8">
        <v>4861.33</v>
      </c>
      <c r="R8" s="118">
        <f t="shared" ref="R8:R17" si="6">ABS(P8-Q8)/Q8</f>
        <v>5.4736844261864459E-3</v>
      </c>
    </row>
    <row r="9" spans="1:18" ht="14.65" thickBot="1" x14ac:dyDescent="0.5">
      <c r="A9">
        <f>'He Lines'!S6</f>
        <v>3.3797345920125879E-6</v>
      </c>
      <c r="B9" s="117" t="s">
        <v>29</v>
      </c>
      <c r="C9" s="83">
        <v>120</v>
      </c>
      <c r="D9" s="83">
        <v>20</v>
      </c>
      <c r="E9" s="65">
        <f t="shared" si="0"/>
        <v>120.33333333333333</v>
      </c>
      <c r="F9" s="65">
        <f>E9-E5</f>
        <v>11.099999999999994</v>
      </c>
      <c r="G9" s="111">
        <v>97.5</v>
      </c>
      <c r="H9" s="84">
        <v>29</v>
      </c>
      <c r="I9" s="65">
        <f t="shared" si="1"/>
        <v>97.983333333333334</v>
      </c>
      <c r="J9" s="88">
        <f>E5-I9</f>
        <v>11.25</v>
      </c>
      <c r="K9" s="66">
        <f>0.5*(F9+J9)</f>
        <v>11.174999999999997</v>
      </c>
      <c r="L9" s="66">
        <f>0.5*(F9-J9)</f>
        <v>-7.5000000000002842E-2</v>
      </c>
      <c r="M9" s="66">
        <f t="shared" si="2"/>
        <v>-6.9042340925810949E-2</v>
      </c>
      <c r="N9" s="66">
        <f t="shared" si="3"/>
        <v>1.0023805888186961</v>
      </c>
      <c r="O9" s="66">
        <f t="shared" si="4"/>
        <v>0.19426768344725406</v>
      </c>
      <c r="P9" s="92">
        <f t="shared" si="5"/>
        <v>6565.7320985683573</v>
      </c>
      <c r="Q9">
        <v>6562.8519999999999</v>
      </c>
      <c r="R9" s="118">
        <f t="shared" si="6"/>
        <v>4.3884862379304384E-4</v>
      </c>
    </row>
    <row r="10" spans="1:18" x14ac:dyDescent="0.45">
      <c r="B10" s="114" t="s">
        <v>28</v>
      </c>
      <c r="C10" s="77" t="s">
        <v>32</v>
      </c>
      <c r="D10" s="77"/>
      <c r="E10" s="69"/>
      <c r="F10" s="104" t="s">
        <v>22</v>
      </c>
      <c r="G10" s="108" t="s">
        <v>33</v>
      </c>
      <c r="H10" s="77"/>
      <c r="I10" s="69"/>
      <c r="J10" s="85" t="s">
        <v>23</v>
      </c>
      <c r="K10" s="78" t="s">
        <v>14</v>
      </c>
      <c r="L10" s="70" t="s">
        <v>15</v>
      </c>
      <c r="M10" s="70"/>
      <c r="N10" s="70"/>
      <c r="O10" s="70"/>
      <c r="P10" s="89"/>
      <c r="R10" s="118"/>
    </row>
    <row r="11" spans="1:18" x14ac:dyDescent="0.45">
      <c r="A11">
        <f>'He Lines'!S6</f>
        <v>3.3797345920125879E-6</v>
      </c>
      <c r="B11" s="115" t="s">
        <v>6</v>
      </c>
      <c r="C11" s="32">
        <v>124</v>
      </c>
      <c r="D11" s="32">
        <v>6</v>
      </c>
      <c r="E11" s="33">
        <f t="shared" ref="E11:E13" si="7">C11+D11/60</f>
        <v>124.1</v>
      </c>
      <c r="F11" s="33">
        <f>E11-E5</f>
        <v>14.86666666666666</v>
      </c>
      <c r="G11" s="109">
        <v>94</v>
      </c>
      <c r="H11" s="32">
        <v>18</v>
      </c>
      <c r="I11" s="33">
        <f t="shared" ref="I11:I13" si="8">G11+H11/60</f>
        <v>94.3</v>
      </c>
      <c r="J11" s="86">
        <f>E5-I11</f>
        <v>14.933333333333337</v>
      </c>
      <c r="K11" s="15">
        <f>0.5*(F11+J11)</f>
        <v>14.899999999999999</v>
      </c>
      <c r="L11" s="15">
        <f>0.5*(F11-J11)</f>
        <v>-3.3333333333338544E-2</v>
      </c>
      <c r="M11" s="15">
        <f t="shared" ref="M11:M13" si="9">SIN(RADIANS(L11))/(COS(RADIANS(L11))-COS(RADIANS(K11)))</f>
        <v>-1.7302542383888217E-2</v>
      </c>
      <c r="N11" s="15">
        <f>SQRT(1+M11^2)</f>
        <v>1.0001496777847536</v>
      </c>
      <c r="O11" s="15">
        <f>SIN(RADIANS(K11))*N11</f>
        <v>0.25717128022156305</v>
      </c>
      <c r="P11" s="90">
        <f>A11*O11*10^10/2</f>
        <v>4345.8533591848964</v>
      </c>
      <c r="Q11">
        <v>4340.47</v>
      </c>
      <c r="R11" s="118">
        <f t="shared" si="6"/>
        <v>1.2402710270768159E-3</v>
      </c>
    </row>
    <row r="12" spans="1:18" x14ac:dyDescent="0.45">
      <c r="A12">
        <f>'He Lines'!S6</f>
        <v>3.3797345920125879E-6</v>
      </c>
      <c r="B12" s="116" t="s">
        <v>19</v>
      </c>
      <c r="C12" s="34">
        <v>125.5</v>
      </c>
      <c r="D12" s="34">
        <v>24</v>
      </c>
      <c r="E12" s="35">
        <f t="shared" si="7"/>
        <v>125.9</v>
      </c>
      <c r="F12" s="35">
        <f>E12-E5</f>
        <v>16.666666666666671</v>
      </c>
      <c r="G12" s="110">
        <v>92</v>
      </c>
      <c r="H12" s="34">
        <v>25</v>
      </c>
      <c r="I12" s="35">
        <f t="shared" si="8"/>
        <v>92.416666666666671</v>
      </c>
      <c r="J12" s="87">
        <f>E5-I12</f>
        <v>16.816666666666663</v>
      </c>
      <c r="K12" s="29">
        <f>0.5*(F12+J12)</f>
        <v>16.741666666666667</v>
      </c>
      <c r="L12" s="29">
        <f>0.5*(F12-J12)</f>
        <v>-7.4999999999995737E-2</v>
      </c>
      <c r="M12" s="29">
        <f t="shared" si="9"/>
        <v>-3.0882847882585895E-2</v>
      </c>
      <c r="N12" s="29">
        <f t="shared" ref="N12:N13" si="10">SQRT(1+M12^2)</f>
        <v>1.0004767614959076</v>
      </c>
      <c r="O12" s="29">
        <f t="shared" ref="O12:O13" si="11">SIN(RADIANS(K12))*N12</f>
        <v>0.28819432645982496</v>
      </c>
      <c r="P12" s="91">
        <f>A12*O12*10^10/2</f>
        <v>4870.1016717901957</v>
      </c>
      <c r="Q12">
        <v>4861.33</v>
      </c>
      <c r="R12" s="118">
        <f t="shared" si="6"/>
        <v>1.8043769483239765E-3</v>
      </c>
    </row>
    <row r="13" spans="1:18" ht="14.65" thickBot="1" x14ac:dyDescent="0.5">
      <c r="A13">
        <f>'He Lines'!S6</f>
        <v>3.3797345920125879E-6</v>
      </c>
      <c r="B13" s="117" t="s">
        <v>29</v>
      </c>
      <c r="C13" s="83">
        <v>132</v>
      </c>
      <c r="D13" s="83">
        <v>7</v>
      </c>
      <c r="E13" s="65">
        <f t="shared" si="7"/>
        <v>132.11666666666667</v>
      </c>
      <c r="F13" s="65">
        <f>E13-E5</f>
        <v>22.88333333333334</v>
      </c>
      <c r="G13" s="111">
        <v>86</v>
      </c>
      <c r="H13" s="84">
        <v>23</v>
      </c>
      <c r="I13" s="65">
        <f t="shared" si="8"/>
        <v>86.38333333333334</v>
      </c>
      <c r="J13" s="88">
        <f>E5-I13</f>
        <v>22.849999999999994</v>
      </c>
      <c r="K13" s="66">
        <f>0.5*(F13+J13)</f>
        <v>22.866666666666667</v>
      </c>
      <c r="L13" s="66">
        <f>0.5*(F13-J13)</f>
        <v>1.6666666666672825E-2</v>
      </c>
      <c r="M13" s="66">
        <f t="shared" si="9"/>
        <v>3.7014175445352869E-3</v>
      </c>
      <c r="N13" s="66">
        <f t="shared" si="10"/>
        <v>1.0000068502224568</v>
      </c>
      <c r="O13" s="66">
        <f t="shared" si="11"/>
        <v>0.38859062228727909</v>
      </c>
      <c r="P13" s="92">
        <f>A13*O13*10^10/2</f>
        <v>6566.6658413800742</v>
      </c>
      <c r="Q13">
        <v>6562.8519999999999</v>
      </c>
      <c r="R13" s="118">
        <f t="shared" si="6"/>
        <v>5.8112561125473145E-4</v>
      </c>
    </row>
    <row r="14" spans="1:18" x14ac:dyDescent="0.45">
      <c r="B14" s="114" t="s">
        <v>28</v>
      </c>
      <c r="C14" s="77" t="s">
        <v>37</v>
      </c>
      <c r="D14" s="77"/>
      <c r="E14" s="69"/>
      <c r="F14" s="104" t="s">
        <v>22</v>
      </c>
      <c r="G14" s="108" t="s">
        <v>38</v>
      </c>
      <c r="H14" s="77"/>
      <c r="I14" s="69"/>
      <c r="J14" s="85" t="s">
        <v>23</v>
      </c>
      <c r="K14" s="78" t="s">
        <v>14</v>
      </c>
      <c r="L14" s="70" t="s">
        <v>15</v>
      </c>
      <c r="M14" s="70"/>
      <c r="N14" s="70"/>
      <c r="O14" s="70"/>
      <c r="P14" s="89"/>
      <c r="R14" s="118"/>
    </row>
    <row r="15" spans="1:18" x14ac:dyDescent="0.45">
      <c r="A15">
        <f>'He Lines'!S6</f>
        <v>3.3797345920125879E-6</v>
      </c>
      <c r="B15" s="115" t="s">
        <v>6</v>
      </c>
      <c r="C15" s="32">
        <v>131.5</v>
      </c>
      <c r="D15" s="32">
        <v>25</v>
      </c>
      <c r="E15" s="33">
        <f t="shared" ref="E15:E17" si="12">C15+D15/60</f>
        <v>131.91666666666666</v>
      </c>
      <c r="F15" s="33">
        <f>E15-E5</f>
        <v>22.683333333333323</v>
      </c>
      <c r="G15" s="109">
        <v>86.5</v>
      </c>
      <c r="H15" s="32">
        <v>0</v>
      </c>
      <c r="I15" s="33">
        <f t="shared" ref="I15:I17" si="13">G15+H15/60</f>
        <v>86.5</v>
      </c>
      <c r="J15" s="86">
        <f>E5-I15</f>
        <v>22.733333333333334</v>
      </c>
      <c r="K15" s="15">
        <f>0.5*(F15+J15)</f>
        <v>22.708333333333329</v>
      </c>
      <c r="L15" s="15">
        <f>0.5*(F15-J15)</f>
        <v>-2.5000000000005684E-2</v>
      </c>
      <c r="M15" s="15">
        <f t="shared" ref="M15:M17" si="14">SIN(RADIANS(L15))/(COS(RADIANS(L15))-COS(RADIANS(K15)))</f>
        <v>-5.6287902739407441E-3</v>
      </c>
      <c r="N15" s="15">
        <f>SQRT(1+M15^2)</f>
        <v>1.0000158415144973</v>
      </c>
      <c r="O15" s="15">
        <f>SIN(RADIANS(K15))*N15</f>
        <v>0.38604633142993133</v>
      </c>
      <c r="P15" s="90">
        <f>A15*O15*10^10/3</f>
        <v>4349.1138015109846</v>
      </c>
      <c r="Q15">
        <v>4340.47</v>
      </c>
      <c r="R15" s="118">
        <f t="shared" si="6"/>
        <v>1.9914436710734788E-3</v>
      </c>
    </row>
    <row r="16" spans="1:18" x14ac:dyDescent="0.45">
      <c r="A16">
        <f>'He Lines'!S6</f>
        <v>3.3797345920125879E-6</v>
      </c>
      <c r="B16" s="116" t="s">
        <v>19</v>
      </c>
      <c r="C16" s="34">
        <v>134.5</v>
      </c>
      <c r="D16" s="34">
        <v>18</v>
      </c>
      <c r="E16" s="35">
        <f t="shared" si="12"/>
        <v>134.80000000000001</v>
      </c>
      <c r="F16" s="35">
        <f>E16-E5</f>
        <v>25.566666666666677</v>
      </c>
      <c r="G16" s="110">
        <v>83.5</v>
      </c>
      <c r="H16" s="34">
        <v>11</v>
      </c>
      <c r="I16" s="35">
        <f t="shared" si="13"/>
        <v>83.683333333333337</v>
      </c>
      <c r="J16" s="87">
        <f>E5-I16</f>
        <v>25.549999999999997</v>
      </c>
      <c r="K16" s="29">
        <f>0.5*(F16+J16)</f>
        <v>25.558333333333337</v>
      </c>
      <c r="L16" s="29">
        <f>0.5*(F16-J16)</f>
        <v>8.3333333333399651E-3</v>
      </c>
      <c r="M16" s="29">
        <f t="shared" si="14"/>
        <v>1.4863457486171045E-3</v>
      </c>
      <c r="N16" s="29">
        <f t="shared" ref="N16:N17" si="15">SQRT(1+M16^2)</f>
        <v>1.000001104611232</v>
      </c>
      <c r="O16" s="29">
        <f t="shared" ref="O16:O17" si="16">SIN(RADIANS(K16))*N16</f>
        <v>0.43143028004748746</v>
      </c>
      <c r="P16" s="91">
        <f>A16*O16*10^10/3</f>
        <v>4860.3994717272381</v>
      </c>
      <c r="Q16">
        <v>4861.33</v>
      </c>
      <c r="R16" s="118">
        <f t="shared" si="6"/>
        <v>1.914143398538828E-4</v>
      </c>
    </row>
    <row r="17" spans="1:18" ht="14.65" thickBot="1" x14ac:dyDescent="0.5">
      <c r="A17">
        <f>'He Lines'!S6</f>
        <v>3.3797345920125879E-6</v>
      </c>
      <c r="B17" s="117" t="s">
        <v>29</v>
      </c>
      <c r="C17" s="83">
        <v>145</v>
      </c>
      <c r="D17" s="83"/>
      <c r="E17" s="65">
        <f t="shared" si="12"/>
        <v>145</v>
      </c>
      <c r="F17" s="65">
        <f>E17-E5</f>
        <v>35.766666666666666</v>
      </c>
      <c r="G17" s="111">
        <v>73.5</v>
      </c>
      <c r="H17" s="84">
        <v>12</v>
      </c>
      <c r="I17" s="65">
        <f t="shared" si="13"/>
        <v>73.7</v>
      </c>
      <c r="J17" s="88">
        <f>E5-I17</f>
        <v>35.533333333333331</v>
      </c>
      <c r="K17" s="66">
        <f>0.5*(F17+J17)</f>
        <v>35.65</v>
      </c>
      <c r="L17" s="66">
        <f>0.5*(F17-J17)</f>
        <v>0.11666666666666714</v>
      </c>
      <c r="M17" s="66">
        <f t="shared" si="14"/>
        <v>1.0865296595860956E-2</v>
      </c>
      <c r="N17" s="66">
        <f t="shared" si="15"/>
        <v>1.0000590255930477</v>
      </c>
      <c r="O17" s="66">
        <f t="shared" si="16"/>
        <v>0.58286671470568685</v>
      </c>
      <c r="P17" s="92">
        <f>A17*O17*10^10/3</f>
        <v>6566.4493274118067</v>
      </c>
      <c r="Q17">
        <v>6562.8519999999999</v>
      </c>
      <c r="R17" s="118">
        <f t="shared" si="6"/>
        <v>5.4813477613191235E-4</v>
      </c>
    </row>
    <row r="18" spans="1:18" ht="14.65" thickBot="1" x14ac:dyDescent="0.5"/>
    <row r="19" spans="1:18" ht="14.65" thickBot="1" x14ac:dyDescent="0.5">
      <c r="I19" s="169" t="s">
        <v>47</v>
      </c>
      <c r="J19" s="145">
        <f>'He Lines'!V37</f>
        <v>3.3797345920125879E-6</v>
      </c>
      <c r="K19" s="167" t="s">
        <v>71</v>
      </c>
    </row>
    <row r="20" spans="1:18" ht="14.65" thickBot="1" x14ac:dyDescent="0.5">
      <c r="B20" s="171" t="s">
        <v>66</v>
      </c>
      <c r="C20" s="172"/>
      <c r="D20" s="172"/>
      <c r="E20" s="172"/>
      <c r="F20" s="173"/>
      <c r="I20" s="170" t="s">
        <v>69</v>
      </c>
      <c r="J20" s="145">
        <f>SQRT(SUM(I22:I32)^-1)</f>
        <v>2.7531319181979954E-7</v>
      </c>
      <c r="K20" s="168">
        <f>SQRT(J19^2+J20^2)</f>
        <v>3.3909295578110289E-6</v>
      </c>
    </row>
    <row r="21" spans="1:18" ht="16.149999999999999" thickBot="1" x14ac:dyDescent="0.55000000000000004">
      <c r="B21" s="162" t="s">
        <v>60</v>
      </c>
      <c r="C21" s="162" t="s">
        <v>59</v>
      </c>
      <c r="D21" s="163" t="s">
        <v>61</v>
      </c>
      <c r="E21" s="163" t="s">
        <v>62</v>
      </c>
      <c r="F21" s="164" t="s">
        <v>64</v>
      </c>
      <c r="I21" t="s">
        <v>49</v>
      </c>
      <c r="J21" s="1" t="s">
        <v>68</v>
      </c>
    </row>
    <row r="22" spans="1:18" ht="14.65" thickTop="1" x14ac:dyDescent="0.45">
      <c r="A22" s="174" t="s">
        <v>7</v>
      </c>
      <c r="B22" s="156">
        <v>5</v>
      </c>
      <c r="C22" s="156">
        <f>P7</f>
        <v>4367.1913809334883</v>
      </c>
      <c r="D22" s="157">
        <f>1/(C22*0.0000000001)/(1/B22^2-0.25)</f>
        <v>-10903815.167557193</v>
      </c>
      <c r="E22" s="157">
        <v>-10967758</v>
      </c>
      <c r="F22" s="158">
        <f t="shared" ref="F22:F30" si="17">ABS((D22-E22)/E22)</f>
        <v>5.8300732422074805E-3</v>
      </c>
      <c r="I22" s="99">
        <f>'He Lines'!U16</f>
        <v>773309802910.49182</v>
      </c>
      <c r="J22">
        <f>'He Lines'!U16*'He Lines'!L16</f>
        <v>5877154502119.7393</v>
      </c>
    </row>
    <row r="23" spans="1:18" x14ac:dyDescent="0.45">
      <c r="A23" s="175"/>
      <c r="B23" s="147">
        <v>4</v>
      </c>
      <c r="C23" s="147">
        <f>P8</f>
        <v>4887.9393863115529</v>
      </c>
      <c r="D23" s="148">
        <f t="shared" ref="D23:D30" si="18">1/(C23*0.0000000001)/(1/B23^2-0.25)</f>
        <v>-10911210.04542136</v>
      </c>
      <c r="E23" s="148">
        <v>-10967758</v>
      </c>
      <c r="F23" s="149">
        <f t="shared" si="17"/>
        <v>5.1558353656818408E-3</v>
      </c>
      <c r="I23" s="100">
        <f>'He Lines'!U17</f>
        <v>876131681966.60315</v>
      </c>
      <c r="J23">
        <f>'He Lines'!U17*'He Lines'!L17</f>
        <v>7030956747781.9893</v>
      </c>
    </row>
    <row r="24" spans="1:18" ht="14.65" thickBot="1" x14ac:dyDescent="0.5">
      <c r="A24" s="176"/>
      <c r="B24" s="153">
        <v>3</v>
      </c>
      <c r="C24" s="153">
        <f>P9</f>
        <v>6565.7320985683573</v>
      </c>
      <c r="D24" s="154">
        <f t="shared" si="18"/>
        <v>-10966027.690301197</v>
      </c>
      <c r="E24" s="154">
        <v>-10967758</v>
      </c>
      <c r="F24" s="155">
        <f t="shared" si="17"/>
        <v>1.57763300284648E-4</v>
      </c>
      <c r="I24" s="101">
        <f>'He Lines'!U18</f>
        <v>931219188946.96558</v>
      </c>
      <c r="J24">
        <f>'He Lines'!U18*'He Lines'!L18</f>
        <v>7775680227707.1572</v>
      </c>
    </row>
    <row r="25" spans="1:18" x14ac:dyDescent="0.45">
      <c r="A25" s="174" t="s">
        <v>33</v>
      </c>
      <c r="B25" s="159">
        <v>5</v>
      </c>
      <c r="C25" s="159">
        <f>P11</f>
        <v>4345.8533591848964</v>
      </c>
      <c r="D25" s="160">
        <f t="shared" si="18"/>
        <v>-10957352.603351301</v>
      </c>
      <c r="E25" s="160">
        <v>-10967758</v>
      </c>
      <c r="F25" s="161">
        <f t="shared" si="17"/>
        <v>9.4872595189458213E-4</v>
      </c>
      <c r="I25" s="101">
        <f>'He Lines'!U19</f>
        <v>989994655456.29199</v>
      </c>
      <c r="J25">
        <f>'He Lines'!U19*'He Lines'!L19</f>
        <v>8472704259613.4287</v>
      </c>
    </row>
    <row r="26" spans="1:18" x14ac:dyDescent="0.45">
      <c r="A26" s="175"/>
      <c r="B26" s="147">
        <v>4</v>
      </c>
      <c r="C26" s="147">
        <f>P12</f>
        <v>4870.1016717901957</v>
      </c>
      <c r="D26" s="148">
        <f t="shared" si="18"/>
        <v>-10951174.51905857</v>
      </c>
      <c r="E26" s="148">
        <v>-10967758</v>
      </c>
      <c r="F26" s="149">
        <f t="shared" si="17"/>
        <v>1.5120210476407059E-3</v>
      </c>
      <c r="I26" s="102">
        <f>'He Lines'!U20</f>
        <v>1375766530461.0825</v>
      </c>
      <c r="J26">
        <f>'He Lines'!U20*'He Lines'!L20</f>
        <v>13826453631133.875</v>
      </c>
    </row>
    <row r="27" spans="1:18" ht="14.65" thickBot="1" x14ac:dyDescent="0.5">
      <c r="A27" s="176"/>
      <c r="B27" s="150">
        <v>3</v>
      </c>
      <c r="C27" s="150">
        <f>P13</f>
        <v>6566.6658413800742</v>
      </c>
      <c r="D27" s="151">
        <f t="shared" si="18"/>
        <v>-10964468.383070368</v>
      </c>
      <c r="E27" s="151">
        <v>-10967758</v>
      </c>
      <c r="F27" s="152">
        <f t="shared" si="17"/>
        <v>2.9993522191423995E-4</v>
      </c>
      <c r="I27" s="103">
        <f>'He Lines'!U21</f>
        <v>1752958814740.9114</v>
      </c>
      <c r="J27">
        <f>'He Lines'!U21*'He Lines'!L21</f>
        <v>19939906517677.867</v>
      </c>
    </row>
    <row r="28" spans="1:18" x14ac:dyDescent="0.45">
      <c r="A28" s="174" t="s">
        <v>38</v>
      </c>
      <c r="B28" s="156">
        <v>5</v>
      </c>
      <c r="C28" s="156">
        <f>P15</f>
        <v>4349.1138015109846</v>
      </c>
      <c r="D28" s="157">
        <f t="shared" si="18"/>
        <v>-10949138.09854864</v>
      </c>
      <c r="E28" s="157">
        <v>-10967758</v>
      </c>
      <c r="F28" s="158">
        <f t="shared" si="17"/>
        <v>1.6976944104128149E-3</v>
      </c>
      <c r="I28" s="103">
        <f>'He Lines'!U22</f>
        <v>1997733971386.1418</v>
      </c>
      <c r="J28">
        <f>'He Lines'!U22*'He Lines'!L22</f>
        <v>24139285487582.539</v>
      </c>
    </row>
    <row r="29" spans="1:18" x14ac:dyDescent="0.45">
      <c r="A29" s="175"/>
      <c r="B29" s="147">
        <v>4</v>
      </c>
      <c r="C29" s="147">
        <f>P16</f>
        <v>4860.3994717272381</v>
      </c>
      <c r="D29" s="148">
        <f t="shared" si="18"/>
        <v>-10973034.962161308</v>
      </c>
      <c r="E29" s="148">
        <v>-10967758</v>
      </c>
      <c r="F29" s="149">
        <f t="shared" si="17"/>
        <v>4.8113408057582545E-4</v>
      </c>
      <c r="I29" s="99">
        <f>'He Lines'!U29</f>
        <v>687768266517.20654</v>
      </c>
      <c r="J29">
        <f>'He Lines'!U29*'He Lines'!L29</f>
        <v>10585899902144.004</v>
      </c>
    </row>
    <row r="30" spans="1:18" ht="14.65" thickBot="1" x14ac:dyDescent="0.5">
      <c r="A30" s="176"/>
      <c r="B30" s="150">
        <v>3</v>
      </c>
      <c r="C30" s="150">
        <f>P17</f>
        <v>6566.4493274118067</v>
      </c>
      <c r="D30" s="151">
        <f t="shared" si="18"/>
        <v>-10964829.911872495</v>
      </c>
      <c r="E30" s="151">
        <v>-10967758</v>
      </c>
      <c r="F30" s="152">
        <f t="shared" si="17"/>
        <v>2.6697235000125224E-4</v>
      </c>
      <c r="I30" s="101">
        <f>'He Lines'!U32</f>
        <v>881900584377.49731</v>
      </c>
      <c r="J30">
        <f>'He Lines'!U32*'He Lines'!L32</f>
        <v>15271578452803.658</v>
      </c>
    </row>
    <row r="31" spans="1:18" ht="14.65" thickBot="1" x14ac:dyDescent="0.5">
      <c r="C31" s="144" t="s">
        <v>65</v>
      </c>
      <c r="D31" s="145">
        <f>AVERAGE(D22:D30)</f>
        <v>-10949005.709038047</v>
      </c>
      <c r="F31" s="146">
        <f>ABS((D31-E30)/E30)</f>
        <v>1.7097652010513798E-3</v>
      </c>
      <c r="I31" s="102">
        <f>'He Lines'!U33</f>
        <v>1247649477214.6646</v>
      </c>
      <c r="J31">
        <f>'He Lines'!U33*'He Lines'!L33</f>
        <v>25420858098248.781</v>
      </c>
    </row>
    <row r="32" spans="1:18" x14ac:dyDescent="0.45">
      <c r="I32" s="103">
        <f>'He Lines'!U34</f>
        <v>1678639773773.7878</v>
      </c>
      <c r="J32">
        <f>'He Lines'!U34*'He Lines'!L34</f>
        <v>39126295393710.711</v>
      </c>
    </row>
  </sheetData>
  <mergeCells count="4">
    <mergeCell ref="B20:F20"/>
    <mergeCell ref="A22:A24"/>
    <mergeCell ref="A25:A27"/>
    <mergeCell ref="A28:A30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D64-E112-416F-9BD8-D3B511F8EA73}">
  <dimension ref="A1:R10"/>
  <sheetViews>
    <sheetView workbookViewId="0">
      <selection activeCell="P25" sqref="P25"/>
    </sheetView>
  </sheetViews>
  <sheetFormatPr defaultRowHeight="14.25" x14ac:dyDescent="0.45"/>
  <cols>
    <col min="1" max="1" width="11.796875" bestFit="1" customWidth="1"/>
    <col min="2" max="2" width="6.46484375" bestFit="1" customWidth="1"/>
    <col min="3" max="3" width="8" bestFit="1" customWidth="1"/>
    <col min="4" max="4" width="4.06640625" bestFit="1" customWidth="1"/>
    <col min="5" max="5" width="8.59765625" bestFit="1" customWidth="1"/>
    <col min="6" max="6" width="8.796875" bestFit="1" customWidth="1"/>
    <col min="7" max="7" width="7.73046875" bestFit="1" customWidth="1"/>
    <col min="8" max="8" width="4.06640625" bestFit="1" customWidth="1"/>
    <col min="9" max="9" width="8.59765625" bestFit="1" customWidth="1"/>
    <col min="10" max="10" width="8.796875" bestFit="1" customWidth="1"/>
    <col min="11" max="11" width="6" bestFit="1" customWidth="1"/>
    <col min="12" max="12" width="7" bestFit="1" customWidth="1"/>
    <col min="13" max="14" width="4.33203125" bestFit="1" customWidth="1"/>
    <col min="15" max="15" width="5.265625" bestFit="1" customWidth="1"/>
    <col min="16" max="16" width="11" bestFit="1" customWidth="1"/>
    <col min="17" max="17" width="8.9296875" bestFit="1" customWidth="1"/>
    <col min="18" max="18" width="8.33203125" bestFit="1" customWidth="1"/>
  </cols>
  <sheetData>
    <row r="1" spans="1:18" ht="14.65" thickBot="1" x14ac:dyDescent="0.5">
      <c r="B1" s="79" t="s">
        <v>27</v>
      </c>
      <c r="C1" s="118">
        <f>'He Lines'!S6</f>
        <v>3.3797345920125879E-6</v>
      </c>
      <c r="E1" s="143" t="s">
        <v>55</v>
      </c>
      <c r="F1" s="142" t="s">
        <v>56</v>
      </c>
      <c r="I1" s="79" t="s">
        <v>25</v>
      </c>
      <c r="J1" s="80">
        <v>50</v>
      </c>
    </row>
    <row r="2" spans="1:18" x14ac:dyDescent="0.45">
      <c r="B2" s="112"/>
      <c r="C2" s="72" t="s">
        <v>8</v>
      </c>
      <c r="D2" s="72" t="s">
        <v>9</v>
      </c>
      <c r="E2" s="73" t="s">
        <v>10</v>
      </c>
      <c r="F2" s="73" t="s">
        <v>21</v>
      </c>
      <c r="G2" s="71" t="s">
        <v>8</v>
      </c>
      <c r="H2" s="72" t="s">
        <v>9</v>
      </c>
      <c r="I2" s="73" t="s">
        <v>10</v>
      </c>
      <c r="J2" s="105" t="s">
        <v>21</v>
      </c>
      <c r="K2" s="75"/>
      <c r="L2" s="75"/>
      <c r="M2" s="74"/>
      <c r="N2" s="74"/>
      <c r="O2" s="74" t="s">
        <v>20</v>
      </c>
      <c r="P2" s="81" t="s">
        <v>18</v>
      </c>
      <c r="Q2" t="s">
        <v>30</v>
      </c>
    </row>
    <row r="3" spans="1:18" ht="14.65" thickBot="1" x14ac:dyDescent="0.5">
      <c r="B3" s="113" t="s">
        <v>0</v>
      </c>
      <c r="C3" s="11">
        <v>109</v>
      </c>
      <c r="D3" s="11">
        <v>14</v>
      </c>
      <c r="E3" s="76">
        <f>C3+D3/60</f>
        <v>109.23333333333333</v>
      </c>
      <c r="F3" s="76"/>
      <c r="G3" s="106"/>
      <c r="H3" s="11"/>
      <c r="I3" s="76"/>
      <c r="J3" s="107"/>
      <c r="K3" s="11"/>
      <c r="L3" s="11"/>
      <c r="M3" s="27"/>
      <c r="N3" s="27"/>
      <c r="O3" s="27"/>
      <c r="P3" s="82"/>
    </row>
    <row r="4" spans="1:18" ht="16.5" thickTop="1" thickBot="1" x14ac:dyDescent="0.55000000000000004">
      <c r="A4" t="s">
        <v>27</v>
      </c>
      <c r="B4" s="114" t="s">
        <v>54</v>
      </c>
      <c r="C4" s="77" t="s">
        <v>58</v>
      </c>
      <c r="D4" s="77"/>
      <c r="E4" s="69"/>
      <c r="F4" s="104" t="s">
        <v>22</v>
      </c>
      <c r="G4" s="108" t="s">
        <v>57</v>
      </c>
      <c r="H4" s="77"/>
      <c r="I4" s="69"/>
      <c r="J4" s="85" t="s">
        <v>23</v>
      </c>
      <c r="K4" s="78" t="s">
        <v>14</v>
      </c>
      <c r="L4" s="70" t="s">
        <v>15</v>
      </c>
      <c r="M4" s="70"/>
      <c r="N4" s="70"/>
      <c r="O4" s="70"/>
      <c r="P4" s="89"/>
      <c r="R4" s="1" t="s">
        <v>53</v>
      </c>
    </row>
    <row r="5" spans="1:18" x14ac:dyDescent="0.45">
      <c r="A5">
        <f>'He Lines'!S6</f>
        <v>3.3797345920125879E-6</v>
      </c>
      <c r="B5" s="130">
        <v>1</v>
      </c>
      <c r="C5" s="131">
        <v>120</v>
      </c>
      <c r="D5" s="131">
        <v>2</v>
      </c>
      <c r="E5" s="132">
        <f t="shared" ref="E5:E10" si="0">C5+D5/60</f>
        <v>120.03333333333333</v>
      </c>
      <c r="F5" s="133">
        <f>E5-E3</f>
        <v>10.799999999999997</v>
      </c>
      <c r="G5" s="134">
        <v>98</v>
      </c>
      <c r="H5" s="131">
        <v>27</v>
      </c>
      <c r="I5" s="132">
        <f t="shared" ref="I5:I9" si="1">G5+H5/60</f>
        <v>98.45</v>
      </c>
      <c r="J5" s="135">
        <f>E3-I5</f>
        <v>10.783333333333331</v>
      </c>
      <c r="K5" s="136">
        <f t="shared" ref="K5:K9" si="2">0.5*(F5+J5)</f>
        <v>10.791666666666664</v>
      </c>
      <c r="L5" s="137">
        <f t="shared" ref="L5:L9" si="3">0.5*(F5-J5)</f>
        <v>8.3333333333328596E-3</v>
      </c>
      <c r="M5" s="137">
        <f t="shared" ref="M5:M9" si="4">SIN(RADIANS(L5))/(COS(RADIANS(L5))-COS(RADIANS(K5)))</f>
        <v>8.2239201717693357E-3</v>
      </c>
      <c r="N5" s="137">
        <f t="shared" ref="N5:N9" si="5">SQRT(1+M5^2)</f>
        <v>1.0000338158597397</v>
      </c>
      <c r="O5" s="137">
        <f t="shared" ref="O5:O9" si="6">SIN(RADIANS(K5))*N5</f>
        <v>0.18724477634390183</v>
      </c>
      <c r="P5" s="138">
        <f t="shared" ref="P5:P9" si="7">(A5*O5*10^10)/B5</f>
        <v>6328.3764778314526</v>
      </c>
      <c r="Q5">
        <v>6328</v>
      </c>
      <c r="R5" s="118">
        <f>ABS(P5-Q5)/Q5</f>
        <v>5.9493968307929147E-5</v>
      </c>
    </row>
    <row r="6" spans="1:18" ht="14.65" thickBot="1" x14ac:dyDescent="0.5">
      <c r="A6">
        <f>'He Lines'!S6</f>
        <v>3.3797345920125879E-6</v>
      </c>
      <c r="B6" s="117">
        <v>1</v>
      </c>
      <c r="C6" s="84">
        <v>120</v>
      </c>
      <c r="D6" s="84">
        <v>1</v>
      </c>
      <c r="E6" s="65">
        <f t="shared" si="0"/>
        <v>120.01666666666667</v>
      </c>
      <c r="F6" s="65">
        <f>E6-E3</f>
        <v>10.783333333333331</v>
      </c>
      <c r="G6" s="111">
        <v>98</v>
      </c>
      <c r="H6" s="84">
        <v>27</v>
      </c>
      <c r="I6" s="65">
        <f t="shared" si="1"/>
        <v>98.45</v>
      </c>
      <c r="J6" s="88">
        <f>E3-I6</f>
        <v>10.783333333333331</v>
      </c>
      <c r="K6" s="66">
        <f t="shared" si="2"/>
        <v>10.783333333333331</v>
      </c>
      <c r="L6" s="66">
        <f t="shared" si="3"/>
        <v>0</v>
      </c>
      <c r="M6" s="66">
        <f t="shared" si="4"/>
        <v>0</v>
      </c>
      <c r="N6" s="66">
        <f t="shared" si="5"/>
        <v>1</v>
      </c>
      <c r="O6" s="66">
        <f t="shared" si="6"/>
        <v>0.18709557088327067</v>
      </c>
      <c r="P6" s="92">
        <f t="shared" si="7"/>
        <v>6323.3337292653305</v>
      </c>
      <c r="Q6">
        <v>6328</v>
      </c>
      <c r="R6" s="118">
        <f>ABS(P6-Q6)/Q6</f>
        <v>7.3740055857609427E-4</v>
      </c>
    </row>
    <row r="7" spans="1:18" x14ac:dyDescent="0.45">
      <c r="A7">
        <f>'He Lines'!S6</f>
        <v>3.3797345920125879E-6</v>
      </c>
      <c r="B7" s="123">
        <v>2</v>
      </c>
      <c r="C7" s="124">
        <v>131</v>
      </c>
      <c r="D7" s="124">
        <v>16</v>
      </c>
      <c r="E7" s="125">
        <f t="shared" si="0"/>
        <v>131.26666666666668</v>
      </c>
      <c r="F7" s="125">
        <f>E7-E3</f>
        <v>22.033333333333346</v>
      </c>
      <c r="G7" s="126">
        <v>87</v>
      </c>
      <c r="H7" s="124">
        <v>17</v>
      </c>
      <c r="I7" s="125">
        <f t="shared" si="1"/>
        <v>87.283333333333331</v>
      </c>
      <c r="J7" s="127">
        <f>E3-I7</f>
        <v>21.950000000000003</v>
      </c>
      <c r="K7" s="128">
        <f t="shared" si="2"/>
        <v>21.991666666666674</v>
      </c>
      <c r="L7" s="128">
        <f t="shared" si="3"/>
        <v>4.1666666666671404E-2</v>
      </c>
      <c r="M7" s="128">
        <f t="shared" si="4"/>
        <v>9.9945904373993765E-3</v>
      </c>
      <c r="N7" s="128">
        <f t="shared" si="5"/>
        <v>1.0000499446717706</v>
      </c>
      <c r="O7" s="128">
        <f t="shared" si="6"/>
        <v>0.37449043889683997</v>
      </c>
      <c r="P7" s="129">
        <f t="shared" si="7"/>
        <v>6328.3914535881322</v>
      </c>
      <c r="Q7">
        <v>6328</v>
      </c>
      <c r="R7" s="118">
        <f t="shared" ref="R7:R10" si="8">ABS(P7-Q7)/Q7</f>
        <v>6.1860554382460193E-5</v>
      </c>
    </row>
    <row r="8" spans="1:18" ht="14.65" thickBot="1" x14ac:dyDescent="0.5">
      <c r="A8">
        <f>'He Lines'!S6</f>
        <v>3.3797345920125879E-6</v>
      </c>
      <c r="B8" s="119">
        <v>2</v>
      </c>
      <c r="C8" s="40">
        <v>131</v>
      </c>
      <c r="D8" s="40">
        <v>14</v>
      </c>
      <c r="E8" s="41">
        <f t="shared" si="0"/>
        <v>131.23333333333332</v>
      </c>
      <c r="F8" s="41">
        <f>E8-E3</f>
        <v>21.999999999999986</v>
      </c>
      <c r="G8" s="120">
        <v>87</v>
      </c>
      <c r="H8" s="40">
        <v>16</v>
      </c>
      <c r="I8" s="41">
        <f t="shared" si="1"/>
        <v>87.266666666666666</v>
      </c>
      <c r="J8" s="121">
        <f>E3-I8</f>
        <v>21.966666666666669</v>
      </c>
      <c r="K8" s="18">
        <f t="shared" si="2"/>
        <v>21.983333333333327</v>
      </c>
      <c r="L8" s="18">
        <f t="shared" si="3"/>
        <v>1.6666666666658614E-2</v>
      </c>
      <c r="M8" s="18">
        <f t="shared" si="4"/>
        <v>4.0008184847204874E-3</v>
      </c>
      <c r="N8" s="18">
        <f t="shared" si="5"/>
        <v>1.0000080032422478</v>
      </c>
      <c r="O8" s="18">
        <f t="shared" si="6"/>
        <v>0.37433986662896918</v>
      </c>
      <c r="P8" s="122">
        <f t="shared" si="7"/>
        <v>6325.8469820765285</v>
      </c>
      <c r="Q8">
        <v>6328</v>
      </c>
      <c r="R8" s="118">
        <f t="shared" si="8"/>
        <v>3.4023671357007781E-4</v>
      </c>
    </row>
    <row r="9" spans="1:18" x14ac:dyDescent="0.45">
      <c r="A9">
        <f>'He Lines'!S6</f>
        <v>3.3797345920125879E-6</v>
      </c>
      <c r="B9" s="139">
        <v>3</v>
      </c>
      <c r="C9" s="140">
        <v>143</v>
      </c>
      <c r="D9" s="140">
        <v>21</v>
      </c>
      <c r="E9" s="132">
        <f t="shared" si="0"/>
        <v>143.35</v>
      </c>
      <c r="F9" s="132">
        <f>E9-E3</f>
        <v>34.11666666666666</v>
      </c>
      <c r="G9" s="141">
        <v>75</v>
      </c>
      <c r="H9" s="140">
        <v>0</v>
      </c>
      <c r="I9" s="132">
        <f t="shared" si="1"/>
        <v>75</v>
      </c>
      <c r="J9" s="135">
        <f>E3-I9</f>
        <v>34.233333333333334</v>
      </c>
      <c r="K9" s="137">
        <f t="shared" si="2"/>
        <v>34.174999999999997</v>
      </c>
      <c r="L9" s="137">
        <f t="shared" si="3"/>
        <v>-5.8333333333337123E-2</v>
      </c>
      <c r="M9" s="137">
        <f t="shared" si="4"/>
        <v>-5.8961403581119761E-3</v>
      </c>
      <c r="N9" s="137">
        <f t="shared" si="5"/>
        <v>1.0000173820844929</v>
      </c>
      <c r="O9" s="137">
        <f t="shared" si="6"/>
        <v>0.56173220628415677</v>
      </c>
      <c r="P9" s="138">
        <f t="shared" si="7"/>
        <v>6328.3525634203843</v>
      </c>
      <c r="Q9">
        <v>6328</v>
      </c>
      <c r="R9" s="118">
        <f t="shared" si="8"/>
        <v>5.5714826230133622E-5</v>
      </c>
    </row>
    <row r="10" spans="1:18" ht="14.65" thickBot="1" x14ac:dyDescent="0.5">
      <c r="A10">
        <f>'He Lines'!S6</f>
        <v>3.3797345920125879E-6</v>
      </c>
      <c r="B10" s="117">
        <v>3</v>
      </c>
      <c r="C10" s="83">
        <v>143</v>
      </c>
      <c r="D10" s="83">
        <v>21</v>
      </c>
      <c r="E10" s="65">
        <f t="shared" si="0"/>
        <v>143.35</v>
      </c>
      <c r="F10" s="65">
        <f>E10-E3</f>
        <v>34.11666666666666</v>
      </c>
      <c r="G10" s="111">
        <v>75</v>
      </c>
      <c r="H10" s="84">
        <v>0</v>
      </c>
      <c r="I10" s="65">
        <f t="shared" ref="I10" si="9">G10+H10/60</f>
        <v>75</v>
      </c>
      <c r="J10" s="88">
        <f>E3-I10</f>
        <v>34.233333333333334</v>
      </c>
      <c r="K10" s="66">
        <f>0.5*(F10+J10)</f>
        <v>34.174999999999997</v>
      </c>
      <c r="L10" s="66">
        <f>0.5*(F10-J10)</f>
        <v>-5.8333333333337123E-2</v>
      </c>
      <c r="M10" s="66">
        <f t="shared" ref="M10" si="10">SIN(RADIANS(L10))/(COS(RADIANS(L10))-COS(RADIANS(K10)))</f>
        <v>-5.8961403581119761E-3</v>
      </c>
      <c r="N10" s="66">
        <f t="shared" ref="N10" si="11">SQRT(1+M10^2)</f>
        <v>1.0000173820844929</v>
      </c>
      <c r="O10" s="66">
        <f t="shared" ref="O10" si="12">SIN(RADIANS(K10))*N10</f>
        <v>0.56173220628415677</v>
      </c>
      <c r="P10" s="92">
        <f t="shared" ref="P10" si="13">(A10*O10*10^10)/B10</f>
        <v>6328.3525634203843</v>
      </c>
      <c r="Q10">
        <v>6328</v>
      </c>
      <c r="R10" s="118">
        <f t="shared" si="8"/>
        <v>5.5714826230133622E-5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 Lines</vt:lpstr>
      <vt:lpstr>H Lines</vt:lpstr>
      <vt:lpstr>He-Ne Laser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Levinson</dc:creator>
  <cp:lastModifiedBy>Pablo Sevilla</cp:lastModifiedBy>
  <dcterms:created xsi:type="dcterms:W3CDTF">2018-02-27T18:02:00Z</dcterms:created>
  <dcterms:modified xsi:type="dcterms:W3CDTF">2018-03-19T04:12:16Z</dcterms:modified>
</cp:coreProperties>
</file>